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3.xml" ContentType="application/vnd.openxmlformats-officedocument.drawing+xml"/>
  <Override PartName="/xl/ctrlProps/ctrlProp6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5"/>
  <workbookPr codeName="ThisWorkbook"/>
  <mc:AlternateContent xmlns:mc="http://schemas.openxmlformats.org/markup-compatibility/2006">
    <mc:Choice Requires="x15">
      <x15ac:absPath xmlns:x15ac="http://schemas.microsoft.com/office/spreadsheetml/2010/11/ac" url="/Users/cierraderato/Downloads/"/>
    </mc:Choice>
  </mc:AlternateContent>
  <xr:revisionPtr revIDLastSave="0" documentId="8_{925772C6-0017-AA4E-B2E6-1D94BE8A415C}" xr6:coauthVersionLast="47" xr6:coauthVersionMax="47" xr10:uidLastSave="{00000000-0000-0000-0000-000000000000}"/>
  <bookViews>
    <workbookView xWindow="0" yWindow="500" windowWidth="29040" windowHeight="15720" tabRatio="891" xr2:uid="{8A4EFF2C-D5C2-427E-BC31-4A04E65C7E34}"/>
  </bookViews>
  <sheets>
    <sheet name="FRV Modeling" sheetId="78" r:id="rId1"/>
    <sheet name="Phase In Option" sheetId="74" r:id="rId2"/>
    <sheet name="Facility Profile" sheetId="47" r:id="rId3"/>
    <sheet name="Vent Profile" sheetId="52" r:id="rId4"/>
    <sheet name="Averages Profiles" sheetId="53" r:id="rId5"/>
    <sheet name="Rate Calculation" sheetId="71" r:id="rId6"/>
    <sheet name="Vent Rate Calculation" sheetId="72" r:id="rId7"/>
    <sheet name="Limits" sheetId="77" r:id="rId8"/>
    <sheet name="FRV" sheetId="16" r:id="rId9"/>
    <sheet name="Inflation" sheetId="20" r:id="rId10"/>
    <sheet name="CMI Data" sheetId="22" r:id="rId11"/>
    <sheet name="2022 CR and CMI" sheetId="19" r:id="rId12"/>
    <sheet name="RE Tax" sheetId="61" r:id="rId13"/>
    <sheet name="July 2025 Website" sheetId="56" r:id="rId14"/>
    <sheet name="October 2025 Website" sheetId="66" r:id="rId15"/>
    <sheet name="January 2026 Website" sheetId="67" r:id="rId16"/>
    <sheet name="April 2026 Website" sheetId="68" r:id="rId17"/>
    <sheet name="Days Exceptions" sheetId="55" r:id="rId18"/>
    <sheet name="Documentation" sheetId="36" r:id="rId19"/>
  </sheets>
  <externalReferences>
    <externalReference r:id="rId20"/>
    <externalReference r:id="rId21"/>
  </externalReferences>
  <definedNames>
    <definedName name="_baf">'Phase In Option'!$G$12</definedName>
    <definedName name="_BAF5">#REF!</definedName>
    <definedName name="BAF">#REF!</definedName>
    <definedName name="BEDS1516">FRV!$G:$G</definedName>
    <definedName name="Floor">'[1]Options and Impact'!$E$15</definedName>
    <definedName name="FRV_amt">'FRV Modeling'!$C$13</definedName>
    <definedName name="Min_Occ">'2022 CR and CMI'!$L$210</definedName>
    <definedName name="Minimum_Occupancy">'[1]Options and Impact'!$B$49</definedName>
    <definedName name="pdfnamevent">'Vent Profile'!$I$7</definedName>
    <definedName name="_xlnm.Print_Area" localSheetId="11">'2022 CR and CMI'!#REF!</definedName>
    <definedName name="_xlnm.Print_Area" localSheetId="4">'Averages Profiles'!$A$1:$F$23</definedName>
    <definedName name="_xlnm.Print_Area" localSheetId="10">'CMI Data'!#REF!</definedName>
    <definedName name="_xlnm.Print_Area" localSheetId="2">'Facility Profile'!$A$1:$F$94</definedName>
    <definedName name="_xlnm.Print_Area" localSheetId="3">'Vent Profile'!$A$1:$F$89</definedName>
    <definedName name="_xlnm.Print_Titles" localSheetId="11">'2022 CR and CMI'!$A:$A,'2022 CR and CMI'!#REF!</definedName>
    <definedName name="_xlnm.Print_Titles" localSheetId="10">'CMI Data'!$A:$B,'CMI Data'!$3:$3</definedName>
    <definedName name="_xlnm.Print_Titles" localSheetId="8">FRV!$A:$B,FRV!$3:$3</definedName>
    <definedName name="QA_Rate">Documentation!$B$70</definedName>
    <definedName name="QA_Tax_5high">Documentation!$G$66</definedName>
    <definedName name="QA_Tax_reg">Documentation!$F$66</definedName>
    <definedName name="SW_CMI">'CMI Data'!$E$212</definedName>
    <definedName name="SW_CMI_PDPM">#REF!</definedName>
    <definedName name="sw_cmi2">'CMI Data'!#REF!</definedName>
    <definedName name="SW_cmi2018">'[2]CMI Data'!$E$215</definedName>
    <definedName name="SW_CR_CMI">'2022 CR and CMI'!$S$209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2" i="74" l="1" a="1"/>
  <c r="G12" i="74" s="1"/>
  <c r="C20" i="78"/>
  <c r="C19" i="78"/>
  <c r="B20" i="78"/>
  <c r="B19" i="78"/>
  <c r="K60" i="78"/>
  <c r="E26" i="78" l="1"/>
  <c r="E27" i="78"/>
  <c r="E28" i="78"/>
  <c r="E29" i="78"/>
  <c r="E30" i="78"/>
  <c r="E31" i="78"/>
  <c r="E32" i="78"/>
  <c r="E33" i="78"/>
  <c r="E34" i="78"/>
  <c r="E35" i="78"/>
  <c r="E36" i="78"/>
  <c r="E37" i="78"/>
  <c r="E38" i="78"/>
  <c r="E39" i="78"/>
  <c r="E40" i="78"/>
  <c r="E41" i="78"/>
  <c r="E42" i="78"/>
  <c r="E43" i="78"/>
  <c r="E44" i="78"/>
  <c r="E45" i="78"/>
  <c r="E46" i="78"/>
  <c r="E47" i="78"/>
  <c r="E48" i="78"/>
  <c r="E49" i="78"/>
  <c r="E50" i="78"/>
  <c r="E51" i="78"/>
  <c r="E52" i="78"/>
  <c r="E53" i="78"/>
  <c r="E54" i="78"/>
  <c r="E62" i="78"/>
  <c r="E63" i="78"/>
  <c r="E64" i="78"/>
  <c r="E65" i="78"/>
  <c r="E66" i="78"/>
  <c r="E67" i="78"/>
  <c r="E68" i="78"/>
  <c r="E69" i="78"/>
  <c r="E70" i="78"/>
  <c r="E71" i="78"/>
  <c r="E72" i="78"/>
  <c r="E73" i="78"/>
  <c r="E74" i="78"/>
  <c r="E75" i="78"/>
  <c r="E76" i="78"/>
  <c r="E77" i="78"/>
  <c r="E78" i="78"/>
  <c r="E79" i="78"/>
  <c r="E80" i="78"/>
  <c r="E81" i="78"/>
  <c r="E82" i="78"/>
  <c r="E83" i="78"/>
  <c r="E84" i="78"/>
  <c r="E85" i="78"/>
  <c r="E86" i="78"/>
  <c r="E87" i="78"/>
  <c r="E88" i="78"/>
  <c r="E89" i="78"/>
  <c r="E90" i="78"/>
  <c r="E91" i="78"/>
  <c r="E92" i="78"/>
  <c r="E93" i="78"/>
  <c r="E94" i="78"/>
  <c r="E95" i="78"/>
  <c r="E96" i="78"/>
  <c r="E97" i="78"/>
  <c r="E98" i="78"/>
  <c r="E99" i="78"/>
  <c r="E100" i="78"/>
  <c r="E101" i="78"/>
  <c r="E102" i="78"/>
  <c r="E103" i="78"/>
  <c r="E104" i="78"/>
  <c r="E105" i="78"/>
  <c r="E106" i="78"/>
  <c r="E107" i="78"/>
  <c r="E108" i="78"/>
  <c r="E109" i="78"/>
  <c r="E110" i="78"/>
  <c r="E111" i="78"/>
  <c r="E112" i="78"/>
  <c r="E113" i="78"/>
  <c r="E114" i="78"/>
  <c r="E115" i="78"/>
  <c r="E116" i="78"/>
  <c r="E117" i="78"/>
  <c r="E118" i="78"/>
  <c r="E119" i="78"/>
  <c r="E120" i="78"/>
  <c r="E121" i="78"/>
  <c r="E122" i="78"/>
  <c r="E123" i="78"/>
  <c r="E124" i="78"/>
  <c r="E125" i="78"/>
  <c r="E126" i="78"/>
  <c r="E127" i="78"/>
  <c r="E128" i="78"/>
  <c r="E129" i="78"/>
  <c r="E130" i="78"/>
  <c r="E131" i="78"/>
  <c r="E132" i="78"/>
  <c r="E133" i="78"/>
  <c r="E134" i="78"/>
  <c r="E135" i="78"/>
  <c r="E136" i="78"/>
  <c r="E137" i="78"/>
  <c r="E138" i="78"/>
  <c r="E139" i="78"/>
  <c r="E140" i="78"/>
  <c r="E141" i="78"/>
  <c r="E142" i="78"/>
  <c r="E143" i="78"/>
  <c r="E144" i="78"/>
  <c r="E145" i="78"/>
  <c r="E146" i="78"/>
  <c r="E147" i="78"/>
  <c r="E148" i="78"/>
  <c r="E149" i="78"/>
  <c r="E150" i="78"/>
  <c r="E151" i="78"/>
  <c r="E152" i="78"/>
  <c r="E153" i="78"/>
  <c r="E154" i="78"/>
  <c r="E155" i="78"/>
  <c r="E156" i="78"/>
  <c r="E157" i="78"/>
  <c r="E158" i="78"/>
  <c r="E159" i="78"/>
  <c r="E160" i="78"/>
  <c r="E161" i="78"/>
  <c r="E162" i="78"/>
  <c r="E163" i="78"/>
  <c r="E164" i="78"/>
  <c r="E165" i="78"/>
  <c r="E166" i="78"/>
  <c r="E167" i="78"/>
  <c r="E168" i="78"/>
  <c r="E169" i="78"/>
  <c r="E170" i="78"/>
  <c r="E171" i="78"/>
  <c r="E172" i="78"/>
  <c r="E173" i="78"/>
  <c r="E174" i="78"/>
  <c r="E175" i="78"/>
  <c r="E176" i="78"/>
  <c r="E177" i="78"/>
  <c r="E178" i="78"/>
  <c r="E179" i="78"/>
  <c r="E180" i="78"/>
  <c r="E181" i="78"/>
  <c r="E182" i="78"/>
  <c r="E183" i="78"/>
  <c r="E184" i="78"/>
  <c r="E185" i="78"/>
  <c r="E186" i="78"/>
  <c r="E187" i="78"/>
  <c r="E188" i="78"/>
  <c r="E189" i="78"/>
  <c r="E190" i="78"/>
  <c r="E191" i="78"/>
  <c r="E192" i="78"/>
  <c r="E193" i="78"/>
  <c r="E194" i="78"/>
  <c r="E195" i="78"/>
  <c r="E196" i="78"/>
  <c r="E197" i="78"/>
  <c r="E198" i="78"/>
  <c r="E199" i="78"/>
  <c r="E200" i="78"/>
  <c r="E201" i="78"/>
  <c r="E202" i="78"/>
  <c r="E203" i="78"/>
  <c r="E204" i="78"/>
  <c r="E205" i="78"/>
  <c r="E206" i="78"/>
  <c r="E207" i="78"/>
  <c r="E208" i="78"/>
  <c r="E209" i="78"/>
  <c r="E210" i="78"/>
  <c r="E211" i="78"/>
  <c r="E212" i="78"/>
  <c r="E213" i="78"/>
  <c r="E214" i="78"/>
  <c r="E215" i="78"/>
  <c r="E216" i="78"/>
  <c r="E217" i="78"/>
  <c r="E218" i="78"/>
  <c r="E219" i="78"/>
  <c r="E220" i="78"/>
  <c r="E221" i="78"/>
  <c r="E222" i="78"/>
  <c r="E223" i="78"/>
  <c r="E224" i="78"/>
  <c r="E225" i="78"/>
  <c r="E226" i="78"/>
  <c r="E227" i="78"/>
  <c r="E228" i="78"/>
  <c r="E229" i="78"/>
  <c r="E230" i="78"/>
  <c r="E231" i="78"/>
  <c r="E232" i="78"/>
  <c r="E233" i="78"/>
  <c r="E234" i="78"/>
  <c r="E235" i="78"/>
  <c r="E236" i="78"/>
  <c r="E237" i="78"/>
  <c r="E238" i="78"/>
  <c r="E239" i="78"/>
  <c r="E240" i="78"/>
  <c r="E241" i="78"/>
  <c r="E242" i="78"/>
  <c r="E243" i="78"/>
  <c r="E244" i="78"/>
  <c r="E245" i="78"/>
  <c r="E246" i="78"/>
  <c r="E247" i="78"/>
  <c r="E248" i="78"/>
  <c r="E249" i="78"/>
  <c r="E250" i="78"/>
  <c r="E251" i="78"/>
  <c r="E252" i="78"/>
  <c r="E253" i="78"/>
  <c r="E254" i="78"/>
  <c r="E255" i="78"/>
  <c r="E256" i="78"/>
  <c r="E257" i="78"/>
  <c r="E258" i="78"/>
  <c r="E259" i="78"/>
  <c r="E260" i="78"/>
  <c r="E261" i="78"/>
  <c r="E262" i="78"/>
  <c r="E263" i="78"/>
  <c r="E264" i="78"/>
  <c r="E265" i="78"/>
  <c r="E61" i="78"/>
  <c r="E55" i="78" l="1"/>
  <c r="C14" i="78"/>
  <c r="R4" i="16"/>
  <c r="S208" i="16" l="1"/>
  <c r="S207" i="16"/>
  <c r="S206" i="16"/>
  <c r="S205" i="16"/>
  <c r="S204" i="16"/>
  <c r="S203" i="16"/>
  <c r="S202" i="16"/>
  <c r="S201" i="16"/>
  <c r="S200" i="16"/>
  <c r="S199" i="16"/>
  <c r="S198" i="16"/>
  <c r="S197" i="16"/>
  <c r="S196" i="16"/>
  <c r="S195" i="16"/>
  <c r="S194" i="16"/>
  <c r="S193" i="16"/>
  <c r="S192" i="16"/>
  <c r="S191" i="16"/>
  <c r="S190" i="16"/>
  <c r="S189" i="16"/>
  <c r="S188" i="16"/>
  <c r="S187" i="16"/>
  <c r="S186" i="16"/>
  <c r="S185" i="16"/>
  <c r="S184" i="16"/>
  <c r="S183" i="16"/>
  <c r="S182" i="16"/>
  <c r="S181" i="16"/>
  <c r="S180" i="16"/>
  <c r="S179" i="16"/>
  <c r="S178" i="16"/>
  <c r="S177" i="16"/>
  <c r="S176" i="16"/>
  <c r="S175" i="16"/>
  <c r="S174" i="16"/>
  <c r="S173" i="16"/>
  <c r="S172" i="16"/>
  <c r="S171" i="16"/>
  <c r="S170" i="16"/>
  <c r="S169" i="16"/>
  <c r="S168" i="16"/>
  <c r="S167" i="16"/>
  <c r="S166" i="16"/>
  <c r="S165" i="16"/>
  <c r="S164" i="16"/>
  <c r="S163" i="16"/>
  <c r="S162" i="16"/>
  <c r="S161" i="16"/>
  <c r="S160" i="16"/>
  <c r="S159" i="16"/>
  <c r="S158" i="16"/>
  <c r="S157" i="16"/>
  <c r="S156" i="16"/>
  <c r="S155" i="16"/>
  <c r="S154" i="16"/>
  <c r="S153" i="16"/>
  <c r="S152" i="16"/>
  <c r="S151" i="16"/>
  <c r="S150" i="16"/>
  <c r="S149" i="16"/>
  <c r="S148" i="16"/>
  <c r="S147" i="16"/>
  <c r="S146" i="16"/>
  <c r="S145" i="16"/>
  <c r="S144" i="16"/>
  <c r="S143" i="16"/>
  <c r="S142" i="16"/>
  <c r="S141" i="16"/>
  <c r="S140" i="16"/>
  <c r="S139" i="16"/>
  <c r="S138" i="16"/>
  <c r="S137" i="16"/>
  <c r="S136" i="16"/>
  <c r="S135" i="16"/>
  <c r="S134" i="16"/>
  <c r="S133" i="16"/>
  <c r="S132" i="16"/>
  <c r="S131" i="16"/>
  <c r="S130" i="16"/>
  <c r="S129" i="16"/>
  <c r="S128" i="16"/>
  <c r="S127" i="16"/>
  <c r="S126" i="16"/>
  <c r="S125" i="16"/>
  <c r="S124" i="16"/>
  <c r="S123" i="16"/>
  <c r="S122" i="16"/>
  <c r="S121" i="16"/>
  <c r="S120" i="16"/>
  <c r="S119" i="16"/>
  <c r="S118" i="16"/>
  <c r="S117" i="16"/>
  <c r="S116" i="16"/>
  <c r="S115" i="16"/>
  <c r="S114" i="16"/>
  <c r="S113" i="16"/>
  <c r="S112" i="16"/>
  <c r="S111" i="16"/>
  <c r="S110" i="16"/>
  <c r="S109" i="16"/>
  <c r="S108" i="16"/>
  <c r="S107" i="16"/>
  <c r="S106" i="16"/>
  <c r="S105" i="16"/>
  <c r="S104" i="16"/>
  <c r="S103" i="16"/>
  <c r="S102" i="16"/>
  <c r="S101" i="16"/>
  <c r="S100" i="16"/>
  <c r="S99" i="16"/>
  <c r="S98" i="16"/>
  <c r="S97" i="16"/>
  <c r="S96" i="16"/>
  <c r="S95" i="16"/>
  <c r="S94" i="16"/>
  <c r="S93" i="16"/>
  <c r="S92" i="16"/>
  <c r="S91" i="16"/>
  <c r="S90" i="16"/>
  <c r="S89" i="16"/>
  <c r="S88" i="16"/>
  <c r="S87" i="16"/>
  <c r="S86" i="16"/>
  <c r="S85" i="16"/>
  <c r="S84" i="16"/>
  <c r="S83" i="16"/>
  <c r="S82" i="16"/>
  <c r="S81" i="16"/>
  <c r="S80" i="16"/>
  <c r="S79" i="16"/>
  <c r="S78" i="16"/>
  <c r="S77" i="16"/>
  <c r="S76" i="16"/>
  <c r="S75" i="16"/>
  <c r="S74" i="16"/>
  <c r="S73" i="16"/>
  <c r="S72" i="16"/>
  <c r="S71" i="16"/>
  <c r="S70" i="16"/>
  <c r="S69" i="16"/>
  <c r="S68" i="16"/>
  <c r="S67" i="16"/>
  <c r="S66" i="16"/>
  <c r="S65" i="16"/>
  <c r="S64" i="16"/>
  <c r="S63" i="16"/>
  <c r="S62" i="16"/>
  <c r="S61" i="16"/>
  <c r="S60" i="16"/>
  <c r="S59" i="16"/>
  <c r="S58" i="16"/>
  <c r="S57" i="16"/>
  <c r="S56" i="16"/>
  <c r="S55" i="16"/>
  <c r="S54" i="16"/>
  <c r="S53" i="16"/>
  <c r="S52" i="16"/>
  <c r="S51" i="16"/>
  <c r="S50" i="16"/>
  <c r="S49" i="16"/>
  <c r="S48" i="16"/>
  <c r="S47" i="16"/>
  <c r="S46" i="16"/>
  <c r="S45" i="16"/>
  <c r="S44" i="16"/>
  <c r="S43" i="16"/>
  <c r="S42" i="16"/>
  <c r="S41" i="16"/>
  <c r="S40" i="16"/>
  <c r="S39" i="16"/>
  <c r="S38" i="16"/>
  <c r="S37" i="16"/>
  <c r="S36" i="16"/>
  <c r="S35" i="16"/>
  <c r="S34" i="16"/>
  <c r="S33" i="16"/>
  <c r="S32" i="16"/>
  <c r="S31" i="16"/>
  <c r="S30" i="16"/>
  <c r="S29" i="16"/>
  <c r="S28" i="16"/>
  <c r="S27" i="16"/>
  <c r="S26" i="16"/>
  <c r="S25" i="16"/>
  <c r="S24" i="16"/>
  <c r="S23" i="16"/>
  <c r="S22" i="16"/>
  <c r="S21" i="16"/>
  <c r="S20" i="16"/>
  <c r="S19" i="16"/>
  <c r="S18" i="16"/>
  <c r="S17" i="16"/>
  <c r="S16" i="16"/>
  <c r="S15" i="16"/>
  <c r="S14" i="16"/>
  <c r="S13" i="16"/>
  <c r="S12" i="16"/>
  <c r="S11" i="16"/>
  <c r="S10" i="16"/>
  <c r="S9" i="16"/>
  <c r="S8" i="16"/>
  <c r="S7" i="16"/>
  <c r="S6" i="16"/>
  <c r="S5" i="16"/>
  <c r="S4" i="16"/>
  <c r="U3" i="16"/>
  <c r="S3" i="16"/>
  <c r="P4" i="16"/>
  <c r="Q4" i="16" s="1"/>
  <c r="D7" i="78"/>
  <c r="D6" i="78"/>
  <c r="AQ207" i="56" l="1"/>
  <c r="AQ206" i="56"/>
  <c r="AQ205" i="56"/>
  <c r="AQ204" i="56"/>
  <c r="AQ203" i="56"/>
  <c r="AQ202" i="56"/>
  <c r="AQ201" i="56"/>
  <c r="AQ200" i="56"/>
  <c r="AQ199" i="56"/>
  <c r="AQ198" i="56"/>
  <c r="AQ197" i="56"/>
  <c r="AQ196" i="56"/>
  <c r="AQ195" i="56"/>
  <c r="AQ194" i="56"/>
  <c r="AQ193" i="56"/>
  <c r="AQ192" i="56"/>
  <c r="AQ191" i="56"/>
  <c r="AQ190" i="56"/>
  <c r="AQ189" i="56"/>
  <c r="AQ188" i="56"/>
  <c r="AQ187" i="56"/>
  <c r="AQ186" i="56"/>
  <c r="AQ185" i="56"/>
  <c r="AQ184" i="56"/>
  <c r="AQ183" i="56"/>
  <c r="AQ182" i="56"/>
  <c r="AQ181" i="56"/>
  <c r="AQ180" i="56"/>
  <c r="AQ179" i="56"/>
  <c r="AQ178" i="56"/>
  <c r="AQ177" i="56"/>
  <c r="AQ176" i="56"/>
  <c r="AQ175" i="56"/>
  <c r="AQ174" i="56"/>
  <c r="AQ173" i="56"/>
  <c r="AQ172" i="56"/>
  <c r="AQ171" i="56"/>
  <c r="AQ170" i="56"/>
  <c r="AQ169" i="56"/>
  <c r="AQ168" i="56"/>
  <c r="AQ167" i="56"/>
  <c r="AQ166" i="56"/>
  <c r="AQ165" i="56"/>
  <c r="AQ164" i="56"/>
  <c r="AQ163" i="56"/>
  <c r="AQ162" i="56"/>
  <c r="AQ161" i="56"/>
  <c r="AQ160" i="56"/>
  <c r="AQ159" i="56"/>
  <c r="AQ158" i="56"/>
  <c r="AQ157" i="56"/>
  <c r="AQ156" i="56"/>
  <c r="AQ155" i="56"/>
  <c r="AQ154" i="56"/>
  <c r="AQ153" i="56"/>
  <c r="AQ152" i="56"/>
  <c r="AQ151" i="56"/>
  <c r="AQ150" i="56"/>
  <c r="AQ149" i="56"/>
  <c r="AQ148" i="56"/>
  <c r="AQ147" i="56"/>
  <c r="AQ146" i="56"/>
  <c r="AQ145" i="56"/>
  <c r="AQ144" i="56"/>
  <c r="AQ143" i="56"/>
  <c r="AQ142" i="56"/>
  <c r="AQ141" i="56"/>
  <c r="AQ140" i="56"/>
  <c r="AQ139" i="56"/>
  <c r="AQ138" i="56"/>
  <c r="AQ137" i="56"/>
  <c r="AQ136" i="56"/>
  <c r="AQ135" i="56"/>
  <c r="AQ134" i="56"/>
  <c r="AQ133" i="56"/>
  <c r="AQ132" i="56"/>
  <c r="AQ131" i="56"/>
  <c r="AQ130" i="56"/>
  <c r="AQ129" i="56"/>
  <c r="AQ128" i="56"/>
  <c r="AQ127" i="56"/>
  <c r="AQ126" i="56"/>
  <c r="AQ125" i="56"/>
  <c r="AQ124" i="56"/>
  <c r="AQ123" i="56"/>
  <c r="AQ122" i="56"/>
  <c r="AQ121" i="56"/>
  <c r="AQ120" i="56"/>
  <c r="AQ119" i="56"/>
  <c r="AQ118" i="56"/>
  <c r="AQ117" i="56"/>
  <c r="AQ116" i="56"/>
  <c r="AQ115" i="56"/>
  <c r="AQ114" i="56"/>
  <c r="AQ113" i="56"/>
  <c r="AQ112" i="56"/>
  <c r="AQ111" i="56"/>
  <c r="AQ110" i="56"/>
  <c r="AQ109" i="56"/>
  <c r="AQ108" i="56"/>
  <c r="AQ107" i="56"/>
  <c r="AQ106" i="56"/>
  <c r="AQ105" i="56"/>
  <c r="AQ104" i="56"/>
  <c r="AQ103" i="56"/>
  <c r="AQ102" i="56"/>
  <c r="AQ101" i="56"/>
  <c r="AQ100" i="56"/>
  <c r="AQ99" i="56"/>
  <c r="AQ98" i="56"/>
  <c r="AQ97" i="56"/>
  <c r="AQ96" i="56"/>
  <c r="AQ95" i="56"/>
  <c r="AQ94" i="56"/>
  <c r="AQ93" i="56"/>
  <c r="AQ92" i="56"/>
  <c r="AQ91" i="56"/>
  <c r="AQ90" i="56"/>
  <c r="AQ89" i="56"/>
  <c r="AQ88" i="56"/>
  <c r="AQ87" i="56"/>
  <c r="AQ86" i="56"/>
  <c r="AQ85" i="56"/>
  <c r="AQ84" i="56"/>
  <c r="AQ83" i="56"/>
  <c r="AQ82" i="56"/>
  <c r="AQ81" i="56"/>
  <c r="AQ80" i="56"/>
  <c r="AQ79" i="56"/>
  <c r="AQ78" i="56"/>
  <c r="AQ77" i="56"/>
  <c r="AQ76" i="56"/>
  <c r="AQ75" i="56"/>
  <c r="AQ74" i="56"/>
  <c r="AQ73" i="56"/>
  <c r="AQ72" i="56"/>
  <c r="AQ71" i="56"/>
  <c r="AQ70" i="56"/>
  <c r="AQ69" i="56"/>
  <c r="AQ68" i="56"/>
  <c r="AQ67" i="56"/>
  <c r="AQ66" i="56"/>
  <c r="AQ65" i="56"/>
  <c r="AQ64" i="56"/>
  <c r="AQ63" i="56"/>
  <c r="AQ62" i="56"/>
  <c r="AQ61" i="56"/>
  <c r="AQ60" i="56"/>
  <c r="AQ59" i="56"/>
  <c r="AQ58" i="56"/>
  <c r="AQ57" i="56"/>
  <c r="AQ56" i="56"/>
  <c r="AQ55" i="56"/>
  <c r="AQ54" i="56"/>
  <c r="AQ53" i="56"/>
  <c r="AQ52" i="56"/>
  <c r="AQ51" i="56"/>
  <c r="AQ50" i="56"/>
  <c r="AQ49" i="56"/>
  <c r="AQ48" i="56"/>
  <c r="AQ47" i="56"/>
  <c r="AQ46" i="56"/>
  <c r="AQ45" i="56"/>
  <c r="AQ44" i="56"/>
  <c r="AQ43" i="56"/>
  <c r="AQ42" i="56"/>
  <c r="AQ41" i="56"/>
  <c r="AQ40" i="56"/>
  <c r="AQ39" i="56"/>
  <c r="AQ38" i="56"/>
  <c r="AQ37" i="56"/>
  <c r="AQ36" i="56"/>
  <c r="AQ35" i="56"/>
  <c r="AQ34" i="56"/>
  <c r="AQ33" i="56"/>
  <c r="AQ32" i="56"/>
  <c r="AQ31" i="56"/>
  <c r="AQ30" i="56"/>
  <c r="AQ29" i="56"/>
  <c r="AQ28" i="56"/>
  <c r="AQ27" i="56"/>
  <c r="AQ26" i="56"/>
  <c r="AQ25" i="56"/>
  <c r="AQ24" i="56"/>
  <c r="AQ23" i="56"/>
  <c r="AQ22" i="56"/>
  <c r="AQ21" i="56"/>
  <c r="AQ20" i="56"/>
  <c r="AQ19" i="56"/>
  <c r="AQ18" i="56"/>
  <c r="AQ17" i="56"/>
  <c r="AQ16" i="56"/>
  <c r="AQ15" i="56"/>
  <c r="AQ14" i="56"/>
  <c r="AQ13" i="56"/>
  <c r="AQ12" i="56"/>
  <c r="AQ11" i="56"/>
  <c r="AQ10" i="56"/>
  <c r="AQ9" i="56"/>
  <c r="AQ8" i="56"/>
  <c r="AQ7" i="56"/>
  <c r="AQ6" i="56"/>
  <c r="AQ5" i="56"/>
  <c r="AQ4" i="56"/>
  <c r="AQ3" i="56"/>
  <c r="N145" i="74"/>
  <c r="C145" i="74"/>
  <c r="G92" i="61" l="1"/>
  <c r="R133" i="71" l="1"/>
  <c r="S133" i="71" s="1"/>
  <c r="T133" i="71" s="1"/>
  <c r="AK132" i="56"/>
  <c r="AP132" i="56"/>
  <c r="AR132" i="56"/>
  <c r="AS132" i="56" s="1"/>
  <c r="AE132" i="56"/>
  <c r="Z132" i="56"/>
  <c r="V132" i="56"/>
  <c r="W132" i="56" s="1"/>
  <c r="F132" i="56" s="1"/>
  <c r="X132" i="56"/>
  <c r="Y132" i="56" s="1"/>
  <c r="G132" i="56" s="1"/>
  <c r="AA132" i="56"/>
  <c r="AB132" i="56"/>
  <c r="AC132" i="56"/>
  <c r="AD132" i="56"/>
  <c r="U132" i="56"/>
  <c r="B43" i="52"/>
  <c r="B43" i="47"/>
  <c r="Q132" i="56"/>
  <c r="P132" i="56"/>
  <c r="O132" i="56"/>
  <c r="L132" i="56"/>
  <c r="J132" i="56"/>
  <c r="B132" i="56"/>
  <c r="C132" i="56"/>
  <c r="D132" i="56"/>
  <c r="E132" i="56"/>
  <c r="AK133" i="71"/>
  <c r="AL133" i="71" s="1"/>
  <c r="N132" i="56" s="1"/>
  <c r="AH133" i="71"/>
  <c r="AE133" i="71"/>
  <c r="AD133" i="71"/>
  <c r="AC133" i="71"/>
  <c r="AB133" i="71"/>
  <c r="AA133" i="71"/>
  <c r="Y133" i="71"/>
  <c r="X133" i="71"/>
  <c r="W133" i="71"/>
  <c r="V133" i="71"/>
  <c r="O133" i="71"/>
  <c r="P133" i="71" s="1"/>
  <c r="N133" i="71"/>
  <c r="O94" i="22"/>
  <c r="Q94" i="22"/>
  <c r="L94" i="22"/>
  <c r="J94" i="22"/>
  <c r="G94" i="22"/>
  <c r="L133" i="71"/>
  <c r="K133" i="71"/>
  <c r="J133" i="71"/>
  <c r="U133" i="71" l="1"/>
  <c r="AF132" i="56"/>
  <c r="AG132" i="56" s="1"/>
  <c r="AI132" i="56" s="1"/>
  <c r="AF133" i="71"/>
  <c r="AT132" i="56"/>
  <c r="AU132" i="56" s="1"/>
  <c r="AX132" i="56"/>
  <c r="S119" i="19"/>
  <c r="AJ132" i="56" l="1"/>
  <c r="AL132" i="56"/>
  <c r="AN132" i="56"/>
  <c r="AY132" i="56"/>
  <c r="AZ132" i="56" s="1"/>
  <c r="AV132" i="56" s="1"/>
  <c r="AW132" i="56" s="1"/>
  <c r="I132" i="56" s="1"/>
  <c r="S118" i="19"/>
  <c r="X119" i="19"/>
  <c r="Y119" i="19"/>
  <c r="Z119" i="19"/>
  <c r="AA119" i="19"/>
  <c r="T119" i="19"/>
  <c r="C4" i="55"/>
  <c r="C5" i="55"/>
  <c r="C3" i="55"/>
  <c r="G11" i="74"/>
  <c r="F133" i="71" l="1"/>
  <c r="E133" i="71"/>
  <c r="AT212" i="56" l="1"/>
  <c r="AT213" i="56"/>
  <c r="AT214" i="56"/>
  <c r="AT215" i="56"/>
  <c r="AT216" i="56"/>
  <c r="AT217" i="56"/>
  <c r="AT218" i="56"/>
  <c r="AT219" i="56"/>
  <c r="AT220" i="56"/>
  <c r="AT221" i="56"/>
  <c r="AT222" i="56"/>
  <c r="AT223" i="56"/>
  <c r="AT224" i="56"/>
  <c r="AT225" i="56"/>
  <c r="AT226" i="56"/>
  <c r="AT227" i="56"/>
  <c r="AT228" i="56"/>
  <c r="AT211" i="56"/>
  <c r="AR212" i="56"/>
  <c r="AR213" i="56"/>
  <c r="AR214" i="56"/>
  <c r="AR215" i="56"/>
  <c r="AR216" i="56"/>
  <c r="AR217" i="56"/>
  <c r="AR218" i="56"/>
  <c r="AR219" i="56"/>
  <c r="AR220" i="56"/>
  <c r="AR221" i="56"/>
  <c r="AR222" i="56"/>
  <c r="AR223" i="56"/>
  <c r="AR224" i="56"/>
  <c r="AR225" i="56"/>
  <c r="AR226" i="56"/>
  <c r="AR227" i="56"/>
  <c r="AR228" i="56"/>
  <c r="AR211" i="56"/>
  <c r="AP4" i="56"/>
  <c r="AP5" i="56"/>
  <c r="AP6" i="56"/>
  <c r="AP7" i="56"/>
  <c r="AP8" i="56"/>
  <c r="AP9" i="56"/>
  <c r="AP10" i="56"/>
  <c r="AP11" i="56"/>
  <c r="AP12" i="56"/>
  <c r="AP13" i="56"/>
  <c r="AP14" i="56"/>
  <c r="AP15" i="56"/>
  <c r="AP16" i="56"/>
  <c r="AP17" i="56"/>
  <c r="AP18" i="56"/>
  <c r="AP19" i="56"/>
  <c r="AP20" i="56"/>
  <c r="AP21" i="56"/>
  <c r="AP22" i="56"/>
  <c r="AP23" i="56"/>
  <c r="AP24" i="56"/>
  <c r="AP25" i="56"/>
  <c r="AP26" i="56"/>
  <c r="AP27" i="56"/>
  <c r="AP28" i="56"/>
  <c r="AP29" i="56"/>
  <c r="AP30" i="56"/>
  <c r="AP31" i="56"/>
  <c r="AP32" i="56"/>
  <c r="AP33" i="56"/>
  <c r="AP34" i="56"/>
  <c r="AP35" i="56"/>
  <c r="AP36" i="56"/>
  <c r="AP37" i="56"/>
  <c r="AP38" i="56"/>
  <c r="AP39" i="56"/>
  <c r="AP40" i="56"/>
  <c r="AP41" i="56"/>
  <c r="AP42" i="56"/>
  <c r="AP43" i="56"/>
  <c r="AP44" i="56"/>
  <c r="AP45" i="56"/>
  <c r="AP46" i="56"/>
  <c r="AP47" i="56"/>
  <c r="AP48" i="56"/>
  <c r="AP49" i="56"/>
  <c r="AP50" i="56"/>
  <c r="AP51" i="56"/>
  <c r="AP52" i="56"/>
  <c r="AP53" i="56"/>
  <c r="AP54" i="56"/>
  <c r="AP55" i="56"/>
  <c r="AP56" i="56"/>
  <c r="AP57" i="56"/>
  <c r="AP58" i="56"/>
  <c r="AP59" i="56"/>
  <c r="AP60" i="56"/>
  <c r="AP61" i="56"/>
  <c r="AP62" i="56"/>
  <c r="AP63" i="56"/>
  <c r="AP64" i="56"/>
  <c r="AP65" i="56"/>
  <c r="AP66" i="56"/>
  <c r="AP67" i="56"/>
  <c r="AP68" i="56"/>
  <c r="AP69" i="56"/>
  <c r="AP70" i="56"/>
  <c r="AP71" i="56"/>
  <c r="AP72" i="56"/>
  <c r="AP73" i="56"/>
  <c r="AP74" i="56"/>
  <c r="AP75" i="56"/>
  <c r="AP76" i="56"/>
  <c r="AP77" i="56"/>
  <c r="AP78" i="56"/>
  <c r="AP79" i="56"/>
  <c r="AP80" i="56"/>
  <c r="AP81" i="56"/>
  <c r="AP82" i="56"/>
  <c r="AP83" i="56"/>
  <c r="AP84" i="56"/>
  <c r="AP85" i="56"/>
  <c r="AP86" i="56"/>
  <c r="AP87" i="56"/>
  <c r="AP88" i="56"/>
  <c r="AP89" i="56"/>
  <c r="AP90" i="56"/>
  <c r="AP91" i="56"/>
  <c r="AP92" i="56"/>
  <c r="AP93" i="56"/>
  <c r="AP94" i="56"/>
  <c r="AP95" i="56"/>
  <c r="AP96" i="56"/>
  <c r="AP97" i="56"/>
  <c r="AP98" i="56"/>
  <c r="AP99" i="56"/>
  <c r="AP100" i="56"/>
  <c r="AP101" i="56"/>
  <c r="AP102" i="56"/>
  <c r="AP103" i="56"/>
  <c r="AP104" i="56"/>
  <c r="AP105" i="56"/>
  <c r="AP106" i="56"/>
  <c r="AP107" i="56"/>
  <c r="AP108" i="56"/>
  <c r="AP109" i="56"/>
  <c r="AP110" i="56"/>
  <c r="AP111" i="56"/>
  <c r="AP112" i="56"/>
  <c r="AP113" i="56"/>
  <c r="AP114" i="56"/>
  <c r="AP115" i="56"/>
  <c r="AP116" i="56"/>
  <c r="AP117" i="56"/>
  <c r="AP118" i="56"/>
  <c r="AP119" i="56"/>
  <c r="AP120" i="56"/>
  <c r="AP121" i="56"/>
  <c r="AP122" i="56"/>
  <c r="AP123" i="56"/>
  <c r="AP124" i="56"/>
  <c r="AP125" i="56"/>
  <c r="AP126" i="56"/>
  <c r="AP127" i="56"/>
  <c r="AP128" i="56"/>
  <c r="AP129" i="56"/>
  <c r="AP130" i="56"/>
  <c r="AP131" i="56"/>
  <c r="AP133" i="56"/>
  <c r="AP134" i="56"/>
  <c r="AP135" i="56"/>
  <c r="AP136" i="56"/>
  <c r="AP137" i="56"/>
  <c r="AP138" i="56"/>
  <c r="AP139" i="56"/>
  <c r="AP140" i="56"/>
  <c r="AP141" i="56"/>
  <c r="AP142" i="56"/>
  <c r="AP143" i="56"/>
  <c r="AP144" i="56"/>
  <c r="AP145" i="56"/>
  <c r="AP146" i="56"/>
  <c r="AP147" i="56"/>
  <c r="AP148" i="56"/>
  <c r="AP149" i="56"/>
  <c r="AP150" i="56"/>
  <c r="AP151" i="56"/>
  <c r="AP152" i="56"/>
  <c r="AP153" i="56"/>
  <c r="AP154" i="56"/>
  <c r="AP155" i="56"/>
  <c r="AP156" i="56"/>
  <c r="AP157" i="56"/>
  <c r="AP158" i="56"/>
  <c r="AP159" i="56"/>
  <c r="AP160" i="56"/>
  <c r="AP161" i="56"/>
  <c r="AP162" i="56"/>
  <c r="AP163" i="56"/>
  <c r="AP164" i="56"/>
  <c r="AP165" i="56"/>
  <c r="AP166" i="56"/>
  <c r="AP167" i="56"/>
  <c r="AP168" i="56"/>
  <c r="AP169" i="56"/>
  <c r="AP170" i="56"/>
  <c r="AP171" i="56"/>
  <c r="AP172" i="56"/>
  <c r="AP173" i="56"/>
  <c r="AP174" i="56"/>
  <c r="AP175" i="56"/>
  <c r="AP176" i="56"/>
  <c r="AP177" i="56"/>
  <c r="AP178" i="56"/>
  <c r="AP179" i="56"/>
  <c r="AP180" i="56"/>
  <c r="AP181" i="56"/>
  <c r="AP182" i="56"/>
  <c r="AP183" i="56"/>
  <c r="AP184" i="56"/>
  <c r="AP185" i="56"/>
  <c r="AP186" i="56"/>
  <c r="AP187" i="56"/>
  <c r="AP188" i="56"/>
  <c r="AP189" i="56"/>
  <c r="AP190" i="56"/>
  <c r="AP191" i="56"/>
  <c r="AP192" i="56"/>
  <c r="AP193" i="56"/>
  <c r="AP194" i="56"/>
  <c r="AP195" i="56"/>
  <c r="AP196" i="56"/>
  <c r="AP197" i="56"/>
  <c r="AP198" i="56"/>
  <c r="AP199" i="56"/>
  <c r="AP200" i="56"/>
  <c r="AP201" i="56"/>
  <c r="AP202" i="56"/>
  <c r="AP203" i="56"/>
  <c r="AP204" i="56"/>
  <c r="AP205" i="56"/>
  <c r="AP206" i="56"/>
  <c r="AP207" i="56"/>
  <c r="AP3" i="56"/>
  <c r="AM228" i="56"/>
  <c r="AM227" i="56"/>
  <c r="AM226" i="56"/>
  <c r="AM225" i="56"/>
  <c r="AM224" i="56"/>
  <c r="AM223" i="56"/>
  <c r="AM222" i="56"/>
  <c r="AM221" i="56"/>
  <c r="AM220" i="56"/>
  <c r="AM219" i="56"/>
  <c r="AM218" i="56"/>
  <c r="AM217" i="56"/>
  <c r="AM216" i="56"/>
  <c r="AM215" i="56"/>
  <c r="AM214" i="56"/>
  <c r="AM213" i="56"/>
  <c r="AM212" i="56"/>
  <c r="AM211" i="56"/>
  <c r="AK4" i="56"/>
  <c r="AK5" i="56"/>
  <c r="AK6" i="56"/>
  <c r="AK7" i="56"/>
  <c r="AK8" i="56"/>
  <c r="AK9" i="56"/>
  <c r="AK10" i="56"/>
  <c r="AK11" i="56"/>
  <c r="AK12" i="56"/>
  <c r="AK13" i="56"/>
  <c r="AK14" i="56"/>
  <c r="AK15" i="56"/>
  <c r="AK16" i="56"/>
  <c r="AK17" i="56"/>
  <c r="AK18" i="56"/>
  <c r="AK19" i="56"/>
  <c r="AK20" i="56"/>
  <c r="AK21" i="56"/>
  <c r="AK22" i="56"/>
  <c r="AK23" i="56"/>
  <c r="AK24" i="56"/>
  <c r="AK25" i="56"/>
  <c r="AK26" i="56"/>
  <c r="AK27" i="56"/>
  <c r="AK28" i="56"/>
  <c r="AK29" i="56"/>
  <c r="AK30" i="56"/>
  <c r="AK31" i="56"/>
  <c r="AK32" i="56"/>
  <c r="AK33" i="56"/>
  <c r="AK34" i="56"/>
  <c r="AK35" i="56"/>
  <c r="AK36" i="56"/>
  <c r="AK37" i="56"/>
  <c r="AK38" i="56"/>
  <c r="AK39" i="56"/>
  <c r="AK40" i="56"/>
  <c r="AK41" i="56"/>
  <c r="AK42" i="56"/>
  <c r="AK43" i="56"/>
  <c r="AK44" i="56"/>
  <c r="AK45" i="56"/>
  <c r="AK46" i="56"/>
  <c r="AK47" i="56"/>
  <c r="AK48" i="56"/>
  <c r="AK49" i="56"/>
  <c r="AK50" i="56"/>
  <c r="AK51" i="56"/>
  <c r="AK52" i="56"/>
  <c r="AK53" i="56"/>
  <c r="AK54" i="56"/>
  <c r="AK55" i="56"/>
  <c r="AK56" i="56"/>
  <c r="AK57" i="56"/>
  <c r="AK58" i="56"/>
  <c r="AK59" i="56"/>
  <c r="AK60" i="56"/>
  <c r="AK61" i="56"/>
  <c r="AK62" i="56"/>
  <c r="AK63" i="56"/>
  <c r="AK64" i="56"/>
  <c r="AK65" i="56"/>
  <c r="AK66" i="56"/>
  <c r="AK67" i="56"/>
  <c r="AK68" i="56"/>
  <c r="AK69" i="56"/>
  <c r="AK70" i="56"/>
  <c r="AK71" i="56"/>
  <c r="AK72" i="56"/>
  <c r="AK73" i="56"/>
  <c r="AK74" i="56"/>
  <c r="AK75" i="56"/>
  <c r="AK76" i="56"/>
  <c r="AK77" i="56"/>
  <c r="AK78" i="56"/>
  <c r="AK79" i="56"/>
  <c r="AK80" i="56"/>
  <c r="AK81" i="56"/>
  <c r="AK82" i="56"/>
  <c r="AK83" i="56"/>
  <c r="AK84" i="56"/>
  <c r="AK85" i="56"/>
  <c r="AK86" i="56"/>
  <c r="AK87" i="56"/>
  <c r="AK88" i="56"/>
  <c r="AK89" i="56"/>
  <c r="AK90" i="56"/>
  <c r="AK91" i="56"/>
  <c r="AK92" i="56"/>
  <c r="AK93" i="56"/>
  <c r="AK94" i="56"/>
  <c r="AK95" i="56"/>
  <c r="AK96" i="56"/>
  <c r="AK97" i="56"/>
  <c r="AK98" i="56"/>
  <c r="AK99" i="56"/>
  <c r="AK100" i="56"/>
  <c r="AK101" i="56"/>
  <c r="AK102" i="56"/>
  <c r="AK103" i="56"/>
  <c r="AK104" i="56"/>
  <c r="AK105" i="56"/>
  <c r="AK106" i="56"/>
  <c r="AK107" i="56"/>
  <c r="AK108" i="56"/>
  <c r="AK109" i="56"/>
  <c r="AK110" i="56"/>
  <c r="AK111" i="56"/>
  <c r="AK112" i="56"/>
  <c r="AK113" i="56"/>
  <c r="AK114" i="56"/>
  <c r="AK115" i="56"/>
  <c r="AK116" i="56"/>
  <c r="AK117" i="56"/>
  <c r="AK118" i="56"/>
  <c r="AK119" i="56"/>
  <c r="AK120" i="56"/>
  <c r="AK121" i="56"/>
  <c r="AK122" i="56"/>
  <c r="AK123" i="56"/>
  <c r="AK124" i="56"/>
  <c r="AK125" i="56"/>
  <c r="AK126" i="56"/>
  <c r="AK127" i="56"/>
  <c r="AK128" i="56"/>
  <c r="AK129" i="56"/>
  <c r="AK130" i="56"/>
  <c r="AK131" i="56"/>
  <c r="AK133" i="56"/>
  <c r="AK134" i="56"/>
  <c r="AK135" i="56"/>
  <c r="AK136" i="56"/>
  <c r="AK137" i="56"/>
  <c r="AK138" i="56"/>
  <c r="AK139" i="56"/>
  <c r="AK140" i="56"/>
  <c r="AK141" i="56"/>
  <c r="AK142" i="56"/>
  <c r="AK143" i="56"/>
  <c r="AK144" i="56"/>
  <c r="AK145" i="56"/>
  <c r="AK146" i="56"/>
  <c r="AK147" i="56"/>
  <c r="AK148" i="56"/>
  <c r="AK149" i="56"/>
  <c r="AK150" i="56"/>
  <c r="AK151" i="56"/>
  <c r="AK152" i="56"/>
  <c r="AK153" i="56"/>
  <c r="AK154" i="56"/>
  <c r="AK155" i="56"/>
  <c r="AK156" i="56"/>
  <c r="AK157" i="56"/>
  <c r="AK158" i="56"/>
  <c r="AK159" i="56"/>
  <c r="AK160" i="56"/>
  <c r="AK161" i="56"/>
  <c r="AK162" i="56"/>
  <c r="AK163" i="56"/>
  <c r="AK164" i="56"/>
  <c r="AK165" i="56"/>
  <c r="AK166" i="56"/>
  <c r="AK167" i="56"/>
  <c r="AK168" i="56"/>
  <c r="AK169" i="56"/>
  <c r="AK170" i="56"/>
  <c r="AK171" i="56"/>
  <c r="AK172" i="56"/>
  <c r="AK173" i="56"/>
  <c r="AK174" i="56"/>
  <c r="AK175" i="56"/>
  <c r="AK176" i="56"/>
  <c r="AK177" i="56"/>
  <c r="AK178" i="56"/>
  <c r="AK179" i="56"/>
  <c r="AK180" i="56"/>
  <c r="AK181" i="56"/>
  <c r="AK182" i="56"/>
  <c r="AK183" i="56"/>
  <c r="AK184" i="56"/>
  <c r="AK185" i="56"/>
  <c r="AK186" i="56"/>
  <c r="AK187" i="56"/>
  <c r="AK188" i="56"/>
  <c r="AK189" i="56"/>
  <c r="AK190" i="56"/>
  <c r="AK191" i="56"/>
  <c r="AK192" i="56"/>
  <c r="AK193" i="56"/>
  <c r="AK194" i="56"/>
  <c r="AK195" i="56"/>
  <c r="AK196" i="56"/>
  <c r="AK197" i="56"/>
  <c r="AK198" i="56"/>
  <c r="AK199" i="56"/>
  <c r="AK200" i="56"/>
  <c r="AK201" i="56"/>
  <c r="AK202" i="56"/>
  <c r="AK203" i="56"/>
  <c r="AK204" i="56"/>
  <c r="AK205" i="56"/>
  <c r="AK206" i="56"/>
  <c r="AK207" i="56"/>
  <c r="AK3" i="56"/>
  <c r="AG212" i="56"/>
  <c r="AG213" i="56"/>
  <c r="AG214" i="56"/>
  <c r="AG215" i="56"/>
  <c r="AG216" i="56"/>
  <c r="AG217" i="56"/>
  <c r="AG218" i="56"/>
  <c r="AG219" i="56"/>
  <c r="AG220" i="56"/>
  <c r="AG221" i="56"/>
  <c r="AG222" i="56"/>
  <c r="AG223" i="56"/>
  <c r="AG224" i="56"/>
  <c r="AG225" i="56"/>
  <c r="AG226" i="56"/>
  <c r="AG227" i="56"/>
  <c r="AG228" i="56"/>
  <c r="AG211" i="56"/>
  <c r="AE4" i="56"/>
  <c r="AE5" i="56"/>
  <c r="AE6" i="56"/>
  <c r="AE7" i="56"/>
  <c r="AE8" i="56"/>
  <c r="AE9" i="56"/>
  <c r="AE10" i="56"/>
  <c r="AE11" i="56"/>
  <c r="AE12" i="56"/>
  <c r="AE13" i="56"/>
  <c r="AE14" i="56"/>
  <c r="AE15" i="56"/>
  <c r="AE16" i="56"/>
  <c r="AE17" i="56"/>
  <c r="AE18" i="56"/>
  <c r="AE19" i="56"/>
  <c r="AE20" i="56"/>
  <c r="AE21" i="56"/>
  <c r="AE22" i="56"/>
  <c r="AE23" i="56"/>
  <c r="AE24" i="56"/>
  <c r="AE25" i="56"/>
  <c r="AE26" i="56"/>
  <c r="AE27" i="56"/>
  <c r="AE28" i="56"/>
  <c r="AE29" i="56"/>
  <c r="AE30" i="56"/>
  <c r="AE31" i="56"/>
  <c r="AE32" i="56"/>
  <c r="AE33" i="56"/>
  <c r="AE34" i="56"/>
  <c r="AE35" i="56"/>
  <c r="AE36" i="56"/>
  <c r="AE37" i="56"/>
  <c r="AE38" i="56"/>
  <c r="AE39" i="56"/>
  <c r="AE40" i="56"/>
  <c r="AE41" i="56"/>
  <c r="AE42" i="56"/>
  <c r="AE43" i="56"/>
  <c r="AE44" i="56"/>
  <c r="AE45" i="56"/>
  <c r="AE46" i="56"/>
  <c r="AE47" i="56"/>
  <c r="AE48" i="56"/>
  <c r="AE49" i="56"/>
  <c r="AE50" i="56"/>
  <c r="AE51" i="56"/>
  <c r="AE52" i="56"/>
  <c r="AE53" i="56"/>
  <c r="AE54" i="56"/>
  <c r="AE55" i="56"/>
  <c r="AE56" i="56"/>
  <c r="AE57" i="56"/>
  <c r="AE58" i="56"/>
  <c r="AE59" i="56"/>
  <c r="AE60" i="56"/>
  <c r="AE61" i="56"/>
  <c r="AE62" i="56"/>
  <c r="AE63" i="56"/>
  <c r="AE64" i="56"/>
  <c r="AE65" i="56"/>
  <c r="AE66" i="56"/>
  <c r="AE67" i="56"/>
  <c r="AE68" i="56"/>
  <c r="AE69" i="56"/>
  <c r="AE70" i="56"/>
  <c r="AE71" i="56"/>
  <c r="AE72" i="56"/>
  <c r="AE73" i="56"/>
  <c r="AE74" i="56"/>
  <c r="AE75" i="56"/>
  <c r="AE76" i="56"/>
  <c r="AE77" i="56"/>
  <c r="AE78" i="56"/>
  <c r="AE79" i="56"/>
  <c r="AE80" i="56"/>
  <c r="AE81" i="56"/>
  <c r="AE82" i="56"/>
  <c r="AE83" i="56"/>
  <c r="AE84" i="56"/>
  <c r="AE85" i="56"/>
  <c r="AE86" i="56"/>
  <c r="AE87" i="56"/>
  <c r="AE88" i="56"/>
  <c r="AE89" i="56"/>
  <c r="AE90" i="56"/>
  <c r="AE91" i="56"/>
  <c r="AE92" i="56"/>
  <c r="AE93" i="56"/>
  <c r="AE94" i="56"/>
  <c r="AE95" i="56"/>
  <c r="AE96" i="56"/>
  <c r="AE97" i="56"/>
  <c r="AE98" i="56"/>
  <c r="AE99" i="56"/>
  <c r="AE100" i="56"/>
  <c r="AE101" i="56"/>
  <c r="AE102" i="56"/>
  <c r="AE103" i="56"/>
  <c r="AE104" i="56"/>
  <c r="AE105" i="56"/>
  <c r="AE106" i="56"/>
  <c r="AE107" i="56"/>
  <c r="AE108" i="56"/>
  <c r="AE109" i="56"/>
  <c r="AE110" i="56"/>
  <c r="AE111" i="56"/>
  <c r="AE112" i="56"/>
  <c r="AE113" i="56"/>
  <c r="AE114" i="56"/>
  <c r="AE115" i="56"/>
  <c r="AE116" i="56"/>
  <c r="AE117" i="56"/>
  <c r="AE118" i="56"/>
  <c r="AE119" i="56"/>
  <c r="AE120" i="56"/>
  <c r="AE121" i="56"/>
  <c r="AE122" i="56"/>
  <c r="AE123" i="56"/>
  <c r="AE124" i="56"/>
  <c r="AE125" i="56"/>
  <c r="AE126" i="56"/>
  <c r="AE127" i="56"/>
  <c r="AE128" i="56"/>
  <c r="AE129" i="56"/>
  <c r="AE130" i="56"/>
  <c r="AE131" i="56"/>
  <c r="AE133" i="56"/>
  <c r="AE134" i="56"/>
  <c r="AE135" i="56"/>
  <c r="AE136" i="56"/>
  <c r="AE137" i="56"/>
  <c r="AE138" i="56"/>
  <c r="AE139" i="56"/>
  <c r="AE140" i="56"/>
  <c r="AE141" i="56"/>
  <c r="AE142" i="56"/>
  <c r="AE143" i="56"/>
  <c r="AE144" i="56"/>
  <c r="AE145" i="56"/>
  <c r="AE146" i="56"/>
  <c r="AE147" i="56"/>
  <c r="AE148" i="56"/>
  <c r="AE149" i="56"/>
  <c r="AE150" i="56"/>
  <c r="AE151" i="56"/>
  <c r="AE152" i="56"/>
  <c r="AE153" i="56"/>
  <c r="AE154" i="56"/>
  <c r="AE155" i="56"/>
  <c r="AE156" i="56"/>
  <c r="AE157" i="56"/>
  <c r="AE158" i="56"/>
  <c r="AE159" i="56"/>
  <c r="AE160" i="56"/>
  <c r="AE161" i="56"/>
  <c r="AE162" i="56"/>
  <c r="AE163" i="56"/>
  <c r="AE164" i="56"/>
  <c r="AE165" i="56"/>
  <c r="AE166" i="56"/>
  <c r="AE167" i="56"/>
  <c r="AE168" i="56"/>
  <c r="AE169" i="56"/>
  <c r="AE170" i="56"/>
  <c r="AE171" i="56"/>
  <c r="AE172" i="56"/>
  <c r="AE173" i="56"/>
  <c r="AE174" i="56"/>
  <c r="AE175" i="56"/>
  <c r="AE176" i="56"/>
  <c r="AE177" i="56"/>
  <c r="AE178" i="56"/>
  <c r="AE179" i="56"/>
  <c r="AE180" i="56"/>
  <c r="AE181" i="56"/>
  <c r="AE182" i="56"/>
  <c r="AE183" i="56"/>
  <c r="AE184" i="56"/>
  <c r="AE185" i="56"/>
  <c r="AE186" i="56"/>
  <c r="AE187" i="56"/>
  <c r="AE188" i="56"/>
  <c r="AE189" i="56"/>
  <c r="AE190" i="56"/>
  <c r="AE191" i="56"/>
  <c r="AE192" i="56"/>
  <c r="AE193" i="56"/>
  <c r="AE194" i="56"/>
  <c r="AE195" i="56"/>
  <c r="AE196" i="56"/>
  <c r="AE197" i="56"/>
  <c r="AE198" i="56"/>
  <c r="AE199" i="56"/>
  <c r="AE200" i="56"/>
  <c r="AE201" i="56"/>
  <c r="AE202" i="56"/>
  <c r="AE203" i="56"/>
  <c r="AE204" i="56"/>
  <c r="AE205" i="56"/>
  <c r="AE206" i="56"/>
  <c r="AE207" i="56"/>
  <c r="AE3" i="56"/>
  <c r="AF212" i="56"/>
  <c r="AF213" i="56"/>
  <c r="AF214" i="56"/>
  <c r="AF215" i="56"/>
  <c r="AF216" i="56"/>
  <c r="AF217" i="56"/>
  <c r="AF218" i="56"/>
  <c r="AF219" i="56"/>
  <c r="AF220" i="56"/>
  <c r="AF221" i="56"/>
  <c r="AF222" i="56"/>
  <c r="AF223" i="56"/>
  <c r="AF224" i="56"/>
  <c r="AF225" i="56"/>
  <c r="AF226" i="56"/>
  <c r="AF227" i="56"/>
  <c r="AF228" i="56"/>
  <c r="AE212" i="56"/>
  <c r="AE213" i="56"/>
  <c r="AE214" i="56"/>
  <c r="AE215" i="56"/>
  <c r="AE216" i="56"/>
  <c r="AE217" i="56"/>
  <c r="AE218" i="56"/>
  <c r="AE219" i="56"/>
  <c r="AE220" i="56"/>
  <c r="AE221" i="56"/>
  <c r="AE222" i="56"/>
  <c r="AE223" i="56"/>
  <c r="AE224" i="56"/>
  <c r="AE225" i="56"/>
  <c r="AE226" i="56"/>
  <c r="AE227" i="56"/>
  <c r="AE228" i="56"/>
  <c r="AD212" i="56"/>
  <c r="AD213" i="56"/>
  <c r="AD214" i="56"/>
  <c r="AD215" i="56"/>
  <c r="AD216" i="56"/>
  <c r="AD217" i="56"/>
  <c r="AD218" i="56"/>
  <c r="AD219" i="56"/>
  <c r="AD220" i="56"/>
  <c r="AD221" i="56"/>
  <c r="AD222" i="56"/>
  <c r="AD223" i="56"/>
  <c r="AD224" i="56"/>
  <c r="AD225" i="56"/>
  <c r="AD226" i="56"/>
  <c r="AD227" i="56"/>
  <c r="AD228" i="56"/>
  <c r="AF211" i="56"/>
  <c r="AE211" i="56"/>
  <c r="AD211" i="56"/>
  <c r="AD4" i="56"/>
  <c r="AD5" i="56"/>
  <c r="AD6" i="56"/>
  <c r="AD7" i="56"/>
  <c r="AD8" i="56"/>
  <c r="AD9" i="56"/>
  <c r="AD10" i="56"/>
  <c r="AD11" i="56"/>
  <c r="AD12" i="56"/>
  <c r="AD13" i="56"/>
  <c r="AD14" i="56"/>
  <c r="AD15" i="56"/>
  <c r="AD16" i="56"/>
  <c r="AD17" i="56"/>
  <c r="AD18" i="56"/>
  <c r="AD19" i="56"/>
  <c r="AD20" i="56"/>
  <c r="AD21" i="56"/>
  <c r="AD22" i="56"/>
  <c r="AD23" i="56"/>
  <c r="AD24" i="56"/>
  <c r="AD25" i="56"/>
  <c r="AD26" i="56"/>
  <c r="AD27" i="56"/>
  <c r="AD28" i="56"/>
  <c r="AD29" i="56"/>
  <c r="AD30" i="56"/>
  <c r="AD31" i="56"/>
  <c r="AD32" i="56"/>
  <c r="AD33" i="56"/>
  <c r="AD34" i="56"/>
  <c r="AD35" i="56"/>
  <c r="AD36" i="56"/>
  <c r="AD37" i="56"/>
  <c r="AD38" i="56"/>
  <c r="AD39" i="56"/>
  <c r="AD40" i="56"/>
  <c r="AD41" i="56"/>
  <c r="AD42" i="56"/>
  <c r="AD43" i="56"/>
  <c r="AD44" i="56"/>
  <c r="AD45" i="56"/>
  <c r="AD46" i="56"/>
  <c r="AD47" i="56"/>
  <c r="AD48" i="56"/>
  <c r="AD49" i="56"/>
  <c r="AD50" i="56"/>
  <c r="AD51" i="56"/>
  <c r="AD52" i="56"/>
  <c r="AD53" i="56"/>
  <c r="AD54" i="56"/>
  <c r="AD55" i="56"/>
  <c r="AD56" i="56"/>
  <c r="AD57" i="56"/>
  <c r="AD58" i="56"/>
  <c r="AD59" i="56"/>
  <c r="AD60" i="56"/>
  <c r="AD61" i="56"/>
  <c r="AD62" i="56"/>
  <c r="AD63" i="56"/>
  <c r="AD64" i="56"/>
  <c r="AD65" i="56"/>
  <c r="AD66" i="56"/>
  <c r="AD67" i="56"/>
  <c r="AD68" i="56"/>
  <c r="AD69" i="56"/>
  <c r="AD70" i="56"/>
  <c r="AD71" i="56"/>
  <c r="AD72" i="56"/>
  <c r="AD73" i="56"/>
  <c r="AD74" i="56"/>
  <c r="AD75" i="56"/>
  <c r="AD76" i="56"/>
  <c r="AD77" i="56"/>
  <c r="AD78" i="56"/>
  <c r="AD79" i="56"/>
  <c r="AD80" i="56"/>
  <c r="AD81" i="56"/>
  <c r="AD82" i="56"/>
  <c r="AD83" i="56"/>
  <c r="AD84" i="56"/>
  <c r="AD85" i="56"/>
  <c r="AD86" i="56"/>
  <c r="AD87" i="56"/>
  <c r="AD88" i="56"/>
  <c r="AD89" i="56"/>
  <c r="AD90" i="56"/>
  <c r="AD91" i="56"/>
  <c r="AD92" i="56"/>
  <c r="AD93" i="56"/>
  <c r="AD94" i="56"/>
  <c r="AD95" i="56"/>
  <c r="AD96" i="56"/>
  <c r="AD97" i="56"/>
  <c r="AD98" i="56"/>
  <c r="AD99" i="56"/>
  <c r="AD100" i="56"/>
  <c r="AD101" i="56"/>
  <c r="AD102" i="56"/>
  <c r="AD103" i="56"/>
  <c r="AD104" i="56"/>
  <c r="AD105" i="56"/>
  <c r="AD106" i="56"/>
  <c r="AD107" i="56"/>
  <c r="AD108" i="56"/>
  <c r="AD109" i="56"/>
  <c r="AD110" i="56"/>
  <c r="AD111" i="56"/>
  <c r="AD112" i="56"/>
  <c r="AD113" i="56"/>
  <c r="AD114" i="56"/>
  <c r="AD115" i="56"/>
  <c r="AD116" i="56"/>
  <c r="AD117" i="56"/>
  <c r="AD118" i="56"/>
  <c r="AD119" i="56"/>
  <c r="AD120" i="56"/>
  <c r="AD121" i="56"/>
  <c r="AD122" i="56"/>
  <c r="AD123" i="56"/>
  <c r="AD124" i="56"/>
  <c r="AD125" i="56"/>
  <c r="AD126" i="56"/>
  <c r="AD127" i="56"/>
  <c r="AD128" i="56"/>
  <c r="AD129" i="56"/>
  <c r="AD130" i="56"/>
  <c r="AD131" i="56"/>
  <c r="AD133" i="56"/>
  <c r="AD134" i="56"/>
  <c r="AD135" i="56"/>
  <c r="AD136" i="56"/>
  <c r="AD137" i="56"/>
  <c r="AD138" i="56"/>
  <c r="AD139" i="56"/>
  <c r="AD140" i="56"/>
  <c r="AD141" i="56"/>
  <c r="AD142" i="56"/>
  <c r="AD143" i="56"/>
  <c r="AD144" i="56"/>
  <c r="AD145" i="56"/>
  <c r="AD146" i="56"/>
  <c r="AD147" i="56"/>
  <c r="AD148" i="56"/>
  <c r="AD149" i="56"/>
  <c r="AD150" i="56"/>
  <c r="AD151" i="56"/>
  <c r="AD152" i="56"/>
  <c r="AD153" i="56"/>
  <c r="AD154" i="56"/>
  <c r="AD155" i="56"/>
  <c r="AD156" i="56"/>
  <c r="AD157" i="56"/>
  <c r="AD158" i="56"/>
  <c r="AD159" i="56"/>
  <c r="AD160" i="56"/>
  <c r="AD161" i="56"/>
  <c r="AD162" i="56"/>
  <c r="AD163" i="56"/>
  <c r="AD164" i="56"/>
  <c r="AD165" i="56"/>
  <c r="AD166" i="56"/>
  <c r="AD167" i="56"/>
  <c r="AD168" i="56"/>
  <c r="AD169" i="56"/>
  <c r="AD170" i="56"/>
  <c r="AD171" i="56"/>
  <c r="AD172" i="56"/>
  <c r="AD173" i="56"/>
  <c r="AD174" i="56"/>
  <c r="AD175" i="56"/>
  <c r="AD176" i="56"/>
  <c r="AD177" i="56"/>
  <c r="AD178" i="56"/>
  <c r="AD179" i="56"/>
  <c r="AD180" i="56"/>
  <c r="AD181" i="56"/>
  <c r="AD182" i="56"/>
  <c r="AD183" i="56"/>
  <c r="AD184" i="56"/>
  <c r="AD185" i="56"/>
  <c r="AD186" i="56"/>
  <c r="AD187" i="56"/>
  <c r="AD188" i="56"/>
  <c r="AD189" i="56"/>
  <c r="AD190" i="56"/>
  <c r="AD191" i="56"/>
  <c r="AD192" i="56"/>
  <c r="AD193" i="56"/>
  <c r="AD194" i="56"/>
  <c r="AD195" i="56"/>
  <c r="AD196" i="56"/>
  <c r="AD197" i="56"/>
  <c r="AD198" i="56"/>
  <c r="AD199" i="56"/>
  <c r="AD200" i="56"/>
  <c r="AD201" i="56"/>
  <c r="AD202" i="56"/>
  <c r="AD203" i="56"/>
  <c r="AD204" i="56"/>
  <c r="AD205" i="56"/>
  <c r="AD206" i="56"/>
  <c r="AD207" i="56"/>
  <c r="AD3" i="56"/>
  <c r="AC4" i="56"/>
  <c r="AC5" i="56"/>
  <c r="AC6" i="56"/>
  <c r="AC7" i="56"/>
  <c r="AC8" i="56"/>
  <c r="AC9" i="56"/>
  <c r="AC10" i="56"/>
  <c r="AC11" i="56"/>
  <c r="AC12" i="56"/>
  <c r="AC13" i="56"/>
  <c r="AC14" i="56"/>
  <c r="AC15" i="56"/>
  <c r="AC16" i="56"/>
  <c r="AC17" i="56"/>
  <c r="AC18" i="56"/>
  <c r="AC19" i="56"/>
  <c r="AC20" i="56"/>
  <c r="AC21" i="56"/>
  <c r="AC22" i="56"/>
  <c r="AC23" i="56"/>
  <c r="AC24" i="56"/>
  <c r="AC25" i="56"/>
  <c r="AC26" i="56"/>
  <c r="AC27" i="56"/>
  <c r="AC28" i="56"/>
  <c r="AC29" i="56"/>
  <c r="AC30" i="56"/>
  <c r="AC31" i="56"/>
  <c r="AC32" i="56"/>
  <c r="AC33" i="56"/>
  <c r="AC34" i="56"/>
  <c r="AC35" i="56"/>
  <c r="AC36" i="56"/>
  <c r="AC37" i="56"/>
  <c r="AC38" i="56"/>
  <c r="AC39" i="56"/>
  <c r="AC40" i="56"/>
  <c r="AC41" i="56"/>
  <c r="AC42" i="56"/>
  <c r="AC43" i="56"/>
  <c r="AC44" i="56"/>
  <c r="AC45" i="56"/>
  <c r="AC46" i="56"/>
  <c r="AC47" i="56"/>
  <c r="AC48" i="56"/>
  <c r="AC49" i="56"/>
  <c r="AC50" i="56"/>
  <c r="AC51" i="56"/>
  <c r="AC52" i="56"/>
  <c r="AC53" i="56"/>
  <c r="AC54" i="56"/>
  <c r="AC55" i="56"/>
  <c r="AC56" i="56"/>
  <c r="AC57" i="56"/>
  <c r="AC58" i="56"/>
  <c r="AC59" i="56"/>
  <c r="AC60" i="56"/>
  <c r="AC61" i="56"/>
  <c r="AC62" i="56"/>
  <c r="AC63" i="56"/>
  <c r="AC64" i="56"/>
  <c r="AC65" i="56"/>
  <c r="AC66" i="56"/>
  <c r="AC67" i="56"/>
  <c r="AC68" i="56"/>
  <c r="AC69" i="56"/>
  <c r="AC70" i="56"/>
  <c r="AC71" i="56"/>
  <c r="AC72" i="56"/>
  <c r="AC73" i="56"/>
  <c r="AC74" i="56"/>
  <c r="AC75" i="56"/>
  <c r="AC76" i="56"/>
  <c r="AC77" i="56"/>
  <c r="AC78" i="56"/>
  <c r="AC79" i="56"/>
  <c r="AC80" i="56"/>
  <c r="AC81" i="56"/>
  <c r="AC82" i="56"/>
  <c r="AC83" i="56"/>
  <c r="AC84" i="56"/>
  <c r="AC85" i="56"/>
  <c r="AC86" i="56"/>
  <c r="AC87" i="56"/>
  <c r="AC88" i="56"/>
  <c r="AC89" i="56"/>
  <c r="AC90" i="56"/>
  <c r="AC91" i="56"/>
  <c r="AC92" i="56"/>
  <c r="AC93" i="56"/>
  <c r="AC94" i="56"/>
  <c r="AC95" i="56"/>
  <c r="AC96" i="56"/>
  <c r="AC97" i="56"/>
  <c r="AC98" i="56"/>
  <c r="AC99" i="56"/>
  <c r="AC100" i="56"/>
  <c r="AC101" i="56"/>
  <c r="AC102" i="56"/>
  <c r="AC103" i="56"/>
  <c r="AC104" i="56"/>
  <c r="AC105" i="56"/>
  <c r="AC106" i="56"/>
  <c r="AC107" i="56"/>
  <c r="AC108" i="56"/>
  <c r="AC109" i="56"/>
  <c r="AC110" i="56"/>
  <c r="AC111" i="56"/>
  <c r="AC112" i="56"/>
  <c r="AC113" i="56"/>
  <c r="AC114" i="56"/>
  <c r="AC115" i="56"/>
  <c r="AC116" i="56"/>
  <c r="AC117" i="56"/>
  <c r="AC118" i="56"/>
  <c r="AC119" i="56"/>
  <c r="AC120" i="56"/>
  <c r="AC121" i="56"/>
  <c r="AC122" i="56"/>
  <c r="AC123" i="56"/>
  <c r="AC124" i="56"/>
  <c r="AC125" i="56"/>
  <c r="AC126" i="56"/>
  <c r="AC127" i="56"/>
  <c r="AC128" i="56"/>
  <c r="AC129" i="56"/>
  <c r="AC130" i="56"/>
  <c r="AC131" i="56"/>
  <c r="AC133" i="56"/>
  <c r="AC134" i="56"/>
  <c r="AC135" i="56"/>
  <c r="AC136" i="56"/>
  <c r="AC137" i="56"/>
  <c r="AC138" i="56"/>
  <c r="AC139" i="56"/>
  <c r="AC140" i="56"/>
  <c r="AC141" i="56"/>
  <c r="AC142" i="56"/>
  <c r="AC143" i="56"/>
  <c r="AC144" i="56"/>
  <c r="AC145" i="56"/>
  <c r="AC146" i="56"/>
  <c r="AC147" i="56"/>
  <c r="AC148" i="56"/>
  <c r="AC149" i="56"/>
  <c r="AC150" i="56"/>
  <c r="AC151" i="56"/>
  <c r="AC152" i="56"/>
  <c r="AC153" i="56"/>
  <c r="AC154" i="56"/>
  <c r="AC155" i="56"/>
  <c r="AC156" i="56"/>
  <c r="AC157" i="56"/>
  <c r="AC158" i="56"/>
  <c r="AC159" i="56"/>
  <c r="AC160" i="56"/>
  <c r="AC161" i="56"/>
  <c r="AC162" i="56"/>
  <c r="AC163" i="56"/>
  <c r="AC164" i="56"/>
  <c r="AC165" i="56"/>
  <c r="AC166" i="56"/>
  <c r="AC167" i="56"/>
  <c r="AC168" i="56"/>
  <c r="AC169" i="56"/>
  <c r="AC170" i="56"/>
  <c r="AC171" i="56"/>
  <c r="AC172" i="56"/>
  <c r="AC173" i="56"/>
  <c r="AC174" i="56"/>
  <c r="AC175" i="56"/>
  <c r="AC176" i="56"/>
  <c r="AC177" i="56"/>
  <c r="AC178" i="56"/>
  <c r="AC179" i="56"/>
  <c r="AC180" i="56"/>
  <c r="AC181" i="56"/>
  <c r="AC182" i="56"/>
  <c r="AC183" i="56"/>
  <c r="AC184" i="56"/>
  <c r="AC185" i="56"/>
  <c r="AC186" i="56"/>
  <c r="AC187" i="56"/>
  <c r="AC188" i="56"/>
  <c r="AC189" i="56"/>
  <c r="AC190" i="56"/>
  <c r="AC191" i="56"/>
  <c r="AC192" i="56"/>
  <c r="AC193" i="56"/>
  <c r="AC194" i="56"/>
  <c r="AC195" i="56"/>
  <c r="AC196" i="56"/>
  <c r="AC197" i="56"/>
  <c r="AC198" i="56"/>
  <c r="AC199" i="56"/>
  <c r="AC200" i="56"/>
  <c r="AC201" i="56"/>
  <c r="AC202" i="56"/>
  <c r="AC203" i="56"/>
  <c r="AC204" i="56"/>
  <c r="AC205" i="56"/>
  <c r="AC206" i="56"/>
  <c r="AC207" i="56"/>
  <c r="AC3" i="56"/>
  <c r="AB4" i="56"/>
  <c r="AB5" i="56"/>
  <c r="AB6" i="56"/>
  <c r="AB7" i="56"/>
  <c r="AF7" i="56" s="1"/>
  <c r="AG7" i="56" s="1"/>
  <c r="AI7" i="56" s="1"/>
  <c r="AB8" i="56"/>
  <c r="AB9" i="56"/>
  <c r="AB10" i="56"/>
  <c r="AB11" i="56"/>
  <c r="AB12" i="56"/>
  <c r="AB13" i="56"/>
  <c r="AB14" i="56"/>
  <c r="AB15" i="56"/>
  <c r="AB16" i="56"/>
  <c r="AB17" i="56"/>
  <c r="AB18" i="56"/>
  <c r="AB19" i="56"/>
  <c r="AF19" i="56" s="1"/>
  <c r="AG19" i="56" s="1"/>
  <c r="AI19" i="56" s="1"/>
  <c r="AJ19" i="56" s="1"/>
  <c r="AB20" i="56"/>
  <c r="AB21" i="56"/>
  <c r="AB22" i="56"/>
  <c r="AB23" i="56"/>
  <c r="AB24" i="56"/>
  <c r="AB25" i="56"/>
  <c r="AB26" i="56"/>
  <c r="AB27" i="56"/>
  <c r="AB28" i="56"/>
  <c r="AB29" i="56"/>
  <c r="AB30" i="56"/>
  <c r="AB31" i="56"/>
  <c r="AF31" i="56" s="1"/>
  <c r="AG31" i="56" s="1"/>
  <c r="AI31" i="56" s="1"/>
  <c r="AB32" i="56"/>
  <c r="AB33" i="56"/>
  <c r="AB34" i="56"/>
  <c r="AB35" i="56"/>
  <c r="AB36" i="56"/>
  <c r="AB37" i="56"/>
  <c r="AB38" i="56"/>
  <c r="AB39" i="56"/>
  <c r="AB40" i="56"/>
  <c r="AB41" i="56"/>
  <c r="AB42" i="56"/>
  <c r="AB43" i="56"/>
  <c r="AB44" i="56"/>
  <c r="AB45" i="56"/>
  <c r="AB46" i="56"/>
  <c r="AB47" i="56"/>
  <c r="AB48" i="56"/>
  <c r="AB49" i="56"/>
  <c r="AB50" i="56"/>
  <c r="AB51" i="56"/>
  <c r="AB52" i="56"/>
  <c r="AB53" i="56"/>
  <c r="AB54" i="56"/>
  <c r="AB55" i="56"/>
  <c r="AF55" i="56" s="1"/>
  <c r="AG55" i="56" s="1"/>
  <c r="AI55" i="56" s="1"/>
  <c r="AB56" i="56"/>
  <c r="AB57" i="56"/>
  <c r="AB58" i="56"/>
  <c r="AB59" i="56"/>
  <c r="AB60" i="56"/>
  <c r="AB61" i="56"/>
  <c r="AB62" i="56"/>
  <c r="AB63" i="56"/>
  <c r="AB64" i="56"/>
  <c r="AB65" i="56"/>
  <c r="AB66" i="56"/>
  <c r="AB67" i="56"/>
  <c r="AB68" i="56"/>
  <c r="AB69" i="56"/>
  <c r="AB70" i="56"/>
  <c r="AB71" i="56"/>
  <c r="AB72" i="56"/>
  <c r="AB73" i="56"/>
  <c r="AB74" i="56"/>
  <c r="AB75" i="56"/>
  <c r="AB76" i="56"/>
  <c r="AB77" i="56"/>
  <c r="AB78" i="56"/>
  <c r="AB79" i="56"/>
  <c r="AF79" i="56" s="1"/>
  <c r="AG79" i="56" s="1"/>
  <c r="AI79" i="56" s="1"/>
  <c r="AB80" i="56"/>
  <c r="AB81" i="56"/>
  <c r="AB82" i="56"/>
  <c r="AB83" i="56"/>
  <c r="AB84" i="56"/>
  <c r="AB85" i="56"/>
  <c r="AB86" i="56"/>
  <c r="AB87" i="56"/>
  <c r="AB88" i="56"/>
  <c r="AB89" i="56"/>
  <c r="AB90" i="56"/>
  <c r="AB91" i="56"/>
  <c r="AF91" i="56" s="1"/>
  <c r="AG91" i="56" s="1"/>
  <c r="AI91" i="56" s="1"/>
  <c r="AB92" i="56"/>
  <c r="AB93" i="56"/>
  <c r="AB94" i="56"/>
  <c r="AB95" i="56"/>
  <c r="AB96" i="56"/>
  <c r="AB97" i="56"/>
  <c r="AB98" i="56"/>
  <c r="AB99" i="56"/>
  <c r="AB100" i="56"/>
  <c r="AB101" i="56"/>
  <c r="AB102" i="56"/>
  <c r="AB103" i="56"/>
  <c r="AB104" i="56"/>
  <c r="AB105" i="56"/>
  <c r="AB106" i="56"/>
  <c r="AB107" i="56"/>
  <c r="AB108" i="56"/>
  <c r="AB109" i="56"/>
  <c r="AB110" i="56"/>
  <c r="AB111" i="56"/>
  <c r="AB112" i="56"/>
  <c r="AB113" i="56"/>
  <c r="AB114" i="56"/>
  <c r="AB115" i="56"/>
  <c r="AB116" i="56"/>
  <c r="AB117" i="56"/>
  <c r="AB118" i="56"/>
  <c r="AB119" i="56"/>
  <c r="AB120" i="56"/>
  <c r="AB121" i="56"/>
  <c r="AB122" i="56"/>
  <c r="AB123" i="56"/>
  <c r="AB124" i="56"/>
  <c r="AB125" i="56"/>
  <c r="AB126" i="56"/>
  <c r="AB127" i="56"/>
  <c r="AB128" i="56"/>
  <c r="AB129" i="56"/>
  <c r="AB130" i="56"/>
  <c r="AB131" i="56"/>
  <c r="AB133" i="56"/>
  <c r="AB134" i="56"/>
  <c r="AB135" i="56"/>
  <c r="AB136" i="56"/>
  <c r="AB137" i="56"/>
  <c r="AB138" i="56"/>
  <c r="AB139" i="56"/>
  <c r="AB140" i="56"/>
  <c r="AF140" i="56" s="1"/>
  <c r="AG140" i="56" s="1"/>
  <c r="AI140" i="56" s="1"/>
  <c r="AB141" i="56"/>
  <c r="AB142" i="56"/>
  <c r="AB143" i="56"/>
  <c r="AB144" i="56"/>
  <c r="AB145" i="56"/>
  <c r="AB146" i="56"/>
  <c r="AB147" i="56"/>
  <c r="AB148" i="56"/>
  <c r="AB149" i="56"/>
  <c r="AB150" i="56"/>
  <c r="AB151" i="56"/>
  <c r="AB152" i="56"/>
  <c r="AB153" i="56"/>
  <c r="AB154" i="56"/>
  <c r="AB155" i="56"/>
  <c r="AB156" i="56"/>
  <c r="AB157" i="56"/>
  <c r="AB158" i="56"/>
  <c r="AB159" i="56"/>
  <c r="AB160" i="56"/>
  <c r="AB161" i="56"/>
  <c r="AB162" i="56"/>
  <c r="AB163" i="56"/>
  <c r="AB164" i="56"/>
  <c r="AF164" i="56" s="1"/>
  <c r="AG164" i="56" s="1"/>
  <c r="AI164" i="56" s="1"/>
  <c r="AB165" i="56"/>
  <c r="AB166" i="56"/>
  <c r="AB167" i="56"/>
  <c r="AB168" i="56"/>
  <c r="AB169" i="56"/>
  <c r="AB170" i="56"/>
  <c r="AB171" i="56"/>
  <c r="AB172" i="56"/>
  <c r="AB173" i="56"/>
  <c r="AB174" i="56"/>
  <c r="AB175" i="56"/>
  <c r="AB176" i="56"/>
  <c r="AF176" i="56" s="1"/>
  <c r="AG176" i="56" s="1"/>
  <c r="AI176" i="56" s="1"/>
  <c r="AJ176" i="56" s="1"/>
  <c r="AB177" i="56"/>
  <c r="AB178" i="56"/>
  <c r="AB179" i="56"/>
  <c r="AB180" i="56"/>
  <c r="AB181" i="56"/>
  <c r="AB182" i="56"/>
  <c r="AB183" i="56"/>
  <c r="AB184" i="56"/>
  <c r="AB185" i="56"/>
  <c r="AB186" i="56"/>
  <c r="AB187" i="56"/>
  <c r="AB188" i="56"/>
  <c r="AF188" i="56" s="1"/>
  <c r="AG188" i="56" s="1"/>
  <c r="AI188" i="56" s="1"/>
  <c r="AB189" i="56"/>
  <c r="AB190" i="56"/>
  <c r="AB191" i="56"/>
  <c r="AB192" i="56"/>
  <c r="AB193" i="56"/>
  <c r="AB194" i="56"/>
  <c r="AB195" i="56"/>
  <c r="AB196" i="56"/>
  <c r="AB197" i="56"/>
  <c r="AB198" i="56"/>
  <c r="AB199" i="56"/>
  <c r="AB200" i="56"/>
  <c r="AB201" i="56"/>
  <c r="AB202" i="56"/>
  <c r="AB203" i="56"/>
  <c r="AB204" i="56"/>
  <c r="AB205" i="56"/>
  <c r="AB206" i="56"/>
  <c r="AB207" i="56"/>
  <c r="AB3" i="56"/>
  <c r="AA4" i="56"/>
  <c r="AA5" i="56"/>
  <c r="AA6" i="56"/>
  <c r="AA7" i="56"/>
  <c r="AA8" i="56"/>
  <c r="AA9" i="56"/>
  <c r="AA10" i="56"/>
  <c r="AA11" i="56"/>
  <c r="AA12" i="56"/>
  <c r="AA13" i="56"/>
  <c r="AA14" i="56"/>
  <c r="AA15" i="56"/>
  <c r="AA16" i="56"/>
  <c r="AA17" i="56"/>
  <c r="AA18" i="56"/>
  <c r="AA19" i="56"/>
  <c r="AA20" i="56"/>
  <c r="AA21" i="56"/>
  <c r="AA22" i="56"/>
  <c r="AA23" i="56"/>
  <c r="AA24" i="56"/>
  <c r="AA25" i="56"/>
  <c r="AA26" i="56"/>
  <c r="AA27" i="56"/>
  <c r="AA28" i="56"/>
  <c r="AA29" i="56"/>
  <c r="AA30" i="56"/>
  <c r="AA31" i="56"/>
  <c r="AA32" i="56"/>
  <c r="AA33" i="56"/>
  <c r="AA34" i="56"/>
  <c r="AA35" i="56"/>
  <c r="AA36" i="56"/>
  <c r="AA37" i="56"/>
  <c r="AA38" i="56"/>
  <c r="AA39" i="56"/>
  <c r="AA40" i="56"/>
  <c r="AA41" i="56"/>
  <c r="AA42" i="56"/>
  <c r="AA43" i="56"/>
  <c r="AA44" i="56"/>
  <c r="AA45" i="56"/>
  <c r="AA46" i="56"/>
  <c r="AA47" i="56"/>
  <c r="AA48" i="56"/>
  <c r="AA49" i="56"/>
  <c r="AA50" i="56"/>
  <c r="AA51" i="56"/>
  <c r="AA52" i="56"/>
  <c r="AA53" i="56"/>
  <c r="AA54" i="56"/>
  <c r="AA55" i="56"/>
  <c r="AA56" i="56"/>
  <c r="AA57" i="56"/>
  <c r="AA58" i="56"/>
  <c r="AA59" i="56"/>
  <c r="AA60" i="56"/>
  <c r="AA61" i="56"/>
  <c r="AA62" i="56"/>
  <c r="AA63" i="56"/>
  <c r="AA64" i="56"/>
  <c r="AA65" i="56"/>
  <c r="AA66" i="56"/>
  <c r="AA67" i="56"/>
  <c r="AA68" i="56"/>
  <c r="AA69" i="56"/>
  <c r="AA70" i="56"/>
  <c r="AA71" i="56"/>
  <c r="AA72" i="56"/>
  <c r="AA73" i="56"/>
  <c r="AA74" i="56"/>
  <c r="AA75" i="56"/>
  <c r="AA76" i="56"/>
  <c r="AA77" i="56"/>
  <c r="AA78" i="56"/>
  <c r="AA79" i="56"/>
  <c r="AA80" i="56"/>
  <c r="AA81" i="56"/>
  <c r="AA82" i="56"/>
  <c r="AA83" i="56"/>
  <c r="AA84" i="56"/>
  <c r="AA85" i="56"/>
  <c r="AA86" i="56"/>
  <c r="AA87" i="56"/>
  <c r="AA88" i="56"/>
  <c r="AA89" i="56"/>
  <c r="AA90" i="56"/>
  <c r="AA91" i="56"/>
  <c r="AA92" i="56"/>
  <c r="AA93" i="56"/>
  <c r="AA94" i="56"/>
  <c r="AA95" i="56"/>
  <c r="AA96" i="56"/>
  <c r="AA97" i="56"/>
  <c r="AA98" i="56"/>
  <c r="AA99" i="56"/>
  <c r="AA100" i="56"/>
  <c r="AA101" i="56"/>
  <c r="AA102" i="56"/>
  <c r="AA103" i="56"/>
  <c r="AA104" i="56"/>
  <c r="AA105" i="56"/>
  <c r="AA106" i="56"/>
  <c r="AA107" i="56"/>
  <c r="AA108" i="56"/>
  <c r="AA109" i="56"/>
  <c r="AA110" i="56"/>
  <c r="AA111" i="56"/>
  <c r="AA112" i="56"/>
  <c r="AA113" i="56"/>
  <c r="AA114" i="56"/>
  <c r="AA115" i="56"/>
  <c r="AA116" i="56"/>
  <c r="AA117" i="56"/>
  <c r="AA118" i="56"/>
  <c r="AA119" i="56"/>
  <c r="AA120" i="56"/>
  <c r="AA121" i="56"/>
  <c r="AA122" i="56"/>
  <c r="AA123" i="56"/>
  <c r="AA124" i="56"/>
  <c r="AA125" i="56"/>
  <c r="AA126" i="56"/>
  <c r="AA127" i="56"/>
  <c r="AA128" i="56"/>
  <c r="AA129" i="56"/>
  <c r="AA130" i="56"/>
  <c r="AA131" i="56"/>
  <c r="AA133" i="56"/>
  <c r="AA134" i="56"/>
  <c r="AA135" i="56"/>
  <c r="AA136" i="56"/>
  <c r="AA137" i="56"/>
  <c r="AA138" i="56"/>
  <c r="AA139" i="56"/>
  <c r="AA140" i="56"/>
  <c r="AA141" i="56"/>
  <c r="AA142" i="56"/>
  <c r="AA143" i="56"/>
  <c r="AA144" i="56"/>
  <c r="AA145" i="56"/>
  <c r="AA146" i="56"/>
  <c r="AA147" i="56"/>
  <c r="AA148" i="56"/>
  <c r="AA149" i="56"/>
  <c r="AA150" i="56"/>
  <c r="AA151" i="56"/>
  <c r="AA152" i="56"/>
  <c r="AA153" i="56"/>
  <c r="AA154" i="56"/>
  <c r="AA155" i="56"/>
  <c r="AA156" i="56"/>
  <c r="AA157" i="56"/>
  <c r="AA158" i="56"/>
  <c r="AA159" i="56"/>
  <c r="AA160" i="56"/>
  <c r="AA161" i="56"/>
  <c r="AA162" i="56"/>
  <c r="AA163" i="56"/>
  <c r="AA164" i="56"/>
  <c r="AA165" i="56"/>
  <c r="AA166" i="56"/>
  <c r="AA167" i="56"/>
  <c r="AA168" i="56"/>
  <c r="AA169" i="56"/>
  <c r="AA170" i="56"/>
  <c r="AA171" i="56"/>
  <c r="AA172" i="56"/>
  <c r="AA173" i="56"/>
  <c r="AA174" i="56"/>
  <c r="AA175" i="56"/>
  <c r="AA176" i="56"/>
  <c r="AA177" i="56"/>
  <c r="AA178" i="56"/>
  <c r="AA179" i="56"/>
  <c r="AA180" i="56"/>
  <c r="AA181" i="56"/>
  <c r="AA182" i="56"/>
  <c r="AA183" i="56"/>
  <c r="AA184" i="56"/>
  <c r="AA185" i="56"/>
  <c r="AA186" i="56"/>
  <c r="AA187" i="56"/>
  <c r="AA188" i="56"/>
  <c r="AA189" i="56"/>
  <c r="AA190" i="56"/>
  <c r="AA191" i="56"/>
  <c r="AA192" i="56"/>
  <c r="AA193" i="56"/>
  <c r="AA194" i="56"/>
  <c r="AA195" i="56"/>
  <c r="AA196" i="56"/>
  <c r="AA197" i="56"/>
  <c r="AA198" i="56"/>
  <c r="AA199" i="56"/>
  <c r="AA200" i="56"/>
  <c r="AA201" i="56"/>
  <c r="AA202" i="56"/>
  <c r="AA203" i="56"/>
  <c r="AA204" i="56"/>
  <c r="AA205" i="56"/>
  <c r="AA206" i="56"/>
  <c r="AA207" i="56"/>
  <c r="AA3" i="56"/>
  <c r="AC212" i="56"/>
  <c r="AC213" i="56"/>
  <c r="AC214" i="56"/>
  <c r="AC215" i="56"/>
  <c r="AC216" i="56"/>
  <c r="AC217" i="56"/>
  <c r="AC218" i="56"/>
  <c r="AC219" i="56"/>
  <c r="AC220" i="56"/>
  <c r="AC221" i="56"/>
  <c r="AC222" i="56"/>
  <c r="AC223" i="56"/>
  <c r="AC224" i="56"/>
  <c r="AC225" i="56"/>
  <c r="AC226" i="56"/>
  <c r="AC227" i="56"/>
  <c r="AC228" i="56"/>
  <c r="AC211" i="56"/>
  <c r="AB228" i="56"/>
  <c r="AB227" i="56"/>
  <c r="AB226" i="56"/>
  <c r="AB225" i="56"/>
  <c r="AB224" i="56"/>
  <c r="AB223" i="56"/>
  <c r="AB222" i="56"/>
  <c r="AB221" i="56"/>
  <c r="AB220" i="56"/>
  <c r="AB219" i="56"/>
  <c r="AB218" i="56"/>
  <c r="AB217" i="56"/>
  <c r="AB216" i="56"/>
  <c r="AB215" i="56"/>
  <c r="AB214" i="56"/>
  <c r="AB213" i="56"/>
  <c r="AB212" i="56"/>
  <c r="AB211" i="56"/>
  <c r="Z4" i="56"/>
  <c r="Z5" i="56"/>
  <c r="Z6" i="56"/>
  <c r="Z7" i="56"/>
  <c r="Z8" i="56"/>
  <c r="Z9" i="56"/>
  <c r="Z10" i="56"/>
  <c r="Z11" i="56"/>
  <c r="Z12" i="56"/>
  <c r="Z13" i="56"/>
  <c r="Z14" i="56"/>
  <c r="Z15" i="56"/>
  <c r="Z16" i="56"/>
  <c r="Z17" i="56"/>
  <c r="Z18" i="56"/>
  <c r="Z19" i="56"/>
  <c r="Z20" i="56"/>
  <c r="Z21" i="56"/>
  <c r="Z22" i="56"/>
  <c r="Z23" i="56"/>
  <c r="Z24" i="56"/>
  <c r="Z25" i="56"/>
  <c r="Z26" i="56"/>
  <c r="Z27" i="56"/>
  <c r="Z28" i="56"/>
  <c r="Z29" i="56"/>
  <c r="Z30" i="56"/>
  <c r="Z31" i="56"/>
  <c r="Z32" i="56"/>
  <c r="Z33" i="56"/>
  <c r="Z34" i="56"/>
  <c r="Z35" i="56"/>
  <c r="Z36" i="56"/>
  <c r="Z37" i="56"/>
  <c r="Z38" i="56"/>
  <c r="Z39" i="56"/>
  <c r="Z40" i="56"/>
  <c r="Z41" i="56"/>
  <c r="Z42" i="56"/>
  <c r="Z43" i="56"/>
  <c r="Z44" i="56"/>
  <c r="Z45" i="56"/>
  <c r="Z46" i="56"/>
  <c r="Z47" i="56"/>
  <c r="Z48" i="56"/>
  <c r="Z49" i="56"/>
  <c r="Z50" i="56"/>
  <c r="Z51" i="56"/>
  <c r="Z52" i="56"/>
  <c r="Z53" i="56"/>
  <c r="Z54" i="56"/>
  <c r="Z55" i="56"/>
  <c r="Z56" i="56"/>
  <c r="Z57" i="56"/>
  <c r="Z58" i="56"/>
  <c r="Z59" i="56"/>
  <c r="Z60" i="56"/>
  <c r="Z61" i="56"/>
  <c r="Z62" i="56"/>
  <c r="Z63" i="56"/>
  <c r="Z64" i="56"/>
  <c r="Z65" i="56"/>
  <c r="Z66" i="56"/>
  <c r="Z67" i="56"/>
  <c r="Z68" i="56"/>
  <c r="Z69" i="56"/>
  <c r="Z70" i="56"/>
  <c r="Z71" i="56"/>
  <c r="Z72" i="56"/>
  <c r="Z73" i="56"/>
  <c r="Z74" i="56"/>
  <c r="Z75" i="56"/>
  <c r="Z76" i="56"/>
  <c r="Z77" i="56"/>
  <c r="Z78" i="56"/>
  <c r="Z79" i="56"/>
  <c r="Z80" i="56"/>
  <c r="Z81" i="56"/>
  <c r="Z82" i="56"/>
  <c r="Z83" i="56"/>
  <c r="Z84" i="56"/>
  <c r="Z85" i="56"/>
  <c r="Z86" i="56"/>
  <c r="Z87" i="56"/>
  <c r="Z88" i="56"/>
  <c r="Z89" i="56"/>
  <c r="Z90" i="56"/>
  <c r="Z91" i="56"/>
  <c r="Z92" i="56"/>
  <c r="Z93" i="56"/>
  <c r="Z94" i="56"/>
  <c r="Z95" i="56"/>
  <c r="Z96" i="56"/>
  <c r="Z97" i="56"/>
  <c r="Z98" i="56"/>
  <c r="Z99" i="56"/>
  <c r="Z100" i="56"/>
  <c r="Z101" i="56"/>
  <c r="Z102" i="56"/>
  <c r="Z103" i="56"/>
  <c r="Z104" i="56"/>
  <c r="Z105" i="56"/>
  <c r="Z106" i="56"/>
  <c r="Z107" i="56"/>
  <c r="Z108" i="56"/>
  <c r="Z109" i="56"/>
  <c r="Z110" i="56"/>
  <c r="Z111" i="56"/>
  <c r="Z112" i="56"/>
  <c r="Z113" i="56"/>
  <c r="Z114" i="56"/>
  <c r="Z115" i="56"/>
  <c r="Z116" i="56"/>
  <c r="Z117" i="56"/>
  <c r="Z118" i="56"/>
  <c r="Z119" i="56"/>
  <c r="Z120" i="56"/>
  <c r="Z121" i="56"/>
  <c r="Z122" i="56"/>
  <c r="Z123" i="56"/>
  <c r="Z124" i="56"/>
  <c r="Z125" i="56"/>
  <c r="Z126" i="56"/>
  <c r="Z127" i="56"/>
  <c r="Z128" i="56"/>
  <c r="Z129" i="56"/>
  <c r="Z130" i="56"/>
  <c r="Z131" i="56"/>
  <c r="Z133" i="56"/>
  <c r="Z134" i="56"/>
  <c r="Z135" i="56"/>
  <c r="Z136" i="56"/>
  <c r="Z137" i="56"/>
  <c r="Z138" i="56"/>
  <c r="Z139" i="56"/>
  <c r="Z140" i="56"/>
  <c r="Z141" i="56"/>
  <c r="Z142" i="56"/>
  <c r="Z143" i="56"/>
  <c r="Z144" i="56"/>
  <c r="Z145" i="56"/>
  <c r="Z146" i="56"/>
  <c r="Z147" i="56"/>
  <c r="Z148" i="56"/>
  <c r="Z149" i="56"/>
  <c r="Z150" i="56"/>
  <c r="Z151" i="56"/>
  <c r="Z152" i="56"/>
  <c r="Z153" i="56"/>
  <c r="Z154" i="56"/>
  <c r="Z155" i="56"/>
  <c r="Z156" i="56"/>
  <c r="Z157" i="56"/>
  <c r="Z158" i="56"/>
  <c r="Z159" i="56"/>
  <c r="Z160" i="56"/>
  <c r="Z161" i="56"/>
  <c r="Z162" i="56"/>
  <c r="Z163" i="56"/>
  <c r="Z164" i="56"/>
  <c r="Z165" i="56"/>
  <c r="Z166" i="56"/>
  <c r="Z167" i="56"/>
  <c r="Z168" i="56"/>
  <c r="Z169" i="56"/>
  <c r="Z170" i="56"/>
  <c r="Z171" i="56"/>
  <c r="Z172" i="56"/>
  <c r="Z173" i="56"/>
  <c r="Z174" i="56"/>
  <c r="Z175" i="56"/>
  <c r="Z176" i="56"/>
  <c r="Z177" i="56"/>
  <c r="Z178" i="56"/>
  <c r="Z179" i="56"/>
  <c r="Z180" i="56"/>
  <c r="Z181" i="56"/>
  <c r="Z182" i="56"/>
  <c r="Z183" i="56"/>
  <c r="Z184" i="56"/>
  <c r="Z185" i="56"/>
  <c r="Z186" i="56"/>
  <c r="Z187" i="56"/>
  <c r="Z188" i="56"/>
  <c r="Z189" i="56"/>
  <c r="Z190" i="56"/>
  <c r="Z191" i="56"/>
  <c r="Z192" i="56"/>
  <c r="Z193" i="56"/>
  <c r="Z194" i="56"/>
  <c r="Z195" i="56"/>
  <c r="Z196" i="56"/>
  <c r="Z197" i="56"/>
  <c r="Z198" i="56"/>
  <c r="Z199" i="56"/>
  <c r="Z200" i="56"/>
  <c r="Z201" i="56"/>
  <c r="Z202" i="56"/>
  <c r="Z203" i="56"/>
  <c r="Z204" i="56"/>
  <c r="Z205" i="56"/>
  <c r="Z206" i="56"/>
  <c r="Z207" i="56"/>
  <c r="Z3" i="56"/>
  <c r="Z212" i="56"/>
  <c r="AA212" i="56" s="1"/>
  <c r="G212" i="56" s="1"/>
  <c r="Z213" i="56"/>
  <c r="Z214" i="56"/>
  <c r="Z215" i="56"/>
  <c r="Z216" i="56"/>
  <c r="Z217" i="56"/>
  <c r="Z218" i="56"/>
  <c r="Z219" i="56"/>
  <c r="Z220" i="56"/>
  <c r="Z221" i="56"/>
  <c r="Z222" i="56"/>
  <c r="Z223" i="56"/>
  <c r="AA223" i="56" s="1"/>
  <c r="G223" i="56" s="1"/>
  <c r="Z224" i="56"/>
  <c r="AA224" i="56" s="1"/>
  <c r="G224" i="56" s="1"/>
  <c r="Z225" i="56"/>
  <c r="Z226" i="56"/>
  <c r="Z227" i="56"/>
  <c r="Z228" i="56"/>
  <c r="Z211" i="56"/>
  <c r="X212" i="56"/>
  <c r="X213" i="56"/>
  <c r="Y213" i="56" s="1"/>
  <c r="F213" i="56" s="1"/>
  <c r="X214" i="56"/>
  <c r="X215" i="56"/>
  <c r="Y215" i="56" s="1"/>
  <c r="F215" i="56" s="1"/>
  <c r="X216" i="56"/>
  <c r="X217" i="56"/>
  <c r="X218" i="56"/>
  <c r="X219" i="56"/>
  <c r="X220" i="56"/>
  <c r="X221" i="56"/>
  <c r="X222" i="56"/>
  <c r="Y222" i="56" s="1"/>
  <c r="F222" i="56" s="1"/>
  <c r="X223" i="56"/>
  <c r="X224" i="56"/>
  <c r="X225" i="56"/>
  <c r="Y225" i="56" s="1"/>
  <c r="F225" i="56" s="1"/>
  <c r="X226" i="56"/>
  <c r="X227" i="56"/>
  <c r="Y227" i="56" s="1"/>
  <c r="F227" i="56" s="1"/>
  <c r="X228" i="56"/>
  <c r="X211" i="56"/>
  <c r="W228" i="56"/>
  <c r="W227" i="56"/>
  <c r="AU227" i="56" s="1"/>
  <c r="W226" i="56"/>
  <c r="W225" i="56"/>
  <c r="W224" i="56"/>
  <c r="W223" i="56"/>
  <c r="W222" i="56"/>
  <c r="W221" i="56"/>
  <c r="W220" i="56"/>
  <c r="W219" i="56"/>
  <c r="W218" i="56"/>
  <c r="W217" i="56"/>
  <c r="W216" i="56"/>
  <c r="W215" i="56"/>
  <c r="AU215" i="56" s="1"/>
  <c r="W214" i="56"/>
  <c r="W213" i="56"/>
  <c r="W212" i="56"/>
  <c r="AU212" i="56" s="1"/>
  <c r="W211" i="56"/>
  <c r="U4" i="56"/>
  <c r="U5" i="56"/>
  <c r="U6" i="56"/>
  <c r="U7" i="56"/>
  <c r="U8" i="56"/>
  <c r="U9" i="56"/>
  <c r="U10" i="56"/>
  <c r="U11" i="56"/>
  <c r="U12" i="56"/>
  <c r="U13" i="56"/>
  <c r="U14" i="56"/>
  <c r="U15" i="56"/>
  <c r="U16" i="56"/>
  <c r="U17" i="56"/>
  <c r="U18" i="56"/>
  <c r="U19" i="56"/>
  <c r="U20" i="56"/>
  <c r="U21" i="56"/>
  <c r="U22" i="56"/>
  <c r="U23" i="56"/>
  <c r="U24" i="56"/>
  <c r="U25" i="56"/>
  <c r="U26" i="56"/>
  <c r="U27" i="56"/>
  <c r="U28" i="56"/>
  <c r="U29" i="56"/>
  <c r="U30" i="56"/>
  <c r="U31" i="56"/>
  <c r="U32" i="56"/>
  <c r="U33" i="56"/>
  <c r="U34" i="56"/>
  <c r="U35" i="56"/>
  <c r="U36" i="56"/>
  <c r="U37" i="56"/>
  <c r="U38" i="56"/>
  <c r="U39" i="56"/>
  <c r="U40" i="56"/>
  <c r="U41" i="56"/>
  <c r="U42" i="56"/>
  <c r="U43" i="56"/>
  <c r="U44" i="56"/>
  <c r="U45" i="56"/>
  <c r="U46" i="56"/>
  <c r="U47" i="56"/>
  <c r="U48" i="56"/>
  <c r="U49" i="56"/>
  <c r="U50" i="56"/>
  <c r="U51" i="56"/>
  <c r="U52" i="56"/>
  <c r="U53" i="56"/>
  <c r="U54" i="56"/>
  <c r="U55" i="56"/>
  <c r="U56" i="56"/>
  <c r="U57" i="56"/>
  <c r="U58" i="56"/>
  <c r="U59" i="56"/>
  <c r="U60" i="56"/>
  <c r="U61" i="56"/>
  <c r="U62" i="56"/>
  <c r="U63" i="56"/>
  <c r="U64" i="56"/>
  <c r="U65" i="56"/>
  <c r="U66" i="56"/>
  <c r="U67" i="56"/>
  <c r="U68" i="56"/>
  <c r="U69" i="56"/>
  <c r="U70" i="56"/>
  <c r="U71" i="56"/>
  <c r="U72" i="56"/>
  <c r="U73" i="56"/>
  <c r="U74" i="56"/>
  <c r="U75" i="56"/>
  <c r="U76" i="56"/>
  <c r="U77" i="56"/>
  <c r="U78" i="56"/>
  <c r="U79" i="56"/>
  <c r="U80" i="56"/>
  <c r="U81" i="56"/>
  <c r="U82" i="56"/>
  <c r="U83" i="56"/>
  <c r="U84" i="56"/>
  <c r="U85" i="56"/>
  <c r="U86" i="56"/>
  <c r="U87" i="56"/>
  <c r="U88" i="56"/>
  <c r="U89" i="56"/>
  <c r="U90" i="56"/>
  <c r="U91" i="56"/>
  <c r="U92" i="56"/>
  <c r="U93" i="56"/>
  <c r="U94" i="56"/>
  <c r="U95" i="56"/>
  <c r="U96" i="56"/>
  <c r="U97" i="56"/>
  <c r="U98" i="56"/>
  <c r="U99" i="56"/>
  <c r="U100" i="56"/>
  <c r="U101" i="56"/>
  <c r="U102" i="56"/>
  <c r="U103" i="56"/>
  <c r="U104" i="56"/>
  <c r="U105" i="56"/>
  <c r="U106" i="56"/>
  <c r="U107" i="56"/>
  <c r="U108" i="56"/>
  <c r="U109" i="56"/>
  <c r="U110" i="56"/>
  <c r="U111" i="56"/>
  <c r="U112" i="56"/>
  <c r="U113" i="56"/>
  <c r="U114" i="56"/>
  <c r="U115" i="56"/>
  <c r="U116" i="56"/>
  <c r="U117" i="56"/>
  <c r="U118" i="56"/>
  <c r="U119" i="56"/>
  <c r="U120" i="56"/>
  <c r="U121" i="56"/>
  <c r="U122" i="56"/>
  <c r="U123" i="56"/>
  <c r="U124" i="56"/>
  <c r="U125" i="56"/>
  <c r="U126" i="56"/>
  <c r="U127" i="56"/>
  <c r="U128" i="56"/>
  <c r="U129" i="56"/>
  <c r="U130" i="56"/>
  <c r="U131" i="56"/>
  <c r="U133" i="56"/>
  <c r="U134" i="56"/>
  <c r="U135" i="56"/>
  <c r="U136" i="56"/>
  <c r="U137" i="56"/>
  <c r="U138" i="56"/>
  <c r="U139" i="56"/>
  <c r="U140" i="56"/>
  <c r="U141" i="56"/>
  <c r="U142" i="56"/>
  <c r="U143" i="56"/>
  <c r="U144" i="56"/>
  <c r="U145" i="56"/>
  <c r="U146" i="56"/>
  <c r="U147" i="56"/>
  <c r="U148" i="56"/>
  <c r="U149" i="56"/>
  <c r="U150" i="56"/>
  <c r="U151" i="56"/>
  <c r="U152" i="56"/>
  <c r="U153" i="56"/>
  <c r="U154" i="56"/>
  <c r="U155" i="56"/>
  <c r="U156" i="56"/>
  <c r="U157" i="56"/>
  <c r="U158" i="56"/>
  <c r="U159" i="56"/>
  <c r="U160" i="56"/>
  <c r="U161" i="56"/>
  <c r="U162" i="56"/>
  <c r="U163" i="56"/>
  <c r="U164" i="56"/>
  <c r="U165" i="56"/>
  <c r="U166" i="56"/>
  <c r="U167" i="56"/>
  <c r="U168" i="56"/>
  <c r="U169" i="56"/>
  <c r="U170" i="56"/>
  <c r="U171" i="56"/>
  <c r="U172" i="56"/>
  <c r="U173" i="56"/>
  <c r="U174" i="56"/>
  <c r="U175" i="56"/>
  <c r="U176" i="56"/>
  <c r="U177" i="56"/>
  <c r="U178" i="56"/>
  <c r="U179" i="56"/>
  <c r="U180" i="56"/>
  <c r="U181" i="56"/>
  <c r="U182" i="56"/>
  <c r="U183" i="56"/>
  <c r="U184" i="56"/>
  <c r="U185" i="56"/>
  <c r="U186" i="56"/>
  <c r="U187" i="56"/>
  <c r="U188" i="56"/>
  <c r="U189" i="56"/>
  <c r="U190" i="56"/>
  <c r="U191" i="56"/>
  <c r="U192" i="56"/>
  <c r="U193" i="56"/>
  <c r="U194" i="56"/>
  <c r="U195" i="56"/>
  <c r="U196" i="56"/>
  <c r="U197" i="56"/>
  <c r="U198" i="56"/>
  <c r="U199" i="56"/>
  <c r="U200" i="56"/>
  <c r="U201" i="56"/>
  <c r="U202" i="56"/>
  <c r="U203" i="56"/>
  <c r="U204" i="56"/>
  <c r="U205" i="56"/>
  <c r="U206" i="56"/>
  <c r="U207" i="56"/>
  <c r="U3" i="56"/>
  <c r="V212" i="56"/>
  <c r="V213" i="56"/>
  <c r="V214" i="56"/>
  <c r="V215" i="56"/>
  <c r="V216" i="56"/>
  <c r="V217" i="56"/>
  <c r="V218" i="56"/>
  <c r="V219" i="56"/>
  <c r="V220" i="56"/>
  <c r="V221" i="56"/>
  <c r="V222" i="56"/>
  <c r="V223" i="56"/>
  <c r="V224" i="56"/>
  <c r="V225" i="56"/>
  <c r="V226" i="56"/>
  <c r="V227" i="56"/>
  <c r="V228" i="56"/>
  <c r="V211" i="56"/>
  <c r="T4" i="56"/>
  <c r="T5" i="56"/>
  <c r="T6" i="56"/>
  <c r="T7" i="56"/>
  <c r="T8" i="56"/>
  <c r="T9" i="56"/>
  <c r="T10" i="56"/>
  <c r="T11" i="56"/>
  <c r="T12" i="56"/>
  <c r="T13" i="56"/>
  <c r="T14" i="56"/>
  <c r="T15" i="56"/>
  <c r="T16" i="56"/>
  <c r="T17" i="56"/>
  <c r="T18" i="56"/>
  <c r="T19" i="56"/>
  <c r="T20" i="56"/>
  <c r="T21" i="56"/>
  <c r="T22" i="56"/>
  <c r="T23" i="56"/>
  <c r="T24" i="56"/>
  <c r="T25" i="56"/>
  <c r="T26" i="56"/>
  <c r="T27" i="56"/>
  <c r="T28" i="56"/>
  <c r="T29" i="56"/>
  <c r="T30" i="56"/>
  <c r="T31" i="56"/>
  <c r="T32" i="56"/>
  <c r="T33" i="56"/>
  <c r="T34" i="56"/>
  <c r="T35" i="56"/>
  <c r="T36" i="56"/>
  <c r="T37" i="56"/>
  <c r="T38" i="56"/>
  <c r="T39" i="56"/>
  <c r="T40" i="56"/>
  <c r="T41" i="56"/>
  <c r="T42" i="56"/>
  <c r="T43" i="56"/>
  <c r="T44" i="56"/>
  <c r="T45" i="56"/>
  <c r="T46" i="56"/>
  <c r="T47" i="56"/>
  <c r="T48" i="56"/>
  <c r="T49" i="56"/>
  <c r="T50" i="56"/>
  <c r="T51" i="56"/>
  <c r="T52" i="56"/>
  <c r="T53" i="56"/>
  <c r="T54" i="56"/>
  <c r="T55" i="56"/>
  <c r="T56" i="56"/>
  <c r="T57" i="56"/>
  <c r="T58" i="56"/>
  <c r="T59" i="56"/>
  <c r="T60" i="56"/>
  <c r="T61" i="56"/>
  <c r="T62" i="56"/>
  <c r="T63" i="56"/>
  <c r="T64" i="56"/>
  <c r="T65" i="56"/>
  <c r="T66" i="56"/>
  <c r="T67" i="56"/>
  <c r="T68" i="56"/>
  <c r="T69" i="56"/>
  <c r="T70" i="56"/>
  <c r="T71" i="56"/>
  <c r="T72" i="56"/>
  <c r="T73" i="56"/>
  <c r="T74" i="56"/>
  <c r="T75" i="56"/>
  <c r="T76" i="56"/>
  <c r="T77" i="56"/>
  <c r="T78" i="56"/>
  <c r="T79" i="56"/>
  <c r="T80" i="56"/>
  <c r="T81" i="56"/>
  <c r="T82" i="56"/>
  <c r="T83" i="56"/>
  <c r="T84" i="56"/>
  <c r="T85" i="56"/>
  <c r="T86" i="56"/>
  <c r="T87" i="56"/>
  <c r="T88" i="56"/>
  <c r="T89" i="56"/>
  <c r="T90" i="56"/>
  <c r="T91" i="56"/>
  <c r="T92" i="56"/>
  <c r="T93" i="56"/>
  <c r="T94" i="56"/>
  <c r="T95" i="56"/>
  <c r="T96" i="56"/>
  <c r="T97" i="56"/>
  <c r="T98" i="56"/>
  <c r="T99" i="56"/>
  <c r="T100" i="56"/>
  <c r="T101" i="56"/>
  <c r="T102" i="56"/>
  <c r="T103" i="56"/>
  <c r="T104" i="56"/>
  <c r="T105" i="56"/>
  <c r="T106" i="56"/>
  <c r="T107" i="56"/>
  <c r="T108" i="56"/>
  <c r="T109" i="56"/>
  <c r="T110" i="56"/>
  <c r="T111" i="56"/>
  <c r="T112" i="56"/>
  <c r="T113" i="56"/>
  <c r="T114" i="56"/>
  <c r="T115" i="56"/>
  <c r="T116" i="56"/>
  <c r="T117" i="56"/>
  <c r="T118" i="56"/>
  <c r="T119" i="56"/>
  <c r="T120" i="56"/>
  <c r="T121" i="56"/>
  <c r="T122" i="56"/>
  <c r="T123" i="56"/>
  <c r="T124" i="56"/>
  <c r="T125" i="56"/>
  <c r="T126" i="56"/>
  <c r="T127" i="56"/>
  <c r="T128" i="56"/>
  <c r="T129" i="56"/>
  <c r="T130" i="56"/>
  <c r="T131" i="56"/>
  <c r="T133" i="56"/>
  <c r="T134" i="56"/>
  <c r="T135" i="56"/>
  <c r="T136" i="56"/>
  <c r="T137" i="56"/>
  <c r="T138" i="56"/>
  <c r="T139" i="56"/>
  <c r="T140" i="56"/>
  <c r="T141" i="56"/>
  <c r="T142" i="56"/>
  <c r="T143" i="56"/>
  <c r="T144" i="56"/>
  <c r="T145" i="56"/>
  <c r="T146" i="56"/>
  <c r="T147" i="56"/>
  <c r="T148" i="56"/>
  <c r="T149" i="56"/>
  <c r="T150" i="56"/>
  <c r="T151" i="56"/>
  <c r="T152" i="56"/>
  <c r="T153" i="56"/>
  <c r="T154" i="56"/>
  <c r="T155" i="56"/>
  <c r="T156" i="56"/>
  <c r="T157" i="56"/>
  <c r="T158" i="56"/>
  <c r="T159" i="56"/>
  <c r="T160" i="56"/>
  <c r="T161" i="56"/>
  <c r="T162" i="56"/>
  <c r="T163" i="56"/>
  <c r="T164" i="56"/>
  <c r="T165" i="56"/>
  <c r="T166" i="56"/>
  <c r="T167" i="56"/>
  <c r="T168" i="56"/>
  <c r="T169" i="56"/>
  <c r="T170" i="56"/>
  <c r="T171" i="56"/>
  <c r="T172" i="56"/>
  <c r="T173" i="56"/>
  <c r="T174" i="56"/>
  <c r="T175" i="56"/>
  <c r="T176" i="56"/>
  <c r="T177" i="56"/>
  <c r="T178" i="56"/>
  <c r="T179" i="56"/>
  <c r="T180" i="56"/>
  <c r="T181" i="56"/>
  <c r="T182" i="56"/>
  <c r="T183" i="56"/>
  <c r="T184" i="56"/>
  <c r="T185" i="56"/>
  <c r="T186" i="56"/>
  <c r="T187" i="56"/>
  <c r="T188" i="56"/>
  <c r="T189" i="56"/>
  <c r="T190" i="56"/>
  <c r="T191" i="56"/>
  <c r="T192" i="56"/>
  <c r="T193" i="56"/>
  <c r="T194" i="56"/>
  <c r="T195" i="56"/>
  <c r="T196" i="56"/>
  <c r="T197" i="56"/>
  <c r="T198" i="56"/>
  <c r="T199" i="56"/>
  <c r="T200" i="56"/>
  <c r="T201" i="56"/>
  <c r="T202" i="56"/>
  <c r="T203" i="56"/>
  <c r="T204" i="56"/>
  <c r="T205" i="56"/>
  <c r="T206" i="56"/>
  <c r="T207" i="56"/>
  <c r="T3" i="56"/>
  <c r="T212" i="56"/>
  <c r="T213" i="56"/>
  <c r="T214" i="56"/>
  <c r="T215" i="56"/>
  <c r="T216" i="56"/>
  <c r="T217" i="56"/>
  <c r="T218" i="56"/>
  <c r="T219" i="56"/>
  <c r="T220" i="56"/>
  <c r="T221" i="56"/>
  <c r="T222" i="56"/>
  <c r="T223" i="56"/>
  <c r="T224" i="56"/>
  <c r="T225" i="56"/>
  <c r="T226" i="56"/>
  <c r="T227" i="56"/>
  <c r="T228" i="56"/>
  <c r="T211" i="56"/>
  <c r="R4" i="56"/>
  <c r="R5" i="56"/>
  <c r="R6" i="56"/>
  <c r="R7" i="56"/>
  <c r="R8" i="56"/>
  <c r="R9" i="56"/>
  <c r="R10" i="56"/>
  <c r="R11" i="56"/>
  <c r="R12" i="56"/>
  <c r="R13" i="56"/>
  <c r="R14" i="56"/>
  <c r="R15" i="56"/>
  <c r="R16" i="56"/>
  <c r="R17" i="56"/>
  <c r="R18" i="56"/>
  <c r="R19" i="56"/>
  <c r="R20" i="56"/>
  <c r="R21" i="56"/>
  <c r="R22" i="56"/>
  <c r="R23" i="56"/>
  <c r="R24" i="56"/>
  <c r="R25" i="56"/>
  <c r="R26" i="56"/>
  <c r="R27" i="56"/>
  <c r="R28" i="56"/>
  <c r="R29" i="56"/>
  <c r="R30" i="56"/>
  <c r="R31" i="56"/>
  <c r="R32" i="56"/>
  <c r="R33" i="56"/>
  <c r="R34" i="56"/>
  <c r="R35" i="56"/>
  <c r="R36" i="56"/>
  <c r="R37" i="56"/>
  <c r="R38" i="56"/>
  <c r="R39" i="56"/>
  <c r="R40" i="56"/>
  <c r="R41" i="56"/>
  <c r="R42" i="56"/>
  <c r="R43" i="56"/>
  <c r="R44" i="56"/>
  <c r="R45" i="56"/>
  <c r="R46" i="56"/>
  <c r="R47" i="56"/>
  <c r="R48" i="56"/>
  <c r="R49" i="56"/>
  <c r="R50" i="56"/>
  <c r="R51" i="56"/>
  <c r="R52" i="56"/>
  <c r="R53" i="56"/>
  <c r="R54" i="56"/>
  <c r="R55" i="56"/>
  <c r="R56" i="56"/>
  <c r="R57" i="56"/>
  <c r="R58" i="56"/>
  <c r="R59" i="56"/>
  <c r="R60" i="56"/>
  <c r="R61" i="56"/>
  <c r="R62" i="56"/>
  <c r="R63" i="56"/>
  <c r="R64" i="56"/>
  <c r="R65" i="56"/>
  <c r="R66" i="56"/>
  <c r="R67" i="56"/>
  <c r="R68" i="56"/>
  <c r="R69" i="56"/>
  <c r="R70" i="56"/>
  <c r="R71" i="56"/>
  <c r="R72" i="56"/>
  <c r="R73" i="56"/>
  <c r="R74" i="56"/>
  <c r="R75" i="56"/>
  <c r="R76" i="56"/>
  <c r="R77" i="56"/>
  <c r="R78" i="56"/>
  <c r="R79" i="56"/>
  <c r="R80" i="56"/>
  <c r="R81" i="56"/>
  <c r="R82" i="56"/>
  <c r="R83" i="56"/>
  <c r="R84" i="56"/>
  <c r="R85" i="56"/>
  <c r="R86" i="56"/>
  <c r="R87" i="56"/>
  <c r="R88" i="56"/>
  <c r="R89" i="56"/>
  <c r="R90" i="56"/>
  <c r="R91" i="56"/>
  <c r="R92" i="56"/>
  <c r="R93" i="56"/>
  <c r="R94" i="56"/>
  <c r="R95" i="56"/>
  <c r="R96" i="56"/>
  <c r="R97" i="56"/>
  <c r="R98" i="56"/>
  <c r="R99" i="56"/>
  <c r="R100" i="56"/>
  <c r="R101" i="56"/>
  <c r="R102" i="56"/>
  <c r="R103" i="56"/>
  <c r="R104" i="56"/>
  <c r="R105" i="56"/>
  <c r="R106" i="56"/>
  <c r="R107" i="56"/>
  <c r="R108" i="56"/>
  <c r="R109" i="56"/>
  <c r="R110" i="56"/>
  <c r="R111" i="56"/>
  <c r="R112" i="56"/>
  <c r="R113" i="56"/>
  <c r="R114" i="56"/>
  <c r="R115" i="56"/>
  <c r="R116" i="56"/>
  <c r="R117" i="56"/>
  <c r="R118" i="56"/>
  <c r="R119" i="56"/>
  <c r="R120" i="56"/>
  <c r="R121" i="56"/>
  <c r="R122" i="56"/>
  <c r="R123" i="56"/>
  <c r="R124" i="56"/>
  <c r="R125" i="56"/>
  <c r="R126" i="56"/>
  <c r="R127" i="56"/>
  <c r="R128" i="56"/>
  <c r="R129" i="56"/>
  <c r="R130" i="56"/>
  <c r="R131" i="56"/>
  <c r="R133" i="56"/>
  <c r="R134" i="56"/>
  <c r="R135" i="56"/>
  <c r="R136" i="56"/>
  <c r="R137" i="56"/>
  <c r="R138" i="56"/>
  <c r="R139" i="56"/>
  <c r="R140" i="56"/>
  <c r="R141" i="56"/>
  <c r="R142" i="56"/>
  <c r="R143" i="56"/>
  <c r="R144" i="56"/>
  <c r="R145" i="56"/>
  <c r="R146" i="56"/>
  <c r="R147" i="56"/>
  <c r="R148" i="56"/>
  <c r="R149" i="56"/>
  <c r="R150" i="56"/>
  <c r="R151" i="56"/>
  <c r="R152" i="56"/>
  <c r="R153" i="56"/>
  <c r="R154" i="56"/>
  <c r="R155" i="56"/>
  <c r="R156" i="56"/>
  <c r="R157" i="56"/>
  <c r="R158" i="56"/>
  <c r="R159" i="56"/>
  <c r="R160" i="56"/>
  <c r="R161" i="56"/>
  <c r="R162" i="56"/>
  <c r="R163" i="56"/>
  <c r="R164" i="56"/>
  <c r="R165" i="56"/>
  <c r="R166" i="56"/>
  <c r="R167" i="56"/>
  <c r="R168" i="56"/>
  <c r="R169" i="56"/>
  <c r="R170" i="56"/>
  <c r="R171" i="56"/>
  <c r="R172" i="56"/>
  <c r="R173" i="56"/>
  <c r="R174" i="56"/>
  <c r="R175" i="56"/>
  <c r="R176" i="56"/>
  <c r="R177" i="56"/>
  <c r="R178" i="56"/>
  <c r="R179" i="56"/>
  <c r="R180" i="56"/>
  <c r="R181" i="56"/>
  <c r="R182" i="56"/>
  <c r="R183" i="56"/>
  <c r="R184" i="56"/>
  <c r="R185" i="56"/>
  <c r="R186" i="56"/>
  <c r="R187" i="56"/>
  <c r="R188" i="56"/>
  <c r="R189" i="56"/>
  <c r="R190" i="56"/>
  <c r="R191" i="56"/>
  <c r="R192" i="56"/>
  <c r="R193" i="56"/>
  <c r="R194" i="56"/>
  <c r="R195" i="56"/>
  <c r="R196" i="56"/>
  <c r="R197" i="56"/>
  <c r="R198" i="56"/>
  <c r="R199" i="56"/>
  <c r="R200" i="56"/>
  <c r="R201" i="56"/>
  <c r="R202" i="56"/>
  <c r="R203" i="56"/>
  <c r="R204" i="56"/>
  <c r="R205" i="56"/>
  <c r="R206" i="56"/>
  <c r="R207" i="56"/>
  <c r="R3" i="56"/>
  <c r="S212" i="56"/>
  <c r="S213" i="56"/>
  <c r="S214" i="56"/>
  <c r="S215" i="56"/>
  <c r="S216" i="56"/>
  <c r="S217" i="56"/>
  <c r="S218" i="56"/>
  <c r="S219" i="56"/>
  <c r="S220" i="56"/>
  <c r="S221" i="56"/>
  <c r="S222" i="56"/>
  <c r="S223" i="56"/>
  <c r="S224" i="56"/>
  <c r="S225" i="56"/>
  <c r="S226" i="56"/>
  <c r="S227" i="56"/>
  <c r="S228" i="56"/>
  <c r="S211" i="56"/>
  <c r="AF200" i="56" l="1"/>
  <c r="AG200" i="56" s="1"/>
  <c r="AI200" i="56" s="1"/>
  <c r="AJ200" i="56" s="1"/>
  <c r="AF103" i="56"/>
  <c r="AG103" i="56" s="1"/>
  <c r="AI103" i="56" s="1"/>
  <c r="AJ103" i="56" s="1"/>
  <c r="AF152" i="56"/>
  <c r="AG152" i="56" s="1"/>
  <c r="AI152" i="56" s="1"/>
  <c r="AJ152" i="56" s="1"/>
  <c r="AF43" i="56"/>
  <c r="AG43" i="56" s="1"/>
  <c r="AI43" i="56" s="1"/>
  <c r="AL43" i="56" s="1"/>
  <c r="AF163" i="56"/>
  <c r="AG163" i="56" s="1"/>
  <c r="AI163" i="56" s="1"/>
  <c r="AL163" i="56" s="1"/>
  <c r="AF42" i="56"/>
  <c r="AG42" i="56" s="1"/>
  <c r="AI42" i="56" s="1"/>
  <c r="AJ42" i="56" s="1"/>
  <c r="AF127" i="56"/>
  <c r="AG127" i="56" s="1"/>
  <c r="AI127" i="56" s="1"/>
  <c r="AL127" i="56" s="1"/>
  <c r="AF6" i="56"/>
  <c r="AG6" i="56" s="1"/>
  <c r="AI6" i="56" s="1"/>
  <c r="AL6" i="56" s="1"/>
  <c r="AF67" i="56"/>
  <c r="AG67" i="56" s="1"/>
  <c r="AI67" i="56" s="1"/>
  <c r="AJ67" i="56" s="1"/>
  <c r="AF115" i="56"/>
  <c r="AG115" i="56" s="1"/>
  <c r="AI115" i="56" s="1"/>
  <c r="AJ115" i="56" s="1"/>
  <c r="AF189" i="56"/>
  <c r="AG189" i="56" s="1"/>
  <c r="AI189" i="56" s="1"/>
  <c r="AL189" i="56" s="1"/>
  <c r="AF165" i="56"/>
  <c r="AG165" i="56" s="1"/>
  <c r="AI165" i="56" s="1"/>
  <c r="AJ165" i="56" s="1"/>
  <c r="AF104" i="56"/>
  <c r="AG104" i="56" s="1"/>
  <c r="AI104" i="56" s="1"/>
  <c r="AJ104" i="56" s="1"/>
  <c r="AS224" i="56"/>
  <c r="AF170" i="56"/>
  <c r="AG170" i="56" s="1"/>
  <c r="AI170" i="56" s="1"/>
  <c r="AL170" i="56" s="1"/>
  <c r="AF146" i="56"/>
  <c r="AG146" i="56" s="1"/>
  <c r="AI146" i="56" s="1"/>
  <c r="AL146" i="56" s="1"/>
  <c r="AF109" i="56"/>
  <c r="AG109" i="56" s="1"/>
  <c r="AI109" i="56" s="1"/>
  <c r="AJ109" i="56" s="1"/>
  <c r="AF85" i="56"/>
  <c r="AG85" i="56" s="1"/>
  <c r="AI85" i="56" s="1"/>
  <c r="AL85" i="56" s="1"/>
  <c r="AF61" i="56"/>
  <c r="AG61" i="56" s="1"/>
  <c r="AI61" i="56" s="1"/>
  <c r="AL61" i="56" s="1"/>
  <c r="AF49" i="56"/>
  <c r="AG49" i="56" s="1"/>
  <c r="AI49" i="56" s="1"/>
  <c r="AJ49" i="56" s="1"/>
  <c r="AF25" i="56"/>
  <c r="AG25" i="56" s="1"/>
  <c r="AI25" i="56" s="1"/>
  <c r="AJ25" i="56" s="1"/>
  <c r="AA216" i="56"/>
  <c r="G216" i="56" s="1"/>
  <c r="AA228" i="56"/>
  <c r="G228" i="56" s="1"/>
  <c r="AA217" i="56"/>
  <c r="G217" i="56" s="1"/>
  <c r="AA218" i="56"/>
  <c r="G218" i="56" s="1"/>
  <c r="Y219" i="56"/>
  <c r="F219" i="56" s="1"/>
  <c r="AA221" i="56"/>
  <c r="G221" i="56" s="1"/>
  <c r="AF204" i="56"/>
  <c r="AG204" i="56" s="1"/>
  <c r="AI204" i="56" s="1"/>
  <c r="AL204" i="56" s="1"/>
  <c r="AF192" i="56"/>
  <c r="AG192" i="56" s="1"/>
  <c r="AI192" i="56" s="1"/>
  <c r="AL192" i="56" s="1"/>
  <c r="AF180" i="56"/>
  <c r="AG180" i="56" s="1"/>
  <c r="AI180" i="56" s="1"/>
  <c r="AJ180" i="56" s="1"/>
  <c r="AF168" i="56"/>
  <c r="AG168" i="56" s="1"/>
  <c r="AI168" i="56" s="1"/>
  <c r="AL168" i="56" s="1"/>
  <c r="AF156" i="56"/>
  <c r="AG156" i="56" s="1"/>
  <c r="AI156" i="56" s="1"/>
  <c r="AL156" i="56" s="1"/>
  <c r="AF144" i="56"/>
  <c r="AG144" i="56" s="1"/>
  <c r="AI144" i="56" s="1"/>
  <c r="AJ144" i="56" s="1"/>
  <c r="AF131" i="56"/>
  <c r="AG131" i="56" s="1"/>
  <c r="AI131" i="56" s="1"/>
  <c r="AJ131" i="56" s="1"/>
  <c r="AF119" i="56"/>
  <c r="AG119" i="56" s="1"/>
  <c r="AI119" i="56" s="1"/>
  <c r="AJ119" i="56" s="1"/>
  <c r="AF107" i="56"/>
  <c r="AG107" i="56" s="1"/>
  <c r="AI107" i="56" s="1"/>
  <c r="AL107" i="56" s="1"/>
  <c r="AF95" i="56"/>
  <c r="AG95" i="56" s="1"/>
  <c r="AI95" i="56" s="1"/>
  <c r="AL95" i="56" s="1"/>
  <c r="AF83" i="56"/>
  <c r="AG83" i="56" s="1"/>
  <c r="AI83" i="56" s="1"/>
  <c r="AJ83" i="56" s="1"/>
  <c r="AF71" i="56"/>
  <c r="AG71" i="56" s="1"/>
  <c r="AI71" i="56" s="1"/>
  <c r="AL71" i="56" s="1"/>
  <c r="AF59" i="56"/>
  <c r="AG59" i="56" s="1"/>
  <c r="AI59" i="56" s="1"/>
  <c r="AF47" i="56"/>
  <c r="AG47" i="56" s="1"/>
  <c r="AI47" i="56" s="1"/>
  <c r="AJ47" i="56" s="1"/>
  <c r="AF35" i="56"/>
  <c r="AG35" i="56" s="1"/>
  <c r="AI35" i="56" s="1"/>
  <c r="AJ35" i="56" s="1"/>
  <c r="AF23" i="56"/>
  <c r="AG23" i="56" s="1"/>
  <c r="AI23" i="56" s="1"/>
  <c r="AL23" i="56" s="1"/>
  <c r="AF11" i="56"/>
  <c r="AG11" i="56" s="1"/>
  <c r="AI11" i="56" s="1"/>
  <c r="AJ11" i="56" s="1"/>
  <c r="AH215" i="56"/>
  <c r="AI215" i="56" s="1"/>
  <c r="AK215" i="56" s="1"/>
  <c r="AN215" i="56" s="1"/>
  <c r="Y223" i="56"/>
  <c r="F223" i="56" s="1"/>
  <c r="AU223" i="56"/>
  <c r="AU211" i="56"/>
  <c r="Y228" i="56"/>
  <c r="F228" i="56" s="1"/>
  <c r="Y216" i="56"/>
  <c r="F216" i="56" s="1"/>
  <c r="Y220" i="56"/>
  <c r="F220" i="56" s="1"/>
  <c r="Y226" i="56"/>
  <c r="F226" i="56" s="1"/>
  <c r="Y214" i="56"/>
  <c r="F214" i="56" s="1"/>
  <c r="AF205" i="56"/>
  <c r="AG205" i="56" s="1"/>
  <c r="AI205" i="56" s="1"/>
  <c r="AL205" i="56" s="1"/>
  <c r="AF193" i="56"/>
  <c r="AG193" i="56" s="1"/>
  <c r="AI193" i="56" s="1"/>
  <c r="AJ193" i="56" s="1"/>
  <c r="AF181" i="56"/>
  <c r="AG181" i="56" s="1"/>
  <c r="AI181" i="56" s="1"/>
  <c r="AJ181" i="56" s="1"/>
  <c r="AF169" i="56"/>
  <c r="AG169" i="56" s="1"/>
  <c r="AI169" i="56" s="1"/>
  <c r="AL169" i="56" s="1"/>
  <c r="AF157" i="56"/>
  <c r="AG157" i="56" s="1"/>
  <c r="AI157" i="56" s="1"/>
  <c r="AJ157" i="56" s="1"/>
  <c r="Y224" i="56"/>
  <c r="F224" i="56" s="1"/>
  <c r="Y212" i="56"/>
  <c r="F212" i="56" s="1"/>
  <c r="AH214" i="56"/>
  <c r="AI214" i="56" s="1"/>
  <c r="AK214" i="56" s="1"/>
  <c r="AL214" i="56" s="1"/>
  <c r="AU224" i="56"/>
  <c r="AF3" i="56"/>
  <c r="AG3" i="56" s="1"/>
  <c r="AI3" i="56" s="1"/>
  <c r="AL3" i="56" s="1"/>
  <c r="AF196" i="56"/>
  <c r="AG196" i="56" s="1"/>
  <c r="AI196" i="56" s="1"/>
  <c r="AL196" i="56" s="1"/>
  <c r="AF184" i="56"/>
  <c r="AG184" i="56" s="1"/>
  <c r="AI184" i="56" s="1"/>
  <c r="AL184" i="56" s="1"/>
  <c r="AF172" i="56"/>
  <c r="AG172" i="56" s="1"/>
  <c r="AI172" i="56" s="1"/>
  <c r="AJ172" i="56" s="1"/>
  <c r="AF160" i="56"/>
  <c r="AG160" i="56" s="1"/>
  <c r="AI160" i="56" s="1"/>
  <c r="AL160" i="56" s="1"/>
  <c r="AF148" i="56"/>
  <c r="AG148" i="56" s="1"/>
  <c r="AI148" i="56" s="1"/>
  <c r="AJ148" i="56" s="1"/>
  <c r="AF136" i="56"/>
  <c r="AG136" i="56" s="1"/>
  <c r="AI136" i="56" s="1"/>
  <c r="AL136" i="56" s="1"/>
  <c r="AF123" i="56"/>
  <c r="AG123" i="56" s="1"/>
  <c r="AI123" i="56" s="1"/>
  <c r="AJ123" i="56" s="1"/>
  <c r="AF111" i="56"/>
  <c r="AG111" i="56" s="1"/>
  <c r="AI111" i="56" s="1"/>
  <c r="AF99" i="56"/>
  <c r="AG99" i="56" s="1"/>
  <c r="AI99" i="56" s="1"/>
  <c r="AJ99" i="56" s="1"/>
  <c r="AF87" i="56"/>
  <c r="AG87" i="56" s="1"/>
  <c r="AI87" i="56" s="1"/>
  <c r="AJ87" i="56" s="1"/>
  <c r="AF75" i="56"/>
  <c r="AG75" i="56" s="1"/>
  <c r="AI75" i="56" s="1"/>
  <c r="AL75" i="56" s="1"/>
  <c r="AF63" i="56"/>
  <c r="AG63" i="56" s="1"/>
  <c r="AI63" i="56" s="1"/>
  <c r="AJ63" i="56" s="1"/>
  <c r="AF51" i="56"/>
  <c r="AG51" i="56" s="1"/>
  <c r="AI51" i="56" s="1"/>
  <c r="AJ51" i="56" s="1"/>
  <c r="AF39" i="56"/>
  <c r="AG39" i="56" s="1"/>
  <c r="AI39" i="56" s="1"/>
  <c r="AJ39" i="56" s="1"/>
  <c r="AF27" i="56"/>
  <c r="AG27" i="56" s="1"/>
  <c r="AI27" i="56" s="1"/>
  <c r="AJ27" i="56" s="1"/>
  <c r="AF15" i="56"/>
  <c r="AG15" i="56" s="1"/>
  <c r="AI15" i="56" s="1"/>
  <c r="AJ15" i="56" s="1"/>
  <c r="AF207" i="56"/>
  <c r="AG207" i="56" s="1"/>
  <c r="AI207" i="56" s="1"/>
  <c r="AL207" i="56" s="1"/>
  <c r="AF195" i="56"/>
  <c r="AG195" i="56" s="1"/>
  <c r="AI195" i="56" s="1"/>
  <c r="AJ195" i="56" s="1"/>
  <c r="AF183" i="56"/>
  <c r="AG183" i="56" s="1"/>
  <c r="AI183" i="56" s="1"/>
  <c r="AL183" i="56" s="1"/>
  <c r="AF171" i="56"/>
  <c r="AG171" i="56" s="1"/>
  <c r="AI171" i="56" s="1"/>
  <c r="AJ171" i="56" s="1"/>
  <c r="AF159" i="56"/>
  <c r="AG159" i="56" s="1"/>
  <c r="AI159" i="56" s="1"/>
  <c r="AL159" i="56" s="1"/>
  <c r="AF147" i="56"/>
  <c r="AG147" i="56" s="1"/>
  <c r="AI147" i="56" s="1"/>
  <c r="AJ147" i="56" s="1"/>
  <c r="AF135" i="56"/>
  <c r="AG135" i="56" s="1"/>
  <c r="AI135" i="56" s="1"/>
  <c r="AJ135" i="56" s="1"/>
  <c r="AF122" i="56"/>
  <c r="AG122" i="56" s="1"/>
  <c r="AI122" i="56" s="1"/>
  <c r="AJ122" i="56" s="1"/>
  <c r="AF110" i="56"/>
  <c r="AG110" i="56" s="1"/>
  <c r="AI110" i="56" s="1"/>
  <c r="AL110" i="56" s="1"/>
  <c r="AF98" i="56"/>
  <c r="AG98" i="56" s="1"/>
  <c r="AI98" i="56" s="1"/>
  <c r="AL98" i="56" s="1"/>
  <c r="AF86" i="56"/>
  <c r="AG86" i="56" s="1"/>
  <c r="AI86" i="56" s="1"/>
  <c r="AJ86" i="56" s="1"/>
  <c r="AF74" i="56"/>
  <c r="AG74" i="56" s="1"/>
  <c r="AI74" i="56" s="1"/>
  <c r="AJ74" i="56" s="1"/>
  <c r="AF62" i="56"/>
  <c r="AG62" i="56" s="1"/>
  <c r="AI62" i="56" s="1"/>
  <c r="AJ62" i="56" s="1"/>
  <c r="AF50" i="56"/>
  <c r="AG50" i="56" s="1"/>
  <c r="AI50" i="56" s="1"/>
  <c r="AL50" i="56" s="1"/>
  <c r="AF38" i="56"/>
  <c r="AG38" i="56" s="1"/>
  <c r="AI38" i="56" s="1"/>
  <c r="AF26" i="56"/>
  <c r="AG26" i="56" s="1"/>
  <c r="AI26" i="56" s="1"/>
  <c r="AL26" i="56" s="1"/>
  <c r="AF14" i="56"/>
  <c r="AG14" i="56" s="1"/>
  <c r="AI14" i="56" s="1"/>
  <c r="AJ14" i="56" s="1"/>
  <c r="AF197" i="56"/>
  <c r="AG197" i="56" s="1"/>
  <c r="AI197" i="56" s="1"/>
  <c r="AJ197" i="56" s="1"/>
  <c r="AF185" i="56"/>
  <c r="AG185" i="56" s="1"/>
  <c r="AI185" i="56" s="1"/>
  <c r="AL185" i="56" s="1"/>
  <c r="AF173" i="56"/>
  <c r="AG173" i="56" s="1"/>
  <c r="AI173" i="56" s="1"/>
  <c r="AJ173" i="56" s="1"/>
  <c r="AF161" i="56"/>
  <c r="AG161" i="56" s="1"/>
  <c r="AI161" i="56" s="1"/>
  <c r="AL161" i="56" s="1"/>
  <c r="AF149" i="56"/>
  <c r="AG149" i="56" s="1"/>
  <c r="AI149" i="56" s="1"/>
  <c r="AL149" i="56" s="1"/>
  <c r="AF137" i="56"/>
  <c r="AG137" i="56" s="1"/>
  <c r="AI137" i="56" s="1"/>
  <c r="AJ137" i="56" s="1"/>
  <c r="AF124" i="56"/>
  <c r="AG124" i="56" s="1"/>
  <c r="AI124" i="56" s="1"/>
  <c r="AJ124" i="56" s="1"/>
  <c r="AF112" i="56"/>
  <c r="AG112" i="56" s="1"/>
  <c r="AI112" i="56" s="1"/>
  <c r="AL112" i="56" s="1"/>
  <c r="AF100" i="56"/>
  <c r="AG100" i="56" s="1"/>
  <c r="AI100" i="56" s="1"/>
  <c r="AL100" i="56" s="1"/>
  <c r="AF88" i="56"/>
  <c r="AG88" i="56" s="1"/>
  <c r="AI88" i="56" s="1"/>
  <c r="AL88" i="56" s="1"/>
  <c r="AF76" i="56"/>
  <c r="AG76" i="56" s="1"/>
  <c r="AI76" i="56" s="1"/>
  <c r="AL76" i="56" s="1"/>
  <c r="AF64" i="56"/>
  <c r="AG64" i="56" s="1"/>
  <c r="AI64" i="56" s="1"/>
  <c r="AL64" i="56" s="1"/>
  <c r="AF52" i="56"/>
  <c r="AG52" i="56" s="1"/>
  <c r="AI52" i="56" s="1"/>
  <c r="AJ52" i="56" s="1"/>
  <c r="AF40" i="56"/>
  <c r="AG40" i="56" s="1"/>
  <c r="AI40" i="56" s="1"/>
  <c r="AJ40" i="56" s="1"/>
  <c r="AF28" i="56"/>
  <c r="AG28" i="56" s="1"/>
  <c r="AI28" i="56" s="1"/>
  <c r="AJ28" i="56" s="1"/>
  <c r="AF16" i="56"/>
  <c r="AG16" i="56" s="1"/>
  <c r="AI16" i="56" s="1"/>
  <c r="AJ16" i="56" s="1"/>
  <c r="AF4" i="56"/>
  <c r="AG4" i="56" s="1"/>
  <c r="AI4" i="56" s="1"/>
  <c r="AJ4" i="56" s="1"/>
  <c r="AH219" i="56"/>
  <c r="AI219" i="56" s="1"/>
  <c r="AK219" i="56" s="1"/>
  <c r="AN219" i="56" s="1"/>
  <c r="AH224" i="56"/>
  <c r="AI224" i="56" s="1"/>
  <c r="AK224" i="56" s="1"/>
  <c r="AN224" i="56" s="1"/>
  <c r="AF128" i="56"/>
  <c r="AG128" i="56" s="1"/>
  <c r="AI128" i="56" s="1"/>
  <c r="AJ128" i="56" s="1"/>
  <c r="AF80" i="56"/>
  <c r="AG80" i="56" s="1"/>
  <c r="AI80" i="56" s="1"/>
  <c r="AJ80" i="56" s="1"/>
  <c r="AF44" i="56"/>
  <c r="AG44" i="56" s="1"/>
  <c r="AI44" i="56" s="1"/>
  <c r="AJ44" i="56" s="1"/>
  <c r="AF20" i="56"/>
  <c r="AG20" i="56" s="1"/>
  <c r="AI20" i="56" s="1"/>
  <c r="AJ20" i="56" s="1"/>
  <c r="AJ91" i="56"/>
  <c r="AH221" i="56"/>
  <c r="AI221" i="56" s="1"/>
  <c r="AK221" i="56" s="1"/>
  <c r="AN221" i="56" s="1"/>
  <c r="AF126" i="56"/>
  <c r="AG126" i="56" s="1"/>
  <c r="AI126" i="56" s="1"/>
  <c r="AJ126" i="56" s="1"/>
  <c r="AL31" i="56"/>
  <c r="AL140" i="56"/>
  <c r="AH212" i="56"/>
  <c r="AI212" i="56" s="1"/>
  <c r="AK212" i="56" s="1"/>
  <c r="AL212" i="56" s="1"/>
  <c r="AH217" i="56"/>
  <c r="AI217" i="56" s="1"/>
  <c r="AK217" i="56" s="1"/>
  <c r="AN217" i="56" s="1"/>
  <c r="AF191" i="56"/>
  <c r="AG191" i="56" s="1"/>
  <c r="AI191" i="56" s="1"/>
  <c r="AJ191" i="56" s="1"/>
  <c r="AF179" i="56"/>
  <c r="AG179" i="56" s="1"/>
  <c r="AI179" i="56" s="1"/>
  <c r="AJ179" i="56" s="1"/>
  <c r="AF167" i="56"/>
  <c r="AG167" i="56" s="1"/>
  <c r="AI167" i="56" s="1"/>
  <c r="AJ167" i="56" s="1"/>
  <c r="AF155" i="56"/>
  <c r="AG155" i="56" s="1"/>
  <c r="AI155" i="56" s="1"/>
  <c r="AL155" i="56" s="1"/>
  <c r="AF143" i="56"/>
  <c r="AG143" i="56" s="1"/>
  <c r="AI143" i="56" s="1"/>
  <c r="AL143" i="56" s="1"/>
  <c r="AF130" i="56"/>
  <c r="AG130" i="56" s="1"/>
  <c r="AI130" i="56" s="1"/>
  <c r="AL130" i="56" s="1"/>
  <c r="AF118" i="56"/>
  <c r="AG118" i="56" s="1"/>
  <c r="AI118" i="56" s="1"/>
  <c r="AJ118" i="56" s="1"/>
  <c r="AF106" i="56"/>
  <c r="AG106" i="56" s="1"/>
  <c r="AI106" i="56" s="1"/>
  <c r="AL106" i="56" s="1"/>
  <c r="AF94" i="56"/>
  <c r="AG94" i="56" s="1"/>
  <c r="AI94" i="56" s="1"/>
  <c r="AJ94" i="56" s="1"/>
  <c r="AF82" i="56"/>
  <c r="AG82" i="56" s="1"/>
  <c r="AI82" i="56" s="1"/>
  <c r="AL82" i="56" s="1"/>
  <c r="AF70" i="56"/>
  <c r="AG70" i="56" s="1"/>
  <c r="AI70" i="56" s="1"/>
  <c r="AL70" i="56" s="1"/>
  <c r="AF58" i="56"/>
  <c r="AG58" i="56" s="1"/>
  <c r="AI58" i="56" s="1"/>
  <c r="AJ58" i="56" s="1"/>
  <c r="AF46" i="56"/>
  <c r="AG46" i="56" s="1"/>
  <c r="AI46" i="56" s="1"/>
  <c r="AL46" i="56" s="1"/>
  <c r="AF34" i="56"/>
  <c r="AG34" i="56" s="1"/>
  <c r="AI34" i="56" s="1"/>
  <c r="AL34" i="56" s="1"/>
  <c r="AF22" i="56"/>
  <c r="AG22" i="56" s="1"/>
  <c r="AI22" i="56" s="1"/>
  <c r="AJ22" i="56" s="1"/>
  <c r="AF10" i="56"/>
  <c r="AG10" i="56" s="1"/>
  <c r="AI10" i="56" s="1"/>
  <c r="AJ10" i="56" s="1"/>
  <c r="AA220" i="56"/>
  <c r="G220" i="56" s="1"/>
  <c r="AF202" i="56"/>
  <c r="AG202" i="56" s="1"/>
  <c r="AI202" i="56" s="1"/>
  <c r="AJ202" i="56" s="1"/>
  <c r="AF190" i="56"/>
  <c r="AG190" i="56" s="1"/>
  <c r="AI190" i="56" s="1"/>
  <c r="AJ190" i="56" s="1"/>
  <c r="AF178" i="56"/>
  <c r="AG178" i="56" s="1"/>
  <c r="AI178" i="56" s="1"/>
  <c r="AJ178" i="56" s="1"/>
  <c r="AF166" i="56"/>
  <c r="AG166" i="56" s="1"/>
  <c r="AI166" i="56" s="1"/>
  <c r="AJ166" i="56" s="1"/>
  <c r="AF154" i="56"/>
  <c r="AG154" i="56" s="1"/>
  <c r="AI154" i="56" s="1"/>
  <c r="AF142" i="56"/>
  <c r="AG142" i="56" s="1"/>
  <c r="AI142" i="56" s="1"/>
  <c r="AL142" i="56" s="1"/>
  <c r="AF129" i="56"/>
  <c r="AG129" i="56" s="1"/>
  <c r="AI129" i="56" s="1"/>
  <c r="AJ129" i="56" s="1"/>
  <c r="AF117" i="56"/>
  <c r="AG117" i="56" s="1"/>
  <c r="AI117" i="56" s="1"/>
  <c r="AJ117" i="56" s="1"/>
  <c r="AF105" i="56"/>
  <c r="AG105" i="56" s="1"/>
  <c r="AI105" i="56" s="1"/>
  <c r="AJ105" i="56" s="1"/>
  <c r="AF93" i="56"/>
  <c r="AG93" i="56" s="1"/>
  <c r="AI93" i="56" s="1"/>
  <c r="AL93" i="56" s="1"/>
  <c r="AF81" i="56"/>
  <c r="AG81" i="56" s="1"/>
  <c r="AI81" i="56" s="1"/>
  <c r="AJ81" i="56" s="1"/>
  <c r="AF69" i="56"/>
  <c r="AG69" i="56" s="1"/>
  <c r="AI69" i="56" s="1"/>
  <c r="AJ69" i="56" s="1"/>
  <c r="AF57" i="56"/>
  <c r="AG57" i="56" s="1"/>
  <c r="AI57" i="56" s="1"/>
  <c r="AL57" i="56" s="1"/>
  <c r="AF45" i="56"/>
  <c r="AG45" i="56" s="1"/>
  <c r="AI45" i="56" s="1"/>
  <c r="AJ45" i="56" s="1"/>
  <c r="AF33" i="56"/>
  <c r="AG33" i="56" s="1"/>
  <c r="AI33" i="56" s="1"/>
  <c r="AF21" i="56"/>
  <c r="AG21" i="56" s="1"/>
  <c r="AI21" i="56" s="1"/>
  <c r="AL21" i="56" s="1"/>
  <c r="AF9" i="56"/>
  <c r="AG9" i="56" s="1"/>
  <c r="AI9" i="56" s="1"/>
  <c r="AF153" i="56"/>
  <c r="AG153" i="56" s="1"/>
  <c r="AI153" i="56" s="1"/>
  <c r="AJ153" i="56" s="1"/>
  <c r="AF92" i="56"/>
  <c r="AG92" i="56" s="1"/>
  <c r="AI92" i="56" s="1"/>
  <c r="AJ92" i="56" s="1"/>
  <c r="AF68" i="56"/>
  <c r="AG68" i="56" s="1"/>
  <c r="AI68" i="56" s="1"/>
  <c r="AJ68" i="56" s="1"/>
  <c r="AF8" i="56"/>
  <c r="AG8" i="56" s="1"/>
  <c r="AI8" i="56" s="1"/>
  <c r="AL8" i="56" s="1"/>
  <c r="AA227" i="56"/>
  <c r="G227" i="56" s="1"/>
  <c r="AA215" i="56"/>
  <c r="G215" i="56" s="1"/>
  <c r="AH223" i="56"/>
  <c r="AI223" i="56" s="1"/>
  <c r="AK223" i="56" s="1"/>
  <c r="AL223" i="56" s="1"/>
  <c r="AH228" i="56"/>
  <c r="AI228" i="56" s="1"/>
  <c r="AK228" i="56" s="1"/>
  <c r="AL228" i="56" s="1"/>
  <c r="AF194" i="56"/>
  <c r="AG194" i="56" s="1"/>
  <c r="AI194" i="56" s="1"/>
  <c r="AJ194" i="56" s="1"/>
  <c r="AU221" i="56"/>
  <c r="AA226" i="56"/>
  <c r="G226" i="56" s="1"/>
  <c r="AA214" i="56"/>
  <c r="G214" i="56" s="1"/>
  <c r="AF199" i="56"/>
  <c r="AG199" i="56" s="1"/>
  <c r="AI199" i="56" s="1"/>
  <c r="AJ199" i="56" s="1"/>
  <c r="AF187" i="56"/>
  <c r="AG187" i="56" s="1"/>
  <c r="AI187" i="56" s="1"/>
  <c r="AF175" i="56"/>
  <c r="AG175" i="56" s="1"/>
  <c r="AI175" i="56" s="1"/>
  <c r="AL175" i="56" s="1"/>
  <c r="AF151" i="56"/>
  <c r="AG151" i="56" s="1"/>
  <c r="AI151" i="56" s="1"/>
  <c r="AJ151" i="56" s="1"/>
  <c r="AF139" i="56"/>
  <c r="AG139" i="56" s="1"/>
  <c r="AI139" i="56" s="1"/>
  <c r="AJ139" i="56" s="1"/>
  <c r="AF114" i="56"/>
  <c r="AG114" i="56" s="1"/>
  <c r="AI114" i="56" s="1"/>
  <c r="AL114" i="56" s="1"/>
  <c r="AF102" i="56"/>
  <c r="AG102" i="56" s="1"/>
  <c r="AI102" i="56" s="1"/>
  <c r="AL102" i="56" s="1"/>
  <c r="AF90" i="56"/>
  <c r="AG90" i="56" s="1"/>
  <c r="AI90" i="56" s="1"/>
  <c r="AL90" i="56" s="1"/>
  <c r="AF78" i="56"/>
  <c r="AG78" i="56" s="1"/>
  <c r="AI78" i="56" s="1"/>
  <c r="AL78" i="56" s="1"/>
  <c r="AF66" i="56"/>
  <c r="AG66" i="56" s="1"/>
  <c r="AI66" i="56" s="1"/>
  <c r="AJ66" i="56" s="1"/>
  <c r="AF54" i="56"/>
  <c r="AG54" i="56" s="1"/>
  <c r="AI54" i="56" s="1"/>
  <c r="AL54" i="56" s="1"/>
  <c r="AF30" i="56"/>
  <c r="AG30" i="56" s="1"/>
  <c r="AI30" i="56" s="1"/>
  <c r="AL30" i="56" s="1"/>
  <c r="AF18" i="56"/>
  <c r="AG18" i="56" s="1"/>
  <c r="AI18" i="56" s="1"/>
  <c r="AJ18" i="56" s="1"/>
  <c r="AH222" i="56"/>
  <c r="AI222" i="56" s="1"/>
  <c r="AK222" i="56" s="1"/>
  <c r="AN222" i="56" s="1"/>
  <c r="AH227" i="56"/>
  <c r="AI227" i="56" s="1"/>
  <c r="AK227" i="56" s="1"/>
  <c r="AL227" i="56" s="1"/>
  <c r="AH216" i="56"/>
  <c r="AI216" i="56" s="1"/>
  <c r="AK216" i="56" s="1"/>
  <c r="AL216" i="56" s="1"/>
  <c r="Y211" i="56"/>
  <c r="F211" i="56" s="1"/>
  <c r="AA225" i="56"/>
  <c r="G225" i="56" s="1"/>
  <c r="AA213" i="56"/>
  <c r="G213" i="56" s="1"/>
  <c r="AF198" i="56"/>
  <c r="AG198" i="56" s="1"/>
  <c r="AI198" i="56" s="1"/>
  <c r="AJ198" i="56" s="1"/>
  <c r="AF186" i="56"/>
  <c r="AG186" i="56" s="1"/>
  <c r="AI186" i="56" s="1"/>
  <c r="AL186" i="56" s="1"/>
  <c r="AF174" i="56"/>
  <c r="AG174" i="56" s="1"/>
  <c r="AI174" i="56" s="1"/>
  <c r="AJ174" i="56" s="1"/>
  <c r="AF162" i="56"/>
  <c r="AG162" i="56" s="1"/>
  <c r="AI162" i="56" s="1"/>
  <c r="AL162" i="56" s="1"/>
  <c r="AF150" i="56"/>
  <c r="AG150" i="56" s="1"/>
  <c r="AI150" i="56" s="1"/>
  <c r="AJ150" i="56" s="1"/>
  <c r="AF138" i="56"/>
  <c r="AG138" i="56" s="1"/>
  <c r="AI138" i="56" s="1"/>
  <c r="AJ138" i="56" s="1"/>
  <c r="AF125" i="56"/>
  <c r="AG125" i="56" s="1"/>
  <c r="AI125" i="56" s="1"/>
  <c r="AF113" i="56"/>
  <c r="AG113" i="56" s="1"/>
  <c r="AI113" i="56" s="1"/>
  <c r="AJ113" i="56" s="1"/>
  <c r="AF101" i="56"/>
  <c r="AG101" i="56" s="1"/>
  <c r="AI101" i="56" s="1"/>
  <c r="AJ101" i="56" s="1"/>
  <c r="AF89" i="56"/>
  <c r="AG89" i="56" s="1"/>
  <c r="AI89" i="56" s="1"/>
  <c r="AJ89" i="56" s="1"/>
  <c r="AF77" i="56"/>
  <c r="AG77" i="56" s="1"/>
  <c r="AI77" i="56" s="1"/>
  <c r="AJ77" i="56" s="1"/>
  <c r="AF65" i="56"/>
  <c r="AG65" i="56" s="1"/>
  <c r="AI65" i="56" s="1"/>
  <c r="AJ65" i="56" s="1"/>
  <c r="AF53" i="56"/>
  <c r="AG53" i="56" s="1"/>
  <c r="AI53" i="56" s="1"/>
  <c r="AJ53" i="56" s="1"/>
  <c r="AF41" i="56"/>
  <c r="AG41" i="56" s="1"/>
  <c r="AI41" i="56" s="1"/>
  <c r="AJ41" i="56" s="1"/>
  <c r="AF29" i="56"/>
  <c r="AG29" i="56" s="1"/>
  <c r="AI29" i="56" s="1"/>
  <c r="AJ29" i="56" s="1"/>
  <c r="AF17" i="56"/>
  <c r="AG17" i="56" s="1"/>
  <c r="AI17" i="56" s="1"/>
  <c r="AL17" i="56" s="1"/>
  <c r="AF5" i="56"/>
  <c r="AG5" i="56" s="1"/>
  <c r="AI5" i="56" s="1"/>
  <c r="AJ5" i="56" s="1"/>
  <c r="AA219" i="56"/>
  <c r="G219" i="56" s="1"/>
  <c r="AH226" i="56"/>
  <c r="AI226" i="56" s="1"/>
  <c r="AK226" i="56" s="1"/>
  <c r="AL226" i="56" s="1"/>
  <c r="Y221" i="56"/>
  <c r="F221" i="56" s="1"/>
  <c r="AS214" i="56"/>
  <c r="AU214" i="56"/>
  <c r="AH220" i="56"/>
  <c r="AI220" i="56" s="1"/>
  <c r="AK220" i="56" s="1"/>
  <c r="AL220" i="56" s="1"/>
  <c r="AF206" i="56"/>
  <c r="AG206" i="56" s="1"/>
  <c r="AI206" i="56" s="1"/>
  <c r="AL206" i="56" s="1"/>
  <c r="AU226" i="56"/>
  <c r="AS226" i="56"/>
  <c r="AH211" i="56"/>
  <c r="AI211" i="56" s="1"/>
  <c r="AK211" i="56" s="1"/>
  <c r="Y218" i="56"/>
  <c r="F218" i="56" s="1"/>
  <c r="AA222" i="56"/>
  <c r="G222" i="56" s="1"/>
  <c r="AH218" i="56"/>
  <c r="AI218" i="56" s="1"/>
  <c r="AK218" i="56" s="1"/>
  <c r="AL218" i="56" s="1"/>
  <c r="AF201" i="56"/>
  <c r="AG201" i="56" s="1"/>
  <c r="AI201" i="56" s="1"/>
  <c r="AL201" i="56" s="1"/>
  <c r="AF177" i="56"/>
  <c r="AG177" i="56" s="1"/>
  <c r="AI177" i="56" s="1"/>
  <c r="AJ177" i="56" s="1"/>
  <c r="AF116" i="56"/>
  <c r="AG116" i="56" s="1"/>
  <c r="AI116" i="56" s="1"/>
  <c r="AL116" i="56" s="1"/>
  <c r="AF56" i="56"/>
  <c r="AG56" i="56" s="1"/>
  <c r="AI56" i="56" s="1"/>
  <c r="AL56" i="56" s="1"/>
  <c r="AF32" i="56"/>
  <c r="AG32" i="56" s="1"/>
  <c r="AI32" i="56" s="1"/>
  <c r="AL32" i="56" s="1"/>
  <c r="AS228" i="56"/>
  <c r="AS216" i="56"/>
  <c r="Y217" i="56"/>
  <c r="F217" i="56" s="1"/>
  <c r="AF182" i="56"/>
  <c r="AG182" i="56" s="1"/>
  <c r="AI182" i="56" s="1"/>
  <c r="AJ182" i="56" s="1"/>
  <c r="AF158" i="56"/>
  <c r="AG158" i="56" s="1"/>
  <c r="AI158" i="56" s="1"/>
  <c r="AL158" i="56" s="1"/>
  <c r="AF134" i="56"/>
  <c r="AG134" i="56" s="1"/>
  <c r="AI134" i="56" s="1"/>
  <c r="AJ134" i="56" s="1"/>
  <c r="AF121" i="56"/>
  <c r="AG121" i="56" s="1"/>
  <c r="AI121" i="56" s="1"/>
  <c r="AJ121" i="56" s="1"/>
  <c r="AF97" i="56"/>
  <c r="AG97" i="56" s="1"/>
  <c r="AI97" i="56" s="1"/>
  <c r="AL97" i="56" s="1"/>
  <c r="AF73" i="56"/>
  <c r="AG73" i="56" s="1"/>
  <c r="AI73" i="56" s="1"/>
  <c r="AL73" i="56" s="1"/>
  <c r="AF37" i="56"/>
  <c r="AG37" i="56" s="1"/>
  <c r="AI37" i="56" s="1"/>
  <c r="AL37" i="56" s="1"/>
  <c r="AF13" i="56"/>
  <c r="AG13" i="56" s="1"/>
  <c r="AI13" i="56" s="1"/>
  <c r="AL13" i="56" s="1"/>
  <c r="AL200" i="56"/>
  <c r="AL188" i="56"/>
  <c r="AJ188" i="56"/>
  <c r="AL176" i="56"/>
  <c r="AL164" i="56"/>
  <c r="AJ79" i="56"/>
  <c r="AJ31" i="56"/>
  <c r="AF141" i="56"/>
  <c r="AG141" i="56" s="1"/>
  <c r="AI141" i="56" s="1"/>
  <c r="AL141" i="56" s="1"/>
  <c r="AS227" i="56"/>
  <c r="AS215" i="56"/>
  <c r="AU222" i="56"/>
  <c r="AJ140" i="56"/>
  <c r="AL115" i="56"/>
  <c r="AL91" i="56"/>
  <c r="AL55" i="56"/>
  <c r="AL19" i="56"/>
  <c r="AJ7" i="56"/>
  <c r="AS222" i="56"/>
  <c r="AF145" i="56"/>
  <c r="AG145" i="56" s="1"/>
  <c r="AI145" i="56" s="1"/>
  <c r="AJ145" i="56" s="1"/>
  <c r="AF133" i="56"/>
  <c r="AG133" i="56" s="1"/>
  <c r="AI133" i="56" s="1"/>
  <c r="AF120" i="56"/>
  <c r="AG120" i="56" s="1"/>
  <c r="AI120" i="56" s="1"/>
  <c r="AJ120" i="56" s="1"/>
  <c r="AF108" i="56"/>
  <c r="AG108" i="56" s="1"/>
  <c r="AI108" i="56" s="1"/>
  <c r="AJ108" i="56" s="1"/>
  <c r="AF96" i="56"/>
  <c r="AG96" i="56" s="1"/>
  <c r="AI96" i="56" s="1"/>
  <c r="AL96" i="56" s="1"/>
  <c r="AF84" i="56"/>
  <c r="AG84" i="56" s="1"/>
  <c r="AI84" i="56" s="1"/>
  <c r="AL84" i="56" s="1"/>
  <c r="AF72" i="56"/>
  <c r="AG72" i="56" s="1"/>
  <c r="AI72" i="56" s="1"/>
  <c r="AJ72" i="56" s="1"/>
  <c r="AF60" i="56"/>
  <c r="AG60" i="56" s="1"/>
  <c r="AI60" i="56" s="1"/>
  <c r="AJ60" i="56" s="1"/>
  <c r="AF48" i="56"/>
  <c r="AG48" i="56" s="1"/>
  <c r="AI48" i="56" s="1"/>
  <c r="AJ48" i="56" s="1"/>
  <c r="AF36" i="56"/>
  <c r="AG36" i="56" s="1"/>
  <c r="AI36" i="56" s="1"/>
  <c r="AL36" i="56" s="1"/>
  <c r="AF24" i="56"/>
  <c r="AG24" i="56" s="1"/>
  <c r="AI24" i="56" s="1"/>
  <c r="AL24" i="56" s="1"/>
  <c r="AF12" i="56"/>
  <c r="AG12" i="56" s="1"/>
  <c r="AI12" i="56" s="1"/>
  <c r="AJ12" i="56" s="1"/>
  <c r="AL79" i="56"/>
  <c r="AS221" i="56"/>
  <c r="AU220" i="56"/>
  <c r="AJ55" i="56"/>
  <c r="AF203" i="56"/>
  <c r="AG203" i="56" s="1"/>
  <c r="AI203" i="56" s="1"/>
  <c r="AJ203" i="56" s="1"/>
  <c r="AS212" i="56"/>
  <c r="AA211" i="56"/>
  <c r="G211" i="56" s="1"/>
  <c r="AH225" i="56"/>
  <c r="AI225" i="56" s="1"/>
  <c r="AK225" i="56" s="1"/>
  <c r="AL225" i="56" s="1"/>
  <c r="AH213" i="56"/>
  <c r="AI213" i="56" s="1"/>
  <c r="AK213" i="56" s="1"/>
  <c r="AL213" i="56" s="1"/>
  <c r="AJ164" i="56"/>
  <c r="AU217" i="56"/>
  <c r="AL7" i="56"/>
  <c r="AU228" i="56"/>
  <c r="AU216" i="56"/>
  <c r="AU219" i="56"/>
  <c r="AS223" i="56"/>
  <c r="AS225" i="56"/>
  <c r="AS213" i="56"/>
  <c r="AS211" i="56"/>
  <c r="AU218" i="56"/>
  <c r="AU225" i="56"/>
  <c r="AU213" i="56"/>
  <c r="AS219" i="56"/>
  <c r="AS218" i="56"/>
  <c r="AS217" i="56"/>
  <c r="AS220" i="56"/>
  <c r="AL103" i="56" l="1"/>
  <c r="AJ6" i="56"/>
  <c r="AJ43" i="56"/>
  <c r="AL152" i="56"/>
  <c r="AJ163" i="56"/>
  <c r="AL42" i="56"/>
  <c r="AL67" i="56"/>
  <c r="AJ127" i="56"/>
  <c r="AL165" i="56"/>
  <c r="AL126" i="56"/>
  <c r="AJ23" i="56"/>
  <c r="AJ189" i="56"/>
  <c r="AL104" i="56"/>
  <c r="AJ71" i="56"/>
  <c r="AL135" i="56"/>
  <c r="AJ205" i="56"/>
  <c r="AJ204" i="56"/>
  <c r="AJ168" i="56"/>
  <c r="AJ61" i="56"/>
  <c r="AJ192" i="56"/>
  <c r="AJ161" i="56"/>
  <c r="AL122" i="56"/>
  <c r="AL77" i="56"/>
  <c r="AJ170" i="56"/>
  <c r="AL27" i="56"/>
  <c r="AL172" i="56"/>
  <c r="AL131" i="56"/>
  <c r="AL25" i="56"/>
  <c r="AJ110" i="56"/>
  <c r="AL180" i="56"/>
  <c r="AJ98" i="56"/>
  <c r="AL16" i="56"/>
  <c r="AL35" i="56"/>
  <c r="AJ196" i="56"/>
  <c r="AL40" i="56"/>
  <c r="AJ85" i="56"/>
  <c r="AL51" i="56"/>
  <c r="AL4" i="56"/>
  <c r="AJ146" i="56"/>
  <c r="AL167" i="56"/>
  <c r="AJ3" i="56"/>
  <c r="AJ149" i="56"/>
  <c r="AJ185" i="56"/>
  <c r="AL39" i="56"/>
  <c r="AJ184" i="56"/>
  <c r="AL63" i="56"/>
  <c r="AL109" i="56"/>
  <c r="AL47" i="56"/>
  <c r="AJ156" i="56"/>
  <c r="AL191" i="56"/>
  <c r="AL49" i="56"/>
  <c r="AJ107" i="56"/>
  <c r="AL179" i="56"/>
  <c r="AL113" i="56"/>
  <c r="AL83" i="56"/>
  <c r="AL101" i="56"/>
  <c r="AL139" i="56"/>
  <c r="AL89" i="56"/>
  <c r="AL151" i="56"/>
  <c r="AL119" i="56"/>
  <c r="AJ34" i="56"/>
  <c r="AL195" i="56"/>
  <c r="AJ112" i="56"/>
  <c r="AJ160" i="56"/>
  <c r="AJ207" i="56"/>
  <c r="AL128" i="56"/>
  <c r="AL224" i="56"/>
  <c r="AL11" i="56"/>
  <c r="AL215" i="56"/>
  <c r="AL144" i="56"/>
  <c r="AL15" i="56"/>
  <c r="AL193" i="56"/>
  <c r="AJ59" i="56"/>
  <c r="AL59" i="56"/>
  <c r="AJ95" i="56"/>
  <c r="AJ187" i="56"/>
  <c r="AL187" i="56"/>
  <c r="AL9" i="56"/>
  <c r="AJ9" i="56"/>
  <c r="AJ154" i="56"/>
  <c r="AL154" i="56"/>
  <c r="AJ125" i="56"/>
  <c r="AL125" i="56"/>
  <c r="AL111" i="56"/>
  <c r="AJ111" i="56"/>
  <c r="AL38" i="56"/>
  <c r="AJ38" i="56"/>
  <c r="AJ100" i="56"/>
  <c r="AJ136" i="56"/>
  <c r="AN214" i="56"/>
  <c r="AL62" i="56"/>
  <c r="AL157" i="56"/>
  <c r="AJ50" i="56"/>
  <c r="AJ169" i="56"/>
  <c r="AL181" i="56"/>
  <c r="AL148" i="56"/>
  <c r="AL166" i="56"/>
  <c r="AJ30" i="56"/>
  <c r="AL138" i="56"/>
  <c r="AL99" i="56"/>
  <c r="AL178" i="56"/>
  <c r="AL150" i="56"/>
  <c r="AL5" i="56"/>
  <c r="AL87" i="56"/>
  <c r="AN225" i="56"/>
  <c r="AL66" i="56"/>
  <c r="AJ26" i="56"/>
  <c r="AJ159" i="56"/>
  <c r="AL80" i="56"/>
  <c r="AL10" i="56"/>
  <c r="AJ183" i="56"/>
  <c r="AL14" i="56"/>
  <c r="AJ143" i="56"/>
  <c r="AL123" i="56"/>
  <c r="AL171" i="56"/>
  <c r="AJ88" i="56"/>
  <c r="AN228" i="56"/>
  <c r="AL197" i="56"/>
  <c r="AJ75" i="56"/>
  <c r="AL52" i="56"/>
  <c r="AL221" i="56"/>
  <c r="AJ8" i="56"/>
  <c r="AL147" i="56"/>
  <c r="AL137" i="56"/>
  <c r="AL121" i="56"/>
  <c r="AJ201" i="56"/>
  <c r="AL219" i="56"/>
  <c r="AL173" i="56"/>
  <c r="AJ54" i="56"/>
  <c r="AL86" i="56"/>
  <c r="AL28" i="56"/>
  <c r="AJ175" i="56"/>
  <c r="AL44" i="56"/>
  <c r="AL74" i="56"/>
  <c r="AL203" i="56"/>
  <c r="AL124" i="56"/>
  <c r="AJ13" i="56"/>
  <c r="AJ46" i="56"/>
  <c r="AJ186" i="56"/>
  <c r="AJ78" i="56"/>
  <c r="AJ70" i="56"/>
  <c r="AJ97" i="56"/>
  <c r="AL120" i="56"/>
  <c r="AJ141" i="56"/>
  <c r="AJ21" i="56"/>
  <c r="AL20" i="56"/>
  <c r="AL45" i="56"/>
  <c r="AL69" i="56"/>
  <c r="AL194" i="56"/>
  <c r="AJ57" i="56"/>
  <c r="AJ64" i="56"/>
  <c r="AJ90" i="56"/>
  <c r="AL202" i="56"/>
  <c r="AL81" i="56"/>
  <c r="AJ76" i="56"/>
  <c r="AJ102" i="56"/>
  <c r="AL22" i="56"/>
  <c r="AN213" i="56"/>
  <c r="AJ17" i="56"/>
  <c r="AJ82" i="56"/>
  <c r="AJ32" i="56"/>
  <c r="AL105" i="56"/>
  <c r="AJ106" i="56"/>
  <c r="AJ162" i="56"/>
  <c r="AN227" i="56"/>
  <c r="AJ93" i="56"/>
  <c r="AJ116" i="56"/>
  <c r="AL153" i="56"/>
  <c r="AL174" i="56"/>
  <c r="AL199" i="56"/>
  <c r="AN216" i="56"/>
  <c r="AL68" i="56"/>
  <c r="AJ142" i="56"/>
  <c r="AL12" i="56"/>
  <c r="AJ155" i="56"/>
  <c r="AL117" i="56"/>
  <c r="AJ130" i="56"/>
  <c r="AN220" i="56"/>
  <c r="AL182" i="56"/>
  <c r="AL60" i="56"/>
  <c r="AL33" i="56"/>
  <c r="AJ33" i="56"/>
  <c r="AL29" i="56"/>
  <c r="AL198" i="56"/>
  <c r="AJ114" i="56"/>
  <c r="AL145" i="56"/>
  <c r="AJ24" i="56"/>
  <c r="AL129" i="56"/>
  <c r="AL94" i="56"/>
  <c r="AL41" i="56"/>
  <c r="AL217" i="56"/>
  <c r="AL18" i="56"/>
  <c r="AL92" i="56"/>
  <c r="AN223" i="56"/>
  <c r="AL108" i="56"/>
  <c r="AN212" i="56"/>
  <c r="AL53" i="56"/>
  <c r="AL222" i="56"/>
  <c r="AJ96" i="56"/>
  <c r="AL58" i="56"/>
  <c r="AL65" i="56"/>
  <c r="AL190" i="56"/>
  <c r="AL118" i="56"/>
  <c r="AL72" i="56"/>
  <c r="AJ56" i="56"/>
  <c r="AJ158" i="56"/>
  <c r="AJ36" i="56"/>
  <c r="AJ206" i="56"/>
  <c r="AJ37" i="56"/>
  <c r="AL177" i="56"/>
  <c r="AJ73" i="56"/>
  <c r="AJ84" i="56"/>
  <c r="AN218" i="56"/>
  <c r="AL134" i="56"/>
  <c r="AL48" i="56"/>
  <c r="AM48" i="56" s="1"/>
  <c r="AN226" i="56"/>
  <c r="AJ133" i="56"/>
  <c r="AL133" i="56"/>
  <c r="AL211" i="56"/>
  <c r="AN211" i="56"/>
  <c r="J212" i="56" l="1"/>
  <c r="J213" i="56"/>
  <c r="J214" i="56"/>
  <c r="J215" i="56"/>
  <c r="J216" i="56"/>
  <c r="J217" i="56"/>
  <c r="J218" i="56"/>
  <c r="J219" i="56"/>
  <c r="J220" i="56"/>
  <c r="J221" i="56"/>
  <c r="J222" i="56"/>
  <c r="J223" i="56"/>
  <c r="J224" i="56"/>
  <c r="J225" i="56"/>
  <c r="J226" i="56"/>
  <c r="J227" i="56"/>
  <c r="J228" i="56"/>
  <c r="J211" i="56"/>
  <c r="C212" i="56"/>
  <c r="C213" i="56"/>
  <c r="C214" i="56"/>
  <c r="C215" i="56"/>
  <c r="C216" i="56"/>
  <c r="C217" i="56"/>
  <c r="C218" i="56"/>
  <c r="C219" i="56"/>
  <c r="C220" i="56"/>
  <c r="C221" i="56"/>
  <c r="C222" i="56"/>
  <c r="C223" i="56"/>
  <c r="C224" i="56"/>
  <c r="C225" i="56"/>
  <c r="C226" i="56"/>
  <c r="C227" i="56"/>
  <c r="C228" i="56"/>
  <c r="C211" i="56"/>
  <c r="B212" i="56"/>
  <c r="B213" i="56"/>
  <c r="B214" i="56"/>
  <c r="B215" i="56"/>
  <c r="B216" i="56"/>
  <c r="B217" i="56"/>
  <c r="B218" i="56"/>
  <c r="B219" i="56"/>
  <c r="B220" i="56"/>
  <c r="B221" i="56"/>
  <c r="B222" i="56"/>
  <c r="B223" i="56"/>
  <c r="B224" i="56"/>
  <c r="B225" i="56"/>
  <c r="B226" i="56"/>
  <c r="B227" i="56"/>
  <c r="B228" i="56"/>
  <c r="B211" i="56"/>
  <c r="C4" i="56"/>
  <c r="C5" i="56"/>
  <c r="C6" i="56"/>
  <c r="C7" i="56"/>
  <c r="C8" i="56"/>
  <c r="C9" i="56"/>
  <c r="C10" i="56"/>
  <c r="C11" i="56"/>
  <c r="C12" i="56"/>
  <c r="C13" i="56"/>
  <c r="C14" i="56"/>
  <c r="C15" i="56"/>
  <c r="C16" i="56"/>
  <c r="C17" i="56"/>
  <c r="C18" i="56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54" i="56"/>
  <c r="C55" i="56"/>
  <c r="C56" i="56"/>
  <c r="C57" i="56"/>
  <c r="C58" i="56"/>
  <c r="C59" i="56"/>
  <c r="C60" i="56"/>
  <c r="C61" i="56"/>
  <c r="C62" i="56"/>
  <c r="C63" i="56"/>
  <c r="C64" i="56"/>
  <c r="C65" i="56"/>
  <c r="C66" i="56"/>
  <c r="C67" i="56"/>
  <c r="C68" i="56"/>
  <c r="C69" i="56"/>
  <c r="C70" i="56"/>
  <c r="C71" i="56"/>
  <c r="C72" i="56"/>
  <c r="C73" i="56"/>
  <c r="C74" i="56"/>
  <c r="C75" i="56"/>
  <c r="C76" i="56"/>
  <c r="C77" i="56"/>
  <c r="C78" i="56"/>
  <c r="C79" i="56"/>
  <c r="C80" i="56"/>
  <c r="C81" i="56"/>
  <c r="C82" i="56"/>
  <c r="C83" i="56"/>
  <c r="C84" i="56"/>
  <c r="C85" i="56"/>
  <c r="C86" i="56"/>
  <c r="C87" i="56"/>
  <c r="C88" i="56"/>
  <c r="C89" i="56"/>
  <c r="C90" i="56"/>
  <c r="C91" i="56"/>
  <c r="C92" i="56"/>
  <c r="C93" i="56"/>
  <c r="C94" i="56"/>
  <c r="C95" i="56"/>
  <c r="C96" i="56"/>
  <c r="C97" i="56"/>
  <c r="C98" i="56"/>
  <c r="C99" i="56"/>
  <c r="C100" i="56"/>
  <c r="C101" i="56"/>
  <c r="C102" i="56"/>
  <c r="C103" i="56"/>
  <c r="C104" i="56"/>
  <c r="C105" i="56"/>
  <c r="C106" i="56"/>
  <c r="C107" i="56"/>
  <c r="C108" i="56"/>
  <c r="C109" i="56"/>
  <c r="C110" i="56"/>
  <c r="C111" i="56"/>
  <c r="C112" i="56"/>
  <c r="C113" i="56"/>
  <c r="C114" i="56"/>
  <c r="C115" i="56"/>
  <c r="C116" i="56"/>
  <c r="C117" i="56"/>
  <c r="C118" i="56"/>
  <c r="C119" i="56"/>
  <c r="C120" i="56"/>
  <c r="C121" i="56"/>
  <c r="C122" i="56"/>
  <c r="C123" i="56"/>
  <c r="C124" i="56"/>
  <c r="C125" i="56"/>
  <c r="C126" i="56"/>
  <c r="C127" i="56"/>
  <c r="C128" i="56"/>
  <c r="C129" i="56"/>
  <c r="C130" i="56"/>
  <c r="C131" i="56"/>
  <c r="C133" i="56"/>
  <c r="C134" i="56"/>
  <c r="C135" i="56"/>
  <c r="C136" i="56"/>
  <c r="C137" i="56"/>
  <c r="C138" i="56"/>
  <c r="C139" i="56"/>
  <c r="C140" i="56"/>
  <c r="C141" i="56"/>
  <c r="C142" i="56"/>
  <c r="C143" i="56"/>
  <c r="C144" i="56"/>
  <c r="C145" i="56"/>
  <c r="C146" i="56"/>
  <c r="C147" i="56"/>
  <c r="C148" i="56"/>
  <c r="C149" i="56"/>
  <c r="C150" i="56"/>
  <c r="C151" i="56"/>
  <c r="C152" i="56"/>
  <c r="C153" i="56"/>
  <c r="C154" i="56"/>
  <c r="C155" i="56"/>
  <c r="C156" i="56"/>
  <c r="C157" i="56"/>
  <c r="C158" i="56"/>
  <c r="C159" i="56"/>
  <c r="C160" i="56"/>
  <c r="C161" i="56"/>
  <c r="C162" i="56"/>
  <c r="C163" i="56"/>
  <c r="C164" i="56"/>
  <c r="C165" i="56"/>
  <c r="C166" i="56"/>
  <c r="C167" i="56"/>
  <c r="C168" i="56"/>
  <c r="C169" i="56"/>
  <c r="C170" i="56"/>
  <c r="C171" i="56"/>
  <c r="C172" i="56"/>
  <c r="C173" i="56"/>
  <c r="C174" i="56"/>
  <c r="C175" i="56"/>
  <c r="C176" i="56"/>
  <c r="C177" i="56"/>
  <c r="C178" i="56"/>
  <c r="C179" i="56"/>
  <c r="C180" i="56"/>
  <c r="C181" i="56"/>
  <c r="C182" i="56"/>
  <c r="C183" i="56"/>
  <c r="C184" i="56"/>
  <c r="C185" i="56"/>
  <c r="C186" i="56"/>
  <c r="C187" i="56"/>
  <c r="C188" i="56"/>
  <c r="C189" i="56"/>
  <c r="C190" i="56"/>
  <c r="C191" i="56"/>
  <c r="C192" i="56"/>
  <c r="C193" i="56"/>
  <c r="C194" i="56"/>
  <c r="C195" i="56"/>
  <c r="C196" i="56"/>
  <c r="C197" i="56"/>
  <c r="C198" i="56"/>
  <c r="C199" i="56"/>
  <c r="C200" i="56"/>
  <c r="C201" i="56"/>
  <c r="C202" i="56"/>
  <c r="C203" i="56"/>
  <c r="C204" i="56"/>
  <c r="C205" i="56"/>
  <c r="C206" i="56"/>
  <c r="C207" i="56"/>
  <c r="C3" i="56"/>
  <c r="B4" i="56"/>
  <c r="B5" i="56"/>
  <c r="B6" i="56"/>
  <c r="B7" i="56"/>
  <c r="B8" i="56"/>
  <c r="B9" i="56"/>
  <c r="B10" i="56"/>
  <c r="B11" i="56"/>
  <c r="B12" i="56"/>
  <c r="B13" i="56"/>
  <c r="B14" i="56"/>
  <c r="B15" i="56"/>
  <c r="B16" i="56"/>
  <c r="B17" i="56"/>
  <c r="B18" i="56"/>
  <c r="B19" i="56"/>
  <c r="B20" i="56"/>
  <c r="B21" i="56"/>
  <c r="B22" i="56"/>
  <c r="B23" i="56"/>
  <c r="B24" i="56"/>
  <c r="B25" i="56"/>
  <c r="B26" i="56"/>
  <c r="B27" i="56"/>
  <c r="B28" i="56"/>
  <c r="B29" i="56"/>
  <c r="B30" i="56"/>
  <c r="B31" i="56"/>
  <c r="B32" i="56"/>
  <c r="B33" i="56"/>
  <c r="B34" i="56"/>
  <c r="B35" i="56"/>
  <c r="B36" i="56"/>
  <c r="B37" i="56"/>
  <c r="B38" i="56"/>
  <c r="B39" i="56"/>
  <c r="B40" i="56"/>
  <c r="B41" i="56"/>
  <c r="B42" i="56"/>
  <c r="B43" i="56"/>
  <c r="B44" i="56"/>
  <c r="B45" i="56"/>
  <c r="B46" i="56"/>
  <c r="B47" i="56"/>
  <c r="B48" i="56"/>
  <c r="B49" i="56"/>
  <c r="B50" i="56"/>
  <c r="B51" i="56"/>
  <c r="B52" i="56"/>
  <c r="B53" i="56"/>
  <c r="B54" i="56"/>
  <c r="B55" i="56"/>
  <c r="B56" i="56"/>
  <c r="B57" i="56"/>
  <c r="B58" i="56"/>
  <c r="B59" i="56"/>
  <c r="B60" i="56"/>
  <c r="B61" i="56"/>
  <c r="B62" i="56"/>
  <c r="B63" i="56"/>
  <c r="B64" i="56"/>
  <c r="B65" i="56"/>
  <c r="B66" i="56"/>
  <c r="B67" i="56"/>
  <c r="B68" i="56"/>
  <c r="B69" i="56"/>
  <c r="B70" i="56"/>
  <c r="B71" i="56"/>
  <c r="B72" i="56"/>
  <c r="B73" i="56"/>
  <c r="B74" i="56"/>
  <c r="B75" i="56"/>
  <c r="B76" i="56"/>
  <c r="B77" i="56"/>
  <c r="B78" i="56"/>
  <c r="B79" i="56"/>
  <c r="B80" i="56"/>
  <c r="B81" i="56"/>
  <c r="B82" i="56"/>
  <c r="B83" i="56"/>
  <c r="B84" i="56"/>
  <c r="B85" i="56"/>
  <c r="B86" i="56"/>
  <c r="B87" i="56"/>
  <c r="B88" i="56"/>
  <c r="B89" i="56"/>
  <c r="B90" i="56"/>
  <c r="B91" i="56"/>
  <c r="B92" i="56"/>
  <c r="B93" i="56"/>
  <c r="B94" i="56"/>
  <c r="B95" i="56"/>
  <c r="B96" i="56"/>
  <c r="B97" i="56"/>
  <c r="B98" i="56"/>
  <c r="B99" i="56"/>
  <c r="B100" i="56"/>
  <c r="B101" i="56"/>
  <c r="B102" i="56"/>
  <c r="B103" i="56"/>
  <c r="B104" i="56"/>
  <c r="B105" i="56"/>
  <c r="B106" i="56"/>
  <c r="B107" i="56"/>
  <c r="B108" i="56"/>
  <c r="B109" i="56"/>
  <c r="B110" i="56"/>
  <c r="B111" i="56"/>
  <c r="B112" i="56"/>
  <c r="B113" i="56"/>
  <c r="B114" i="56"/>
  <c r="B115" i="56"/>
  <c r="B116" i="56"/>
  <c r="B117" i="56"/>
  <c r="B118" i="56"/>
  <c r="B119" i="56"/>
  <c r="B120" i="56"/>
  <c r="B121" i="56"/>
  <c r="B122" i="56"/>
  <c r="B123" i="56"/>
  <c r="B124" i="56"/>
  <c r="B125" i="56"/>
  <c r="B126" i="56"/>
  <c r="B127" i="56"/>
  <c r="B128" i="56"/>
  <c r="B129" i="56"/>
  <c r="B130" i="56"/>
  <c r="B131" i="56"/>
  <c r="B133" i="56"/>
  <c r="B134" i="56"/>
  <c r="B135" i="56"/>
  <c r="B136" i="56"/>
  <c r="B137" i="56"/>
  <c r="B138" i="56"/>
  <c r="B139" i="56"/>
  <c r="B140" i="56"/>
  <c r="B141" i="56"/>
  <c r="B142" i="56"/>
  <c r="B143" i="56"/>
  <c r="B144" i="56"/>
  <c r="B145" i="56"/>
  <c r="B146" i="56"/>
  <c r="B147" i="56"/>
  <c r="B148" i="56"/>
  <c r="B149" i="56"/>
  <c r="B150" i="56"/>
  <c r="B151" i="56"/>
  <c r="B152" i="56"/>
  <c r="B153" i="56"/>
  <c r="B154" i="56"/>
  <c r="B155" i="56"/>
  <c r="B156" i="56"/>
  <c r="B157" i="56"/>
  <c r="B158" i="56"/>
  <c r="B159" i="56"/>
  <c r="B160" i="56"/>
  <c r="B161" i="56"/>
  <c r="B162" i="56"/>
  <c r="B163" i="56"/>
  <c r="B164" i="56"/>
  <c r="B165" i="56"/>
  <c r="B166" i="56"/>
  <c r="B167" i="56"/>
  <c r="B168" i="56"/>
  <c r="B169" i="56"/>
  <c r="B170" i="56"/>
  <c r="B171" i="56"/>
  <c r="B172" i="56"/>
  <c r="B173" i="56"/>
  <c r="B174" i="56"/>
  <c r="B175" i="56"/>
  <c r="B176" i="56"/>
  <c r="B177" i="56"/>
  <c r="B178" i="56"/>
  <c r="B179" i="56"/>
  <c r="B180" i="56"/>
  <c r="B181" i="56"/>
  <c r="B182" i="56"/>
  <c r="B183" i="56"/>
  <c r="B184" i="56"/>
  <c r="B185" i="56"/>
  <c r="B186" i="56"/>
  <c r="B187" i="56"/>
  <c r="B188" i="56"/>
  <c r="B189" i="56"/>
  <c r="B190" i="56"/>
  <c r="B191" i="56"/>
  <c r="B192" i="56"/>
  <c r="B193" i="56"/>
  <c r="B194" i="56"/>
  <c r="B195" i="56"/>
  <c r="B196" i="56"/>
  <c r="B197" i="56"/>
  <c r="B198" i="56"/>
  <c r="B199" i="56"/>
  <c r="B200" i="56"/>
  <c r="B201" i="56"/>
  <c r="B202" i="56"/>
  <c r="B203" i="56"/>
  <c r="B204" i="56"/>
  <c r="B205" i="56"/>
  <c r="B206" i="56"/>
  <c r="B207" i="56"/>
  <c r="B3" i="56"/>
  <c r="A86" i="52" l="1"/>
  <c r="E45" i="52"/>
  <c r="A86" i="47"/>
  <c r="E45" i="47"/>
  <c r="K209" i="19"/>
  <c r="J209" i="19"/>
  <c r="L209" i="19" l="1"/>
  <c r="B216" i="47"/>
  <c r="G9" i="74" l="1"/>
  <c r="C1" i="72" l="1"/>
  <c r="D1" i="72" s="1"/>
  <c r="E1" i="72" s="1"/>
  <c r="F1" i="72" s="1"/>
  <c r="G1" i="72" s="1"/>
  <c r="H1" i="72" s="1"/>
  <c r="I1" i="72" s="1"/>
  <c r="J1" i="72" s="1"/>
  <c r="K1" i="72" s="1"/>
  <c r="L1" i="72" s="1"/>
  <c r="M1" i="72" s="1"/>
  <c r="N1" i="72" s="1"/>
  <c r="O1" i="72" s="1"/>
  <c r="P1" i="72" s="1"/>
  <c r="Q1" i="72" s="1"/>
  <c r="R1" i="72" s="1"/>
  <c r="S1" i="72" s="1"/>
  <c r="T1" i="72" s="1"/>
  <c r="U1" i="72" s="1"/>
  <c r="V1" i="72" s="1"/>
  <c r="W1" i="72" s="1"/>
  <c r="X1" i="72" s="1"/>
  <c r="Y1" i="72" s="1"/>
  <c r="Z1" i="72" s="1"/>
  <c r="AA1" i="72" s="1"/>
  <c r="AB1" i="72" s="1"/>
  <c r="AC1" i="72" s="1"/>
  <c r="AD1" i="72" s="1"/>
  <c r="AE1" i="72" s="1"/>
  <c r="AF1" i="72" s="1"/>
  <c r="AG1" i="72" s="1"/>
  <c r="AH1" i="72" s="1"/>
  <c r="AI1" i="72" s="1"/>
  <c r="AJ1" i="72" s="1"/>
  <c r="AK1" i="72" s="1"/>
  <c r="AL1" i="72" s="1"/>
  <c r="AM1" i="72" s="1"/>
  <c r="AN1" i="72" s="1"/>
  <c r="AO1" i="72" s="1"/>
  <c r="AP1" i="72" s="1"/>
  <c r="AQ1" i="72" s="1"/>
  <c r="AR1" i="72" s="1"/>
  <c r="AS1" i="72" s="1"/>
  <c r="AT1" i="72" s="1"/>
  <c r="AU1" i="72" s="1"/>
  <c r="AV1" i="72" s="1"/>
  <c r="AW1" i="72" s="1"/>
  <c r="AX1" i="72" s="1"/>
  <c r="AY1" i="72" s="1"/>
  <c r="AZ1" i="72" s="1"/>
  <c r="BA1" i="72" s="1"/>
  <c r="BB1" i="72" s="1"/>
  <c r="BC1" i="72" s="1"/>
  <c r="BD1" i="72" s="1"/>
  <c r="BE1" i="72" s="1"/>
  <c r="BF1" i="72" s="1"/>
  <c r="BG1" i="72" s="1"/>
  <c r="BH1" i="72" s="1"/>
  <c r="BI1" i="72" s="1"/>
  <c r="BJ1" i="72" s="1"/>
  <c r="BK1" i="72" s="1"/>
  <c r="BL1" i="72" s="1"/>
  <c r="BM1" i="72" s="1"/>
  <c r="BN1" i="72" s="1"/>
  <c r="BO1" i="72" s="1"/>
  <c r="BP1" i="72" s="1"/>
  <c r="BQ1" i="72" s="1"/>
  <c r="BR1" i="72" s="1"/>
  <c r="BS1" i="72" s="1"/>
  <c r="BT1" i="72" s="1"/>
  <c r="BU1" i="72" s="1"/>
  <c r="BV1" i="72" s="1"/>
  <c r="BW1" i="72" s="1"/>
  <c r="BX1" i="72" s="1"/>
  <c r="BY1" i="72" s="1"/>
  <c r="BZ1" i="72" s="1"/>
  <c r="CA1" i="72" s="1"/>
  <c r="CB1" i="72" s="1"/>
  <c r="CC1" i="72" s="1"/>
  <c r="CD1" i="72" s="1"/>
  <c r="CE1" i="72" s="1"/>
  <c r="CF1" i="72" s="1"/>
  <c r="CG1" i="72" s="1"/>
  <c r="CH1" i="72" s="1"/>
  <c r="CI1" i="72" s="1"/>
  <c r="CJ1" i="72" s="1"/>
  <c r="CK1" i="72" s="1"/>
  <c r="CL1" i="72" s="1"/>
  <c r="CM1" i="72" s="1"/>
  <c r="CN1" i="72" s="1"/>
  <c r="CO1" i="72" s="1"/>
  <c r="CP1" i="72" s="1"/>
  <c r="CQ1" i="72" s="1"/>
  <c r="AH5" i="72" l="1"/>
  <c r="AH6" i="72"/>
  <c r="AH7" i="72"/>
  <c r="AH8" i="72"/>
  <c r="AH9" i="72"/>
  <c r="AH10" i="72"/>
  <c r="AH11" i="72"/>
  <c r="AH12" i="72"/>
  <c r="AH13" i="72"/>
  <c r="AH14" i="72"/>
  <c r="AH15" i="72"/>
  <c r="AH16" i="72"/>
  <c r="AH17" i="72"/>
  <c r="AH18" i="72"/>
  <c r="AH19" i="72"/>
  <c r="AH20" i="72"/>
  <c r="AH21" i="72"/>
  <c r="AH4" i="72"/>
  <c r="AE5" i="72"/>
  <c r="AE6" i="72"/>
  <c r="AE7" i="72"/>
  <c r="AE8" i="72"/>
  <c r="AE9" i="72"/>
  <c r="AE10" i="72"/>
  <c r="AE11" i="72"/>
  <c r="AE12" i="72"/>
  <c r="AE13" i="72"/>
  <c r="AE14" i="72"/>
  <c r="AE15" i="72"/>
  <c r="AE16" i="72"/>
  <c r="AE17" i="72"/>
  <c r="AE18" i="72"/>
  <c r="AE19" i="72"/>
  <c r="AE20" i="72"/>
  <c r="AE21" i="72"/>
  <c r="AE4" i="72"/>
  <c r="AD5" i="72"/>
  <c r="AD6" i="72"/>
  <c r="AD7" i="72"/>
  <c r="AD8" i="72"/>
  <c r="AD9" i="72"/>
  <c r="AD10" i="72"/>
  <c r="AD11" i="72"/>
  <c r="AD12" i="72"/>
  <c r="AD13" i="72"/>
  <c r="AD14" i="72"/>
  <c r="AD15" i="72"/>
  <c r="AD16" i="72"/>
  <c r="AD17" i="72"/>
  <c r="AD18" i="72"/>
  <c r="AD19" i="72"/>
  <c r="AD20" i="72"/>
  <c r="AD21" i="72"/>
  <c r="AD4" i="72"/>
  <c r="AB5" i="72"/>
  <c r="AB6" i="72"/>
  <c r="AB7" i="72"/>
  <c r="AB8" i="72"/>
  <c r="AB9" i="72"/>
  <c r="AB10" i="72"/>
  <c r="AB11" i="72"/>
  <c r="AB12" i="72"/>
  <c r="AB13" i="72"/>
  <c r="AB14" i="72"/>
  <c r="AB15" i="72"/>
  <c r="AB16" i="72"/>
  <c r="AB17" i="72"/>
  <c r="AB18" i="72"/>
  <c r="AB19" i="72"/>
  <c r="AB20" i="72"/>
  <c r="AB21" i="72"/>
  <c r="AB4" i="72"/>
  <c r="AA5" i="72"/>
  <c r="AA6" i="72"/>
  <c r="AA7" i="72"/>
  <c r="AA8" i="72"/>
  <c r="AA9" i="72"/>
  <c r="AA10" i="72"/>
  <c r="AA11" i="72"/>
  <c r="AA12" i="72"/>
  <c r="AA13" i="72"/>
  <c r="AA14" i="72"/>
  <c r="AA15" i="72"/>
  <c r="AA16" i="72"/>
  <c r="AA17" i="72"/>
  <c r="AA18" i="72"/>
  <c r="AA19" i="72"/>
  <c r="AA20" i="72"/>
  <c r="AA21" i="72"/>
  <c r="AA4" i="72"/>
  <c r="E212" i="22"/>
  <c r="C94" i="22" s="1"/>
  <c r="M133" i="71" s="1"/>
  <c r="M5" i="72"/>
  <c r="M6" i="72"/>
  <c r="M7" i="72"/>
  <c r="M8" i="72"/>
  <c r="M9" i="72"/>
  <c r="M10" i="72"/>
  <c r="M11" i="72"/>
  <c r="M12" i="72"/>
  <c r="M13" i="72"/>
  <c r="M14" i="72"/>
  <c r="M15" i="72"/>
  <c r="M16" i="72"/>
  <c r="M17" i="72"/>
  <c r="M18" i="72"/>
  <c r="M19" i="72"/>
  <c r="M20" i="72"/>
  <c r="M21" i="72"/>
  <c r="M4" i="72"/>
  <c r="J5" i="72"/>
  <c r="R5" i="72" s="1"/>
  <c r="J6" i="72"/>
  <c r="R6" i="72" s="1"/>
  <c r="J7" i="72"/>
  <c r="R7" i="72" s="1"/>
  <c r="J8" i="72"/>
  <c r="R8" i="72" s="1"/>
  <c r="J9" i="72"/>
  <c r="R9" i="72" s="1"/>
  <c r="J10" i="72"/>
  <c r="R10" i="72" s="1"/>
  <c r="J11" i="72"/>
  <c r="R11" i="72" s="1"/>
  <c r="J12" i="72"/>
  <c r="R12" i="72" s="1"/>
  <c r="J13" i="72"/>
  <c r="R13" i="72" s="1"/>
  <c r="J14" i="72"/>
  <c r="R14" i="72" s="1"/>
  <c r="J15" i="72"/>
  <c r="R15" i="72" s="1"/>
  <c r="J16" i="72"/>
  <c r="R16" i="72" s="1"/>
  <c r="J17" i="72"/>
  <c r="R17" i="72" s="1"/>
  <c r="J18" i="72"/>
  <c r="R18" i="72" s="1"/>
  <c r="J19" i="72"/>
  <c r="R19" i="72" s="1"/>
  <c r="J20" i="72"/>
  <c r="R20" i="72" s="1"/>
  <c r="J21" i="72"/>
  <c r="R21" i="72" s="1"/>
  <c r="J4" i="72"/>
  <c r="R4" i="72" s="1"/>
  <c r="AK4" i="71"/>
  <c r="AL4" i="71" s="1"/>
  <c r="N3" i="56" l="1"/>
  <c r="N16" i="74"/>
  <c r="AE5" i="71"/>
  <c r="AE6" i="71"/>
  <c r="AE7" i="71"/>
  <c r="AE8" i="71"/>
  <c r="AE9" i="71"/>
  <c r="AE10" i="71"/>
  <c r="AE11" i="71"/>
  <c r="AE12" i="71"/>
  <c r="AE13" i="71"/>
  <c r="AE14" i="71"/>
  <c r="AE15" i="71"/>
  <c r="AE16" i="71"/>
  <c r="AE17" i="71"/>
  <c r="AE18" i="71"/>
  <c r="AE19" i="71"/>
  <c r="AE20" i="71"/>
  <c r="AE21" i="71"/>
  <c r="AE22" i="71"/>
  <c r="AE23" i="71"/>
  <c r="AE24" i="71"/>
  <c r="AE25" i="71"/>
  <c r="AE26" i="71"/>
  <c r="AE27" i="71"/>
  <c r="AE28" i="71"/>
  <c r="AE29" i="71"/>
  <c r="AE30" i="71"/>
  <c r="AE31" i="71"/>
  <c r="AE32" i="71"/>
  <c r="AE33" i="71"/>
  <c r="AE34" i="71"/>
  <c r="AE35" i="71"/>
  <c r="AE36" i="71"/>
  <c r="AE37" i="71"/>
  <c r="AE38" i="71"/>
  <c r="AE39" i="71"/>
  <c r="AE40" i="71"/>
  <c r="AE41" i="71"/>
  <c r="AE42" i="71"/>
  <c r="AE43" i="71"/>
  <c r="AE44" i="71"/>
  <c r="AE45" i="71"/>
  <c r="AE46" i="71"/>
  <c r="AE47" i="71"/>
  <c r="AE48" i="71"/>
  <c r="AE49" i="71"/>
  <c r="AE50" i="71"/>
  <c r="AE51" i="71"/>
  <c r="AE52" i="71"/>
  <c r="AE53" i="71"/>
  <c r="AE54" i="71"/>
  <c r="AE55" i="71"/>
  <c r="AE56" i="71"/>
  <c r="AE57" i="71"/>
  <c r="AE58" i="71"/>
  <c r="AE59" i="71"/>
  <c r="AE60" i="71"/>
  <c r="AE61" i="71"/>
  <c r="AE62" i="71"/>
  <c r="AE63" i="71"/>
  <c r="AE64" i="71"/>
  <c r="AE65" i="71"/>
  <c r="AE66" i="71"/>
  <c r="AE67" i="71"/>
  <c r="AE68" i="71"/>
  <c r="AE69" i="71"/>
  <c r="AE70" i="71"/>
  <c r="AE71" i="71"/>
  <c r="AE72" i="71"/>
  <c r="AE73" i="71"/>
  <c r="AE74" i="71"/>
  <c r="AE75" i="71"/>
  <c r="AE76" i="71"/>
  <c r="AE77" i="71"/>
  <c r="AE78" i="71"/>
  <c r="AE79" i="71"/>
  <c r="AE80" i="71"/>
  <c r="AE81" i="71"/>
  <c r="AE82" i="71"/>
  <c r="AE83" i="71"/>
  <c r="AE84" i="71"/>
  <c r="AE85" i="71"/>
  <c r="AE86" i="71"/>
  <c r="AE87" i="71"/>
  <c r="AE88" i="71"/>
  <c r="AE89" i="71"/>
  <c r="AE90" i="71"/>
  <c r="AE91" i="71"/>
  <c r="AE92" i="71"/>
  <c r="AE93" i="71"/>
  <c r="AE94" i="71"/>
  <c r="AE95" i="71"/>
  <c r="AE96" i="71"/>
  <c r="AE97" i="71"/>
  <c r="AE98" i="71"/>
  <c r="AE99" i="71"/>
  <c r="AE100" i="71"/>
  <c r="AE101" i="71"/>
  <c r="AE102" i="71"/>
  <c r="AE103" i="71"/>
  <c r="AE104" i="71"/>
  <c r="AE105" i="71"/>
  <c r="AE106" i="71"/>
  <c r="AE107" i="71"/>
  <c r="AE108" i="71"/>
  <c r="AE109" i="71"/>
  <c r="AE110" i="71"/>
  <c r="AE111" i="71"/>
  <c r="AE112" i="71"/>
  <c r="AE113" i="71"/>
  <c r="AE114" i="71"/>
  <c r="AE115" i="71"/>
  <c r="AE116" i="71"/>
  <c r="AE117" i="71"/>
  <c r="AE118" i="71"/>
  <c r="AE119" i="71"/>
  <c r="AE120" i="71"/>
  <c r="AE121" i="71"/>
  <c r="AE122" i="71"/>
  <c r="AE123" i="71"/>
  <c r="AE124" i="71"/>
  <c r="AE125" i="71"/>
  <c r="AE126" i="71"/>
  <c r="AE127" i="71"/>
  <c r="AE128" i="71"/>
  <c r="AE129" i="71"/>
  <c r="AE130" i="71"/>
  <c r="AE131" i="71"/>
  <c r="AE132" i="71"/>
  <c r="AE134" i="71"/>
  <c r="AE135" i="71"/>
  <c r="AE136" i="71"/>
  <c r="AE137" i="71"/>
  <c r="AE138" i="71"/>
  <c r="AE139" i="71"/>
  <c r="AE140" i="71"/>
  <c r="AE141" i="71"/>
  <c r="AE142" i="71"/>
  <c r="AE143" i="71"/>
  <c r="AE144" i="71"/>
  <c r="AE145" i="71"/>
  <c r="AE146" i="71"/>
  <c r="AE147" i="71"/>
  <c r="AE148" i="71"/>
  <c r="AE149" i="71"/>
  <c r="AE150" i="71"/>
  <c r="AE151" i="71"/>
  <c r="AE152" i="71"/>
  <c r="AE153" i="71"/>
  <c r="AE154" i="71"/>
  <c r="AE155" i="71"/>
  <c r="AE156" i="71"/>
  <c r="AE157" i="71"/>
  <c r="AE158" i="71"/>
  <c r="AE159" i="71"/>
  <c r="AE160" i="71"/>
  <c r="AE161" i="71"/>
  <c r="AE162" i="71"/>
  <c r="AE163" i="71"/>
  <c r="AE164" i="71"/>
  <c r="AE165" i="71"/>
  <c r="AE166" i="71"/>
  <c r="AE167" i="71"/>
  <c r="AE168" i="71"/>
  <c r="AE169" i="71"/>
  <c r="AE170" i="71"/>
  <c r="AE171" i="71"/>
  <c r="AE172" i="71"/>
  <c r="AE173" i="71"/>
  <c r="AE174" i="71"/>
  <c r="AE175" i="71"/>
  <c r="AE176" i="71"/>
  <c r="AE177" i="71"/>
  <c r="AE178" i="71"/>
  <c r="AE179" i="71"/>
  <c r="AE180" i="71"/>
  <c r="AE181" i="71"/>
  <c r="AE182" i="71"/>
  <c r="AE183" i="71"/>
  <c r="AE184" i="71"/>
  <c r="AE185" i="71"/>
  <c r="AE186" i="71"/>
  <c r="AE187" i="71"/>
  <c r="AE188" i="71"/>
  <c r="AE189" i="71"/>
  <c r="AE190" i="71"/>
  <c r="AE191" i="71"/>
  <c r="AE192" i="71"/>
  <c r="AE193" i="71"/>
  <c r="AE194" i="71"/>
  <c r="AE195" i="71"/>
  <c r="AE196" i="71"/>
  <c r="AE197" i="71"/>
  <c r="AE198" i="71"/>
  <c r="AE199" i="71"/>
  <c r="AE200" i="71"/>
  <c r="AE201" i="71"/>
  <c r="AE202" i="71"/>
  <c r="AE203" i="71"/>
  <c r="AE204" i="71"/>
  <c r="AE205" i="71"/>
  <c r="AE206" i="71"/>
  <c r="AE207" i="71"/>
  <c r="AE208" i="71"/>
  <c r="AE4" i="71"/>
  <c r="AD5" i="71"/>
  <c r="AD6" i="71"/>
  <c r="AD7" i="71"/>
  <c r="AD8" i="71"/>
  <c r="AD9" i="71"/>
  <c r="AD10" i="71"/>
  <c r="AD11" i="71"/>
  <c r="AD12" i="71"/>
  <c r="AD13" i="71"/>
  <c r="AD14" i="71"/>
  <c r="AD15" i="71"/>
  <c r="AD16" i="71"/>
  <c r="AD17" i="71"/>
  <c r="AD18" i="71"/>
  <c r="AD19" i="71"/>
  <c r="AD20" i="71"/>
  <c r="AD21" i="71"/>
  <c r="AD22" i="71"/>
  <c r="AD23" i="71"/>
  <c r="AD24" i="71"/>
  <c r="AD25" i="71"/>
  <c r="AD26" i="71"/>
  <c r="AD27" i="71"/>
  <c r="AD28" i="71"/>
  <c r="AD29" i="71"/>
  <c r="AD30" i="71"/>
  <c r="AD31" i="71"/>
  <c r="AD32" i="71"/>
  <c r="AD33" i="71"/>
  <c r="AD34" i="71"/>
  <c r="AD35" i="71"/>
  <c r="AD36" i="71"/>
  <c r="AD37" i="71"/>
  <c r="AD38" i="71"/>
  <c r="AD39" i="71"/>
  <c r="AD40" i="71"/>
  <c r="AD41" i="71"/>
  <c r="AD42" i="71"/>
  <c r="AD43" i="71"/>
  <c r="AD44" i="71"/>
  <c r="AD45" i="71"/>
  <c r="AD46" i="71"/>
  <c r="AD47" i="71"/>
  <c r="AD48" i="71"/>
  <c r="AD49" i="71"/>
  <c r="AD50" i="71"/>
  <c r="AD51" i="71"/>
  <c r="AD52" i="71"/>
  <c r="AD53" i="71"/>
  <c r="AD54" i="71"/>
  <c r="AD55" i="71"/>
  <c r="AD56" i="71"/>
  <c r="AD57" i="71"/>
  <c r="AD58" i="71"/>
  <c r="AD59" i="71"/>
  <c r="AD60" i="71"/>
  <c r="AD61" i="71"/>
  <c r="AD62" i="71"/>
  <c r="AD63" i="71"/>
  <c r="AD64" i="71"/>
  <c r="AD65" i="71"/>
  <c r="AD66" i="71"/>
  <c r="AD67" i="71"/>
  <c r="AD68" i="71"/>
  <c r="AD69" i="71"/>
  <c r="AD70" i="71"/>
  <c r="AD71" i="71"/>
  <c r="AD72" i="71"/>
  <c r="AD73" i="71"/>
  <c r="AD74" i="71"/>
  <c r="AD75" i="71"/>
  <c r="AD76" i="71"/>
  <c r="AD77" i="71"/>
  <c r="AD78" i="71"/>
  <c r="AD79" i="71"/>
  <c r="AD80" i="71"/>
  <c r="AD81" i="71"/>
  <c r="AD82" i="71"/>
  <c r="AD83" i="71"/>
  <c r="AD84" i="71"/>
  <c r="AD85" i="71"/>
  <c r="AD86" i="71"/>
  <c r="AD87" i="71"/>
  <c r="AD88" i="71"/>
  <c r="AD89" i="71"/>
  <c r="AD90" i="71"/>
  <c r="AD91" i="71"/>
  <c r="AD92" i="71"/>
  <c r="AD93" i="71"/>
  <c r="AD94" i="71"/>
  <c r="AD95" i="71"/>
  <c r="AD96" i="71"/>
  <c r="AD97" i="71"/>
  <c r="AD98" i="71"/>
  <c r="AD99" i="71"/>
  <c r="AD100" i="71"/>
  <c r="AD101" i="71"/>
  <c r="AD102" i="71"/>
  <c r="AD103" i="71"/>
  <c r="AD104" i="71"/>
  <c r="AD105" i="71"/>
  <c r="AD106" i="71"/>
  <c r="AD107" i="71"/>
  <c r="AD108" i="71"/>
  <c r="AD109" i="71"/>
  <c r="AD110" i="71"/>
  <c r="AD111" i="71"/>
  <c r="AD112" i="71"/>
  <c r="AD113" i="71"/>
  <c r="AD114" i="71"/>
  <c r="AD115" i="71"/>
  <c r="AD116" i="71"/>
  <c r="AD117" i="71"/>
  <c r="AD118" i="71"/>
  <c r="AD119" i="71"/>
  <c r="AD120" i="71"/>
  <c r="AD121" i="71"/>
  <c r="AD122" i="71"/>
  <c r="AD123" i="71"/>
  <c r="AD124" i="71"/>
  <c r="AD125" i="71"/>
  <c r="AD126" i="71"/>
  <c r="AD127" i="71"/>
  <c r="AD128" i="71"/>
  <c r="AD129" i="71"/>
  <c r="AD130" i="71"/>
  <c r="AD131" i="71"/>
  <c r="AD132" i="71"/>
  <c r="AD134" i="71"/>
  <c r="AD135" i="71"/>
  <c r="AD136" i="71"/>
  <c r="AD137" i="71"/>
  <c r="AD138" i="71"/>
  <c r="AD139" i="71"/>
  <c r="AD140" i="71"/>
  <c r="AD141" i="71"/>
  <c r="AD142" i="71"/>
  <c r="AD143" i="71"/>
  <c r="AD144" i="71"/>
  <c r="AD145" i="71"/>
  <c r="AD146" i="71"/>
  <c r="AD147" i="71"/>
  <c r="AD148" i="71"/>
  <c r="AD149" i="71"/>
  <c r="AD150" i="71"/>
  <c r="AD151" i="71"/>
  <c r="AD152" i="71"/>
  <c r="AD153" i="71"/>
  <c r="AD154" i="71"/>
  <c r="AD155" i="71"/>
  <c r="AD156" i="71"/>
  <c r="AD157" i="71"/>
  <c r="AD158" i="71"/>
  <c r="AD159" i="71"/>
  <c r="AD160" i="71"/>
  <c r="AD161" i="71"/>
  <c r="AD162" i="71"/>
  <c r="AD163" i="71"/>
  <c r="AD164" i="71"/>
  <c r="AD165" i="71"/>
  <c r="AD166" i="71"/>
  <c r="AD167" i="71"/>
  <c r="AD168" i="71"/>
  <c r="AD169" i="71"/>
  <c r="AD170" i="71"/>
  <c r="AD171" i="71"/>
  <c r="AD172" i="71"/>
  <c r="AD173" i="71"/>
  <c r="AD174" i="71"/>
  <c r="AD175" i="71"/>
  <c r="AD176" i="71"/>
  <c r="AD177" i="71"/>
  <c r="AD178" i="71"/>
  <c r="AD179" i="71"/>
  <c r="AD180" i="71"/>
  <c r="AD181" i="71"/>
  <c r="AD182" i="71"/>
  <c r="AD183" i="71"/>
  <c r="AD184" i="71"/>
  <c r="AD185" i="71"/>
  <c r="AD186" i="71"/>
  <c r="AD187" i="71"/>
  <c r="AD188" i="71"/>
  <c r="AD189" i="71"/>
  <c r="AD190" i="71"/>
  <c r="AD191" i="71"/>
  <c r="AD192" i="71"/>
  <c r="AD193" i="71"/>
  <c r="AD194" i="71"/>
  <c r="AD195" i="71"/>
  <c r="AD196" i="71"/>
  <c r="AD197" i="71"/>
  <c r="AD198" i="71"/>
  <c r="AD199" i="71"/>
  <c r="AD200" i="71"/>
  <c r="AD201" i="71"/>
  <c r="AD202" i="71"/>
  <c r="AD203" i="71"/>
  <c r="AD204" i="71"/>
  <c r="AD205" i="71"/>
  <c r="AD206" i="71"/>
  <c r="AD207" i="71"/>
  <c r="AD208" i="71"/>
  <c r="AD4" i="71"/>
  <c r="AB5" i="71"/>
  <c r="AB6" i="71"/>
  <c r="AB7" i="71"/>
  <c r="AB8" i="71"/>
  <c r="AB9" i="71"/>
  <c r="AB10" i="71"/>
  <c r="AB11" i="71"/>
  <c r="AB12" i="71"/>
  <c r="AB13" i="71"/>
  <c r="AB14" i="71"/>
  <c r="AB15" i="71"/>
  <c r="AB16" i="71"/>
  <c r="AB17" i="71"/>
  <c r="AB18" i="71"/>
  <c r="AB19" i="71"/>
  <c r="AB20" i="71"/>
  <c r="AB21" i="71"/>
  <c r="AB22" i="71"/>
  <c r="AB23" i="71"/>
  <c r="AB24" i="71"/>
  <c r="AB25" i="71"/>
  <c r="AB26" i="71"/>
  <c r="AB27" i="71"/>
  <c r="AB28" i="71"/>
  <c r="AB29" i="71"/>
  <c r="AB30" i="71"/>
  <c r="AB31" i="71"/>
  <c r="AB32" i="71"/>
  <c r="AB33" i="71"/>
  <c r="AB34" i="71"/>
  <c r="AB35" i="71"/>
  <c r="AB36" i="71"/>
  <c r="AB37" i="71"/>
  <c r="AB38" i="71"/>
  <c r="AB39" i="71"/>
  <c r="AB40" i="71"/>
  <c r="AB41" i="71"/>
  <c r="AB42" i="71"/>
  <c r="AB43" i="71"/>
  <c r="AB44" i="71"/>
  <c r="AB45" i="71"/>
  <c r="AB46" i="71"/>
  <c r="AB47" i="71"/>
  <c r="AB48" i="71"/>
  <c r="AB49" i="71"/>
  <c r="AB50" i="71"/>
  <c r="AB51" i="71"/>
  <c r="AB52" i="71"/>
  <c r="AB53" i="71"/>
  <c r="AB54" i="71"/>
  <c r="AB55" i="71"/>
  <c r="AB56" i="71"/>
  <c r="AB57" i="71"/>
  <c r="AB58" i="71"/>
  <c r="AB59" i="71"/>
  <c r="AB60" i="71"/>
  <c r="AB61" i="71"/>
  <c r="AB62" i="71"/>
  <c r="AB63" i="71"/>
  <c r="AB64" i="71"/>
  <c r="AB65" i="71"/>
  <c r="AB66" i="71"/>
  <c r="AB67" i="71"/>
  <c r="AB68" i="71"/>
  <c r="AB69" i="71"/>
  <c r="AB70" i="71"/>
  <c r="AB71" i="71"/>
  <c r="AB72" i="71"/>
  <c r="AB73" i="71"/>
  <c r="AB74" i="71"/>
  <c r="AB75" i="71"/>
  <c r="AB76" i="71"/>
  <c r="AB77" i="71"/>
  <c r="AB78" i="71"/>
  <c r="AB79" i="71"/>
  <c r="AB80" i="71"/>
  <c r="AB81" i="71"/>
  <c r="AB82" i="71"/>
  <c r="AB83" i="71"/>
  <c r="AB84" i="71"/>
  <c r="AB85" i="71"/>
  <c r="AB86" i="71"/>
  <c r="AB87" i="71"/>
  <c r="AB88" i="71"/>
  <c r="AB89" i="71"/>
  <c r="AB90" i="71"/>
  <c r="AB91" i="71"/>
  <c r="AB92" i="71"/>
  <c r="AB93" i="71"/>
  <c r="AB94" i="71"/>
  <c r="AB95" i="71"/>
  <c r="AB96" i="71"/>
  <c r="AB97" i="71"/>
  <c r="AB98" i="71"/>
  <c r="AB99" i="71"/>
  <c r="AB100" i="71"/>
  <c r="AB101" i="71"/>
  <c r="AB102" i="71"/>
  <c r="AB103" i="71"/>
  <c r="AB104" i="71"/>
  <c r="AB105" i="71"/>
  <c r="AB106" i="71"/>
  <c r="AB107" i="71"/>
  <c r="AB108" i="71"/>
  <c r="AB109" i="71"/>
  <c r="AB110" i="71"/>
  <c r="AB111" i="71"/>
  <c r="AB112" i="71"/>
  <c r="AB113" i="71"/>
  <c r="AB114" i="71"/>
  <c r="AB115" i="71"/>
  <c r="AB116" i="71"/>
  <c r="AB117" i="71"/>
  <c r="AB118" i="71"/>
  <c r="AB119" i="71"/>
  <c r="AB120" i="71"/>
  <c r="AB121" i="71"/>
  <c r="AB122" i="71"/>
  <c r="AB123" i="71"/>
  <c r="AB124" i="71"/>
  <c r="AB125" i="71"/>
  <c r="AB126" i="71"/>
  <c r="AB127" i="71"/>
  <c r="AB128" i="71"/>
  <c r="AB129" i="71"/>
  <c r="AB130" i="71"/>
  <c r="AB131" i="71"/>
  <c r="AB132" i="71"/>
  <c r="AB134" i="71"/>
  <c r="AB135" i="71"/>
  <c r="AB136" i="71"/>
  <c r="AB137" i="71"/>
  <c r="AB138" i="71"/>
  <c r="AB139" i="71"/>
  <c r="AB140" i="71"/>
  <c r="AB141" i="71"/>
  <c r="AB142" i="71"/>
  <c r="AB143" i="71"/>
  <c r="AB144" i="71"/>
  <c r="AB145" i="71"/>
  <c r="AB146" i="71"/>
  <c r="AB147" i="71"/>
  <c r="AB148" i="71"/>
  <c r="AB149" i="71"/>
  <c r="AB150" i="71"/>
  <c r="AB151" i="71"/>
  <c r="AB152" i="71"/>
  <c r="AB153" i="71"/>
  <c r="AB154" i="71"/>
  <c r="AB155" i="71"/>
  <c r="AB156" i="71"/>
  <c r="AB157" i="71"/>
  <c r="AB158" i="71"/>
  <c r="AB159" i="71"/>
  <c r="AB160" i="71"/>
  <c r="AB161" i="71"/>
  <c r="AB162" i="71"/>
  <c r="AB163" i="71"/>
  <c r="AB164" i="71"/>
  <c r="AB165" i="71"/>
  <c r="AB166" i="71"/>
  <c r="AB167" i="71"/>
  <c r="AB168" i="71"/>
  <c r="AB169" i="71"/>
  <c r="AB170" i="71"/>
  <c r="AB171" i="71"/>
  <c r="AB172" i="71"/>
  <c r="AB173" i="71"/>
  <c r="AB174" i="71"/>
  <c r="AB175" i="71"/>
  <c r="AB176" i="71"/>
  <c r="AB177" i="71"/>
  <c r="AB178" i="71"/>
  <c r="AB179" i="71"/>
  <c r="AB180" i="71"/>
  <c r="AB181" i="71"/>
  <c r="AB182" i="71"/>
  <c r="AB183" i="71"/>
  <c r="AB184" i="71"/>
  <c r="AB185" i="71"/>
  <c r="AB186" i="71"/>
  <c r="AB187" i="71"/>
  <c r="AB188" i="71"/>
  <c r="AB189" i="71"/>
  <c r="AB190" i="71"/>
  <c r="AB191" i="71"/>
  <c r="AB192" i="71"/>
  <c r="AB193" i="71"/>
  <c r="AB194" i="71"/>
  <c r="AB195" i="71"/>
  <c r="AB196" i="71"/>
  <c r="AB197" i="71"/>
  <c r="AB198" i="71"/>
  <c r="AB199" i="71"/>
  <c r="AB200" i="71"/>
  <c r="AB201" i="71"/>
  <c r="AB202" i="71"/>
  <c r="AB203" i="71"/>
  <c r="AB204" i="71"/>
  <c r="AB205" i="71"/>
  <c r="AB206" i="71"/>
  <c r="AB207" i="71"/>
  <c r="AB208" i="71"/>
  <c r="AB4" i="71"/>
  <c r="AA5" i="71"/>
  <c r="AA6" i="71"/>
  <c r="AA7" i="71"/>
  <c r="AA8" i="71"/>
  <c r="AA9" i="71"/>
  <c r="AA10" i="71"/>
  <c r="AA11" i="71"/>
  <c r="AA12" i="71"/>
  <c r="AA13" i="71"/>
  <c r="AA14" i="71"/>
  <c r="AA15" i="71"/>
  <c r="AA16" i="71"/>
  <c r="AA17" i="71"/>
  <c r="AA18" i="71"/>
  <c r="AA19" i="71"/>
  <c r="AA20" i="71"/>
  <c r="AA21" i="71"/>
  <c r="AA22" i="71"/>
  <c r="AA23" i="71"/>
  <c r="AA24" i="71"/>
  <c r="AA25" i="71"/>
  <c r="AA26" i="71"/>
  <c r="AA27" i="71"/>
  <c r="AA28" i="71"/>
  <c r="AA29" i="71"/>
  <c r="AA30" i="71"/>
  <c r="AA31" i="71"/>
  <c r="AA32" i="71"/>
  <c r="AA33" i="71"/>
  <c r="AA34" i="71"/>
  <c r="AA35" i="71"/>
  <c r="AA36" i="71"/>
  <c r="AA37" i="71"/>
  <c r="AA38" i="71"/>
  <c r="AA39" i="71"/>
  <c r="AA40" i="71"/>
  <c r="AA41" i="71"/>
  <c r="AA42" i="71"/>
  <c r="AA43" i="71"/>
  <c r="AA44" i="71"/>
  <c r="AA45" i="71"/>
  <c r="AA46" i="71"/>
  <c r="AA47" i="71"/>
  <c r="AA48" i="71"/>
  <c r="AA49" i="71"/>
  <c r="AA50" i="71"/>
  <c r="AA51" i="71"/>
  <c r="AA52" i="71"/>
  <c r="AA53" i="71"/>
  <c r="AA54" i="71"/>
  <c r="AA55" i="71"/>
  <c r="AA56" i="71"/>
  <c r="AA57" i="71"/>
  <c r="AA58" i="71"/>
  <c r="AA59" i="71"/>
  <c r="AA60" i="71"/>
  <c r="AA61" i="71"/>
  <c r="AA62" i="71"/>
  <c r="AA63" i="71"/>
  <c r="AA64" i="71"/>
  <c r="AA65" i="71"/>
  <c r="AA66" i="71"/>
  <c r="AA67" i="71"/>
  <c r="AA68" i="71"/>
  <c r="AA69" i="71"/>
  <c r="AA70" i="71"/>
  <c r="AA71" i="71"/>
  <c r="AA72" i="71"/>
  <c r="AA73" i="71"/>
  <c r="AA74" i="71"/>
  <c r="AA75" i="71"/>
  <c r="AA76" i="71"/>
  <c r="AA77" i="71"/>
  <c r="AA78" i="71"/>
  <c r="AA79" i="71"/>
  <c r="AA80" i="71"/>
  <c r="AA81" i="71"/>
  <c r="AA82" i="71"/>
  <c r="AA83" i="71"/>
  <c r="AA84" i="71"/>
  <c r="AA85" i="71"/>
  <c r="AA86" i="71"/>
  <c r="AA87" i="71"/>
  <c r="AA88" i="71"/>
  <c r="AA89" i="71"/>
  <c r="AA90" i="71"/>
  <c r="AA91" i="71"/>
  <c r="AA92" i="71"/>
  <c r="AA93" i="71"/>
  <c r="AA94" i="71"/>
  <c r="AA95" i="71"/>
  <c r="AA96" i="71"/>
  <c r="AA97" i="71"/>
  <c r="AA98" i="71"/>
  <c r="AA99" i="71"/>
  <c r="AA100" i="71"/>
  <c r="AA101" i="71"/>
  <c r="AA102" i="71"/>
  <c r="AA103" i="71"/>
  <c r="AA104" i="71"/>
  <c r="AA105" i="71"/>
  <c r="AA106" i="71"/>
  <c r="AA107" i="71"/>
  <c r="AA108" i="71"/>
  <c r="AA109" i="71"/>
  <c r="AA110" i="71"/>
  <c r="AA111" i="71"/>
  <c r="AA112" i="71"/>
  <c r="AA113" i="71"/>
  <c r="AA114" i="71"/>
  <c r="AA115" i="71"/>
  <c r="AA116" i="71"/>
  <c r="AA117" i="71"/>
  <c r="AA118" i="71"/>
  <c r="AA119" i="71"/>
  <c r="AA120" i="71"/>
  <c r="AA121" i="71"/>
  <c r="AA122" i="71"/>
  <c r="AA123" i="71"/>
  <c r="AA124" i="71"/>
  <c r="AA125" i="71"/>
  <c r="AA126" i="71"/>
  <c r="AA127" i="71"/>
  <c r="AA128" i="71"/>
  <c r="AA129" i="71"/>
  <c r="AA130" i="71"/>
  <c r="AA131" i="71"/>
  <c r="AA132" i="71"/>
  <c r="AA134" i="71"/>
  <c r="AA135" i="71"/>
  <c r="AA136" i="71"/>
  <c r="AA137" i="71"/>
  <c r="AA138" i="71"/>
  <c r="AA139" i="71"/>
  <c r="AA140" i="71"/>
  <c r="AA141" i="71"/>
  <c r="AA142" i="71"/>
  <c r="AA143" i="71"/>
  <c r="AA144" i="71"/>
  <c r="AA145" i="71"/>
  <c r="AA146" i="71"/>
  <c r="AA147" i="71"/>
  <c r="AA148" i="71"/>
  <c r="AA149" i="71"/>
  <c r="AA150" i="71"/>
  <c r="AA151" i="71"/>
  <c r="AA152" i="71"/>
  <c r="AA153" i="71"/>
  <c r="AA154" i="71"/>
  <c r="AA155" i="71"/>
  <c r="AA156" i="71"/>
  <c r="AA157" i="71"/>
  <c r="AA158" i="71"/>
  <c r="AA159" i="71"/>
  <c r="AA160" i="71"/>
  <c r="AA161" i="71"/>
  <c r="AA162" i="71"/>
  <c r="AA163" i="71"/>
  <c r="AA164" i="71"/>
  <c r="AA165" i="71"/>
  <c r="AA166" i="71"/>
  <c r="AA167" i="71"/>
  <c r="AA168" i="71"/>
  <c r="AA169" i="71"/>
  <c r="AA170" i="71"/>
  <c r="AA171" i="71"/>
  <c r="AA172" i="71"/>
  <c r="AA173" i="71"/>
  <c r="AA174" i="71"/>
  <c r="AA175" i="71"/>
  <c r="AA176" i="71"/>
  <c r="AA177" i="71"/>
  <c r="AA178" i="71"/>
  <c r="AA179" i="71"/>
  <c r="AA180" i="71"/>
  <c r="AA181" i="71"/>
  <c r="AA182" i="71"/>
  <c r="AA183" i="71"/>
  <c r="AA184" i="71"/>
  <c r="AA185" i="71"/>
  <c r="AA186" i="71"/>
  <c r="AA187" i="71"/>
  <c r="AA188" i="71"/>
  <c r="AA189" i="71"/>
  <c r="AA190" i="71"/>
  <c r="AA191" i="71"/>
  <c r="AA192" i="71"/>
  <c r="AA193" i="71"/>
  <c r="AA194" i="71"/>
  <c r="AA195" i="71"/>
  <c r="AA196" i="71"/>
  <c r="AA197" i="71"/>
  <c r="AA198" i="71"/>
  <c r="AA199" i="71"/>
  <c r="AA200" i="71"/>
  <c r="AA201" i="71"/>
  <c r="AA202" i="71"/>
  <c r="AA203" i="71"/>
  <c r="AA204" i="71"/>
  <c r="AA205" i="71"/>
  <c r="AA206" i="71"/>
  <c r="AA207" i="71"/>
  <c r="AA208" i="71"/>
  <c r="AA4" i="71"/>
  <c r="S53" i="19"/>
  <c r="S3" i="19"/>
  <c r="J5" i="71" l="1"/>
  <c r="J6" i="71"/>
  <c r="J7" i="71"/>
  <c r="J8" i="71"/>
  <c r="J9" i="71"/>
  <c r="J10" i="71"/>
  <c r="J11" i="71"/>
  <c r="J12" i="71"/>
  <c r="J13" i="71"/>
  <c r="J14" i="71"/>
  <c r="J15" i="71"/>
  <c r="J16" i="71"/>
  <c r="J17" i="71"/>
  <c r="J18" i="71"/>
  <c r="J19" i="71"/>
  <c r="J20" i="71"/>
  <c r="J21" i="71"/>
  <c r="J22" i="71"/>
  <c r="J23" i="71"/>
  <c r="J24" i="71"/>
  <c r="J25" i="71"/>
  <c r="J26" i="71"/>
  <c r="J27" i="71"/>
  <c r="J28" i="71"/>
  <c r="J29" i="71"/>
  <c r="J30" i="71"/>
  <c r="J31" i="71"/>
  <c r="J32" i="71"/>
  <c r="J33" i="71"/>
  <c r="J34" i="71"/>
  <c r="J35" i="71"/>
  <c r="J36" i="71"/>
  <c r="J37" i="71"/>
  <c r="J38" i="71"/>
  <c r="J39" i="71"/>
  <c r="J40" i="71"/>
  <c r="J41" i="71"/>
  <c r="J42" i="71"/>
  <c r="J43" i="71"/>
  <c r="J44" i="71"/>
  <c r="J45" i="71"/>
  <c r="J46" i="71"/>
  <c r="J47" i="71"/>
  <c r="J48" i="71"/>
  <c r="J49" i="71"/>
  <c r="J50" i="71"/>
  <c r="J51" i="71"/>
  <c r="J52" i="71"/>
  <c r="J53" i="71"/>
  <c r="J54" i="71"/>
  <c r="J55" i="71"/>
  <c r="J56" i="71"/>
  <c r="J57" i="71"/>
  <c r="J58" i="71"/>
  <c r="J59" i="71"/>
  <c r="J60" i="71"/>
  <c r="J61" i="71"/>
  <c r="J62" i="71"/>
  <c r="J63" i="71"/>
  <c r="J64" i="71"/>
  <c r="J65" i="71"/>
  <c r="J66" i="71"/>
  <c r="J67" i="71"/>
  <c r="J68" i="71"/>
  <c r="J69" i="71"/>
  <c r="J70" i="71"/>
  <c r="J71" i="71"/>
  <c r="J72" i="71"/>
  <c r="J73" i="71"/>
  <c r="J74" i="71"/>
  <c r="J75" i="71"/>
  <c r="J76" i="71"/>
  <c r="J77" i="71"/>
  <c r="J78" i="71"/>
  <c r="J79" i="71"/>
  <c r="J80" i="71"/>
  <c r="J81" i="71"/>
  <c r="J82" i="71"/>
  <c r="J83" i="71"/>
  <c r="J84" i="71"/>
  <c r="J85" i="71"/>
  <c r="J86" i="71"/>
  <c r="J87" i="71"/>
  <c r="J88" i="71"/>
  <c r="J89" i="71"/>
  <c r="J90" i="71"/>
  <c r="J91" i="71"/>
  <c r="J92" i="71"/>
  <c r="J93" i="71"/>
  <c r="J94" i="71"/>
  <c r="J95" i="71"/>
  <c r="J96" i="71"/>
  <c r="J97" i="71"/>
  <c r="J98" i="71"/>
  <c r="J99" i="71"/>
  <c r="J100" i="71"/>
  <c r="J101" i="71"/>
  <c r="J102" i="71"/>
  <c r="J103" i="71"/>
  <c r="J104" i="71"/>
  <c r="J105" i="71"/>
  <c r="J106" i="71"/>
  <c r="J107" i="71"/>
  <c r="J108" i="71"/>
  <c r="J109" i="71"/>
  <c r="J110" i="71"/>
  <c r="J111" i="71"/>
  <c r="J112" i="71"/>
  <c r="J113" i="71"/>
  <c r="J114" i="71"/>
  <c r="J115" i="71"/>
  <c r="J116" i="71"/>
  <c r="J117" i="71"/>
  <c r="J118" i="71"/>
  <c r="J119" i="71"/>
  <c r="J120" i="71"/>
  <c r="J121" i="71"/>
  <c r="J122" i="71"/>
  <c r="J123" i="71"/>
  <c r="J124" i="71"/>
  <c r="J125" i="71"/>
  <c r="J126" i="71"/>
  <c r="J127" i="71"/>
  <c r="J128" i="71"/>
  <c r="J129" i="71"/>
  <c r="J130" i="71"/>
  <c r="J131" i="71"/>
  <c r="J132" i="71"/>
  <c r="J134" i="71"/>
  <c r="J135" i="71"/>
  <c r="J136" i="71"/>
  <c r="J137" i="71"/>
  <c r="J138" i="71"/>
  <c r="J139" i="71"/>
  <c r="J140" i="71"/>
  <c r="J141" i="71"/>
  <c r="J142" i="71"/>
  <c r="J143" i="71"/>
  <c r="J144" i="71"/>
  <c r="J145" i="71"/>
  <c r="J146" i="71"/>
  <c r="J147" i="71"/>
  <c r="J148" i="71"/>
  <c r="J149" i="71"/>
  <c r="J150" i="71"/>
  <c r="J151" i="71"/>
  <c r="J152" i="71"/>
  <c r="J153" i="71"/>
  <c r="J154" i="71"/>
  <c r="J155" i="71"/>
  <c r="J156" i="71"/>
  <c r="J157" i="71"/>
  <c r="J158" i="71"/>
  <c r="J159" i="71"/>
  <c r="J160" i="71"/>
  <c r="J161" i="71"/>
  <c r="J162" i="71"/>
  <c r="J163" i="71"/>
  <c r="J164" i="71"/>
  <c r="J165" i="71"/>
  <c r="J166" i="71"/>
  <c r="J167" i="71"/>
  <c r="J168" i="71"/>
  <c r="J169" i="71"/>
  <c r="J170" i="71"/>
  <c r="J171" i="71"/>
  <c r="J172" i="71"/>
  <c r="J173" i="71"/>
  <c r="J174" i="71"/>
  <c r="J175" i="71"/>
  <c r="J176" i="71"/>
  <c r="J177" i="71"/>
  <c r="J178" i="71"/>
  <c r="J179" i="71"/>
  <c r="J180" i="71"/>
  <c r="J181" i="71"/>
  <c r="J182" i="71"/>
  <c r="J183" i="71"/>
  <c r="J184" i="71"/>
  <c r="J185" i="71"/>
  <c r="J186" i="71"/>
  <c r="J187" i="71"/>
  <c r="J188" i="71"/>
  <c r="J189" i="71"/>
  <c r="J190" i="71"/>
  <c r="J191" i="71"/>
  <c r="J192" i="71"/>
  <c r="J193" i="71"/>
  <c r="J194" i="71"/>
  <c r="J195" i="71"/>
  <c r="J196" i="71"/>
  <c r="J197" i="71"/>
  <c r="J198" i="71"/>
  <c r="J199" i="71"/>
  <c r="J200" i="71"/>
  <c r="J201" i="71"/>
  <c r="J202" i="71"/>
  <c r="J203" i="71"/>
  <c r="J204" i="71"/>
  <c r="J205" i="71"/>
  <c r="J206" i="71"/>
  <c r="J207" i="71"/>
  <c r="J208" i="71"/>
  <c r="J4" i="71"/>
  <c r="AH4" i="71" s="1"/>
  <c r="J3" i="56" s="1"/>
  <c r="R135" i="71" l="1"/>
  <c r="AH135" i="71"/>
  <c r="J134" i="56" s="1"/>
  <c r="R50" i="71"/>
  <c r="AH50" i="71"/>
  <c r="J49" i="56" s="1"/>
  <c r="R146" i="71"/>
  <c r="AH146" i="71"/>
  <c r="J145" i="56" s="1"/>
  <c r="R61" i="71"/>
  <c r="AH61" i="71"/>
  <c r="J60" i="56" s="1"/>
  <c r="R145" i="71"/>
  <c r="AH145" i="71"/>
  <c r="J144" i="56" s="1"/>
  <c r="R36" i="71"/>
  <c r="AH36" i="71"/>
  <c r="J35" i="56" s="1"/>
  <c r="R180" i="71"/>
  <c r="AH180" i="71"/>
  <c r="J179" i="56" s="1"/>
  <c r="R107" i="71"/>
  <c r="AH107" i="71"/>
  <c r="J106" i="56" s="1"/>
  <c r="R71" i="71"/>
  <c r="AH71" i="71"/>
  <c r="J70" i="56" s="1"/>
  <c r="R167" i="71"/>
  <c r="AH167" i="71"/>
  <c r="J166" i="56" s="1"/>
  <c r="R155" i="71"/>
  <c r="AH155" i="71"/>
  <c r="J154" i="56" s="1"/>
  <c r="R143" i="71"/>
  <c r="AH143" i="71"/>
  <c r="J142" i="56" s="1"/>
  <c r="R130" i="71"/>
  <c r="AH130" i="71"/>
  <c r="J129" i="56" s="1"/>
  <c r="R118" i="71"/>
  <c r="AH118" i="71"/>
  <c r="J117" i="56" s="1"/>
  <c r="R106" i="71"/>
  <c r="AH106" i="71"/>
  <c r="J105" i="56" s="1"/>
  <c r="R94" i="71"/>
  <c r="AH94" i="71"/>
  <c r="J93" i="56" s="1"/>
  <c r="R82" i="71"/>
  <c r="AH82" i="71"/>
  <c r="J81" i="56" s="1"/>
  <c r="R70" i="71"/>
  <c r="AH70" i="71"/>
  <c r="J69" i="56" s="1"/>
  <c r="R58" i="71"/>
  <c r="AH58" i="71"/>
  <c r="J57" i="56" s="1"/>
  <c r="R46" i="71"/>
  <c r="AH46" i="71"/>
  <c r="J45" i="56" s="1"/>
  <c r="R34" i="71"/>
  <c r="AH34" i="71"/>
  <c r="J33" i="56" s="1"/>
  <c r="R22" i="71"/>
  <c r="AH22" i="71"/>
  <c r="J21" i="56" s="1"/>
  <c r="R10" i="71"/>
  <c r="AH10" i="71"/>
  <c r="J9" i="56" s="1"/>
  <c r="R159" i="71"/>
  <c r="AH159" i="71"/>
  <c r="J158" i="56" s="1"/>
  <c r="R38" i="71"/>
  <c r="AH38" i="71"/>
  <c r="J37" i="56" s="1"/>
  <c r="R134" i="71"/>
  <c r="AH134" i="71"/>
  <c r="J133" i="56" s="1"/>
  <c r="R73" i="71"/>
  <c r="AH73" i="71"/>
  <c r="J72" i="56" s="1"/>
  <c r="R157" i="71"/>
  <c r="AH157" i="71"/>
  <c r="J156" i="56" s="1"/>
  <c r="R48" i="71"/>
  <c r="AH48" i="71"/>
  <c r="J47" i="56" s="1"/>
  <c r="R168" i="71"/>
  <c r="AH168" i="71"/>
  <c r="J167" i="56" s="1"/>
  <c r="R131" i="71"/>
  <c r="AH131" i="71"/>
  <c r="J130" i="56" s="1"/>
  <c r="R95" i="71"/>
  <c r="AH95" i="71"/>
  <c r="J94" i="56" s="1"/>
  <c r="R202" i="71"/>
  <c r="AH202" i="71"/>
  <c r="J201" i="56" s="1"/>
  <c r="R154" i="71"/>
  <c r="AH154" i="71"/>
  <c r="J153" i="56" s="1"/>
  <c r="R142" i="71"/>
  <c r="AH142" i="71"/>
  <c r="J141" i="56" s="1"/>
  <c r="R129" i="71"/>
  <c r="AH129" i="71"/>
  <c r="J128" i="56" s="1"/>
  <c r="R117" i="71"/>
  <c r="AH117" i="71"/>
  <c r="J116" i="56" s="1"/>
  <c r="R105" i="71"/>
  <c r="AH105" i="71"/>
  <c r="J104" i="56" s="1"/>
  <c r="R93" i="71"/>
  <c r="AH93" i="71"/>
  <c r="J92" i="56" s="1"/>
  <c r="R81" i="71"/>
  <c r="AH81" i="71"/>
  <c r="J80" i="56" s="1"/>
  <c r="R69" i="71"/>
  <c r="AH69" i="71"/>
  <c r="J68" i="56" s="1"/>
  <c r="R57" i="71"/>
  <c r="AH57" i="71"/>
  <c r="J56" i="56" s="1"/>
  <c r="R45" i="71"/>
  <c r="AH45" i="71"/>
  <c r="J44" i="56" s="1"/>
  <c r="R33" i="71"/>
  <c r="AH33" i="71"/>
  <c r="J32" i="56" s="1"/>
  <c r="R21" i="71"/>
  <c r="AH21" i="71"/>
  <c r="J20" i="56" s="1"/>
  <c r="R9" i="71"/>
  <c r="AH9" i="71"/>
  <c r="J8" i="56" s="1"/>
  <c r="R122" i="71"/>
  <c r="AH122" i="71"/>
  <c r="J121" i="56" s="1"/>
  <c r="R14" i="71"/>
  <c r="AH14" i="71"/>
  <c r="J13" i="56" s="1"/>
  <c r="R194" i="71"/>
  <c r="AH194" i="71"/>
  <c r="J193" i="56" s="1"/>
  <c r="R121" i="71"/>
  <c r="AH121" i="71"/>
  <c r="J120" i="56" s="1"/>
  <c r="R97" i="71"/>
  <c r="AH97" i="71"/>
  <c r="J96" i="56" s="1"/>
  <c r="R205" i="71"/>
  <c r="AH205" i="71"/>
  <c r="J204" i="56" s="1"/>
  <c r="R108" i="71"/>
  <c r="AH108" i="71"/>
  <c r="J107" i="56" s="1"/>
  <c r="R24" i="71"/>
  <c r="AH24" i="71"/>
  <c r="J23" i="56" s="1"/>
  <c r="R192" i="71"/>
  <c r="AH192" i="71"/>
  <c r="J191" i="56" s="1"/>
  <c r="R119" i="71"/>
  <c r="AH119" i="71"/>
  <c r="J118" i="56" s="1"/>
  <c r="R59" i="71"/>
  <c r="AH59" i="71"/>
  <c r="J58" i="56" s="1"/>
  <c r="R203" i="71"/>
  <c r="AH203" i="71"/>
  <c r="J202" i="56" s="1"/>
  <c r="R189" i="71"/>
  <c r="AH189" i="71"/>
  <c r="J188" i="56" s="1"/>
  <c r="R177" i="71"/>
  <c r="AH177" i="71"/>
  <c r="J176" i="56" s="1"/>
  <c r="R165" i="71"/>
  <c r="AH165" i="71"/>
  <c r="J164" i="56" s="1"/>
  <c r="R153" i="71"/>
  <c r="AH153" i="71"/>
  <c r="J152" i="56" s="1"/>
  <c r="R141" i="71"/>
  <c r="AH141" i="71"/>
  <c r="J140" i="56" s="1"/>
  <c r="R128" i="71"/>
  <c r="AH128" i="71"/>
  <c r="J127" i="56" s="1"/>
  <c r="R116" i="71"/>
  <c r="AH116" i="71"/>
  <c r="J115" i="56" s="1"/>
  <c r="R104" i="71"/>
  <c r="AH104" i="71"/>
  <c r="J103" i="56" s="1"/>
  <c r="R92" i="71"/>
  <c r="AH92" i="71"/>
  <c r="J91" i="56" s="1"/>
  <c r="R80" i="71"/>
  <c r="AH80" i="71"/>
  <c r="J79" i="56" s="1"/>
  <c r="R68" i="71"/>
  <c r="AH68" i="71"/>
  <c r="J67" i="56" s="1"/>
  <c r="R56" i="71"/>
  <c r="AH56" i="71"/>
  <c r="J55" i="56" s="1"/>
  <c r="R44" i="71"/>
  <c r="AH44" i="71"/>
  <c r="J43" i="56" s="1"/>
  <c r="R32" i="71"/>
  <c r="AH32" i="71"/>
  <c r="J31" i="56" s="1"/>
  <c r="R20" i="71"/>
  <c r="AH20" i="71"/>
  <c r="J19" i="56" s="1"/>
  <c r="R8" i="71"/>
  <c r="AH8" i="71"/>
  <c r="J7" i="56" s="1"/>
  <c r="R171" i="71"/>
  <c r="AH171" i="71"/>
  <c r="J170" i="56" s="1"/>
  <c r="R62" i="71"/>
  <c r="AH62" i="71"/>
  <c r="J61" i="56" s="1"/>
  <c r="R13" i="71"/>
  <c r="AH13" i="71"/>
  <c r="J12" i="56" s="1"/>
  <c r="R193" i="71"/>
  <c r="AH193" i="71"/>
  <c r="J192" i="56" s="1"/>
  <c r="R96" i="71"/>
  <c r="AH96" i="71"/>
  <c r="J95" i="56" s="1"/>
  <c r="R156" i="71"/>
  <c r="AH156" i="71"/>
  <c r="J155" i="56" s="1"/>
  <c r="R47" i="71"/>
  <c r="AH47" i="71"/>
  <c r="J46" i="56" s="1"/>
  <c r="R166" i="71"/>
  <c r="AH166" i="71"/>
  <c r="J165" i="56" s="1"/>
  <c r="R200" i="71"/>
  <c r="AH200" i="71"/>
  <c r="J199" i="56" s="1"/>
  <c r="R188" i="71"/>
  <c r="AH188" i="71"/>
  <c r="J187" i="56" s="1"/>
  <c r="R176" i="71"/>
  <c r="AH176" i="71"/>
  <c r="J175" i="56" s="1"/>
  <c r="R164" i="71"/>
  <c r="AH164" i="71"/>
  <c r="J163" i="56" s="1"/>
  <c r="R152" i="71"/>
  <c r="AH152" i="71"/>
  <c r="J151" i="56" s="1"/>
  <c r="R140" i="71"/>
  <c r="AH140" i="71"/>
  <c r="J139" i="56" s="1"/>
  <c r="R127" i="71"/>
  <c r="AH127" i="71"/>
  <c r="J126" i="56" s="1"/>
  <c r="R115" i="71"/>
  <c r="AH115" i="71"/>
  <c r="J114" i="56" s="1"/>
  <c r="R103" i="71"/>
  <c r="AH103" i="71"/>
  <c r="J102" i="56" s="1"/>
  <c r="R91" i="71"/>
  <c r="AH91" i="71"/>
  <c r="J90" i="56" s="1"/>
  <c r="R79" i="71"/>
  <c r="AH79" i="71"/>
  <c r="J78" i="56" s="1"/>
  <c r="R67" i="71"/>
  <c r="AH67" i="71"/>
  <c r="J66" i="56" s="1"/>
  <c r="R55" i="71"/>
  <c r="AH55" i="71"/>
  <c r="J54" i="56" s="1"/>
  <c r="R43" i="71"/>
  <c r="AH43" i="71"/>
  <c r="J42" i="56" s="1"/>
  <c r="R31" i="71"/>
  <c r="AH31" i="71"/>
  <c r="J30" i="56" s="1"/>
  <c r="R19" i="71"/>
  <c r="AH19" i="71"/>
  <c r="J18" i="56" s="1"/>
  <c r="R7" i="71"/>
  <c r="AH7" i="71"/>
  <c r="J6" i="56" s="1"/>
  <c r="R183" i="71"/>
  <c r="AH183" i="71"/>
  <c r="J182" i="56" s="1"/>
  <c r="R74" i="71"/>
  <c r="AH74" i="71"/>
  <c r="J73" i="56" s="1"/>
  <c r="R158" i="71"/>
  <c r="AH158" i="71"/>
  <c r="J157" i="56" s="1"/>
  <c r="R49" i="71"/>
  <c r="AH49" i="71"/>
  <c r="J48" i="56" s="1"/>
  <c r="R169" i="71"/>
  <c r="AH169" i="71"/>
  <c r="J168" i="56" s="1"/>
  <c r="R84" i="71"/>
  <c r="AH84" i="71"/>
  <c r="J83" i="56" s="1"/>
  <c r="R204" i="71"/>
  <c r="AH204" i="71"/>
  <c r="J203" i="56" s="1"/>
  <c r="R35" i="71"/>
  <c r="AH35" i="71"/>
  <c r="J34" i="56" s="1"/>
  <c r="R190" i="71"/>
  <c r="AH190" i="71"/>
  <c r="J189" i="56" s="1"/>
  <c r="R199" i="71"/>
  <c r="AH199" i="71"/>
  <c r="J198" i="56" s="1"/>
  <c r="R187" i="71"/>
  <c r="AH187" i="71"/>
  <c r="J186" i="56" s="1"/>
  <c r="R175" i="71"/>
  <c r="AH175" i="71"/>
  <c r="J174" i="56" s="1"/>
  <c r="R163" i="71"/>
  <c r="AH163" i="71"/>
  <c r="J162" i="56" s="1"/>
  <c r="R151" i="71"/>
  <c r="AH151" i="71"/>
  <c r="J150" i="56" s="1"/>
  <c r="R139" i="71"/>
  <c r="AH139" i="71"/>
  <c r="J138" i="56" s="1"/>
  <c r="R126" i="71"/>
  <c r="AH126" i="71"/>
  <c r="J125" i="56" s="1"/>
  <c r="R114" i="71"/>
  <c r="AH114" i="71"/>
  <c r="J113" i="56" s="1"/>
  <c r="R102" i="71"/>
  <c r="AH102" i="71"/>
  <c r="J101" i="56" s="1"/>
  <c r="R90" i="71"/>
  <c r="AH90" i="71"/>
  <c r="J89" i="56" s="1"/>
  <c r="R78" i="71"/>
  <c r="AH78" i="71"/>
  <c r="J77" i="56" s="1"/>
  <c r="R66" i="71"/>
  <c r="AH66" i="71"/>
  <c r="J65" i="56" s="1"/>
  <c r="R54" i="71"/>
  <c r="AH54" i="71"/>
  <c r="J53" i="56" s="1"/>
  <c r="R42" i="71"/>
  <c r="AH42" i="71"/>
  <c r="J41" i="56" s="1"/>
  <c r="R30" i="71"/>
  <c r="AH30" i="71"/>
  <c r="J29" i="56" s="1"/>
  <c r="R18" i="71"/>
  <c r="AH18" i="71"/>
  <c r="J17" i="56" s="1"/>
  <c r="R6" i="71"/>
  <c r="AH6" i="71"/>
  <c r="J5" i="56" s="1"/>
  <c r="R98" i="71"/>
  <c r="AH98" i="71"/>
  <c r="J97" i="56" s="1"/>
  <c r="R206" i="71"/>
  <c r="AH206" i="71"/>
  <c r="J205" i="56" s="1"/>
  <c r="R25" i="71"/>
  <c r="AH25" i="71"/>
  <c r="J24" i="56" s="1"/>
  <c r="R120" i="71"/>
  <c r="AH120" i="71"/>
  <c r="J119" i="56" s="1"/>
  <c r="R72" i="71"/>
  <c r="AH72" i="71"/>
  <c r="J71" i="56" s="1"/>
  <c r="R11" i="71"/>
  <c r="AH11" i="71"/>
  <c r="J10" i="56" s="1"/>
  <c r="R178" i="71"/>
  <c r="AH178" i="71"/>
  <c r="J177" i="56" s="1"/>
  <c r="R198" i="71"/>
  <c r="AH198" i="71"/>
  <c r="J197" i="56" s="1"/>
  <c r="R186" i="71"/>
  <c r="AH186" i="71"/>
  <c r="J185" i="56" s="1"/>
  <c r="R174" i="71"/>
  <c r="AH174" i="71"/>
  <c r="J173" i="56" s="1"/>
  <c r="R162" i="71"/>
  <c r="AH162" i="71"/>
  <c r="J161" i="56" s="1"/>
  <c r="R150" i="71"/>
  <c r="AH150" i="71"/>
  <c r="J149" i="56" s="1"/>
  <c r="R138" i="71"/>
  <c r="AH138" i="71"/>
  <c r="J137" i="56" s="1"/>
  <c r="R125" i="71"/>
  <c r="AH125" i="71"/>
  <c r="J124" i="56" s="1"/>
  <c r="R113" i="71"/>
  <c r="AH113" i="71"/>
  <c r="J112" i="56" s="1"/>
  <c r="R101" i="71"/>
  <c r="AH101" i="71"/>
  <c r="J100" i="56" s="1"/>
  <c r="R89" i="71"/>
  <c r="AH89" i="71"/>
  <c r="J88" i="56" s="1"/>
  <c r="R77" i="71"/>
  <c r="AH77" i="71"/>
  <c r="J76" i="56" s="1"/>
  <c r="R65" i="71"/>
  <c r="AH65" i="71"/>
  <c r="J64" i="56" s="1"/>
  <c r="R53" i="71"/>
  <c r="AH53" i="71"/>
  <c r="J52" i="56" s="1"/>
  <c r="R41" i="71"/>
  <c r="AH41" i="71"/>
  <c r="J40" i="56" s="1"/>
  <c r="R29" i="71"/>
  <c r="AH29" i="71"/>
  <c r="J28" i="56" s="1"/>
  <c r="R17" i="71"/>
  <c r="AH17" i="71"/>
  <c r="J16" i="56" s="1"/>
  <c r="R5" i="71"/>
  <c r="AH5" i="71"/>
  <c r="J4" i="56" s="1"/>
  <c r="R207" i="71"/>
  <c r="AH207" i="71"/>
  <c r="J206" i="56" s="1"/>
  <c r="R86" i="71"/>
  <c r="AH86" i="71"/>
  <c r="J85" i="56" s="1"/>
  <c r="R182" i="71"/>
  <c r="AH182" i="71"/>
  <c r="J181" i="56" s="1"/>
  <c r="R37" i="71"/>
  <c r="AH37" i="71"/>
  <c r="J36" i="56" s="1"/>
  <c r="R132" i="71"/>
  <c r="AH132" i="71"/>
  <c r="J131" i="56" s="1"/>
  <c r="R60" i="71"/>
  <c r="AH60" i="71"/>
  <c r="J59" i="56" s="1"/>
  <c r="R23" i="71"/>
  <c r="AH23" i="71"/>
  <c r="J22" i="56" s="1"/>
  <c r="R191" i="71"/>
  <c r="AH191" i="71"/>
  <c r="J190" i="56" s="1"/>
  <c r="R201" i="71"/>
  <c r="AH201" i="71"/>
  <c r="J200" i="56" s="1"/>
  <c r="R173" i="71"/>
  <c r="AH173" i="71"/>
  <c r="J172" i="56" s="1"/>
  <c r="R149" i="71"/>
  <c r="AH149" i="71"/>
  <c r="J148" i="56" s="1"/>
  <c r="R124" i="71"/>
  <c r="AH124" i="71"/>
  <c r="J123" i="56" s="1"/>
  <c r="R100" i="71"/>
  <c r="AH100" i="71"/>
  <c r="J99" i="56" s="1"/>
  <c r="R76" i="71"/>
  <c r="AH76" i="71"/>
  <c r="J75" i="56" s="1"/>
  <c r="R64" i="71"/>
  <c r="AH64" i="71"/>
  <c r="J63" i="56" s="1"/>
  <c r="R40" i="71"/>
  <c r="AH40" i="71"/>
  <c r="J39" i="56" s="1"/>
  <c r="R28" i="71"/>
  <c r="AH28" i="71"/>
  <c r="J27" i="56" s="1"/>
  <c r="R16" i="71"/>
  <c r="AH16" i="71"/>
  <c r="J15" i="56" s="1"/>
  <c r="R195" i="71"/>
  <c r="AH195" i="71"/>
  <c r="J194" i="56" s="1"/>
  <c r="R147" i="71"/>
  <c r="AH147" i="71"/>
  <c r="J146" i="56" s="1"/>
  <c r="R110" i="71"/>
  <c r="AH110" i="71"/>
  <c r="J109" i="56" s="1"/>
  <c r="R26" i="71"/>
  <c r="AH26" i="71"/>
  <c r="J25" i="56" s="1"/>
  <c r="R170" i="71"/>
  <c r="AH170" i="71"/>
  <c r="J169" i="56" s="1"/>
  <c r="R109" i="71"/>
  <c r="AH109" i="71"/>
  <c r="J108" i="56" s="1"/>
  <c r="R85" i="71"/>
  <c r="AH85" i="71"/>
  <c r="J84" i="56" s="1"/>
  <c r="R181" i="71"/>
  <c r="AH181" i="71"/>
  <c r="J180" i="56" s="1"/>
  <c r="R12" i="71"/>
  <c r="AH12" i="71"/>
  <c r="J11" i="56" s="1"/>
  <c r="R144" i="71"/>
  <c r="AH144" i="71"/>
  <c r="J143" i="56" s="1"/>
  <c r="R83" i="71"/>
  <c r="AH83" i="71"/>
  <c r="J82" i="56" s="1"/>
  <c r="R179" i="71"/>
  <c r="AH179" i="71"/>
  <c r="J178" i="56" s="1"/>
  <c r="R197" i="71"/>
  <c r="AH197" i="71"/>
  <c r="J196" i="56" s="1"/>
  <c r="R185" i="71"/>
  <c r="AH185" i="71"/>
  <c r="J184" i="56" s="1"/>
  <c r="R161" i="71"/>
  <c r="AH161" i="71"/>
  <c r="J160" i="56" s="1"/>
  <c r="R137" i="71"/>
  <c r="AH137" i="71"/>
  <c r="J136" i="56" s="1"/>
  <c r="R112" i="71"/>
  <c r="AH112" i="71"/>
  <c r="J111" i="56" s="1"/>
  <c r="R88" i="71"/>
  <c r="AH88" i="71"/>
  <c r="J87" i="56" s="1"/>
  <c r="R52" i="71"/>
  <c r="AH52" i="71"/>
  <c r="J51" i="56" s="1"/>
  <c r="R208" i="71"/>
  <c r="AH208" i="71"/>
  <c r="J207" i="56" s="1"/>
  <c r="R196" i="71"/>
  <c r="AH196" i="71"/>
  <c r="J195" i="56" s="1"/>
  <c r="R184" i="71"/>
  <c r="AH184" i="71"/>
  <c r="J183" i="56" s="1"/>
  <c r="R172" i="71"/>
  <c r="AH172" i="71"/>
  <c r="J171" i="56" s="1"/>
  <c r="R160" i="71"/>
  <c r="AH160" i="71"/>
  <c r="J159" i="56" s="1"/>
  <c r="R148" i="71"/>
  <c r="AH148" i="71"/>
  <c r="J147" i="56" s="1"/>
  <c r="R136" i="71"/>
  <c r="AH136" i="71"/>
  <c r="J135" i="56" s="1"/>
  <c r="R123" i="71"/>
  <c r="AH123" i="71"/>
  <c r="J122" i="56" s="1"/>
  <c r="R111" i="71"/>
  <c r="AH111" i="71"/>
  <c r="J110" i="56" s="1"/>
  <c r="R99" i="71"/>
  <c r="AH99" i="71"/>
  <c r="J98" i="56" s="1"/>
  <c r="R87" i="71"/>
  <c r="AH87" i="71"/>
  <c r="J86" i="56" s="1"/>
  <c r="R75" i="71"/>
  <c r="AH75" i="71"/>
  <c r="J74" i="56" s="1"/>
  <c r="R63" i="71"/>
  <c r="AH63" i="71"/>
  <c r="J62" i="56" s="1"/>
  <c r="R51" i="71"/>
  <c r="AH51" i="71"/>
  <c r="J50" i="56" s="1"/>
  <c r="R39" i="71"/>
  <c r="AH39" i="71"/>
  <c r="J38" i="56" s="1"/>
  <c r="R27" i="71"/>
  <c r="AH27" i="71"/>
  <c r="J26" i="56" s="1"/>
  <c r="R15" i="71"/>
  <c r="AH15" i="71"/>
  <c r="J14" i="56" s="1"/>
  <c r="R4" i="71"/>
  <c r="T2" i="77" l="1"/>
  <c r="U2" i="77" s="1"/>
  <c r="S212" i="22" l="1"/>
  <c r="N212" i="22"/>
  <c r="I212" i="22"/>
  <c r="F24" i="20" l="1"/>
  <c r="F7" i="20"/>
  <c r="E96" i="20"/>
  <c r="E95" i="20"/>
  <c r="E93" i="20"/>
  <c r="E92" i="20"/>
  <c r="E90" i="20"/>
  <c r="E89" i="20"/>
  <c r="E97" i="20"/>
  <c r="E94" i="20"/>
  <c r="E91" i="20"/>
  <c r="E88" i="20"/>
  <c r="E85" i="20"/>
  <c r="E82" i="20"/>
  <c r="E79" i="20"/>
  <c r="E76" i="20"/>
  <c r="E73" i="20"/>
  <c r="E70" i="20"/>
  <c r="E67" i="20"/>
  <c r="E64" i="20"/>
  <c r="E61" i="20"/>
  <c r="E58" i="20"/>
  <c r="E55" i="20"/>
  <c r="E52" i="20"/>
  <c r="E49" i="20"/>
  <c r="E46" i="20"/>
  <c r="E43" i="20"/>
  <c r="E40" i="20"/>
  <c r="E37" i="20"/>
  <c r="E34" i="20"/>
  <c r="E31" i="20"/>
  <c r="E28" i="20"/>
  <c r="D97" i="20"/>
  <c r="D94" i="20"/>
  <c r="D91" i="20"/>
  <c r="D88" i="20"/>
  <c r="D85" i="20"/>
  <c r="D82" i="20"/>
  <c r="D79" i="20"/>
  <c r="D76" i="20"/>
  <c r="D73" i="20"/>
  <c r="D70" i="20"/>
  <c r="D67" i="20"/>
  <c r="D64" i="20"/>
  <c r="D61" i="20"/>
  <c r="D58" i="20"/>
  <c r="D55" i="20"/>
  <c r="D52" i="20"/>
  <c r="D49" i="20"/>
  <c r="D46" i="20"/>
  <c r="D43" i="20"/>
  <c r="D40" i="20"/>
  <c r="D37" i="20"/>
  <c r="D34" i="20"/>
  <c r="D31" i="20"/>
  <c r="D28" i="20"/>
  <c r="A25" i="20" l="1"/>
  <c r="D25" i="20"/>
  <c r="E25" i="20" s="1"/>
  <c r="C5" i="22" l="1"/>
  <c r="C6" i="22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2" i="22"/>
  <c r="C53" i="22"/>
  <c r="C54" i="22"/>
  <c r="C55" i="22"/>
  <c r="C56" i="22"/>
  <c r="C57" i="22"/>
  <c r="C58" i="22"/>
  <c r="C59" i="22"/>
  <c r="C60" i="22"/>
  <c r="C61" i="22"/>
  <c r="C62" i="22"/>
  <c r="C63" i="22"/>
  <c r="C64" i="22"/>
  <c r="C65" i="22"/>
  <c r="C66" i="22"/>
  <c r="C67" i="22"/>
  <c r="C68" i="22"/>
  <c r="C69" i="22"/>
  <c r="C70" i="22"/>
  <c r="C71" i="22"/>
  <c r="C72" i="22"/>
  <c r="C73" i="22"/>
  <c r="C74" i="22"/>
  <c r="C75" i="22"/>
  <c r="C76" i="22"/>
  <c r="C77" i="22"/>
  <c r="C78" i="22"/>
  <c r="C79" i="22"/>
  <c r="C80" i="22"/>
  <c r="C81" i="22"/>
  <c r="C82" i="22"/>
  <c r="C83" i="22"/>
  <c r="C84" i="22"/>
  <c r="C85" i="22"/>
  <c r="C86" i="22"/>
  <c r="C87" i="22"/>
  <c r="C88" i="22"/>
  <c r="C89" i="22"/>
  <c r="C90" i="22"/>
  <c r="C91" i="22"/>
  <c r="C92" i="22"/>
  <c r="C93" i="22"/>
  <c r="C95" i="22"/>
  <c r="C96" i="22"/>
  <c r="C97" i="22"/>
  <c r="C98" i="22"/>
  <c r="C99" i="22"/>
  <c r="C100" i="22"/>
  <c r="C101" i="22"/>
  <c r="C102" i="22"/>
  <c r="C103" i="22"/>
  <c r="C104" i="22"/>
  <c r="C105" i="22"/>
  <c r="C106" i="22"/>
  <c r="C107" i="22"/>
  <c r="C108" i="22"/>
  <c r="C109" i="22"/>
  <c r="C110" i="22"/>
  <c r="C111" i="22"/>
  <c r="C112" i="22"/>
  <c r="C113" i="22"/>
  <c r="C114" i="22"/>
  <c r="C115" i="22"/>
  <c r="C116" i="22"/>
  <c r="C117" i="22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C197" i="22"/>
  <c r="C198" i="22"/>
  <c r="C199" i="22"/>
  <c r="C200" i="22"/>
  <c r="C201" i="22"/>
  <c r="C202" i="22"/>
  <c r="C203" i="22"/>
  <c r="C204" i="22"/>
  <c r="C205" i="22"/>
  <c r="C206" i="22"/>
  <c r="C207" i="22"/>
  <c r="C208" i="22"/>
  <c r="C4" i="22"/>
  <c r="Q5" i="22"/>
  <c r="Q6" i="22"/>
  <c r="Q7" i="22"/>
  <c r="Q8" i="22"/>
  <c r="Q9" i="22"/>
  <c r="Q10" i="22"/>
  <c r="Q11" i="22"/>
  <c r="Q12" i="22"/>
  <c r="Q13" i="22"/>
  <c r="Q14" i="22"/>
  <c r="Q15" i="22"/>
  <c r="Q16" i="22"/>
  <c r="Q17" i="22"/>
  <c r="Q18" i="22"/>
  <c r="Q19" i="22"/>
  <c r="Q20" i="22"/>
  <c r="Q21" i="22"/>
  <c r="Q22" i="22"/>
  <c r="Q23" i="22"/>
  <c r="Q24" i="22"/>
  <c r="Q25" i="22"/>
  <c r="Q26" i="22"/>
  <c r="Q27" i="22"/>
  <c r="Q28" i="22"/>
  <c r="Q29" i="22"/>
  <c r="Q30" i="22"/>
  <c r="Q31" i="22"/>
  <c r="Q32" i="22"/>
  <c r="Q33" i="22"/>
  <c r="Q34" i="22"/>
  <c r="Q35" i="22"/>
  <c r="Q36" i="22"/>
  <c r="Q37" i="22"/>
  <c r="Q38" i="22"/>
  <c r="Q39" i="22"/>
  <c r="Q40" i="22"/>
  <c r="Q41" i="22"/>
  <c r="Q42" i="22"/>
  <c r="Q43" i="22"/>
  <c r="Q44" i="22"/>
  <c r="Q45" i="22"/>
  <c r="Q46" i="22"/>
  <c r="Q47" i="22"/>
  <c r="Q48" i="22"/>
  <c r="Q49" i="22"/>
  <c r="Q50" i="22"/>
  <c r="Q51" i="22"/>
  <c r="Q52" i="22"/>
  <c r="Q53" i="22"/>
  <c r="Q54" i="22"/>
  <c r="Q55" i="22"/>
  <c r="Q56" i="22"/>
  <c r="Q57" i="22"/>
  <c r="Q58" i="22"/>
  <c r="Q59" i="22"/>
  <c r="Q60" i="22"/>
  <c r="Q61" i="22"/>
  <c r="Q62" i="22"/>
  <c r="Q63" i="22"/>
  <c r="Q64" i="22"/>
  <c r="Q65" i="22"/>
  <c r="Q66" i="22"/>
  <c r="Q67" i="22"/>
  <c r="Q68" i="22"/>
  <c r="Q69" i="22"/>
  <c r="Q70" i="22"/>
  <c r="Q71" i="22"/>
  <c r="Q72" i="22"/>
  <c r="Q73" i="22"/>
  <c r="Q74" i="22"/>
  <c r="Q75" i="22"/>
  <c r="Q76" i="22"/>
  <c r="Q77" i="22"/>
  <c r="Q78" i="22"/>
  <c r="Q79" i="22"/>
  <c r="Q80" i="22"/>
  <c r="Q81" i="22"/>
  <c r="Q82" i="22"/>
  <c r="Q83" i="22"/>
  <c r="Q84" i="22"/>
  <c r="Q85" i="22"/>
  <c r="Q86" i="22"/>
  <c r="Q87" i="22"/>
  <c r="Q88" i="22"/>
  <c r="Q89" i="22"/>
  <c r="Q90" i="22"/>
  <c r="Q91" i="22"/>
  <c r="Q92" i="22"/>
  <c r="Q93" i="22"/>
  <c r="Q95" i="22"/>
  <c r="Q96" i="22"/>
  <c r="Q97" i="22"/>
  <c r="Q98" i="22"/>
  <c r="Q99" i="22"/>
  <c r="Q100" i="22"/>
  <c r="Q101" i="22"/>
  <c r="Q102" i="22"/>
  <c r="Q103" i="22"/>
  <c r="Q104" i="22"/>
  <c r="Q105" i="22"/>
  <c r="Q106" i="22"/>
  <c r="Q107" i="22"/>
  <c r="Q108" i="22"/>
  <c r="Q109" i="22"/>
  <c r="Q110" i="22"/>
  <c r="Q111" i="22"/>
  <c r="Q112" i="22"/>
  <c r="Q113" i="22"/>
  <c r="Q114" i="22"/>
  <c r="Q115" i="22"/>
  <c r="Q116" i="22"/>
  <c r="Q117" i="22"/>
  <c r="Q118" i="22"/>
  <c r="Q119" i="22"/>
  <c r="Q120" i="22"/>
  <c r="Q121" i="22"/>
  <c r="Q122" i="22"/>
  <c r="Q123" i="22"/>
  <c r="Q124" i="22"/>
  <c r="Q125" i="22"/>
  <c r="Q126" i="22"/>
  <c r="Q127" i="22"/>
  <c r="Q128" i="22"/>
  <c r="Q129" i="22"/>
  <c r="Q130" i="22"/>
  <c r="Q131" i="22"/>
  <c r="Q132" i="22"/>
  <c r="Q133" i="22"/>
  <c r="Q134" i="22"/>
  <c r="Q135" i="22"/>
  <c r="Q136" i="22"/>
  <c r="Q137" i="22"/>
  <c r="Q138" i="22"/>
  <c r="Q139" i="22"/>
  <c r="Q140" i="22"/>
  <c r="Q141" i="22"/>
  <c r="Q142" i="22"/>
  <c r="Q143" i="22"/>
  <c r="Q144" i="22"/>
  <c r="Q145" i="22"/>
  <c r="Q146" i="22"/>
  <c r="Q147" i="22"/>
  <c r="Q148" i="22"/>
  <c r="Q149" i="22"/>
  <c r="Q150" i="22"/>
  <c r="Q151" i="22"/>
  <c r="Q152" i="22"/>
  <c r="Q153" i="22"/>
  <c r="Q154" i="22"/>
  <c r="Q155" i="22"/>
  <c r="Q156" i="22"/>
  <c r="Q157" i="22"/>
  <c r="Q158" i="22"/>
  <c r="Q159" i="22"/>
  <c r="Q160" i="22"/>
  <c r="Q161" i="22"/>
  <c r="Q162" i="22"/>
  <c r="Q163" i="22"/>
  <c r="Q164" i="22"/>
  <c r="Q165" i="22"/>
  <c r="Q166" i="22"/>
  <c r="Q167" i="22"/>
  <c r="Q168" i="22"/>
  <c r="Q169" i="22"/>
  <c r="Q170" i="22"/>
  <c r="Q171" i="22"/>
  <c r="Q172" i="22"/>
  <c r="Q173" i="22"/>
  <c r="Q174" i="22"/>
  <c r="Q175" i="22"/>
  <c r="Q176" i="22"/>
  <c r="Q177" i="22"/>
  <c r="Q178" i="22"/>
  <c r="Q179" i="22"/>
  <c r="Q180" i="22"/>
  <c r="Q181" i="22"/>
  <c r="Q182" i="22"/>
  <c r="Q183" i="22"/>
  <c r="Q184" i="22"/>
  <c r="Q185" i="22"/>
  <c r="Q186" i="22"/>
  <c r="Q187" i="22"/>
  <c r="Q188" i="22"/>
  <c r="Q189" i="22"/>
  <c r="Q190" i="22"/>
  <c r="Q191" i="22"/>
  <c r="Q192" i="22"/>
  <c r="Q193" i="22"/>
  <c r="Q194" i="22"/>
  <c r="Q195" i="22"/>
  <c r="Q196" i="22"/>
  <c r="Q197" i="22"/>
  <c r="Q198" i="22"/>
  <c r="Q199" i="22"/>
  <c r="Q200" i="22"/>
  <c r="Q201" i="22"/>
  <c r="Q202" i="22"/>
  <c r="Q203" i="22"/>
  <c r="Q204" i="22"/>
  <c r="Q205" i="22"/>
  <c r="Q206" i="22"/>
  <c r="Q207" i="22"/>
  <c r="Q208" i="22"/>
  <c r="Q4" i="22"/>
  <c r="L5" i="22"/>
  <c r="L6" i="22"/>
  <c r="L7" i="22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L38" i="22"/>
  <c r="L39" i="22"/>
  <c r="L40" i="22"/>
  <c r="L41" i="22"/>
  <c r="L42" i="22"/>
  <c r="L43" i="22"/>
  <c r="L44" i="22"/>
  <c r="L45" i="22"/>
  <c r="L46" i="22"/>
  <c r="L47" i="22"/>
  <c r="L48" i="22"/>
  <c r="L49" i="22"/>
  <c r="L50" i="22"/>
  <c r="L51" i="22"/>
  <c r="L52" i="22"/>
  <c r="L53" i="22"/>
  <c r="L54" i="22"/>
  <c r="L55" i="22"/>
  <c r="L56" i="22"/>
  <c r="L57" i="22"/>
  <c r="L58" i="22"/>
  <c r="L59" i="22"/>
  <c r="L60" i="22"/>
  <c r="L61" i="22"/>
  <c r="L62" i="22"/>
  <c r="L63" i="22"/>
  <c r="L64" i="22"/>
  <c r="L65" i="22"/>
  <c r="L66" i="22"/>
  <c r="L67" i="22"/>
  <c r="L68" i="22"/>
  <c r="L69" i="22"/>
  <c r="L70" i="22"/>
  <c r="L71" i="22"/>
  <c r="L72" i="22"/>
  <c r="L73" i="22"/>
  <c r="L74" i="22"/>
  <c r="L75" i="22"/>
  <c r="L76" i="22"/>
  <c r="L77" i="22"/>
  <c r="L78" i="22"/>
  <c r="L79" i="22"/>
  <c r="L80" i="22"/>
  <c r="L81" i="22"/>
  <c r="L82" i="22"/>
  <c r="L83" i="22"/>
  <c r="L84" i="22"/>
  <c r="L85" i="22"/>
  <c r="L86" i="22"/>
  <c r="L87" i="22"/>
  <c r="L88" i="22"/>
  <c r="L89" i="22"/>
  <c r="L90" i="22"/>
  <c r="L91" i="22"/>
  <c r="L92" i="22"/>
  <c r="L93" i="22"/>
  <c r="L95" i="22"/>
  <c r="L96" i="22"/>
  <c r="L97" i="22"/>
  <c r="L98" i="22"/>
  <c r="L99" i="22"/>
  <c r="L100" i="22"/>
  <c r="L101" i="22"/>
  <c r="L102" i="22"/>
  <c r="L103" i="22"/>
  <c r="L104" i="22"/>
  <c r="L105" i="22"/>
  <c r="L106" i="22"/>
  <c r="L107" i="22"/>
  <c r="L108" i="22"/>
  <c r="L109" i="22"/>
  <c r="L110" i="22"/>
  <c r="L111" i="22"/>
  <c r="L112" i="22"/>
  <c r="L113" i="22"/>
  <c r="L114" i="22"/>
  <c r="L115" i="22"/>
  <c r="L116" i="22"/>
  <c r="L117" i="22"/>
  <c r="L118" i="22"/>
  <c r="L119" i="22"/>
  <c r="L120" i="22"/>
  <c r="L121" i="22"/>
  <c r="L122" i="22"/>
  <c r="L123" i="22"/>
  <c r="L124" i="22"/>
  <c r="L125" i="22"/>
  <c r="L126" i="22"/>
  <c r="L127" i="22"/>
  <c r="L128" i="22"/>
  <c r="L129" i="22"/>
  <c r="L130" i="22"/>
  <c r="L131" i="22"/>
  <c r="L132" i="22"/>
  <c r="L133" i="22"/>
  <c r="L134" i="22"/>
  <c r="L135" i="22"/>
  <c r="L136" i="22"/>
  <c r="L137" i="22"/>
  <c r="L138" i="22"/>
  <c r="L139" i="22"/>
  <c r="L140" i="22"/>
  <c r="L141" i="22"/>
  <c r="L142" i="22"/>
  <c r="L143" i="22"/>
  <c r="L144" i="22"/>
  <c r="L145" i="22"/>
  <c r="L146" i="22"/>
  <c r="L147" i="22"/>
  <c r="L148" i="22"/>
  <c r="L149" i="22"/>
  <c r="L150" i="22"/>
  <c r="L151" i="22"/>
  <c r="L152" i="22"/>
  <c r="L153" i="22"/>
  <c r="L154" i="22"/>
  <c r="L155" i="22"/>
  <c r="L156" i="22"/>
  <c r="L157" i="22"/>
  <c r="L158" i="22"/>
  <c r="L159" i="22"/>
  <c r="L160" i="22"/>
  <c r="L161" i="22"/>
  <c r="L162" i="22"/>
  <c r="L163" i="22"/>
  <c r="L164" i="22"/>
  <c r="L165" i="22"/>
  <c r="L166" i="22"/>
  <c r="L167" i="22"/>
  <c r="L168" i="22"/>
  <c r="L169" i="22"/>
  <c r="L170" i="22"/>
  <c r="L171" i="22"/>
  <c r="L172" i="22"/>
  <c r="L173" i="22"/>
  <c r="L174" i="22"/>
  <c r="L175" i="22"/>
  <c r="L176" i="22"/>
  <c r="L177" i="22"/>
  <c r="L178" i="22"/>
  <c r="L179" i="22"/>
  <c r="L180" i="22"/>
  <c r="L181" i="22"/>
  <c r="L182" i="22"/>
  <c r="L183" i="22"/>
  <c r="L184" i="22"/>
  <c r="L185" i="22"/>
  <c r="L186" i="22"/>
  <c r="L187" i="22"/>
  <c r="L188" i="22"/>
  <c r="L189" i="22"/>
  <c r="L190" i="22"/>
  <c r="L191" i="22"/>
  <c r="L192" i="22"/>
  <c r="L193" i="22"/>
  <c r="L194" i="22"/>
  <c r="L195" i="22"/>
  <c r="L196" i="22"/>
  <c r="L197" i="22"/>
  <c r="L198" i="22"/>
  <c r="L199" i="22"/>
  <c r="L200" i="22"/>
  <c r="L201" i="22"/>
  <c r="L202" i="22"/>
  <c r="L203" i="22"/>
  <c r="L204" i="22"/>
  <c r="L205" i="22"/>
  <c r="L206" i="22"/>
  <c r="L207" i="22"/>
  <c r="L208" i="22"/>
  <c r="L4" i="22"/>
  <c r="G208" i="22"/>
  <c r="G5" i="22"/>
  <c r="G6" i="22"/>
  <c r="G7" i="22"/>
  <c r="G8" i="22"/>
  <c r="G9" i="22"/>
  <c r="G10" i="22"/>
  <c r="G11" i="22"/>
  <c r="G12" i="22"/>
  <c r="G13" i="22"/>
  <c r="G14" i="22"/>
  <c r="G15" i="22"/>
  <c r="G16" i="22"/>
  <c r="G17" i="22"/>
  <c r="G18" i="22"/>
  <c r="G19" i="22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G57" i="22"/>
  <c r="G58" i="22"/>
  <c r="G59" i="22"/>
  <c r="G60" i="22"/>
  <c r="G61" i="22"/>
  <c r="G62" i="22"/>
  <c r="G63" i="22"/>
  <c r="G64" i="22"/>
  <c r="G65" i="22"/>
  <c r="G66" i="22"/>
  <c r="G67" i="22"/>
  <c r="G68" i="22"/>
  <c r="G69" i="22"/>
  <c r="G70" i="22"/>
  <c r="G71" i="22"/>
  <c r="G72" i="22"/>
  <c r="G73" i="22"/>
  <c r="G74" i="22"/>
  <c r="G75" i="22"/>
  <c r="G76" i="22"/>
  <c r="G77" i="22"/>
  <c r="G78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G93" i="22"/>
  <c r="G95" i="22"/>
  <c r="G96" i="22"/>
  <c r="G97" i="22"/>
  <c r="G98" i="22"/>
  <c r="G99" i="22"/>
  <c r="G100" i="22"/>
  <c r="G101" i="22"/>
  <c r="G102" i="22"/>
  <c r="G103" i="22"/>
  <c r="G104" i="22"/>
  <c r="G105" i="22"/>
  <c r="G106" i="22"/>
  <c r="G107" i="22"/>
  <c r="G108" i="22"/>
  <c r="G109" i="22"/>
  <c r="G110" i="22"/>
  <c r="G111" i="22"/>
  <c r="G112" i="22"/>
  <c r="G113" i="22"/>
  <c r="G114" i="22"/>
  <c r="G115" i="22"/>
  <c r="G116" i="22"/>
  <c r="G117" i="22"/>
  <c r="G118" i="22"/>
  <c r="G119" i="22"/>
  <c r="G120" i="22"/>
  <c r="G121" i="22"/>
  <c r="G122" i="22"/>
  <c r="G123" i="22"/>
  <c r="G124" i="22"/>
  <c r="G125" i="22"/>
  <c r="G126" i="22"/>
  <c r="G127" i="22"/>
  <c r="G128" i="22"/>
  <c r="G129" i="22"/>
  <c r="G130" i="22"/>
  <c r="G131" i="22"/>
  <c r="G132" i="22"/>
  <c r="G133" i="22"/>
  <c r="G134" i="22"/>
  <c r="G135" i="22"/>
  <c r="G136" i="22"/>
  <c r="G137" i="22"/>
  <c r="G138" i="22"/>
  <c r="G139" i="22"/>
  <c r="G140" i="22"/>
  <c r="G141" i="22"/>
  <c r="G142" i="22"/>
  <c r="G143" i="22"/>
  <c r="G144" i="22"/>
  <c r="G145" i="22"/>
  <c r="G146" i="22"/>
  <c r="G147" i="22"/>
  <c r="G148" i="22"/>
  <c r="G149" i="22"/>
  <c r="G150" i="22"/>
  <c r="G151" i="22"/>
  <c r="G152" i="22"/>
  <c r="G153" i="22"/>
  <c r="G154" i="22"/>
  <c r="G155" i="22"/>
  <c r="G156" i="22"/>
  <c r="G157" i="22"/>
  <c r="G158" i="22"/>
  <c r="G159" i="22"/>
  <c r="G160" i="22"/>
  <c r="G161" i="22"/>
  <c r="G162" i="22"/>
  <c r="G163" i="22"/>
  <c r="G164" i="22"/>
  <c r="G165" i="22"/>
  <c r="G166" i="22"/>
  <c r="G167" i="22"/>
  <c r="G168" i="22"/>
  <c r="G169" i="22"/>
  <c r="G170" i="22"/>
  <c r="G171" i="22"/>
  <c r="G172" i="22"/>
  <c r="G173" i="22"/>
  <c r="G174" i="22"/>
  <c r="G175" i="22"/>
  <c r="G176" i="22"/>
  <c r="G177" i="22"/>
  <c r="G178" i="22"/>
  <c r="G179" i="22"/>
  <c r="G180" i="22"/>
  <c r="G181" i="22"/>
  <c r="G182" i="22"/>
  <c r="G183" i="22"/>
  <c r="G184" i="22"/>
  <c r="G185" i="22"/>
  <c r="G186" i="22"/>
  <c r="G187" i="22"/>
  <c r="G188" i="22"/>
  <c r="G189" i="22"/>
  <c r="G190" i="22"/>
  <c r="G191" i="22"/>
  <c r="G192" i="22"/>
  <c r="G193" i="22"/>
  <c r="G194" i="22"/>
  <c r="G195" i="22"/>
  <c r="G196" i="22"/>
  <c r="G197" i="22"/>
  <c r="G198" i="22"/>
  <c r="G199" i="22"/>
  <c r="G200" i="22"/>
  <c r="G201" i="22"/>
  <c r="G202" i="22"/>
  <c r="G203" i="22"/>
  <c r="G204" i="22"/>
  <c r="G205" i="22"/>
  <c r="G206" i="22"/>
  <c r="G207" i="22"/>
  <c r="G4" i="22"/>
  <c r="M29" i="71" l="1"/>
  <c r="Q28" i="56"/>
  <c r="M193" i="71"/>
  <c r="Q192" i="56"/>
  <c r="M23" i="71"/>
  <c r="Q22" i="56"/>
  <c r="M56" i="71"/>
  <c r="Q55" i="56"/>
  <c r="M190" i="71"/>
  <c r="Q189" i="56"/>
  <c r="M110" i="71"/>
  <c r="Q109" i="56"/>
  <c r="M157" i="71"/>
  <c r="Q156" i="56"/>
  <c r="M206" i="71"/>
  <c r="Q205" i="56"/>
  <c r="M186" i="71"/>
  <c r="Q185" i="56"/>
  <c r="M78" i="71"/>
  <c r="Q77" i="56"/>
  <c r="M158" i="71"/>
  <c r="Q157" i="56"/>
  <c r="M156" i="71"/>
  <c r="Q155" i="56"/>
  <c r="M32" i="71"/>
  <c r="Q31" i="56"/>
  <c r="M163" i="71"/>
  <c r="Q162" i="56"/>
  <c r="M120" i="71"/>
  <c r="Q119" i="56"/>
  <c r="M104" i="71"/>
  <c r="Q103" i="56"/>
  <c r="M111" i="71"/>
  <c r="Q110" i="56"/>
  <c r="M66" i="71"/>
  <c r="Q65" i="56"/>
  <c r="M58" i="71"/>
  <c r="Q57" i="56"/>
  <c r="M194" i="71"/>
  <c r="Q193" i="56"/>
  <c r="M53" i="71"/>
  <c r="Q52" i="56"/>
  <c r="M44" i="71"/>
  <c r="Q43" i="56"/>
  <c r="M50" i="71"/>
  <c r="Q49" i="56"/>
  <c r="M102" i="71"/>
  <c r="Q101" i="56"/>
  <c r="M49" i="71"/>
  <c r="Q48" i="56"/>
  <c r="M187" i="71"/>
  <c r="Q186" i="56"/>
  <c r="M45" i="71"/>
  <c r="Q44" i="56"/>
  <c r="M204" i="71"/>
  <c r="Q203" i="56"/>
  <c r="M183" i="71"/>
  <c r="Q182" i="56"/>
  <c r="M77" i="71"/>
  <c r="Q76" i="56"/>
  <c r="M131" i="71"/>
  <c r="Q130" i="56"/>
  <c r="M155" i="71"/>
  <c r="Q154" i="56"/>
  <c r="M31" i="71"/>
  <c r="Q30" i="56"/>
  <c r="M30" i="71"/>
  <c r="Q29" i="56"/>
  <c r="M106" i="71"/>
  <c r="Q105" i="56"/>
  <c r="M101" i="71"/>
  <c r="Q100" i="56"/>
  <c r="M82" i="71"/>
  <c r="Q81" i="56"/>
  <c r="M65" i="71"/>
  <c r="Q64" i="56"/>
  <c r="M57" i="71"/>
  <c r="Q56" i="56"/>
  <c r="M48" i="71"/>
  <c r="Q47" i="56"/>
  <c r="M160" i="71"/>
  <c r="Q159" i="56"/>
  <c r="M207" i="71"/>
  <c r="Q206" i="56"/>
  <c r="M16" i="71"/>
  <c r="Q15" i="56"/>
  <c r="M109" i="71"/>
  <c r="Q108" i="56"/>
  <c r="M61" i="71"/>
  <c r="Q60" i="56"/>
  <c r="M19" i="71"/>
  <c r="Q18" i="56"/>
  <c r="M75" i="71"/>
  <c r="Q74" i="56"/>
  <c r="M165" i="71"/>
  <c r="Q164" i="56"/>
  <c r="M151" i="71"/>
  <c r="Q150" i="56"/>
  <c r="M154" i="71"/>
  <c r="Q153" i="56"/>
  <c r="M137" i="71"/>
  <c r="Q136" i="56"/>
  <c r="M125" i="71"/>
  <c r="Q124" i="56"/>
  <c r="M119" i="71"/>
  <c r="Q118" i="56"/>
  <c r="M192" i="71"/>
  <c r="Q191" i="56"/>
  <c r="M166" i="71"/>
  <c r="Q165" i="56"/>
  <c r="M55" i="71"/>
  <c r="Q54" i="56"/>
  <c r="M70" i="71"/>
  <c r="Q69" i="56"/>
  <c r="M90" i="71"/>
  <c r="Q89" i="56"/>
  <c r="M150" i="71"/>
  <c r="Q149" i="56"/>
  <c r="M185" i="71"/>
  <c r="Q184" i="56"/>
  <c r="M162" i="71"/>
  <c r="Q161" i="56"/>
  <c r="M203" i="71"/>
  <c r="Q202" i="56"/>
  <c r="M182" i="71"/>
  <c r="Q181" i="56"/>
  <c r="M175" i="71"/>
  <c r="Q174" i="56"/>
  <c r="M153" i="71"/>
  <c r="Q152" i="56"/>
  <c r="M146" i="71"/>
  <c r="Q145" i="56"/>
  <c r="M167" i="71"/>
  <c r="Q166" i="56"/>
  <c r="M124" i="71"/>
  <c r="Q123" i="56"/>
  <c r="M117" i="71"/>
  <c r="Q116" i="56"/>
  <c r="M100" i="71"/>
  <c r="Q99" i="56"/>
  <c r="M80" i="71"/>
  <c r="Q79" i="56"/>
  <c r="M64" i="71"/>
  <c r="Q63" i="56"/>
  <c r="M22" i="71"/>
  <c r="Q21" i="56"/>
  <c r="M13" i="71"/>
  <c r="Q12" i="56"/>
  <c r="M91" i="71"/>
  <c r="Q90" i="56"/>
  <c r="M74" i="71"/>
  <c r="Q73" i="56"/>
  <c r="M63" i="71"/>
  <c r="Q62" i="56"/>
  <c r="M178" i="71"/>
  <c r="Q177" i="56"/>
  <c r="M134" i="71"/>
  <c r="Q133" i="56"/>
  <c r="M202" i="71"/>
  <c r="Q201" i="56"/>
  <c r="M12" i="71"/>
  <c r="Q11" i="56"/>
  <c r="M172" i="71"/>
  <c r="Q171" i="56"/>
  <c r="M180" i="71"/>
  <c r="Q179" i="56"/>
  <c r="M173" i="71"/>
  <c r="Q172" i="56"/>
  <c r="M43" i="71"/>
  <c r="Q42" i="56"/>
  <c r="M83" i="71"/>
  <c r="Q82" i="56"/>
  <c r="M136" i="71"/>
  <c r="Q135" i="56"/>
  <c r="M34" i="71"/>
  <c r="Q33" i="56"/>
  <c r="M115" i="71"/>
  <c r="Q114" i="56"/>
  <c r="M99" i="71"/>
  <c r="Q98" i="56"/>
  <c r="M37" i="71"/>
  <c r="Q36" i="56"/>
  <c r="M62" i="71"/>
  <c r="Q61" i="56"/>
  <c r="M54" i="71"/>
  <c r="Q53" i="56"/>
  <c r="M11" i="71"/>
  <c r="Q10" i="56"/>
  <c r="M10" i="71"/>
  <c r="Q9" i="56"/>
  <c r="M138" i="71"/>
  <c r="Q137" i="56"/>
  <c r="M72" i="71"/>
  <c r="Q71" i="56"/>
  <c r="M47" i="71"/>
  <c r="Q46" i="56"/>
  <c r="M81" i="71"/>
  <c r="Q80" i="56"/>
  <c r="M85" i="71"/>
  <c r="Q84" i="56"/>
  <c r="M40" i="71"/>
  <c r="Q39" i="56"/>
  <c r="M171" i="71"/>
  <c r="Q170" i="56"/>
  <c r="M148" i="71"/>
  <c r="Q147" i="56"/>
  <c r="M143" i="71"/>
  <c r="Q142" i="56"/>
  <c r="M135" i="71"/>
  <c r="Q134" i="56"/>
  <c r="M123" i="71"/>
  <c r="Q122" i="56"/>
  <c r="M116" i="71"/>
  <c r="Q115" i="56"/>
  <c r="M97" i="71"/>
  <c r="Q96" i="56"/>
  <c r="M27" i="71"/>
  <c r="Q26" i="56"/>
  <c r="M177" i="71"/>
  <c r="Q176" i="56"/>
  <c r="M52" i="71"/>
  <c r="Q51" i="56"/>
  <c r="M9" i="71"/>
  <c r="Q8" i="56"/>
  <c r="M26" i="71"/>
  <c r="Q25" i="56"/>
  <c r="M152" i="71"/>
  <c r="Q151" i="56"/>
  <c r="M142" i="71"/>
  <c r="Q141" i="56"/>
  <c r="M86" i="71"/>
  <c r="Q85" i="56"/>
  <c r="M51" i="71"/>
  <c r="Q50" i="56"/>
  <c r="M68" i="71"/>
  <c r="Q67" i="56"/>
  <c r="M191" i="71"/>
  <c r="Q190" i="56"/>
  <c r="M199" i="71"/>
  <c r="Q198" i="56"/>
  <c r="M39" i="71"/>
  <c r="Q38" i="56"/>
  <c r="M147" i="71"/>
  <c r="Q146" i="56"/>
  <c r="M174" i="71"/>
  <c r="Q173" i="56"/>
  <c r="M73" i="71"/>
  <c r="Q72" i="56"/>
  <c r="M197" i="71"/>
  <c r="Q196" i="56"/>
  <c r="M28" i="71"/>
  <c r="Q27" i="56"/>
  <c r="M96" i="71"/>
  <c r="Q95" i="56"/>
  <c r="M79" i="71"/>
  <c r="Q78" i="56"/>
  <c r="M25" i="71"/>
  <c r="Q24" i="56"/>
  <c r="M5" i="71"/>
  <c r="Q4" i="56"/>
  <c r="M8" i="71"/>
  <c r="Q7" i="56"/>
  <c r="M105" i="71"/>
  <c r="Q104" i="56"/>
  <c r="M200" i="71"/>
  <c r="Q199" i="56"/>
  <c r="M92" i="71"/>
  <c r="Q91" i="56"/>
  <c r="M94" i="71"/>
  <c r="Q93" i="56"/>
  <c r="M196" i="71"/>
  <c r="Q195" i="56"/>
  <c r="M168" i="71"/>
  <c r="Q167" i="56"/>
  <c r="M205" i="71"/>
  <c r="Q204" i="56"/>
  <c r="M36" i="71"/>
  <c r="Q35" i="56"/>
  <c r="M164" i="71"/>
  <c r="Q163" i="56"/>
  <c r="M144" i="71"/>
  <c r="Q143" i="56"/>
  <c r="M46" i="71"/>
  <c r="Q45" i="56"/>
  <c r="M71" i="71"/>
  <c r="Q70" i="56"/>
  <c r="M114" i="71"/>
  <c r="Q113" i="56"/>
  <c r="M93" i="71"/>
  <c r="Q92" i="56"/>
  <c r="M69" i="71"/>
  <c r="Q68" i="56"/>
  <c r="M24" i="71"/>
  <c r="Q23" i="56"/>
  <c r="M20" i="71"/>
  <c r="Q19" i="56"/>
  <c r="M7" i="71"/>
  <c r="Q6" i="56"/>
  <c r="M33" i="71"/>
  <c r="Q32" i="56"/>
  <c r="M127" i="71"/>
  <c r="Q126" i="56"/>
  <c r="M95" i="71"/>
  <c r="Q94" i="56"/>
  <c r="M38" i="71"/>
  <c r="Q37" i="56"/>
  <c r="M176" i="71"/>
  <c r="Q175" i="56"/>
  <c r="M189" i="71"/>
  <c r="Q188" i="56"/>
  <c r="M41" i="71"/>
  <c r="Q40" i="56"/>
  <c r="M161" i="71"/>
  <c r="Q160" i="56"/>
  <c r="M149" i="71"/>
  <c r="Q148" i="56"/>
  <c r="M140" i="71"/>
  <c r="Q139" i="56"/>
  <c r="M130" i="71"/>
  <c r="Q129" i="56"/>
  <c r="M121" i="71"/>
  <c r="Q120" i="56"/>
  <c r="M113" i="71"/>
  <c r="Q112" i="56"/>
  <c r="M35" i="71"/>
  <c r="Q34" i="56"/>
  <c r="M170" i="71"/>
  <c r="Q169" i="56"/>
  <c r="M60" i="71"/>
  <c r="Q59" i="56"/>
  <c r="M118" i="71"/>
  <c r="Q117" i="56"/>
  <c r="M14" i="71"/>
  <c r="Q13" i="56"/>
  <c r="M107" i="71"/>
  <c r="Q106" i="56"/>
  <c r="M21" i="71"/>
  <c r="Q20" i="56"/>
  <c r="M87" i="71"/>
  <c r="Q86" i="56"/>
  <c r="M17" i="71"/>
  <c r="Q16" i="56"/>
  <c r="M145" i="71"/>
  <c r="Q144" i="56"/>
  <c r="M122" i="71"/>
  <c r="Q121" i="56"/>
  <c r="M188" i="71"/>
  <c r="Q187" i="56"/>
  <c r="M169" i="71"/>
  <c r="Q168" i="56"/>
  <c r="M159" i="71"/>
  <c r="Q158" i="56"/>
  <c r="M42" i="71"/>
  <c r="Q41" i="56"/>
  <c r="M198" i="71"/>
  <c r="Q197" i="56"/>
  <c r="M129" i="71"/>
  <c r="Q128" i="56"/>
  <c r="M4" i="71"/>
  <c r="Q3" i="56"/>
  <c r="M112" i="71"/>
  <c r="Q111" i="56"/>
  <c r="M89" i="71"/>
  <c r="Q88" i="56"/>
  <c r="M18" i="71"/>
  <c r="Q17" i="56"/>
  <c r="M181" i="71"/>
  <c r="Q180" i="56"/>
  <c r="M98" i="71"/>
  <c r="Q97" i="56"/>
  <c r="M6" i="71"/>
  <c r="Q5" i="56"/>
  <c r="M84" i="71"/>
  <c r="Q83" i="56"/>
  <c r="M139" i="71"/>
  <c r="Q138" i="56"/>
  <c r="M103" i="71"/>
  <c r="Q102" i="56"/>
  <c r="M15" i="71"/>
  <c r="Q14" i="56"/>
  <c r="M208" i="71"/>
  <c r="Q207" i="56"/>
  <c r="M76" i="71"/>
  <c r="Q75" i="56"/>
  <c r="M179" i="71"/>
  <c r="Q178" i="56"/>
  <c r="M201" i="71"/>
  <c r="Q200" i="56"/>
  <c r="M132" i="71"/>
  <c r="Q131" i="56"/>
  <c r="M141" i="71"/>
  <c r="Q140" i="56"/>
  <c r="M128" i="71"/>
  <c r="Q127" i="56"/>
  <c r="M126" i="71"/>
  <c r="Q125" i="56"/>
  <c r="M108" i="71"/>
  <c r="Q107" i="56"/>
  <c r="M88" i="71"/>
  <c r="Q87" i="56"/>
  <c r="M67" i="71"/>
  <c r="Q66" i="56"/>
  <c r="M59" i="71"/>
  <c r="Q58" i="56"/>
  <c r="M195" i="71"/>
  <c r="Q194" i="56"/>
  <c r="M184" i="71"/>
  <c r="Q183" i="56"/>
  <c r="G199" i="61"/>
  <c r="AC200" i="71" s="1"/>
  <c r="G160" i="61"/>
  <c r="AC208" i="71" s="1"/>
  <c r="S212" i="68" l="1"/>
  <c r="S213" i="68"/>
  <c r="S214" i="68"/>
  <c r="S215" i="68"/>
  <c r="S216" i="68"/>
  <c r="S217" i="68"/>
  <c r="S218" i="68"/>
  <c r="S219" i="68"/>
  <c r="S220" i="68"/>
  <c r="S221" i="68"/>
  <c r="S222" i="68"/>
  <c r="S223" i="68"/>
  <c r="S224" i="68"/>
  <c r="S225" i="68"/>
  <c r="S226" i="68"/>
  <c r="S227" i="68"/>
  <c r="S228" i="68"/>
  <c r="S211" i="68"/>
  <c r="L228" i="68"/>
  <c r="L227" i="68"/>
  <c r="L226" i="68"/>
  <c r="L225" i="68"/>
  <c r="L224" i="68"/>
  <c r="L223" i="68"/>
  <c r="L222" i="68"/>
  <c r="L221" i="68"/>
  <c r="L220" i="68"/>
  <c r="L219" i="68"/>
  <c r="L218" i="68"/>
  <c r="L217" i="68"/>
  <c r="L216" i="68"/>
  <c r="L215" i="68"/>
  <c r="L214" i="68"/>
  <c r="L213" i="68"/>
  <c r="L212" i="68"/>
  <c r="L211" i="68"/>
  <c r="J212" i="68"/>
  <c r="J213" i="68"/>
  <c r="J214" i="68"/>
  <c r="J215" i="68"/>
  <c r="J216" i="68"/>
  <c r="J217" i="68"/>
  <c r="J218" i="68"/>
  <c r="J219" i="68"/>
  <c r="J220" i="68"/>
  <c r="J221" i="68"/>
  <c r="J222" i="68"/>
  <c r="J223" i="68"/>
  <c r="J224" i="68"/>
  <c r="J225" i="68"/>
  <c r="J226" i="68"/>
  <c r="J227" i="68"/>
  <c r="J228" i="68"/>
  <c r="J211" i="68"/>
  <c r="E212" i="68"/>
  <c r="E213" i="68"/>
  <c r="E214" i="68"/>
  <c r="E215" i="68"/>
  <c r="E216" i="68"/>
  <c r="E217" i="68"/>
  <c r="E218" i="68"/>
  <c r="E219" i="68"/>
  <c r="E220" i="68"/>
  <c r="E221" i="68"/>
  <c r="E222" i="68"/>
  <c r="E223" i="68"/>
  <c r="E224" i="68"/>
  <c r="E225" i="68"/>
  <c r="E226" i="68"/>
  <c r="E227" i="68"/>
  <c r="E228" i="68"/>
  <c r="E211" i="68"/>
  <c r="D212" i="68"/>
  <c r="D213" i="68"/>
  <c r="D214" i="68"/>
  <c r="D215" i="68"/>
  <c r="D216" i="68"/>
  <c r="D217" i="68"/>
  <c r="D218" i="68"/>
  <c r="D219" i="68"/>
  <c r="D220" i="68"/>
  <c r="D221" i="68"/>
  <c r="D222" i="68"/>
  <c r="D223" i="68"/>
  <c r="D224" i="68"/>
  <c r="D225" i="68"/>
  <c r="D226" i="68"/>
  <c r="D227" i="68"/>
  <c r="D228" i="68"/>
  <c r="D211" i="68"/>
  <c r="C228" i="68"/>
  <c r="C212" i="68"/>
  <c r="C213" i="68"/>
  <c r="C214" i="68"/>
  <c r="C215" i="68"/>
  <c r="C216" i="68"/>
  <c r="C217" i="68"/>
  <c r="C218" i="68"/>
  <c r="C219" i="68"/>
  <c r="C220" i="68"/>
  <c r="C221" i="68"/>
  <c r="C222" i="68"/>
  <c r="C223" i="68"/>
  <c r="C224" i="68"/>
  <c r="C225" i="68"/>
  <c r="C226" i="68"/>
  <c r="C227" i="68"/>
  <c r="C211" i="68"/>
  <c r="B212" i="68"/>
  <c r="B213" i="68"/>
  <c r="B214" i="68"/>
  <c r="B215" i="68"/>
  <c r="B216" i="68"/>
  <c r="B217" i="68"/>
  <c r="B218" i="68"/>
  <c r="B219" i="68"/>
  <c r="B220" i="68"/>
  <c r="B221" i="68"/>
  <c r="B222" i="68"/>
  <c r="B223" i="68"/>
  <c r="B224" i="68"/>
  <c r="B225" i="68"/>
  <c r="B226" i="68"/>
  <c r="B227" i="68"/>
  <c r="B228" i="68"/>
  <c r="B211" i="68"/>
  <c r="Q4" i="68"/>
  <c r="Q5" i="68"/>
  <c r="Q6" i="68"/>
  <c r="Q7" i="68"/>
  <c r="Q8" i="68"/>
  <c r="Q9" i="68"/>
  <c r="Q10" i="68"/>
  <c r="Q11" i="68"/>
  <c r="Q12" i="68"/>
  <c r="Q13" i="68"/>
  <c r="Q14" i="68"/>
  <c r="Q15" i="68"/>
  <c r="Q16" i="68"/>
  <c r="Q17" i="68"/>
  <c r="Q18" i="68"/>
  <c r="Q19" i="68"/>
  <c r="Q20" i="68"/>
  <c r="Q21" i="68"/>
  <c r="Q22" i="68"/>
  <c r="Q23" i="68"/>
  <c r="Q24" i="68"/>
  <c r="Q25" i="68"/>
  <c r="Q26" i="68"/>
  <c r="Q27" i="68"/>
  <c r="Q28" i="68"/>
  <c r="Q29" i="68"/>
  <c r="Q30" i="68"/>
  <c r="Q31" i="68"/>
  <c r="Q32" i="68"/>
  <c r="Q33" i="68"/>
  <c r="Q34" i="68"/>
  <c r="Q35" i="68"/>
  <c r="Q36" i="68"/>
  <c r="Q37" i="68"/>
  <c r="Q38" i="68"/>
  <c r="Q39" i="68"/>
  <c r="Q40" i="68"/>
  <c r="Q41" i="68"/>
  <c r="Q42" i="68"/>
  <c r="Q43" i="68"/>
  <c r="Q44" i="68"/>
  <c r="Q45" i="68"/>
  <c r="Q46" i="68"/>
  <c r="Q47" i="68"/>
  <c r="Q48" i="68"/>
  <c r="Q49" i="68"/>
  <c r="Q50" i="68"/>
  <c r="Q51" i="68"/>
  <c r="Q52" i="68"/>
  <c r="Q53" i="68"/>
  <c r="Q54" i="68"/>
  <c r="Q55" i="68"/>
  <c r="Q56" i="68"/>
  <c r="Q57" i="68"/>
  <c r="Q58" i="68"/>
  <c r="Q59" i="68"/>
  <c r="Q60" i="68"/>
  <c r="Q61" i="68"/>
  <c r="Q62" i="68"/>
  <c r="Q63" i="68"/>
  <c r="Q64" i="68"/>
  <c r="Q65" i="68"/>
  <c r="Q66" i="68"/>
  <c r="Q67" i="68"/>
  <c r="Q68" i="68"/>
  <c r="Q69" i="68"/>
  <c r="Q70" i="68"/>
  <c r="Q71" i="68"/>
  <c r="Q72" i="68"/>
  <c r="Q73" i="68"/>
  <c r="Q74" i="68"/>
  <c r="Q75" i="68"/>
  <c r="Q76" i="68"/>
  <c r="Q77" i="68"/>
  <c r="Q78" i="68"/>
  <c r="Q79" i="68"/>
  <c r="Q80" i="68"/>
  <c r="Q81" i="68"/>
  <c r="Q82" i="68"/>
  <c r="Q83" i="68"/>
  <c r="Q84" i="68"/>
  <c r="Q85" i="68"/>
  <c r="Q86" i="68"/>
  <c r="Q87" i="68"/>
  <c r="Q88" i="68"/>
  <c r="Q89" i="68"/>
  <c r="Q90" i="68"/>
  <c r="Q91" i="68"/>
  <c r="Q92" i="68"/>
  <c r="Q93" i="68"/>
  <c r="Q94" i="68"/>
  <c r="Q95" i="68"/>
  <c r="Q96" i="68"/>
  <c r="Q97" i="68"/>
  <c r="Q98" i="68"/>
  <c r="Q99" i="68"/>
  <c r="Q100" i="68"/>
  <c r="Q101" i="68"/>
  <c r="Q102" i="68"/>
  <c r="Q103" i="68"/>
  <c r="Q104" i="68"/>
  <c r="Q105" i="68"/>
  <c r="Q106" i="68"/>
  <c r="Q107" i="68"/>
  <c r="Q108" i="68"/>
  <c r="Q109" i="68"/>
  <c r="Q110" i="68"/>
  <c r="Q111" i="68"/>
  <c r="Q112" i="68"/>
  <c r="Q113" i="68"/>
  <c r="Q114" i="68"/>
  <c r="Q115" i="68"/>
  <c r="Q116" i="68"/>
  <c r="Q117" i="68"/>
  <c r="Q118" i="68"/>
  <c r="Q119" i="68"/>
  <c r="Q120" i="68"/>
  <c r="Q121" i="68"/>
  <c r="Q122" i="68"/>
  <c r="Q123" i="68"/>
  <c r="Q124" i="68"/>
  <c r="Q125" i="68"/>
  <c r="Q126" i="68"/>
  <c r="Q127" i="68"/>
  <c r="Q128" i="68"/>
  <c r="Q129" i="68"/>
  <c r="Q130" i="68"/>
  <c r="Q131" i="68"/>
  <c r="Q132" i="68"/>
  <c r="Q133" i="68"/>
  <c r="Q134" i="68"/>
  <c r="Q135" i="68"/>
  <c r="Q136" i="68"/>
  <c r="Q137" i="68"/>
  <c r="Q138" i="68"/>
  <c r="Q139" i="68"/>
  <c r="Q140" i="68"/>
  <c r="Q141" i="68"/>
  <c r="Q142" i="68"/>
  <c r="Q143" i="68"/>
  <c r="Q144" i="68"/>
  <c r="Q145" i="68"/>
  <c r="Q146" i="68"/>
  <c r="Q147" i="68"/>
  <c r="Q148" i="68"/>
  <c r="Q149" i="68"/>
  <c r="Q150" i="68"/>
  <c r="Q151" i="68"/>
  <c r="Q152" i="68"/>
  <c r="Q153" i="68"/>
  <c r="Q154" i="68"/>
  <c r="Q155" i="68"/>
  <c r="Q156" i="68"/>
  <c r="Q157" i="68"/>
  <c r="Q158" i="68"/>
  <c r="Q159" i="68"/>
  <c r="Q160" i="68"/>
  <c r="Q161" i="68"/>
  <c r="Q162" i="68"/>
  <c r="Q163" i="68"/>
  <c r="Q164" i="68"/>
  <c r="Q165" i="68"/>
  <c r="Q166" i="68"/>
  <c r="Q167" i="68"/>
  <c r="Q168" i="68"/>
  <c r="Q169" i="68"/>
  <c r="Q170" i="68"/>
  <c r="Q171" i="68"/>
  <c r="Q172" i="68"/>
  <c r="Q173" i="68"/>
  <c r="Q174" i="68"/>
  <c r="Q175" i="68"/>
  <c r="Q176" i="68"/>
  <c r="Q177" i="68"/>
  <c r="Q178" i="68"/>
  <c r="Q179" i="68"/>
  <c r="Q180" i="68"/>
  <c r="Q181" i="68"/>
  <c r="Q182" i="68"/>
  <c r="Q184" i="68"/>
  <c r="Q185" i="68"/>
  <c r="Q187" i="68"/>
  <c r="Q188" i="68"/>
  <c r="Q189" i="68"/>
  <c r="Q190" i="68"/>
  <c r="Q191" i="68"/>
  <c r="Q192" i="68"/>
  <c r="Q193" i="68"/>
  <c r="Q194" i="68"/>
  <c r="Q195" i="68"/>
  <c r="Q196" i="68"/>
  <c r="Q197" i="68"/>
  <c r="Q198" i="68"/>
  <c r="Q199" i="68"/>
  <c r="Q200" i="68"/>
  <c r="Q201" i="68"/>
  <c r="Q202" i="68"/>
  <c r="Q203" i="68"/>
  <c r="Q204" i="68"/>
  <c r="Q205" i="68"/>
  <c r="Q206" i="68"/>
  <c r="Q3" i="68"/>
  <c r="L4" i="68"/>
  <c r="L5" i="68"/>
  <c r="L6" i="68"/>
  <c r="L7" i="68"/>
  <c r="L8" i="68"/>
  <c r="L9" i="68"/>
  <c r="L10" i="68"/>
  <c r="L11" i="68"/>
  <c r="L12" i="68"/>
  <c r="L13" i="68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L30" i="68"/>
  <c r="L31" i="68"/>
  <c r="L32" i="68"/>
  <c r="L33" i="68"/>
  <c r="L34" i="68"/>
  <c r="L35" i="68"/>
  <c r="L36" i="68"/>
  <c r="L37" i="68"/>
  <c r="L38" i="68"/>
  <c r="L39" i="68"/>
  <c r="L40" i="68"/>
  <c r="L41" i="68"/>
  <c r="L42" i="68"/>
  <c r="L43" i="68"/>
  <c r="L44" i="68"/>
  <c r="L45" i="68"/>
  <c r="L46" i="68"/>
  <c r="L47" i="68"/>
  <c r="L48" i="68"/>
  <c r="L49" i="68"/>
  <c r="L50" i="68"/>
  <c r="L51" i="68"/>
  <c r="L52" i="68"/>
  <c r="L53" i="68"/>
  <c r="L54" i="68"/>
  <c r="L55" i="68"/>
  <c r="L56" i="68"/>
  <c r="L57" i="68"/>
  <c r="L58" i="68"/>
  <c r="L59" i="68"/>
  <c r="L60" i="68"/>
  <c r="L61" i="68"/>
  <c r="L62" i="68"/>
  <c r="L63" i="68"/>
  <c r="L64" i="68"/>
  <c r="L65" i="68"/>
  <c r="L66" i="68"/>
  <c r="L67" i="68"/>
  <c r="L68" i="68"/>
  <c r="L69" i="68"/>
  <c r="L70" i="68"/>
  <c r="L71" i="68"/>
  <c r="L72" i="68"/>
  <c r="L73" i="68"/>
  <c r="L74" i="68"/>
  <c r="L75" i="68"/>
  <c r="L76" i="68"/>
  <c r="L77" i="68"/>
  <c r="L78" i="68"/>
  <c r="L79" i="68"/>
  <c r="L80" i="68"/>
  <c r="L81" i="68"/>
  <c r="L82" i="68"/>
  <c r="L83" i="68"/>
  <c r="L84" i="68"/>
  <c r="L85" i="68"/>
  <c r="L86" i="68"/>
  <c r="L87" i="68"/>
  <c r="L88" i="68"/>
  <c r="L89" i="68"/>
  <c r="L90" i="68"/>
  <c r="L91" i="68"/>
  <c r="L92" i="68"/>
  <c r="L93" i="68"/>
  <c r="L94" i="68"/>
  <c r="L95" i="68"/>
  <c r="L96" i="68"/>
  <c r="L97" i="68"/>
  <c r="L98" i="68"/>
  <c r="L99" i="68"/>
  <c r="L100" i="68"/>
  <c r="L101" i="68"/>
  <c r="L102" i="68"/>
  <c r="L103" i="68"/>
  <c r="L104" i="68"/>
  <c r="L105" i="68"/>
  <c r="L106" i="68"/>
  <c r="L107" i="68"/>
  <c r="L108" i="68"/>
  <c r="L109" i="68"/>
  <c r="L110" i="68"/>
  <c r="L111" i="68"/>
  <c r="L112" i="68"/>
  <c r="L113" i="68"/>
  <c r="L114" i="68"/>
  <c r="L115" i="68"/>
  <c r="L116" i="68"/>
  <c r="L117" i="68"/>
  <c r="L118" i="68"/>
  <c r="L119" i="68"/>
  <c r="L120" i="68"/>
  <c r="L121" i="68"/>
  <c r="L122" i="68"/>
  <c r="L123" i="68"/>
  <c r="L124" i="68"/>
  <c r="L125" i="68"/>
  <c r="L126" i="68"/>
  <c r="L127" i="68"/>
  <c r="L128" i="68"/>
  <c r="L129" i="68"/>
  <c r="L130" i="68"/>
  <c r="L131" i="68"/>
  <c r="L132" i="68"/>
  <c r="L133" i="68"/>
  <c r="L134" i="68"/>
  <c r="L135" i="68"/>
  <c r="L136" i="68"/>
  <c r="L137" i="68"/>
  <c r="L138" i="68"/>
  <c r="L139" i="68"/>
  <c r="L140" i="68"/>
  <c r="L141" i="68"/>
  <c r="L142" i="68"/>
  <c r="L143" i="68"/>
  <c r="L144" i="68"/>
  <c r="L145" i="68"/>
  <c r="L146" i="68"/>
  <c r="L147" i="68"/>
  <c r="L148" i="68"/>
  <c r="L149" i="68"/>
  <c r="L150" i="68"/>
  <c r="L151" i="68"/>
  <c r="L152" i="68"/>
  <c r="L153" i="68"/>
  <c r="L154" i="68"/>
  <c r="L155" i="68"/>
  <c r="L156" i="68"/>
  <c r="L157" i="68"/>
  <c r="L158" i="68"/>
  <c r="L159" i="68"/>
  <c r="L160" i="68"/>
  <c r="L161" i="68"/>
  <c r="L162" i="68"/>
  <c r="L163" i="68"/>
  <c r="L164" i="68"/>
  <c r="L165" i="68"/>
  <c r="L166" i="68"/>
  <c r="L167" i="68"/>
  <c r="L168" i="68"/>
  <c r="L169" i="68"/>
  <c r="L170" i="68"/>
  <c r="L171" i="68"/>
  <c r="L172" i="68"/>
  <c r="L173" i="68"/>
  <c r="L174" i="68"/>
  <c r="L175" i="68"/>
  <c r="L176" i="68"/>
  <c r="L177" i="68"/>
  <c r="L178" i="68"/>
  <c r="L179" i="68"/>
  <c r="L180" i="68"/>
  <c r="L181" i="68"/>
  <c r="L182" i="68"/>
  <c r="L183" i="68"/>
  <c r="L184" i="68"/>
  <c r="L185" i="68"/>
  <c r="L186" i="68"/>
  <c r="L187" i="68"/>
  <c r="L188" i="68"/>
  <c r="L189" i="68"/>
  <c r="L190" i="68"/>
  <c r="L191" i="68"/>
  <c r="L192" i="68"/>
  <c r="L193" i="68"/>
  <c r="L194" i="68"/>
  <c r="L195" i="68"/>
  <c r="L196" i="68"/>
  <c r="L197" i="68"/>
  <c r="L198" i="68"/>
  <c r="L199" i="68"/>
  <c r="L200" i="68"/>
  <c r="L201" i="68"/>
  <c r="L202" i="68"/>
  <c r="L203" i="68"/>
  <c r="L204" i="68"/>
  <c r="L205" i="68"/>
  <c r="L206" i="68"/>
  <c r="L3" i="68"/>
  <c r="J4" i="68"/>
  <c r="J5" i="68"/>
  <c r="J6" i="68"/>
  <c r="J7" i="68"/>
  <c r="J8" i="68"/>
  <c r="J9" i="68"/>
  <c r="J10" i="68"/>
  <c r="J11" i="68"/>
  <c r="J12" i="68"/>
  <c r="J13" i="68"/>
  <c r="J14" i="68"/>
  <c r="J15" i="68"/>
  <c r="J16" i="68"/>
  <c r="J17" i="68"/>
  <c r="J18" i="68"/>
  <c r="J19" i="68"/>
  <c r="J20" i="68"/>
  <c r="J21" i="68"/>
  <c r="J22" i="68"/>
  <c r="J23" i="68"/>
  <c r="J24" i="68"/>
  <c r="J25" i="68"/>
  <c r="J26" i="68"/>
  <c r="J27" i="68"/>
  <c r="J28" i="68"/>
  <c r="J29" i="68"/>
  <c r="J30" i="68"/>
  <c r="J31" i="68"/>
  <c r="J32" i="68"/>
  <c r="J33" i="68"/>
  <c r="J34" i="68"/>
  <c r="J35" i="68"/>
  <c r="J36" i="68"/>
  <c r="J37" i="68"/>
  <c r="J38" i="68"/>
  <c r="J39" i="68"/>
  <c r="J40" i="68"/>
  <c r="J41" i="68"/>
  <c r="J42" i="68"/>
  <c r="J43" i="68"/>
  <c r="J44" i="68"/>
  <c r="J45" i="68"/>
  <c r="J46" i="68"/>
  <c r="J47" i="68"/>
  <c r="J48" i="68"/>
  <c r="J49" i="68"/>
  <c r="J50" i="68"/>
  <c r="J51" i="68"/>
  <c r="J52" i="68"/>
  <c r="J53" i="68"/>
  <c r="J54" i="68"/>
  <c r="J55" i="68"/>
  <c r="J56" i="68"/>
  <c r="J57" i="68"/>
  <c r="J58" i="68"/>
  <c r="J59" i="68"/>
  <c r="J60" i="68"/>
  <c r="J61" i="68"/>
  <c r="J62" i="68"/>
  <c r="J63" i="68"/>
  <c r="J64" i="68"/>
  <c r="J65" i="68"/>
  <c r="J66" i="68"/>
  <c r="J67" i="68"/>
  <c r="J68" i="68"/>
  <c r="J69" i="68"/>
  <c r="J70" i="68"/>
  <c r="J71" i="68"/>
  <c r="J72" i="68"/>
  <c r="J73" i="68"/>
  <c r="J74" i="68"/>
  <c r="J75" i="68"/>
  <c r="J76" i="68"/>
  <c r="J77" i="68"/>
  <c r="J78" i="68"/>
  <c r="J79" i="68"/>
  <c r="J80" i="68"/>
  <c r="J81" i="68"/>
  <c r="J82" i="68"/>
  <c r="J83" i="68"/>
  <c r="J84" i="68"/>
  <c r="J85" i="68"/>
  <c r="J86" i="68"/>
  <c r="J87" i="68"/>
  <c r="J88" i="68"/>
  <c r="J89" i="68"/>
  <c r="J90" i="68"/>
  <c r="J91" i="68"/>
  <c r="J92" i="68"/>
  <c r="J93" i="68"/>
  <c r="J94" i="68"/>
  <c r="J95" i="68"/>
  <c r="J96" i="68"/>
  <c r="J97" i="68"/>
  <c r="J98" i="68"/>
  <c r="J99" i="68"/>
  <c r="J100" i="68"/>
  <c r="J101" i="68"/>
  <c r="J102" i="68"/>
  <c r="J103" i="68"/>
  <c r="J104" i="68"/>
  <c r="J105" i="68"/>
  <c r="J106" i="68"/>
  <c r="J107" i="68"/>
  <c r="J108" i="68"/>
  <c r="J109" i="68"/>
  <c r="J110" i="68"/>
  <c r="J111" i="68"/>
  <c r="J112" i="68"/>
  <c r="J113" i="68"/>
  <c r="J114" i="68"/>
  <c r="J115" i="68"/>
  <c r="J116" i="68"/>
  <c r="J117" i="68"/>
  <c r="J118" i="68"/>
  <c r="J119" i="68"/>
  <c r="J120" i="68"/>
  <c r="J121" i="68"/>
  <c r="J122" i="68"/>
  <c r="J123" i="68"/>
  <c r="J124" i="68"/>
  <c r="J125" i="68"/>
  <c r="J126" i="68"/>
  <c r="J127" i="68"/>
  <c r="J128" i="68"/>
  <c r="J129" i="68"/>
  <c r="J130" i="68"/>
  <c r="J131" i="68"/>
  <c r="J132" i="68"/>
  <c r="J133" i="68"/>
  <c r="J134" i="68"/>
  <c r="J135" i="68"/>
  <c r="J136" i="68"/>
  <c r="J137" i="68"/>
  <c r="J138" i="68"/>
  <c r="J139" i="68"/>
  <c r="J140" i="68"/>
  <c r="J141" i="68"/>
  <c r="J142" i="68"/>
  <c r="J143" i="68"/>
  <c r="J144" i="68"/>
  <c r="J145" i="68"/>
  <c r="J146" i="68"/>
  <c r="J147" i="68"/>
  <c r="J148" i="68"/>
  <c r="J149" i="68"/>
  <c r="J150" i="68"/>
  <c r="J151" i="68"/>
  <c r="J152" i="68"/>
  <c r="J153" i="68"/>
  <c r="J154" i="68"/>
  <c r="J155" i="68"/>
  <c r="J156" i="68"/>
  <c r="J157" i="68"/>
  <c r="J158" i="68"/>
  <c r="J159" i="68"/>
  <c r="J160" i="68"/>
  <c r="J161" i="68"/>
  <c r="J162" i="68"/>
  <c r="J163" i="68"/>
  <c r="J164" i="68"/>
  <c r="J165" i="68"/>
  <c r="J166" i="68"/>
  <c r="J167" i="68"/>
  <c r="J168" i="68"/>
  <c r="J169" i="68"/>
  <c r="J170" i="68"/>
  <c r="J171" i="68"/>
  <c r="J172" i="68"/>
  <c r="J173" i="68"/>
  <c r="J174" i="68"/>
  <c r="J175" i="68"/>
  <c r="J176" i="68"/>
  <c r="J177" i="68"/>
  <c r="J178" i="68"/>
  <c r="J179" i="68"/>
  <c r="J180" i="68"/>
  <c r="J181" i="68"/>
  <c r="J182" i="68"/>
  <c r="J183" i="68"/>
  <c r="J184" i="68"/>
  <c r="J185" i="68"/>
  <c r="J186" i="68"/>
  <c r="J187" i="68"/>
  <c r="J188" i="68"/>
  <c r="J189" i="68"/>
  <c r="J190" i="68"/>
  <c r="J191" i="68"/>
  <c r="J192" i="68"/>
  <c r="J193" i="68"/>
  <c r="J194" i="68"/>
  <c r="J195" i="68"/>
  <c r="J196" i="68"/>
  <c r="J197" i="68"/>
  <c r="J198" i="68"/>
  <c r="J199" i="68"/>
  <c r="J200" i="68"/>
  <c r="J201" i="68"/>
  <c r="J202" i="68"/>
  <c r="J203" i="68"/>
  <c r="J204" i="68"/>
  <c r="J205" i="68"/>
  <c r="J206" i="68"/>
  <c r="J3" i="68"/>
  <c r="E4" i="68"/>
  <c r="E5" i="68"/>
  <c r="E6" i="68"/>
  <c r="E7" i="68"/>
  <c r="E8" i="68"/>
  <c r="E9" i="68"/>
  <c r="E10" i="68"/>
  <c r="E11" i="68"/>
  <c r="E12" i="68"/>
  <c r="E13" i="68"/>
  <c r="E14" i="68"/>
  <c r="E15" i="68"/>
  <c r="E16" i="68"/>
  <c r="E17" i="68"/>
  <c r="E18" i="68"/>
  <c r="E19" i="68"/>
  <c r="E20" i="68"/>
  <c r="E21" i="68"/>
  <c r="E22" i="68"/>
  <c r="E23" i="68"/>
  <c r="E24" i="68"/>
  <c r="E25" i="68"/>
  <c r="E26" i="68"/>
  <c r="E27" i="68"/>
  <c r="E28" i="68"/>
  <c r="E29" i="68"/>
  <c r="E30" i="68"/>
  <c r="E31" i="68"/>
  <c r="E32" i="68"/>
  <c r="E33" i="68"/>
  <c r="E34" i="68"/>
  <c r="E35" i="68"/>
  <c r="E36" i="68"/>
  <c r="E37" i="68"/>
  <c r="E38" i="68"/>
  <c r="E39" i="68"/>
  <c r="E40" i="68"/>
  <c r="E41" i="68"/>
  <c r="E42" i="68"/>
  <c r="E43" i="68"/>
  <c r="E44" i="68"/>
  <c r="E45" i="68"/>
  <c r="E46" i="68"/>
  <c r="E47" i="68"/>
  <c r="E48" i="68"/>
  <c r="E49" i="68"/>
  <c r="E50" i="68"/>
  <c r="E51" i="68"/>
  <c r="E52" i="68"/>
  <c r="E53" i="68"/>
  <c r="E54" i="68"/>
  <c r="E55" i="68"/>
  <c r="E56" i="68"/>
  <c r="E57" i="68"/>
  <c r="E58" i="68"/>
  <c r="E59" i="68"/>
  <c r="E60" i="68"/>
  <c r="E61" i="68"/>
  <c r="E62" i="68"/>
  <c r="E63" i="68"/>
  <c r="E64" i="68"/>
  <c r="E65" i="68"/>
  <c r="E66" i="68"/>
  <c r="E67" i="68"/>
  <c r="E68" i="68"/>
  <c r="E69" i="68"/>
  <c r="E70" i="68"/>
  <c r="E71" i="68"/>
  <c r="E72" i="68"/>
  <c r="E73" i="68"/>
  <c r="E74" i="68"/>
  <c r="E75" i="68"/>
  <c r="E76" i="68"/>
  <c r="E77" i="68"/>
  <c r="E78" i="68"/>
  <c r="E79" i="68"/>
  <c r="E80" i="68"/>
  <c r="E81" i="68"/>
  <c r="E82" i="68"/>
  <c r="E83" i="68"/>
  <c r="E84" i="68"/>
  <c r="E85" i="68"/>
  <c r="E86" i="68"/>
  <c r="E87" i="68"/>
  <c r="E88" i="68"/>
  <c r="E89" i="68"/>
  <c r="E90" i="68"/>
  <c r="E91" i="68"/>
  <c r="E92" i="68"/>
  <c r="E93" i="68"/>
  <c r="E94" i="68"/>
  <c r="E95" i="68"/>
  <c r="E96" i="68"/>
  <c r="E97" i="68"/>
  <c r="E98" i="68"/>
  <c r="E99" i="68"/>
  <c r="E100" i="68"/>
  <c r="E101" i="68"/>
  <c r="E102" i="68"/>
  <c r="E103" i="68"/>
  <c r="E104" i="68"/>
  <c r="E105" i="68"/>
  <c r="E106" i="68"/>
  <c r="E107" i="68"/>
  <c r="E108" i="68"/>
  <c r="E109" i="68"/>
  <c r="E110" i="68"/>
  <c r="E111" i="68"/>
  <c r="E112" i="68"/>
  <c r="E113" i="68"/>
  <c r="E114" i="68"/>
  <c r="E115" i="68"/>
  <c r="E116" i="68"/>
  <c r="E117" i="68"/>
  <c r="E118" i="68"/>
  <c r="E119" i="68"/>
  <c r="E120" i="68"/>
  <c r="E121" i="68"/>
  <c r="E122" i="68"/>
  <c r="E123" i="68"/>
  <c r="E124" i="68"/>
  <c r="E125" i="68"/>
  <c r="E126" i="68"/>
  <c r="E127" i="68"/>
  <c r="E128" i="68"/>
  <c r="E129" i="68"/>
  <c r="E130" i="68"/>
  <c r="E131" i="68"/>
  <c r="E132" i="68"/>
  <c r="E133" i="68"/>
  <c r="E134" i="68"/>
  <c r="E135" i="68"/>
  <c r="E136" i="68"/>
  <c r="E137" i="68"/>
  <c r="E138" i="68"/>
  <c r="E139" i="68"/>
  <c r="E140" i="68"/>
  <c r="E141" i="68"/>
  <c r="E142" i="68"/>
  <c r="E143" i="68"/>
  <c r="E144" i="68"/>
  <c r="E145" i="68"/>
  <c r="E146" i="68"/>
  <c r="E147" i="68"/>
  <c r="E148" i="68"/>
  <c r="E149" i="68"/>
  <c r="E150" i="68"/>
  <c r="E151" i="68"/>
  <c r="E152" i="68"/>
  <c r="E153" i="68"/>
  <c r="E154" i="68"/>
  <c r="E155" i="68"/>
  <c r="E156" i="68"/>
  <c r="E157" i="68"/>
  <c r="E158" i="68"/>
  <c r="E159" i="68"/>
  <c r="E160" i="68"/>
  <c r="E161" i="68"/>
  <c r="E162" i="68"/>
  <c r="E163" i="68"/>
  <c r="E164" i="68"/>
  <c r="E165" i="68"/>
  <c r="E166" i="68"/>
  <c r="E167" i="68"/>
  <c r="E168" i="68"/>
  <c r="E169" i="68"/>
  <c r="E170" i="68"/>
  <c r="E171" i="68"/>
  <c r="E172" i="68"/>
  <c r="E173" i="68"/>
  <c r="E174" i="68"/>
  <c r="E175" i="68"/>
  <c r="E176" i="68"/>
  <c r="E177" i="68"/>
  <c r="E178" i="68"/>
  <c r="E179" i="68"/>
  <c r="E180" i="68"/>
  <c r="E181" i="68"/>
  <c r="E182" i="68"/>
  <c r="E183" i="68"/>
  <c r="E184" i="68"/>
  <c r="E185" i="68"/>
  <c r="E186" i="68"/>
  <c r="E187" i="68"/>
  <c r="E188" i="68"/>
  <c r="E189" i="68"/>
  <c r="E190" i="68"/>
  <c r="E191" i="68"/>
  <c r="E192" i="68"/>
  <c r="E193" i="68"/>
  <c r="E194" i="68"/>
  <c r="E195" i="68"/>
  <c r="E196" i="68"/>
  <c r="E197" i="68"/>
  <c r="E198" i="68"/>
  <c r="E199" i="68"/>
  <c r="E200" i="68"/>
  <c r="E201" i="68"/>
  <c r="E202" i="68"/>
  <c r="E203" i="68"/>
  <c r="E204" i="68"/>
  <c r="E205" i="68"/>
  <c r="E206" i="68"/>
  <c r="E3" i="68"/>
  <c r="D4" i="68"/>
  <c r="D5" i="68"/>
  <c r="D6" i="68"/>
  <c r="D7" i="68"/>
  <c r="D8" i="68"/>
  <c r="D9" i="68"/>
  <c r="D10" i="68"/>
  <c r="D11" i="68"/>
  <c r="D12" i="68"/>
  <c r="D13" i="68"/>
  <c r="D14" i="68"/>
  <c r="D15" i="68"/>
  <c r="D16" i="68"/>
  <c r="D17" i="68"/>
  <c r="D18" i="68"/>
  <c r="D19" i="68"/>
  <c r="D20" i="68"/>
  <c r="D21" i="68"/>
  <c r="D22" i="68"/>
  <c r="D23" i="68"/>
  <c r="D24" i="68"/>
  <c r="D25" i="68"/>
  <c r="D26" i="68"/>
  <c r="D27" i="68"/>
  <c r="D28" i="68"/>
  <c r="D29" i="68"/>
  <c r="D30" i="68"/>
  <c r="D31" i="68"/>
  <c r="D32" i="68"/>
  <c r="D33" i="68"/>
  <c r="D34" i="68"/>
  <c r="D35" i="68"/>
  <c r="D36" i="68"/>
  <c r="D37" i="68"/>
  <c r="D38" i="68"/>
  <c r="D39" i="68"/>
  <c r="D40" i="68"/>
  <c r="D41" i="68"/>
  <c r="D42" i="68"/>
  <c r="D43" i="68"/>
  <c r="D44" i="68"/>
  <c r="D45" i="68"/>
  <c r="D46" i="68"/>
  <c r="D47" i="68"/>
  <c r="D48" i="68"/>
  <c r="D49" i="68"/>
  <c r="D50" i="68"/>
  <c r="D51" i="68"/>
  <c r="D52" i="68"/>
  <c r="D53" i="68"/>
  <c r="D54" i="68"/>
  <c r="D55" i="68"/>
  <c r="D56" i="68"/>
  <c r="D57" i="68"/>
  <c r="D58" i="68"/>
  <c r="D59" i="68"/>
  <c r="D60" i="68"/>
  <c r="D61" i="68"/>
  <c r="D62" i="68"/>
  <c r="D63" i="68"/>
  <c r="D64" i="68"/>
  <c r="D65" i="68"/>
  <c r="D66" i="68"/>
  <c r="D67" i="68"/>
  <c r="D68" i="68"/>
  <c r="D69" i="68"/>
  <c r="D70" i="68"/>
  <c r="D71" i="68"/>
  <c r="D72" i="68"/>
  <c r="D73" i="68"/>
  <c r="D74" i="68"/>
  <c r="D75" i="68"/>
  <c r="D76" i="68"/>
  <c r="D77" i="68"/>
  <c r="D78" i="68"/>
  <c r="D79" i="68"/>
  <c r="D80" i="68"/>
  <c r="D81" i="68"/>
  <c r="D82" i="68"/>
  <c r="D83" i="68"/>
  <c r="D84" i="68"/>
  <c r="D85" i="68"/>
  <c r="D86" i="68"/>
  <c r="D87" i="68"/>
  <c r="D88" i="68"/>
  <c r="D89" i="68"/>
  <c r="D90" i="68"/>
  <c r="D91" i="68"/>
  <c r="D92" i="68"/>
  <c r="D93" i="68"/>
  <c r="D94" i="68"/>
  <c r="D95" i="68"/>
  <c r="D96" i="68"/>
  <c r="D97" i="68"/>
  <c r="D98" i="68"/>
  <c r="D99" i="68"/>
  <c r="D100" i="68"/>
  <c r="D101" i="68"/>
  <c r="D102" i="68"/>
  <c r="D103" i="68"/>
  <c r="D104" i="68"/>
  <c r="D105" i="68"/>
  <c r="D106" i="68"/>
  <c r="D107" i="68"/>
  <c r="D108" i="68"/>
  <c r="D109" i="68"/>
  <c r="D110" i="68"/>
  <c r="D111" i="68"/>
  <c r="D112" i="68"/>
  <c r="D113" i="68"/>
  <c r="D114" i="68"/>
  <c r="D115" i="68"/>
  <c r="D116" i="68"/>
  <c r="D117" i="68"/>
  <c r="D118" i="68"/>
  <c r="D119" i="68"/>
  <c r="D120" i="68"/>
  <c r="D121" i="68"/>
  <c r="D122" i="68"/>
  <c r="D123" i="68"/>
  <c r="D124" i="68"/>
  <c r="D125" i="68"/>
  <c r="D126" i="68"/>
  <c r="D127" i="68"/>
  <c r="D128" i="68"/>
  <c r="D129" i="68"/>
  <c r="D130" i="68"/>
  <c r="D131" i="68"/>
  <c r="D132" i="68"/>
  <c r="D133" i="68"/>
  <c r="D134" i="68"/>
  <c r="D135" i="68"/>
  <c r="D136" i="68"/>
  <c r="D137" i="68"/>
  <c r="D138" i="68"/>
  <c r="D139" i="68"/>
  <c r="D140" i="68"/>
  <c r="D141" i="68"/>
  <c r="D142" i="68"/>
  <c r="D143" i="68"/>
  <c r="D144" i="68"/>
  <c r="D145" i="68"/>
  <c r="D146" i="68"/>
  <c r="D147" i="68"/>
  <c r="D148" i="68"/>
  <c r="D149" i="68"/>
  <c r="D150" i="68"/>
  <c r="D151" i="68"/>
  <c r="D152" i="68"/>
  <c r="D153" i="68"/>
  <c r="D154" i="68"/>
  <c r="D155" i="68"/>
  <c r="D156" i="68"/>
  <c r="D157" i="68"/>
  <c r="D158" i="68"/>
  <c r="D159" i="68"/>
  <c r="D160" i="68"/>
  <c r="D161" i="68"/>
  <c r="D162" i="68"/>
  <c r="D163" i="68"/>
  <c r="D164" i="68"/>
  <c r="D165" i="68"/>
  <c r="D166" i="68"/>
  <c r="D167" i="68"/>
  <c r="D168" i="68"/>
  <c r="D169" i="68"/>
  <c r="D170" i="68"/>
  <c r="D171" i="68"/>
  <c r="D172" i="68"/>
  <c r="D173" i="68"/>
  <c r="D174" i="68"/>
  <c r="D175" i="68"/>
  <c r="D176" i="68"/>
  <c r="D177" i="68"/>
  <c r="D178" i="68"/>
  <c r="D179" i="68"/>
  <c r="D180" i="68"/>
  <c r="D181" i="68"/>
  <c r="D182" i="68"/>
  <c r="D183" i="68"/>
  <c r="D184" i="68"/>
  <c r="D185" i="68"/>
  <c r="D186" i="68"/>
  <c r="D187" i="68"/>
  <c r="D188" i="68"/>
  <c r="D189" i="68"/>
  <c r="D190" i="68"/>
  <c r="D191" i="68"/>
  <c r="D192" i="68"/>
  <c r="D193" i="68"/>
  <c r="D194" i="68"/>
  <c r="D195" i="68"/>
  <c r="D196" i="68"/>
  <c r="D197" i="68"/>
  <c r="D198" i="68"/>
  <c r="D199" i="68"/>
  <c r="D200" i="68"/>
  <c r="D201" i="68"/>
  <c r="D202" i="68"/>
  <c r="D203" i="68"/>
  <c r="D204" i="68"/>
  <c r="D205" i="68"/>
  <c r="D206" i="68"/>
  <c r="D3" i="68"/>
  <c r="C4" i="68"/>
  <c r="C5" i="68"/>
  <c r="C6" i="68"/>
  <c r="C7" i="68"/>
  <c r="C8" i="68"/>
  <c r="C9" i="68"/>
  <c r="C10" i="68"/>
  <c r="C11" i="68"/>
  <c r="C12" i="68"/>
  <c r="C13" i="68"/>
  <c r="C14" i="68"/>
  <c r="C15" i="68"/>
  <c r="C16" i="68"/>
  <c r="C17" i="68"/>
  <c r="C18" i="68"/>
  <c r="C19" i="68"/>
  <c r="C20" i="68"/>
  <c r="C21" i="68"/>
  <c r="C22" i="68"/>
  <c r="C23" i="68"/>
  <c r="C24" i="68"/>
  <c r="C25" i="68"/>
  <c r="C26" i="68"/>
  <c r="C27" i="68"/>
  <c r="C28" i="68"/>
  <c r="C29" i="68"/>
  <c r="C30" i="68"/>
  <c r="C31" i="68"/>
  <c r="C32" i="68"/>
  <c r="C33" i="68"/>
  <c r="C34" i="68"/>
  <c r="C35" i="68"/>
  <c r="C36" i="68"/>
  <c r="C37" i="68"/>
  <c r="C38" i="68"/>
  <c r="C39" i="68"/>
  <c r="C40" i="68"/>
  <c r="C41" i="68"/>
  <c r="C42" i="68"/>
  <c r="C43" i="68"/>
  <c r="C44" i="68"/>
  <c r="C45" i="68"/>
  <c r="C46" i="68"/>
  <c r="C47" i="68"/>
  <c r="C48" i="68"/>
  <c r="C49" i="68"/>
  <c r="C50" i="68"/>
  <c r="C51" i="68"/>
  <c r="C52" i="68"/>
  <c r="C53" i="68"/>
  <c r="C54" i="68"/>
  <c r="C55" i="68"/>
  <c r="C56" i="68"/>
  <c r="C57" i="68"/>
  <c r="C58" i="68"/>
  <c r="C59" i="68"/>
  <c r="C60" i="68"/>
  <c r="C61" i="68"/>
  <c r="C62" i="68"/>
  <c r="C63" i="68"/>
  <c r="C64" i="68"/>
  <c r="C65" i="68"/>
  <c r="C66" i="68"/>
  <c r="C67" i="68"/>
  <c r="C68" i="68"/>
  <c r="C69" i="68"/>
  <c r="C70" i="68"/>
  <c r="C71" i="68"/>
  <c r="C72" i="68"/>
  <c r="C73" i="68"/>
  <c r="C74" i="68"/>
  <c r="C75" i="68"/>
  <c r="C76" i="68"/>
  <c r="C77" i="68"/>
  <c r="C78" i="68"/>
  <c r="C79" i="68"/>
  <c r="C80" i="68"/>
  <c r="C81" i="68"/>
  <c r="C82" i="68"/>
  <c r="C83" i="68"/>
  <c r="C84" i="68"/>
  <c r="C85" i="68"/>
  <c r="C86" i="68"/>
  <c r="C87" i="68"/>
  <c r="C88" i="68"/>
  <c r="C89" i="68"/>
  <c r="C90" i="68"/>
  <c r="C91" i="68"/>
  <c r="C92" i="68"/>
  <c r="C93" i="68"/>
  <c r="C94" i="68"/>
  <c r="C95" i="68"/>
  <c r="C96" i="68"/>
  <c r="C97" i="68"/>
  <c r="C98" i="68"/>
  <c r="C99" i="68"/>
  <c r="C100" i="68"/>
  <c r="C101" i="68"/>
  <c r="C102" i="68"/>
  <c r="C103" i="68"/>
  <c r="C104" i="68"/>
  <c r="C105" i="68"/>
  <c r="C106" i="68"/>
  <c r="C107" i="68"/>
  <c r="C108" i="68"/>
  <c r="C109" i="68"/>
  <c r="C110" i="68"/>
  <c r="C111" i="68"/>
  <c r="C112" i="68"/>
  <c r="C113" i="68"/>
  <c r="C114" i="68"/>
  <c r="C115" i="68"/>
  <c r="C116" i="68"/>
  <c r="C117" i="68"/>
  <c r="C118" i="68"/>
  <c r="C119" i="68"/>
  <c r="C120" i="68"/>
  <c r="C121" i="68"/>
  <c r="C122" i="68"/>
  <c r="C123" i="68"/>
  <c r="C124" i="68"/>
  <c r="C125" i="68"/>
  <c r="C126" i="68"/>
  <c r="C127" i="68"/>
  <c r="C128" i="68"/>
  <c r="C129" i="68"/>
  <c r="C130" i="68"/>
  <c r="C131" i="68"/>
  <c r="C132" i="68"/>
  <c r="C133" i="68"/>
  <c r="C134" i="68"/>
  <c r="C135" i="68"/>
  <c r="C136" i="68"/>
  <c r="C137" i="68"/>
  <c r="C138" i="68"/>
  <c r="C139" i="68"/>
  <c r="C140" i="68"/>
  <c r="C141" i="68"/>
  <c r="C142" i="68"/>
  <c r="C143" i="68"/>
  <c r="C144" i="68"/>
  <c r="C145" i="68"/>
  <c r="C146" i="68"/>
  <c r="C147" i="68"/>
  <c r="C148" i="68"/>
  <c r="C149" i="68"/>
  <c r="C150" i="68"/>
  <c r="C151" i="68"/>
  <c r="C152" i="68"/>
  <c r="C153" i="68"/>
  <c r="C154" i="68"/>
  <c r="C155" i="68"/>
  <c r="C156" i="68"/>
  <c r="C157" i="68"/>
  <c r="C158" i="68"/>
  <c r="C159" i="68"/>
  <c r="C160" i="68"/>
  <c r="C161" i="68"/>
  <c r="C162" i="68"/>
  <c r="C163" i="68"/>
  <c r="C164" i="68"/>
  <c r="C165" i="68"/>
  <c r="C166" i="68"/>
  <c r="C167" i="68"/>
  <c r="C168" i="68"/>
  <c r="C169" i="68"/>
  <c r="C170" i="68"/>
  <c r="C171" i="68"/>
  <c r="C172" i="68"/>
  <c r="C173" i="68"/>
  <c r="C174" i="68"/>
  <c r="C175" i="68"/>
  <c r="C176" i="68"/>
  <c r="C177" i="68"/>
  <c r="C178" i="68"/>
  <c r="C179" i="68"/>
  <c r="C180" i="68"/>
  <c r="C181" i="68"/>
  <c r="C182" i="68"/>
  <c r="C183" i="68"/>
  <c r="C184" i="68"/>
  <c r="C185" i="68"/>
  <c r="C186" i="68"/>
  <c r="C187" i="68"/>
  <c r="C188" i="68"/>
  <c r="C189" i="68"/>
  <c r="C190" i="68"/>
  <c r="C191" i="68"/>
  <c r="C192" i="68"/>
  <c r="C193" i="68"/>
  <c r="C194" i="68"/>
  <c r="C195" i="68"/>
  <c r="C196" i="68"/>
  <c r="C197" i="68"/>
  <c r="C198" i="68"/>
  <c r="C199" i="68"/>
  <c r="C200" i="68"/>
  <c r="C201" i="68"/>
  <c r="C202" i="68"/>
  <c r="C203" i="68"/>
  <c r="C204" i="68"/>
  <c r="C205" i="68"/>
  <c r="C206" i="68"/>
  <c r="C3" i="68"/>
  <c r="B4" i="68"/>
  <c r="B5" i="68"/>
  <c r="B6" i="68"/>
  <c r="B7" i="68"/>
  <c r="B8" i="68"/>
  <c r="B9" i="68"/>
  <c r="B10" i="68"/>
  <c r="B11" i="68"/>
  <c r="B12" i="68"/>
  <c r="B13" i="68"/>
  <c r="B14" i="68"/>
  <c r="B15" i="68"/>
  <c r="B16" i="68"/>
  <c r="B17" i="68"/>
  <c r="B18" i="68"/>
  <c r="B19" i="68"/>
  <c r="B20" i="68"/>
  <c r="B21" i="68"/>
  <c r="B22" i="68"/>
  <c r="B23" i="68"/>
  <c r="B24" i="68"/>
  <c r="B25" i="68"/>
  <c r="B26" i="68"/>
  <c r="B27" i="68"/>
  <c r="B28" i="68"/>
  <c r="B29" i="68"/>
  <c r="B30" i="68"/>
  <c r="B31" i="68"/>
  <c r="B32" i="68"/>
  <c r="B33" i="68"/>
  <c r="B34" i="68"/>
  <c r="B35" i="68"/>
  <c r="B36" i="68"/>
  <c r="B37" i="68"/>
  <c r="B38" i="68"/>
  <c r="B39" i="68"/>
  <c r="B40" i="68"/>
  <c r="B41" i="68"/>
  <c r="B42" i="68"/>
  <c r="B43" i="68"/>
  <c r="B44" i="68"/>
  <c r="B45" i="68"/>
  <c r="B46" i="68"/>
  <c r="B47" i="68"/>
  <c r="B48" i="68"/>
  <c r="B49" i="68"/>
  <c r="B50" i="68"/>
  <c r="B51" i="68"/>
  <c r="B52" i="68"/>
  <c r="B53" i="68"/>
  <c r="B54" i="68"/>
  <c r="B55" i="68"/>
  <c r="B56" i="68"/>
  <c r="B57" i="68"/>
  <c r="B58" i="68"/>
  <c r="B59" i="68"/>
  <c r="B60" i="68"/>
  <c r="B61" i="68"/>
  <c r="B62" i="68"/>
  <c r="B63" i="68"/>
  <c r="B64" i="68"/>
  <c r="B65" i="68"/>
  <c r="B66" i="68"/>
  <c r="B67" i="68"/>
  <c r="B68" i="68"/>
  <c r="B69" i="68"/>
  <c r="B70" i="68"/>
  <c r="B71" i="68"/>
  <c r="B72" i="68"/>
  <c r="B73" i="68"/>
  <c r="B74" i="68"/>
  <c r="B75" i="68"/>
  <c r="B76" i="68"/>
  <c r="B77" i="68"/>
  <c r="B78" i="68"/>
  <c r="B79" i="68"/>
  <c r="B80" i="68"/>
  <c r="B81" i="68"/>
  <c r="B82" i="68"/>
  <c r="B83" i="68"/>
  <c r="B84" i="68"/>
  <c r="B85" i="68"/>
  <c r="B86" i="68"/>
  <c r="B87" i="68"/>
  <c r="B88" i="68"/>
  <c r="B89" i="68"/>
  <c r="B90" i="68"/>
  <c r="B91" i="68"/>
  <c r="B92" i="68"/>
  <c r="B93" i="68"/>
  <c r="B94" i="68"/>
  <c r="B95" i="68"/>
  <c r="B96" i="68"/>
  <c r="B97" i="68"/>
  <c r="B98" i="68"/>
  <c r="B99" i="68"/>
  <c r="B100" i="68"/>
  <c r="B101" i="68"/>
  <c r="B102" i="68"/>
  <c r="B103" i="68"/>
  <c r="B104" i="68"/>
  <c r="B105" i="68"/>
  <c r="B106" i="68"/>
  <c r="B107" i="68"/>
  <c r="B108" i="68"/>
  <c r="B109" i="68"/>
  <c r="B110" i="68"/>
  <c r="B111" i="68"/>
  <c r="B112" i="68"/>
  <c r="B113" i="68"/>
  <c r="B114" i="68"/>
  <c r="B115" i="68"/>
  <c r="B116" i="68"/>
  <c r="B117" i="68"/>
  <c r="B118" i="68"/>
  <c r="B119" i="68"/>
  <c r="B120" i="68"/>
  <c r="B121" i="68"/>
  <c r="B122" i="68"/>
  <c r="B123" i="68"/>
  <c r="B124" i="68"/>
  <c r="B125" i="68"/>
  <c r="B126" i="68"/>
  <c r="B127" i="68"/>
  <c r="B128" i="68"/>
  <c r="B129" i="68"/>
  <c r="B130" i="68"/>
  <c r="B131" i="68"/>
  <c r="B132" i="68"/>
  <c r="B133" i="68"/>
  <c r="B134" i="68"/>
  <c r="B135" i="68"/>
  <c r="B136" i="68"/>
  <c r="B137" i="68"/>
  <c r="B138" i="68"/>
  <c r="B139" i="68"/>
  <c r="B140" i="68"/>
  <c r="B141" i="68"/>
  <c r="B142" i="68"/>
  <c r="B143" i="68"/>
  <c r="B144" i="68"/>
  <c r="B145" i="68"/>
  <c r="B146" i="68"/>
  <c r="B147" i="68"/>
  <c r="B148" i="68"/>
  <c r="B149" i="68"/>
  <c r="B150" i="68"/>
  <c r="B151" i="68"/>
  <c r="B152" i="68"/>
  <c r="B153" i="68"/>
  <c r="B154" i="68"/>
  <c r="B155" i="68"/>
  <c r="B156" i="68"/>
  <c r="B157" i="68"/>
  <c r="B158" i="68"/>
  <c r="B159" i="68"/>
  <c r="B160" i="68"/>
  <c r="B161" i="68"/>
  <c r="B162" i="68"/>
  <c r="B163" i="68"/>
  <c r="B164" i="68"/>
  <c r="B165" i="68"/>
  <c r="B166" i="68"/>
  <c r="B167" i="68"/>
  <c r="B168" i="68"/>
  <c r="B169" i="68"/>
  <c r="B170" i="68"/>
  <c r="B171" i="68"/>
  <c r="B172" i="68"/>
  <c r="B173" i="68"/>
  <c r="B174" i="68"/>
  <c r="B175" i="68"/>
  <c r="B176" i="68"/>
  <c r="B177" i="68"/>
  <c r="B178" i="68"/>
  <c r="B179" i="68"/>
  <c r="B180" i="68"/>
  <c r="B181" i="68"/>
  <c r="B182" i="68"/>
  <c r="B183" i="68"/>
  <c r="B184" i="68"/>
  <c r="B185" i="68"/>
  <c r="B186" i="68"/>
  <c r="B187" i="68"/>
  <c r="B188" i="68"/>
  <c r="B189" i="68"/>
  <c r="B190" i="68"/>
  <c r="B191" i="68"/>
  <c r="B192" i="68"/>
  <c r="B193" i="68"/>
  <c r="B194" i="68"/>
  <c r="B195" i="68"/>
  <c r="B196" i="68"/>
  <c r="B197" i="68"/>
  <c r="B198" i="68"/>
  <c r="B199" i="68"/>
  <c r="B200" i="68"/>
  <c r="B201" i="68"/>
  <c r="B202" i="68"/>
  <c r="B203" i="68"/>
  <c r="B204" i="68"/>
  <c r="B205" i="68"/>
  <c r="B206" i="68"/>
  <c r="B3" i="68"/>
  <c r="P206" i="16" l="1"/>
  <c r="Q206" i="16" s="1"/>
  <c r="R206" i="16" s="1"/>
  <c r="L206" i="16"/>
  <c r="Q5" i="67" l="1"/>
  <c r="Q8" i="67"/>
  <c r="Q51" i="67"/>
  <c r="Q63" i="67"/>
  <c r="Q64" i="67"/>
  <c r="Q79" i="67"/>
  <c r="Q99" i="67"/>
  <c r="Q122" i="67"/>
  <c r="Q161" i="67"/>
  <c r="Q128" i="67"/>
  <c r="Q154" i="67"/>
  <c r="Q25" i="67"/>
  <c r="Q147" i="67"/>
  <c r="Q145" i="67"/>
  <c r="Q146" i="67"/>
  <c r="Q189" i="67"/>
  <c r="Q206" i="67"/>
  <c r="Q93" i="67"/>
  <c r="Q50" i="67"/>
  <c r="Q158" i="67"/>
  <c r="Q94" i="67"/>
  <c r="Q91" i="67"/>
  <c r="Q148" i="67"/>
  <c r="Q171" i="67"/>
  <c r="Q60" i="67"/>
  <c r="Q143" i="67"/>
  <c r="Q90" i="67"/>
  <c r="Q182" i="67"/>
  <c r="Q13" i="67"/>
  <c r="Q7" i="67"/>
  <c r="Q69" i="67"/>
  <c r="Q47" i="67"/>
  <c r="Q49" i="67"/>
  <c r="Q97" i="67"/>
  <c r="Q4" i="67"/>
  <c r="Q53" i="67"/>
  <c r="Q57" i="67"/>
  <c r="Q22" i="67"/>
  <c r="Q23" i="67"/>
  <c r="Q24" i="67"/>
  <c r="Q175" i="67"/>
  <c r="Q61" i="67"/>
  <c r="Q15" i="67"/>
  <c r="Q26" i="67"/>
  <c r="Q110" i="67"/>
  <c r="Q87" i="67"/>
  <c r="Q88" i="67"/>
  <c r="Q34" i="67"/>
  <c r="Q92" i="67"/>
  <c r="Q95" i="67"/>
  <c r="Q96" i="67"/>
  <c r="Q98" i="67"/>
  <c r="Q190" i="67"/>
  <c r="Q111" i="67"/>
  <c r="Q112" i="67"/>
  <c r="Q113" i="67"/>
  <c r="Q27" i="67"/>
  <c r="Q115" i="67"/>
  <c r="Q114" i="67"/>
  <c r="Q119" i="67"/>
  <c r="Q125" i="67"/>
  <c r="Q120" i="67"/>
  <c r="Q70" i="67"/>
  <c r="Q195" i="67"/>
  <c r="Q123" i="67"/>
  <c r="Q124" i="67"/>
  <c r="Q29" i="67"/>
  <c r="Q45" i="67"/>
  <c r="Q133" i="67"/>
  <c r="Q135" i="67"/>
  <c r="Q30" i="67"/>
  <c r="Q31" i="67"/>
  <c r="Q196" i="67"/>
  <c r="Q138" i="67"/>
  <c r="Q142" i="67"/>
  <c r="Q141" i="67"/>
  <c r="Q131" i="67"/>
  <c r="Q151" i="67"/>
  <c r="Q156" i="67"/>
  <c r="Q73" i="67"/>
  <c r="Q199" i="67"/>
  <c r="Q157" i="67"/>
  <c r="Q159" i="67"/>
  <c r="Q38" i="67"/>
  <c r="Q169" i="67"/>
  <c r="Q173" i="67"/>
  <c r="Q163" i="67"/>
  <c r="Q191" i="67"/>
  <c r="Q177" i="67"/>
  <c r="Q203" i="67"/>
  <c r="Q197" i="67"/>
  <c r="Q39" i="67"/>
  <c r="Q178" i="67"/>
  <c r="Q74" i="67"/>
  <c r="Q181" i="67"/>
  <c r="Q43" i="67"/>
  <c r="Q187" i="67"/>
  <c r="Q201" i="67"/>
  <c r="Q18" i="67"/>
  <c r="Q202" i="67"/>
  <c r="Q121" i="67"/>
  <c r="Q174" i="67"/>
  <c r="Q67" i="67"/>
  <c r="Q80" i="67"/>
  <c r="Q11" i="67"/>
  <c r="Q46" i="67"/>
  <c r="Q108" i="67"/>
  <c r="Q109" i="67"/>
  <c r="Q102" i="67"/>
  <c r="Q71" i="67"/>
  <c r="Q137" i="67"/>
  <c r="Q86" i="67"/>
  <c r="Q176" i="67"/>
  <c r="Q89" i="67"/>
  <c r="Q101" i="67"/>
  <c r="Q155" i="67"/>
  <c r="Q55" i="67"/>
  <c r="Q192" i="67"/>
  <c r="Q193" i="67"/>
  <c r="Q33" i="67"/>
  <c r="Q32" i="67"/>
  <c r="Q35" i="67"/>
  <c r="Q194" i="67"/>
  <c r="Q44" i="67"/>
  <c r="Q28" i="67"/>
  <c r="Q14" i="67"/>
  <c r="Q37" i="67"/>
  <c r="Q77" i="67"/>
  <c r="Q167" i="67"/>
  <c r="Q116" i="67"/>
  <c r="S212" i="67"/>
  <c r="S213" i="67"/>
  <c r="S214" i="67"/>
  <c r="S216" i="67"/>
  <c r="S217" i="67"/>
  <c r="S218" i="67"/>
  <c r="S219" i="67"/>
  <c r="S220" i="67"/>
  <c r="S221" i="67"/>
  <c r="S222" i="67"/>
  <c r="S223" i="67"/>
  <c r="S224" i="67"/>
  <c r="S226" i="67"/>
  <c r="S227" i="67"/>
  <c r="S228" i="67"/>
  <c r="S211" i="67"/>
  <c r="Q6" i="67"/>
  <c r="Q9" i="67"/>
  <c r="Q10" i="67"/>
  <c r="Q12" i="67"/>
  <c r="Q16" i="67"/>
  <c r="Q17" i="67"/>
  <c r="Q19" i="67"/>
  <c r="Q20" i="67"/>
  <c r="Q21" i="67"/>
  <c r="Q36" i="67"/>
  <c r="Q40" i="67"/>
  <c r="Q41" i="67"/>
  <c r="Q42" i="67"/>
  <c r="Q48" i="67"/>
  <c r="Q54" i="67"/>
  <c r="Q56" i="67"/>
  <c r="Q58" i="67"/>
  <c r="Q59" i="67"/>
  <c r="Q62" i="67"/>
  <c r="Q65" i="67"/>
  <c r="Q66" i="67"/>
  <c r="Q68" i="67"/>
  <c r="Q72" i="67"/>
  <c r="Q75" i="67"/>
  <c r="Q76" i="67"/>
  <c r="Q78" i="67"/>
  <c r="Q81" i="67"/>
  <c r="Q82" i="67"/>
  <c r="Q83" i="67"/>
  <c r="Q84" i="67"/>
  <c r="Q85" i="67"/>
  <c r="Q100" i="67"/>
  <c r="Q103" i="67"/>
  <c r="Q104" i="67"/>
  <c r="Q105" i="67"/>
  <c r="Q106" i="67"/>
  <c r="Q107" i="67"/>
  <c r="Q117" i="67"/>
  <c r="Q118" i="67"/>
  <c r="Q127" i="67"/>
  <c r="Q129" i="67"/>
  <c r="Q130" i="67"/>
  <c r="Q132" i="67"/>
  <c r="Q134" i="67"/>
  <c r="Q136" i="67"/>
  <c r="Q139" i="67"/>
  <c r="Q140" i="67"/>
  <c r="Q144" i="67"/>
  <c r="Q149" i="67"/>
  <c r="Q150" i="67"/>
  <c r="Q152" i="67"/>
  <c r="Q153" i="67"/>
  <c r="Q160" i="67"/>
  <c r="Q162" i="67"/>
  <c r="Q164" i="67"/>
  <c r="Q165" i="67"/>
  <c r="Q166" i="67"/>
  <c r="Q168" i="67"/>
  <c r="Q170" i="67"/>
  <c r="Q172" i="67"/>
  <c r="Q179" i="67"/>
  <c r="Q180" i="67"/>
  <c r="Q183" i="67"/>
  <c r="Q184" i="67"/>
  <c r="Q185" i="67"/>
  <c r="Q186" i="67"/>
  <c r="Q188" i="67"/>
  <c r="Q198" i="67"/>
  <c r="Q204" i="67"/>
  <c r="Q205" i="67"/>
  <c r="Q3" i="67"/>
  <c r="L4" i="67"/>
  <c r="L5" i="67"/>
  <c r="L6" i="67"/>
  <c r="L7" i="67"/>
  <c r="L8" i="67"/>
  <c r="L9" i="67"/>
  <c r="L10" i="67"/>
  <c r="L11" i="67"/>
  <c r="L12" i="67"/>
  <c r="L13" i="67"/>
  <c r="L14" i="67"/>
  <c r="L15" i="67"/>
  <c r="L16" i="67"/>
  <c r="L17" i="67"/>
  <c r="L18" i="67"/>
  <c r="L19" i="67"/>
  <c r="L20" i="67"/>
  <c r="L21" i="67"/>
  <c r="L22" i="67"/>
  <c r="L23" i="67"/>
  <c r="L24" i="67"/>
  <c r="L25" i="67"/>
  <c r="L26" i="67"/>
  <c r="L27" i="67"/>
  <c r="L28" i="67"/>
  <c r="L29" i="67"/>
  <c r="L30" i="67"/>
  <c r="L31" i="67"/>
  <c r="L32" i="67"/>
  <c r="L33" i="67"/>
  <c r="L34" i="67"/>
  <c r="L35" i="67"/>
  <c r="L36" i="67"/>
  <c r="L37" i="67"/>
  <c r="L38" i="67"/>
  <c r="L39" i="67"/>
  <c r="L40" i="67"/>
  <c r="L41" i="67"/>
  <c r="L42" i="67"/>
  <c r="L43" i="67"/>
  <c r="L44" i="67"/>
  <c r="L45" i="67"/>
  <c r="L46" i="67"/>
  <c r="L47" i="67"/>
  <c r="L48" i="67"/>
  <c r="L49" i="67"/>
  <c r="L50" i="67"/>
  <c r="L51" i="67"/>
  <c r="L52" i="67"/>
  <c r="L53" i="67"/>
  <c r="L54" i="67"/>
  <c r="L55" i="67"/>
  <c r="L56" i="67"/>
  <c r="L57" i="67"/>
  <c r="L58" i="67"/>
  <c r="L59" i="67"/>
  <c r="L60" i="67"/>
  <c r="L61" i="67"/>
  <c r="L62" i="67"/>
  <c r="L63" i="67"/>
  <c r="L64" i="67"/>
  <c r="L65" i="67"/>
  <c r="L66" i="67"/>
  <c r="L67" i="67"/>
  <c r="L68" i="67"/>
  <c r="L69" i="67"/>
  <c r="L70" i="67"/>
  <c r="L71" i="67"/>
  <c r="L72" i="67"/>
  <c r="L73" i="67"/>
  <c r="L74" i="67"/>
  <c r="L75" i="67"/>
  <c r="L76" i="67"/>
  <c r="L77" i="67"/>
  <c r="L78" i="67"/>
  <c r="L79" i="67"/>
  <c r="L80" i="67"/>
  <c r="L81" i="67"/>
  <c r="L82" i="67"/>
  <c r="L83" i="67"/>
  <c r="L84" i="67"/>
  <c r="L85" i="67"/>
  <c r="L86" i="67"/>
  <c r="L87" i="67"/>
  <c r="L88" i="67"/>
  <c r="L89" i="67"/>
  <c r="L90" i="67"/>
  <c r="L91" i="67"/>
  <c r="L92" i="67"/>
  <c r="L93" i="67"/>
  <c r="L94" i="67"/>
  <c r="L95" i="67"/>
  <c r="L96" i="67"/>
  <c r="L97" i="67"/>
  <c r="L98" i="67"/>
  <c r="L99" i="67"/>
  <c r="L100" i="67"/>
  <c r="L101" i="67"/>
  <c r="L102" i="67"/>
  <c r="L103" i="67"/>
  <c r="L104" i="67"/>
  <c r="L105" i="67"/>
  <c r="L106" i="67"/>
  <c r="L107" i="67"/>
  <c r="L108" i="67"/>
  <c r="L109" i="67"/>
  <c r="L110" i="67"/>
  <c r="L111" i="67"/>
  <c r="L112" i="67"/>
  <c r="L113" i="67"/>
  <c r="L114" i="67"/>
  <c r="L115" i="67"/>
  <c r="L116" i="67"/>
  <c r="L117" i="67"/>
  <c r="L118" i="67"/>
  <c r="L119" i="67"/>
  <c r="L120" i="67"/>
  <c r="L121" i="67"/>
  <c r="L122" i="67"/>
  <c r="L123" i="67"/>
  <c r="L124" i="67"/>
  <c r="L125" i="67"/>
  <c r="L126" i="67"/>
  <c r="L127" i="67"/>
  <c r="L128" i="67"/>
  <c r="L129" i="67"/>
  <c r="L130" i="67"/>
  <c r="L131" i="67"/>
  <c r="L132" i="67"/>
  <c r="L133" i="67"/>
  <c r="L134" i="67"/>
  <c r="L135" i="67"/>
  <c r="L136" i="67"/>
  <c r="L137" i="67"/>
  <c r="L138" i="67"/>
  <c r="L139" i="67"/>
  <c r="L140" i="67"/>
  <c r="L141" i="67"/>
  <c r="L142" i="67"/>
  <c r="L143" i="67"/>
  <c r="L144" i="67"/>
  <c r="L145" i="67"/>
  <c r="L146" i="67"/>
  <c r="L147" i="67"/>
  <c r="L148" i="67"/>
  <c r="L149" i="67"/>
  <c r="L150" i="67"/>
  <c r="L151" i="67"/>
  <c r="L152" i="67"/>
  <c r="L153" i="67"/>
  <c r="L154" i="67"/>
  <c r="L155" i="67"/>
  <c r="L156" i="67"/>
  <c r="L157" i="67"/>
  <c r="L158" i="67"/>
  <c r="L159" i="67"/>
  <c r="L160" i="67"/>
  <c r="L161" i="67"/>
  <c r="L162" i="67"/>
  <c r="L163" i="67"/>
  <c r="L164" i="67"/>
  <c r="L165" i="67"/>
  <c r="L166" i="67"/>
  <c r="L167" i="67"/>
  <c r="L168" i="67"/>
  <c r="L169" i="67"/>
  <c r="L170" i="67"/>
  <c r="L171" i="67"/>
  <c r="L172" i="67"/>
  <c r="L173" i="67"/>
  <c r="L174" i="67"/>
  <c r="L175" i="67"/>
  <c r="L176" i="67"/>
  <c r="L177" i="67"/>
  <c r="L178" i="67"/>
  <c r="L179" i="67"/>
  <c r="L180" i="67"/>
  <c r="L181" i="67"/>
  <c r="L182" i="67"/>
  <c r="L183" i="67"/>
  <c r="L184" i="67"/>
  <c r="L185" i="67"/>
  <c r="L186" i="67"/>
  <c r="L187" i="67"/>
  <c r="L188" i="67"/>
  <c r="L189" i="67"/>
  <c r="L190" i="67"/>
  <c r="L191" i="67"/>
  <c r="L192" i="67"/>
  <c r="L193" i="67"/>
  <c r="L194" i="67"/>
  <c r="L195" i="67"/>
  <c r="L196" i="67"/>
  <c r="L197" i="67"/>
  <c r="L198" i="67"/>
  <c r="L199" i="67"/>
  <c r="L200" i="67"/>
  <c r="L201" i="67"/>
  <c r="L202" i="67"/>
  <c r="L203" i="67"/>
  <c r="L204" i="67"/>
  <c r="L205" i="67"/>
  <c r="L206" i="67"/>
  <c r="L3" i="67"/>
  <c r="L212" i="67"/>
  <c r="L213" i="67"/>
  <c r="L214" i="67"/>
  <c r="L215" i="67"/>
  <c r="L216" i="67"/>
  <c r="L217" i="67"/>
  <c r="L218" i="67"/>
  <c r="L219" i="67"/>
  <c r="L220" i="67"/>
  <c r="L221" i="67"/>
  <c r="L222" i="67"/>
  <c r="L223" i="67"/>
  <c r="L224" i="67"/>
  <c r="L225" i="67"/>
  <c r="L226" i="67"/>
  <c r="L227" i="67"/>
  <c r="L228" i="67"/>
  <c r="L211" i="67"/>
  <c r="J212" i="67"/>
  <c r="J213" i="67"/>
  <c r="J214" i="67"/>
  <c r="J215" i="67"/>
  <c r="J216" i="67"/>
  <c r="J217" i="67"/>
  <c r="J218" i="67"/>
  <c r="J219" i="67"/>
  <c r="J220" i="67"/>
  <c r="J221" i="67"/>
  <c r="J222" i="67"/>
  <c r="J223" i="67"/>
  <c r="J224" i="67"/>
  <c r="J225" i="67"/>
  <c r="J226" i="67"/>
  <c r="J227" i="67"/>
  <c r="J228" i="67"/>
  <c r="J211" i="67"/>
  <c r="J4" i="67"/>
  <c r="J5" i="67"/>
  <c r="J6" i="67"/>
  <c r="J7" i="67"/>
  <c r="J8" i="67"/>
  <c r="J9" i="67"/>
  <c r="J10" i="67"/>
  <c r="J11" i="67"/>
  <c r="J12" i="67"/>
  <c r="J13" i="67"/>
  <c r="J14" i="67"/>
  <c r="J15" i="67"/>
  <c r="J16" i="67"/>
  <c r="J17" i="67"/>
  <c r="J18" i="67"/>
  <c r="J19" i="67"/>
  <c r="J20" i="67"/>
  <c r="J21" i="67"/>
  <c r="J22" i="67"/>
  <c r="J23" i="67"/>
  <c r="J24" i="67"/>
  <c r="J25" i="67"/>
  <c r="J26" i="67"/>
  <c r="J27" i="67"/>
  <c r="J28" i="67"/>
  <c r="J29" i="67"/>
  <c r="J30" i="67"/>
  <c r="J31" i="67"/>
  <c r="J32" i="67"/>
  <c r="J33" i="67"/>
  <c r="J34" i="67"/>
  <c r="J35" i="67"/>
  <c r="J36" i="67"/>
  <c r="J37" i="67"/>
  <c r="J38" i="67"/>
  <c r="J39" i="67"/>
  <c r="J40" i="67"/>
  <c r="J41" i="67"/>
  <c r="J42" i="67"/>
  <c r="J43" i="67"/>
  <c r="J44" i="67"/>
  <c r="J45" i="67"/>
  <c r="J46" i="67"/>
  <c r="J47" i="67"/>
  <c r="J48" i="67"/>
  <c r="J49" i="67"/>
  <c r="J50" i="67"/>
  <c r="J51" i="67"/>
  <c r="J52" i="67"/>
  <c r="J53" i="67"/>
  <c r="J54" i="67"/>
  <c r="J55" i="67"/>
  <c r="J56" i="67"/>
  <c r="J57" i="67"/>
  <c r="J58" i="67"/>
  <c r="J59" i="67"/>
  <c r="J60" i="67"/>
  <c r="J61" i="67"/>
  <c r="J62" i="67"/>
  <c r="J63" i="67"/>
  <c r="J64" i="67"/>
  <c r="J65" i="67"/>
  <c r="J66" i="67"/>
  <c r="J67" i="67"/>
  <c r="J68" i="67"/>
  <c r="J69" i="67"/>
  <c r="J70" i="67"/>
  <c r="J71" i="67"/>
  <c r="J72" i="67"/>
  <c r="J73" i="67"/>
  <c r="J74" i="67"/>
  <c r="J75" i="67"/>
  <c r="J76" i="67"/>
  <c r="J77" i="67"/>
  <c r="J78" i="67"/>
  <c r="J79" i="67"/>
  <c r="J80" i="67"/>
  <c r="J81" i="67"/>
  <c r="J82" i="67"/>
  <c r="J83" i="67"/>
  <c r="J84" i="67"/>
  <c r="J85" i="67"/>
  <c r="J86" i="67"/>
  <c r="J87" i="67"/>
  <c r="J88" i="67"/>
  <c r="J89" i="67"/>
  <c r="J90" i="67"/>
  <c r="J91" i="67"/>
  <c r="J92" i="67"/>
  <c r="J93" i="67"/>
  <c r="J94" i="67"/>
  <c r="J95" i="67"/>
  <c r="J96" i="67"/>
  <c r="J97" i="67"/>
  <c r="J98" i="67"/>
  <c r="J99" i="67"/>
  <c r="J100" i="67"/>
  <c r="J101" i="67"/>
  <c r="J102" i="67"/>
  <c r="J103" i="67"/>
  <c r="J104" i="67"/>
  <c r="J105" i="67"/>
  <c r="J106" i="67"/>
  <c r="J107" i="67"/>
  <c r="J108" i="67"/>
  <c r="J109" i="67"/>
  <c r="J110" i="67"/>
  <c r="J111" i="67"/>
  <c r="J112" i="67"/>
  <c r="J113" i="67"/>
  <c r="J114" i="67"/>
  <c r="J115" i="67"/>
  <c r="J116" i="67"/>
  <c r="J117" i="67"/>
  <c r="J118" i="67"/>
  <c r="J119" i="67"/>
  <c r="J120" i="67"/>
  <c r="J121" i="67"/>
  <c r="J122" i="67"/>
  <c r="J123" i="67"/>
  <c r="J124" i="67"/>
  <c r="J125" i="67"/>
  <c r="J126" i="67"/>
  <c r="J127" i="67"/>
  <c r="J128" i="67"/>
  <c r="J129" i="67"/>
  <c r="J130" i="67"/>
  <c r="J131" i="67"/>
  <c r="J132" i="67"/>
  <c r="J133" i="67"/>
  <c r="J134" i="67"/>
  <c r="J135" i="67"/>
  <c r="J136" i="67"/>
  <c r="J137" i="67"/>
  <c r="J138" i="67"/>
  <c r="J139" i="67"/>
  <c r="J140" i="67"/>
  <c r="J141" i="67"/>
  <c r="J142" i="67"/>
  <c r="J143" i="67"/>
  <c r="J144" i="67"/>
  <c r="J145" i="67"/>
  <c r="J146" i="67"/>
  <c r="J147" i="67"/>
  <c r="J148" i="67"/>
  <c r="J149" i="67"/>
  <c r="J150" i="67"/>
  <c r="J151" i="67"/>
  <c r="J152" i="67"/>
  <c r="J153" i="67"/>
  <c r="J154" i="67"/>
  <c r="J155" i="67"/>
  <c r="J156" i="67"/>
  <c r="J157" i="67"/>
  <c r="J158" i="67"/>
  <c r="J159" i="67"/>
  <c r="J160" i="67"/>
  <c r="J161" i="67"/>
  <c r="J162" i="67"/>
  <c r="J163" i="67"/>
  <c r="J164" i="67"/>
  <c r="J165" i="67"/>
  <c r="J166" i="67"/>
  <c r="J167" i="67"/>
  <c r="J168" i="67"/>
  <c r="J169" i="67"/>
  <c r="J170" i="67"/>
  <c r="J171" i="67"/>
  <c r="J172" i="67"/>
  <c r="J173" i="67"/>
  <c r="J174" i="67"/>
  <c r="J175" i="67"/>
  <c r="J176" i="67"/>
  <c r="J177" i="67"/>
  <c r="J178" i="67"/>
  <c r="J179" i="67"/>
  <c r="J180" i="67"/>
  <c r="J181" i="67"/>
  <c r="J182" i="67"/>
  <c r="J183" i="67"/>
  <c r="J184" i="67"/>
  <c r="J185" i="67"/>
  <c r="J186" i="67"/>
  <c r="J187" i="67"/>
  <c r="J188" i="67"/>
  <c r="J189" i="67"/>
  <c r="J190" i="67"/>
  <c r="J191" i="67"/>
  <c r="J192" i="67"/>
  <c r="J193" i="67"/>
  <c r="J194" i="67"/>
  <c r="J195" i="67"/>
  <c r="J196" i="67"/>
  <c r="J197" i="67"/>
  <c r="J198" i="67"/>
  <c r="J199" i="67"/>
  <c r="J200" i="67"/>
  <c r="J201" i="67"/>
  <c r="J202" i="67"/>
  <c r="J203" i="67"/>
  <c r="J204" i="67"/>
  <c r="J205" i="67"/>
  <c r="J206" i="67"/>
  <c r="J3" i="67"/>
  <c r="C213" i="67"/>
  <c r="C214" i="67"/>
  <c r="C215" i="67"/>
  <c r="C216" i="67"/>
  <c r="C217" i="67"/>
  <c r="C218" i="67"/>
  <c r="C219" i="67"/>
  <c r="C220" i="67"/>
  <c r="C221" i="67"/>
  <c r="C222" i="67"/>
  <c r="C223" i="67"/>
  <c r="C224" i="67"/>
  <c r="C225" i="67"/>
  <c r="C226" i="67"/>
  <c r="C227" i="67"/>
  <c r="C228" i="67"/>
  <c r="C212" i="67"/>
  <c r="C211" i="67"/>
  <c r="B212" i="67"/>
  <c r="B213" i="67"/>
  <c r="B214" i="67"/>
  <c r="B215" i="67"/>
  <c r="B216" i="67"/>
  <c r="B217" i="67"/>
  <c r="B218" i="67"/>
  <c r="B219" i="67"/>
  <c r="B220" i="67"/>
  <c r="B221" i="67"/>
  <c r="B222" i="67"/>
  <c r="B223" i="67"/>
  <c r="B224" i="67"/>
  <c r="B225" i="67"/>
  <c r="B226" i="67"/>
  <c r="B227" i="67"/>
  <c r="B228" i="67"/>
  <c r="B211" i="67"/>
  <c r="C4" i="67"/>
  <c r="C5" i="67"/>
  <c r="C6" i="67"/>
  <c r="C7" i="67"/>
  <c r="C8" i="67"/>
  <c r="C9" i="67"/>
  <c r="C10" i="67"/>
  <c r="C11" i="67"/>
  <c r="C12" i="67"/>
  <c r="C13" i="67"/>
  <c r="C14" i="67"/>
  <c r="C15" i="67"/>
  <c r="C16" i="67"/>
  <c r="C17" i="67"/>
  <c r="C18" i="67"/>
  <c r="C19" i="67"/>
  <c r="C20" i="67"/>
  <c r="C21" i="67"/>
  <c r="C22" i="67"/>
  <c r="C23" i="67"/>
  <c r="C24" i="67"/>
  <c r="C25" i="67"/>
  <c r="C26" i="67"/>
  <c r="C27" i="67"/>
  <c r="C28" i="67"/>
  <c r="C29" i="67"/>
  <c r="C30" i="67"/>
  <c r="C31" i="67"/>
  <c r="C32" i="67"/>
  <c r="C33" i="67"/>
  <c r="C34" i="67"/>
  <c r="C35" i="67"/>
  <c r="C36" i="67"/>
  <c r="C37" i="67"/>
  <c r="C38" i="67"/>
  <c r="C39" i="67"/>
  <c r="C40" i="67"/>
  <c r="C41" i="67"/>
  <c r="C42" i="67"/>
  <c r="C43" i="67"/>
  <c r="C44" i="67"/>
  <c r="C45" i="67"/>
  <c r="C46" i="67"/>
  <c r="C47" i="67"/>
  <c r="C48" i="67"/>
  <c r="C49" i="67"/>
  <c r="C50" i="67"/>
  <c r="C51" i="67"/>
  <c r="C52" i="67"/>
  <c r="C53" i="67"/>
  <c r="C54" i="67"/>
  <c r="C55" i="67"/>
  <c r="C56" i="67"/>
  <c r="C57" i="67"/>
  <c r="C58" i="67"/>
  <c r="C59" i="67"/>
  <c r="C60" i="67"/>
  <c r="C61" i="67"/>
  <c r="C62" i="67"/>
  <c r="C63" i="67"/>
  <c r="C64" i="67"/>
  <c r="C65" i="67"/>
  <c r="C66" i="67"/>
  <c r="C67" i="67"/>
  <c r="C68" i="67"/>
  <c r="C69" i="67"/>
  <c r="C70" i="67"/>
  <c r="C71" i="67"/>
  <c r="C72" i="67"/>
  <c r="C73" i="67"/>
  <c r="C74" i="67"/>
  <c r="C75" i="67"/>
  <c r="C76" i="67"/>
  <c r="C77" i="67"/>
  <c r="C78" i="67"/>
  <c r="C79" i="67"/>
  <c r="C80" i="67"/>
  <c r="C81" i="67"/>
  <c r="C82" i="67"/>
  <c r="C83" i="67"/>
  <c r="C84" i="67"/>
  <c r="C85" i="67"/>
  <c r="C86" i="67"/>
  <c r="C87" i="67"/>
  <c r="C88" i="67"/>
  <c r="C89" i="67"/>
  <c r="C90" i="67"/>
  <c r="C91" i="67"/>
  <c r="C92" i="67"/>
  <c r="C93" i="67"/>
  <c r="C94" i="67"/>
  <c r="C95" i="67"/>
  <c r="C96" i="67"/>
  <c r="C97" i="67"/>
  <c r="C98" i="67"/>
  <c r="C99" i="67"/>
  <c r="C100" i="67"/>
  <c r="C101" i="67"/>
  <c r="C102" i="67"/>
  <c r="C103" i="67"/>
  <c r="C104" i="67"/>
  <c r="C105" i="67"/>
  <c r="C106" i="67"/>
  <c r="C107" i="67"/>
  <c r="C108" i="67"/>
  <c r="C109" i="67"/>
  <c r="C110" i="67"/>
  <c r="C111" i="67"/>
  <c r="C112" i="67"/>
  <c r="C113" i="67"/>
  <c r="C114" i="67"/>
  <c r="C115" i="67"/>
  <c r="C116" i="67"/>
  <c r="C117" i="67"/>
  <c r="C118" i="67"/>
  <c r="C119" i="67"/>
  <c r="C120" i="67"/>
  <c r="C121" i="67"/>
  <c r="C122" i="67"/>
  <c r="C123" i="67"/>
  <c r="C124" i="67"/>
  <c r="C125" i="67"/>
  <c r="C126" i="67"/>
  <c r="C127" i="67"/>
  <c r="C128" i="67"/>
  <c r="C129" i="67"/>
  <c r="C130" i="67"/>
  <c r="C131" i="67"/>
  <c r="C132" i="67"/>
  <c r="C133" i="67"/>
  <c r="C134" i="67"/>
  <c r="C135" i="67"/>
  <c r="C136" i="67"/>
  <c r="C137" i="67"/>
  <c r="C138" i="67"/>
  <c r="C139" i="67"/>
  <c r="C140" i="67"/>
  <c r="C141" i="67"/>
  <c r="C142" i="67"/>
  <c r="C143" i="67"/>
  <c r="C144" i="67"/>
  <c r="C145" i="67"/>
  <c r="C146" i="67"/>
  <c r="C147" i="67"/>
  <c r="C148" i="67"/>
  <c r="C149" i="67"/>
  <c r="C150" i="67"/>
  <c r="C151" i="67"/>
  <c r="C152" i="67"/>
  <c r="C153" i="67"/>
  <c r="C154" i="67"/>
  <c r="C155" i="67"/>
  <c r="C156" i="67"/>
  <c r="C157" i="67"/>
  <c r="C158" i="67"/>
  <c r="C159" i="67"/>
  <c r="C160" i="67"/>
  <c r="C161" i="67"/>
  <c r="C162" i="67"/>
  <c r="C163" i="67"/>
  <c r="C164" i="67"/>
  <c r="C165" i="67"/>
  <c r="C166" i="67"/>
  <c r="C167" i="67"/>
  <c r="C168" i="67"/>
  <c r="C169" i="67"/>
  <c r="C170" i="67"/>
  <c r="C171" i="67"/>
  <c r="C172" i="67"/>
  <c r="C173" i="67"/>
  <c r="C174" i="67"/>
  <c r="C175" i="67"/>
  <c r="C176" i="67"/>
  <c r="C177" i="67"/>
  <c r="C178" i="67"/>
  <c r="C179" i="67"/>
  <c r="C180" i="67"/>
  <c r="C181" i="67"/>
  <c r="C182" i="67"/>
  <c r="C183" i="67"/>
  <c r="C184" i="67"/>
  <c r="C185" i="67"/>
  <c r="C186" i="67"/>
  <c r="C187" i="67"/>
  <c r="C188" i="67"/>
  <c r="C189" i="67"/>
  <c r="C190" i="67"/>
  <c r="C191" i="67"/>
  <c r="C192" i="67"/>
  <c r="C193" i="67"/>
  <c r="C194" i="67"/>
  <c r="C195" i="67"/>
  <c r="C196" i="67"/>
  <c r="C197" i="67"/>
  <c r="C198" i="67"/>
  <c r="C199" i="67"/>
  <c r="C200" i="67"/>
  <c r="C201" i="67"/>
  <c r="C202" i="67"/>
  <c r="C203" i="67"/>
  <c r="C204" i="67"/>
  <c r="C205" i="67"/>
  <c r="C206" i="67"/>
  <c r="C3" i="67"/>
  <c r="B4" i="67"/>
  <c r="B5" i="67"/>
  <c r="B6" i="67"/>
  <c r="B7" i="67"/>
  <c r="B8" i="67"/>
  <c r="B9" i="67"/>
  <c r="B10" i="67"/>
  <c r="B11" i="67"/>
  <c r="B12" i="67"/>
  <c r="B13" i="67"/>
  <c r="B14" i="67"/>
  <c r="B15" i="67"/>
  <c r="B16" i="67"/>
  <c r="B17" i="67"/>
  <c r="B18" i="67"/>
  <c r="B19" i="67"/>
  <c r="B20" i="67"/>
  <c r="B21" i="67"/>
  <c r="B22" i="67"/>
  <c r="B23" i="67"/>
  <c r="B24" i="67"/>
  <c r="B25" i="67"/>
  <c r="B26" i="67"/>
  <c r="B27" i="67"/>
  <c r="B28" i="67"/>
  <c r="B29" i="67"/>
  <c r="B30" i="67"/>
  <c r="B31" i="67"/>
  <c r="B32" i="67"/>
  <c r="B33" i="67"/>
  <c r="B34" i="67"/>
  <c r="B35" i="67"/>
  <c r="B36" i="67"/>
  <c r="B37" i="67"/>
  <c r="B38" i="67"/>
  <c r="B39" i="67"/>
  <c r="B40" i="67"/>
  <c r="B41" i="67"/>
  <c r="B42" i="67"/>
  <c r="B43" i="67"/>
  <c r="B44" i="67"/>
  <c r="B45" i="67"/>
  <c r="B46" i="67"/>
  <c r="B47" i="67"/>
  <c r="B48" i="67"/>
  <c r="B49" i="67"/>
  <c r="B50" i="67"/>
  <c r="B51" i="67"/>
  <c r="B52" i="67"/>
  <c r="B53" i="67"/>
  <c r="B54" i="67"/>
  <c r="B55" i="67"/>
  <c r="B56" i="67"/>
  <c r="B57" i="67"/>
  <c r="B58" i="67"/>
  <c r="B59" i="67"/>
  <c r="B60" i="67"/>
  <c r="B61" i="67"/>
  <c r="B62" i="67"/>
  <c r="B63" i="67"/>
  <c r="B64" i="67"/>
  <c r="B65" i="67"/>
  <c r="B66" i="67"/>
  <c r="B67" i="67"/>
  <c r="B68" i="67"/>
  <c r="B69" i="67"/>
  <c r="B70" i="67"/>
  <c r="B71" i="67"/>
  <c r="B72" i="67"/>
  <c r="B73" i="67"/>
  <c r="B74" i="67"/>
  <c r="B75" i="67"/>
  <c r="B76" i="67"/>
  <c r="B77" i="67"/>
  <c r="B78" i="67"/>
  <c r="B79" i="67"/>
  <c r="B80" i="67"/>
  <c r="B81" i="67"/>
  <c r="B82" i="67"/>
  <c r="B83" i="67"/>
  <c r="B84" i="67"/>
  <c r="B85" i="67"/>
  <c r="B86" i="67"/>
  <c r="B87" i="67"/>
  <c r="B88" i="67"/>
  <c r="B89" i="67"/>
  <c r="B90" i="67"/>
  <c r="B91" i="67"/>
  <c r="B92" i="67"/>
  <c r="B93" i="67"/>
  <c r="B94" i="67"/>
  <c r="B95" i="67"/>
  <c r="B96" i="67"/>
  <c r="B97" i="67"/>
  <c r="B98" i="67"/>
  <c r="B99" i="67"/>
  <c r="B100" i="67"/>
  <c r="B101" i="67"/>
  <c r="B102" i="67"/>
  <c r="B103" i="67"/>
  <c r="B104" i="67"/>
  <c r="B105" i="67"/>
  <c r="B106" i="67"/>
  <c r="B107" i="67"/>
  <c r="B108" i="67"/>
  <c r="B109" i="67"/>
  <c r="B110" i="67"/>
  <c r="B111" i="67"/>
  <c r="B112" i="67"/>
  <c r="B113" i="67"/>
  <c r="B114" i="67"/>
  <c r="B115" i="67"/>
  <c r="B116" i="67"/>
  <c r="B117" i="67"/>
  <c r="B118" i="67"/>
  <c r="B119" i="67"/>
  <c r="B120" i="67"/>
  <c r="B121" i="67"/>
  <c r="B122" i="67"/>
  <c r="B123" i="67"/>
  <c r="B124" i="67"/>
  <c r="B125" i="67"/>
  <c r="B126" i="67"/>
  <c r="B127" i="67"/>
  <c r="B128" i="67"/>
  <c r="B129" i="67"/>
  <c r="B130" i="67"/>
  <c r="B131" i="67"/>
  <c r="B132" i="67"/>
  <c r="B133" i="67"/>
  <c r="B134" i="67"/>
  <c r="B135" i="67"/>
  <c r="B136" i="67"/>
  <c r="B137" i="67"/>
  <c r="B138" i="67"/>
  <c r="B139" i="67"/>
  <c r="B140" i="67"/>
  <c r="B141" i="67"/>
  <c r="B142" i="67"/>
  <c r="B143" i="67"/>
  <c r="B144" i="67"/>
  <c r="B145" i="67"/>
  <c r="B146" i="67"/>
  <c r="B147" i="67"/>
  <c r="B148" i="67"/>
  <c r="B149" i="67"/>
  <c r="B150" i="67"/>
  <c r="B151" i="67"/>
  <c r="B152" i="67"/>
  <c r="B153" i="67"/>
  <c r="B154" i="67"/>
  <c r="B155" i="67"/>
  <c r="B156" i="67"/>
  <c r="B157" i="67"/>
  <c r="B158" i="67"/>
  <c r="B159" i="67"/>
  <c r="B160" i="67"/>
  <c r="B161" i="67"/>
  <c r="B162" i="67"/>
  <c r="B163" i="67"/>
  <c r="B164" i="67"/>
  <c r="B165" i="67"/>
  <c r="B166" i="67"/>
  <c r="B167" i="67"/>
  <c r="B168" i="67"/>
  <c r="B169" i="67"/>
  <c r="B170" i="67"/>
  <c r="B171" i="67"/>
  <c r="B172" i="67"/>
  <c r="B173" i="67"/>
  <c r="B174" i="67"/>
  <c r="B175" i="67"/>
  <c r="B176" i="67"/>
  <c r="B177" i="67"/>
  <c r="B178" i="67"/>
  <c r="B179" i="67"/>
  <c r="B180" i="67"/>
  <c r="B181" i="67"/>
  <c r="B182" i="67"/>
  <c r="B183" i="67"/>
  <c r="B184" i="67"/>
  <c r="B185" i="67"/>
  <c r="B186" i="67"/>
  <c r="B187" i="67"/>
  <c r="B188" i="67"/>
  <c r="B189" i="67"/>
  <c r="B190" i="67"/>
  <c r="B191" i="67"/>
  <c r="B192" i="67"/>
  <c r="B193" i="67"/>
  <c r="B194" i="67"/>
  <c r="B195" i="67"/>
  <c r="B196" i="67"/>
  <c r="B197" i="67"/>
  <c r="B198" i="67"/>
  <c r="B199" i="67"/>
  <c r="B200" i="67"/>
  <c r="B201" i="67"/>
  <c r="B202" i="67"/>
  <c r="B203" i="67"/>
  <c r="B204" i="67"/>
  <c r="B205" i="67"/>
  <c r="B206" i="67"/>
  <c r="B3" i="67"/>
  <c r="H3" i="47" l="1"/>
  <c r="E44" i="47" l="1"/>
  <c r="E42" i="47"/>
  <c r="E76" i="47"/>
  <c r="E30" i="47"/>
  <c r="E39" i="47"/>
  <c r="E34" i="47"/>
  <c r="B4" i="47"/>
  <c r="M3" i="47"/>
  <c r="I3" i="47"/>
  <c r="B219" i="47"/>
  <c r="CA7" i="72"/>
  <c r="BJ5" i="72"/>
  <c r="BJ6" i="72"/>
  <c r="BJ7" i="72"/>
  <c r="BJ8" i="72"/>
  <c r="BJ9" i="72"/>
  <c r="BJ10" i="72"/>
  <c r="BJ11" i="72"/>
  <c r="BJ12" i="72"/>
  <c r="BJ13" i="72"/>
  <c r="BJ14" i="72"/>
  <c r="BJ15" i="72"/>
  <c r="BJ16" i="72"/>
  <c r="BJ17" i="72"/>
  <c r="BJ18" i="72"/>
  <c r="BJ19" i="72"/>
  <c r="BJ20" i="72"/>
  <c r="BJ21" i="72"/>
  <c r="E77" i="47" l="1"/>
  <c r="L227" i="66"/>
  <c r="S227" i="66"/>
  <c r="Q186" i="68" l="1"/>
  <c r="Q52" i="67"/>
  <c r="Q126" i="67"/>
  <c r="Q200" i="67"/>
  <c r="Q183" i="68"/>
  <c r="AS5" i="72"/>
  <c r="AS6" i="72"/>
  <c r="AS7" i="72"/>
  <c r="AS8" i="72"/>
  <c r="AS9" i="72"/>
  <c r="AS10" i="72"/>
  <c r="AS11" i="72"/>
  <c r="AS12" i="72"/>
  <c r="AS13" i="72"/>
  <c r="AS14" i="72"/>
  <c r="AS15" i="72"/>
  <c r="AS16" i="72"/>
  <c r="AS17" i="72"/>
  <c r="AS18" i="72"/>
  <c r="AS19" i="72"/>
  <c r="AS20" i="72"/>
  <c r="AS21" i="72"/>
  <c r="N55" i="68" l="1"/>
  <c r="D55" i="67" l="1"/>
  <c r="E55" i="67"/>
  <c r="N55" i="67"/>
  <c r="O55" i="67" l="1"/>
  <c r="O55" i="68"/>
  <c r="B99" i="47" l="1"/>
  <c r="L55" i="56" l="1"/>
  <c r="P53" i="16" l="1"/>
  <c r="Q53" i="16" s="1"/>
  <c r="R53" i="16" s="1"/>
  <c r="L53" i="16"/>
  <c r="K53" i="16"/>
  <c r="AA188" i="19" l="1"/>
  <c r="Z188" i="19"/>
  <c r="Y188" i="19"/>
  <c r="S188" i="19"/>
  <c r="T188" i="19"/>
  <c r="S189" i="19"/>
  <c r="AK56" i="71"/>
  <c r="AL56" i="71" s="1"/>
  <c r="CJ56" i="71"/>
  <c r="CI56" i="71"/>
  <c r="E56" i="71"/>
  <c r="F56" i="71"/>
  <c r="G56" i="71"/>
  <c r="H56" i="71"/>
  <c r="N55" i="56" l="1"/>
  <c r="N68" i="74"/>
  <c r="I56" i="71"/>
  <c r="BR56" i="71"/>
  <c r="BA56" i="71"/>
  <c r="BS56" i="71"/>
  <c r="BB56" i="71"/>
  <c r="D55" i="56"/>
  <c r="C68" i="74"/>
  <c r="E55" i="56"/>
  <c r="L210" i="19"/>
  <c r="S3" i="56" l="1"/>
  <c r="AM3" i="56" s="1"/>
  <c r="S122" i="56"/>
  <c r="AM122" i="56" s="1"/>
  <c r="S170" i="56"/>
  <c r="AM170" i="56" s="1"/>
  <c r="S25" i="56"/>
  <c r="AM25" i="56" s="1"/>
  <c r="S207" i="56"/>
  <c r="AM207" i="56" s="1"/>
  <c r="S48" i="56"/>
  <c r="S35" i="56"/>
  <c r="AM35" i="56" s="1"/>
  <c r="S106" i="56"/>
  <c r="AM106" i="56" s="1"/>
  <c r="S202" i="56"/>
  <c r="AM202" i="56" s="1"/>
  <c r="S57" i="56"/>
  <c r="AM57" i="56" s="1"/>
  <c r="S189" i="56"/>
  <c r="AM189" i="56" s="1"/>
  <c r="S44" i="56"/>
  <c r="AM44" i="56" s="1"/>
  <c r="S111" i="56"/>
  <c r="AM111" i="56" s="1"/>
  <c r="S163" i="56"/>
  <c r="AM163" i="56" s="1"/>
  <c r="S18" i="56"/>
  <c r="AM18" i="56" s="1"/>
  <c r="S150" i="56"/>
  <c r="AM150" i="56" s="1"/>
  <c r="S127" i="56"/>
  <c r="AM127" i="56" s="1"/>
  <c r="S197" i="56"/>
  <c r="AM197" i="56" s="1"/>
  <c r="S52" i="56"/>
  <c r="AM52" i="56" s="1"/>
  <c r="S180" i="56"/>
  <c r="AM180" i="56" s="1"/>
  <c r="S112" i="56"/>
  <c r="AM112" i="56" s="1"/>
  <c r="S196" i="56"/>
  <c r="AM196" i="56" s="1"/>
  <c r="S98" i="56"/>
  <c r="AM98" i="56" s="1"/>
  <c r="S158" i="56"/>
  <c r="AM158" i="56" s="1"/>
  <c r="S13" i="56"/>
  <c r="AM13" i="56" s="1"/>
  <c r="S171" i="56"/>
  <c r="AM171" i="56" s="1"/>
  <c r="S24" i="56"/>
  <c r="AM24" i="56" s="1"/>
  <c r="S11" i="56"/>
  <c r="AM11" i="56" s="1"/>
  <c r="S94" i="56"/>
  <c r="AM94" i="56" s="1"/>
  <c r="S190" i="56"/>
  <c r="AM190" i="56" s="1"/>
  <c r="S45" i="56"/>
  <c r="AM45" i="56" s="1"/>
  <c r="S177" i="56"/>
  <c r="AM177" i="56" s="1"/>
  <c r="S32" i="56"/>
  <c r="AM32" i="56" s="1"/>
  <c r="S108" i="56"/>
  <c r="AM108" i="56" s="1"/>
  <c r="S151" i="56"/>
  <c r="AM151" i="56" s="1"/>
  <c r="S6" i="56"/>
  <c r="AM6" i="56" s="1"/>
  <c r="S125" i="56"/>
  <c r="AM125" i="56" s="1"/>
  <c r="S103" i="56"/>
  <c r="AM103" i="56" s="1"/>
  <c r="S185" i="56"/>
  <c r="AM185" i="56" s="1"/>
  <c r="S40" i="56"/>
  <c r="AM40" i="56" s="1"/>
  <c r="S51" i="56"/>
  <c r="AM51" i="56" s="1"/>
  <c r="S172" i="56"/>
  <c r="AM172" i="56" s="1"/>
  <c r="S86" i="56"/>
  <c r="AM86" i="56" s="1"/>
  <c r="S146" i="56"/>
  <c r="AM146" i="56" s="1"/>
  <c r="U227" i="56"/>
  <c r="AO227" i="56" s="1"/>
  <c r="S110" i="56"/>
  <c r="AM110" i="56" s="1"/>
  <c r="S12" i="56"/>
  <c r="AM12" i="56" s="1"/>
  <c r="U225" i="56"/>
  <c r="AO225" i="56" s="1"/>
  <c r="S82" i="56"/>
  <c r="AM82" i="56" s="1"/>
  <c r="S178" i="56"/>
  <c r="AM178" i="56" s="1"/>
  <c r="S33" i="56"/>
  <c r="AM33" i="56" s="1"/>
  <c r="S165" i="56"/>
  <c r="AM165" i="56" s="1"/>
  <c r="S20" i="56"/>
  <c r="AM20" i="56" s="1"/>
  <c r="S156" i="56"/>
  <c r="AM156" i="56" s="1"/>
  <c r="S139" i="56"/>
  <c r="AM139" i="56" s="1"/>
  <c r="U220" i="56"/>
  <c r="AO220" i="56" s="1"/>
  <c r="S101" i="56"/>
  <c r="AM101" i="56" s="1"/>
  <c r="S79" i="56"/>
  <c r="AM79" i="56" s="1"/>
  <c r="S173" i="56"/>
  <c r="AM173" i="56" s="1"/>
  <c r="S28" i="56"/>
  <c r="AM28" i="56" s="1"/>
  <c r="S157" i="56"/>
  <c r="AM157" i="56" s="1"/>
  <c r="S160" i="56"/>
  <c r="AM160" i="56" s="1"/>
  <c r="S74" i="56"/>
  <c r="AM74" i="56" s="1"/>
  <c r="S134" i="56"/>
  <c r="AM134" i="56" s="1"/>
  <c r="U215" i="56"/>
  <c r="AO215" i="56" s="1"/>
  <c r="S38" i="56"/>
  <c r="AM38" i="56" s="1"/>
  <c r="U226" i="56"/>
  <c r="AO226" i="56" s="1"/>
  <c r="U213" i="56"/>
  <c r="AO213" i="56" s="1"/>
  <c r="S70" i="56"/>
  <c r="AM70" i="56" s="1"/>
  <c r="S166" i="56"/>
  <c r="AM166" i="56" s="1"/>
  <c r="S21" i="56"/>
  <c r="AM21" i="56" s="1"/>
  <c r="S153" i="56"/>
  <c r="AM153" i="56" s="1"/>
  <c r="S8" i="56"/>
  <c r="AM8" i="56" s="1"/>
  <c r="S47" i="56"/>
  <c r="AM47" i="56" s="1"/>
  <c r="S126" i="56"/>
  <c r="AM126" i="56" s="1"/>
  <c r="S27" i="56"/>
  <c r="AM27" i="56" s="1"/>
  <c r="S77" i="56"/>
  <c r="AM77" i="56" s="1"/>
  <c r="S43" i="56"/>
  <c r="AM43" i="56" s="1"/>
  <c r="S161" i="56"/>
  <c r="AM161" i="56" s="1"/>
  <c r="S16" i="56"/>
  <c r="AM16" i="56" s="1"/>
  <c r="U228" i="56"/>
  <c r="AO228" i="56" s="1"/>
  <c r="U216" i="56"/>
  <c r="AO216" i="56" s="1"/>
  <c r="S123" i="56"/>
  <c r="AM123" i="56" s="1"/>
  <c r="S50" i="56"/>
  <c r="AM50" i="56" s="1"/>
  <c r="S121" i="56"/>
  <c r="AM121" i="56" s="1"/>
  <c r="S136" i="56"/>
  <c r="AM136" i="56" s="1"/>
  <c r="S193" i="56"/>
  <c r="AM193" i="56" s="1"/>
  <c r="U214" i="56"/>
  <c r="AO214" i="56" s="1"/>
  <c r="S203" i="56"/>
  <c r="AM203" i="56" s="1"/>
  <c r="S58" i="56"/>
  <c r="AM58" i="56" s="1"/>
  <c r="S154" i="56"/>
  <c r="AM154" i="56" s="1"/>
  <c r="S9" i="56"/>
  <c r="AM9" i="56" s="1"/>
  <c r="S141" i="56"/>
  <c r="AM141" i="56" s="1"/>
  <c r="U222" i="56"/>
  <c r="AO222" i="56" s="1"/>
  <c r="S188" i="56"/>
  <c r="AM188" i="56" s="1"/>
  <c r="S114" i="56"/>
  <c r="AM114" i="56" s="1"/>
  <c r="S147" i="56"/>
  <c r="AM147" i="56" s="1"/>
  <c r="S65" i="56"/>
  <c r="AM65" i="56" s="1"/>
  <c r="S7" i="56"/>
  <c r="AM7" i="56" s="1"/>
  <c r="S149" i="56"/>
  <c r="AM149" i="56" s="1"/>
  <c r="S4" i="56"/>
  <c r="AM4" i="56" s="1"/>
  <c r="S85" i="56"/>
  <c r="AM85" i="56" s="1"/>
  <c r="S99" i="56"/>
  <c r="AM99" i="56" s="1"/>
  <c r="S26" i="56"/>
  <c r="AM26" i="56" s="1"/>
  <c r="S109" i="56"/>
  <c r="AM109" i="56" s="1"/>
  <c r="S39" i="56"/>
  <c r="AM39" i="56" s="1"/>
  <c r="S181" i="56"/>
  <c r="AM181" i="56" s="1"/>
  <c r="S204" i="56"/>
  <c r="AM204" i="56" s="1"/>
  <c r="S191" i="56"/>
  <c r="AM191" i="56" s="1"/>
  <c r="S34" i="56"/>
  <c r="AM34" i="56" s="1"/>
  <c r="S142" i="56"/>
  <c r="AM142" i="56" s="1"/>
  <c r="U223" i="56"/>
  <c r="AO223" i="56" s="1"/>
  <c r="S128" i="56"/>
  <c r="AM128" i="56" s="1"/>
  <c r="S140" i="56"/>
  <c r="AM140" i="56" s="1"/>
  <c r="S102" i="56"/>
  <c r="AM102" i="56" s="1"/>
  <c r="S36" i="56"/>
  <c r="AM36" i="56" s="1"/>
  <c r="S53" i="56"/>
  <c r="AM53" i="56" s="1"/>
  <c r="S87" i="56"/>
  <c r="AM87" i="56" s="1"/>
  <c r="S198" i="56"/>
  <c r="AM198" i="56" s="1"/>
  <c r="S137" i="56"/>
  <c r="AM137" i="56" s="1"/>
  <c r="U218" i="56"/>
  <c r="AO218" i="56" s="1"/>
  <c r="S63" i="56"/>
  <c r="AM63" i="56" s="1"/>
  <c r="S14" i="56"/>
  <c r="AM14" i="56" s="1"/>
  <c r="S97" i="56"/>
  <c r="AM97" i="56" s="1"/>
  <c r="S195" i="56"/>
  <c r="AM195" i="56" s="1"/>
  <c r="S169" i="56"/>
  <c r="AM169" i="56" s="1"/>
  <c r="S192" i="56"/>
  <c r="AM192" i="56" s="1"/>
  <c r="S179" i="56"/>
  <c r="AM179" i="56" s="1"/>
  <c r="S22" i="56"/>
  <c r="AM22" i="56" s="1"/>
  <c r="S129" i="56"/>
  <c r="AM129" i="56" s="1"/>
  <c r="S116" i="56"/>
  <c r="AM116" i="56" s="1"/>
  <c r="S148" i="56"/>
  <c r="AM148" i="56" s="1"/>
  <c r="S91" i="56"/>
  <c r="AM91" i="56" s="1"/>
  <c r="S90" i="56"/>
  <c r="AM90" i="56" s="1"/>
  <c r="S59" i="56"/>
  <c r="AM59" i="56" s="1"/>
  <c r="S29" i="56"/>
  <c r="AM29" i="56" s="1"/>
  <c r="S62" i="56"/>
  <c r="AM62" i="56" s="1"/>
  <c r="S174" i="56"/>
  <c r="AM174" i="56" s="1"/>
  <c r="S124" i="56"/>
  <c r="AM124" i="56" s="1"/>
  <c r="S96" i="56"/>
  <c r="AM96" i="56" s="1"/>
  <c r="S167" i="56"/>
  <c r="AM167" i="56" s="1"/>
  <c r="S10" i="56"/>
  <c r="AM10" i="56" s="1"/>
  <c r="S117" i="56"/>
  <c r="AM117" i="56" s="1"/>
  <c r="U211" i="56"/>
  <c r="AO211" i="56" s="1"/>
  <c r="S104" i="56"/>
  <c r="AM104" i="56" s="1"/>
  <c r="S205" i="56"/>
  <c r="AM205" i="56" s="1"/>
  <c r="S55" i="56"/>
  <c r="AM55" i="56" s="1"/>
  <c r="S78" i="56"/>
  <c r="AM78" i="56" s="1"/>
  <c r="S176" i="56"/>
  <c r="AM176" i="56" s="1"/>
  <c r="S17" i="56"/>
  <c r="AM17" i="56" s="1"/>
  <c r="S72" i="56"/>
  <c r="AM72" i="56" s="1"/>
  <c r="S162" i="56"/>
  <c r="AM162" i="56" s="1"/>
  <c r="S15" i="56"/>
  <c r="AM15" i="56" s="1"/>
  <c r="S155" i="56"/>
  <c r="AM155" i="56" s="1"/>
  <c r="U224" i="56"/>
  <c r="AO224" i="56" s="1"/>
  <c r="S105" i="56"/>
  <c r="AM105" i="56" s="1"/>
  <c r="S135" i="56"/>
  <c r="AM135" i="56" s="1"/>
  <c r="S92" i="56"/>
  <c r="AM92" i="56" s="1"/>
  <c r="S83" i="56"/>
  <c r="AM83" i="56" s="1"/>
  <c r="S19" i="56"/>
  <c r="AM19" i="56" s="1"/>
  <c r="S66" i="56"/>
  <c r="AM66" i="56" s="1"/>
  <c r="S115" i="56"/>
  <c r="AM115" i="56" s="1"/>
  <c r="U217" i="56"/>
  <c r="AO217" i="56" s="1"/>
  <c r="S206" i="56"/>
  <c r="AM206" i="56" s="1"/>
  <c r="S61" i="56"/>
  <c r="AM61" i="56" s="1"/>
  <c r="S46" i="56"/>
  <c r="AM46" i="56" s="1"/>
  <c r="S120" i="56"/>
  <c r="AM120" i="56" s="1"/>
  <c r="S131" i="56"/>
  <c r="AM131" i="56" s="1"/>
  <c r="S143" i="56"/>
  <c r="AM143" i="56" s="1"/>
  <c r="U212" i="56"/>
  <c r="AO212" i="56" s="1"/>
  <c r="S93" i="56"/>
  <c r="AM93" i="56" s="1"/>
  <c r="S133" i="56"/>
  <c r="AM133" i="56" s="1"/>
  <c r="S80" i="56"/>
  <c r="AM80" i="56" s="1"/>
  <c r="S152" i="56"/>
  <c r="AM152" i="56" s="1"/>
  <c r="S199" i="56"/>
  <c r="AM199" i="56" s="1"/>
  <c r="S54" i="56"/>
  <c r="AM54" i="56" s="1"/>
  <c r="S31" i="56"/>
  <c r="AM31" i="56" s="1"/>
  <c r="U219" i="56"/>
  <c r="AO219" i="56" s="1"/>
  <c r="S23" i="56"/>
  <c r="AM23" i="56" s="1"/>
  <c r="S113" i="56"/>
  <c r="AM113" i="56" s="1"/>
  <c r="S88" i="56"/>
  <c r="AM88" i="56" s="1"/>
  <c r="S183" i="56"/>
  <c r="AM183" i="56" s="1"/>
  <c r="S194" i="56"/>
  <c r="AM194" i="56" s="1"/>
  <c r="S49" i="56"/>
  <c r="AM49" i="56" s="1"/>
  <c r="S184" i="56"/>
  <c r="AM184" i="56" s="1"/>
  <c r="S84" i="56"/>
  <c r="AM84" i="56" s="1"/>
  <c r="S119" i="56"/>
  <c r="AM119" i="56" s="1"/>
  <c r="S130" i="56"/>
  <c r="AM130" i="56" s="1"/>
  <c r="S81" i="56"/>
  <c r="AM81" i="56" s="1"/>
  <c r="S107" i="56"/>
  <c r="AM107" i="56" s="1"/>
  <c r="S68" i="56"/>
  <c r="AM68" i="56" s="1"/>
  <c r="S67" i="56"/>
  <c r="AM67" i="56" s="1"/>
  <c r="S187" i="56"/>
  <c r="AM187" i="56" s="1"/>
  <c r="S42" i="56"/>
  <c r="AM42" i="56" s="1"/>
  <c r="S200" i="56"/>
  <c r="AM200" i="56" s="1"/>
  <c r="S89" i="56"/>
  <c r="AM89" i="56" s="1"/>
  <c r="S76" i="56"/>
  <c r="AM76" i="56" s="1"/>
  <c r="S159" i="56"/>
  <c r="AM159" i="56" s="1"/>
  <c r="S182" i="56"/>
  <c r="AM182" i="56" s="1"/>
  <c r="S37" i="56"/>
  <c r="AM37" i="56" s="1"/>
  <c r="S75" i="56"/>
  <c r="AM75" i="56" s="1"/>
  <c r="S60" i="56"/>
  <c r="AM60" i="56" s="1"/>
  <c r="S95" i="56"/>
  <c r="AM95" i="56" s="1"/>
  <c r="S118" i="56"/>
  <c r="AM118" i="56" s="1"/>
  <c r="S69" i="56"/>
  <c r="AM69" i="56" s="1"/>
  <c r="S201" i="56"/>
  <c r="AM201" i="56" s="1"/>
  <c r="S56" i="56"/>
  <c r="AM56" i="56" s="1"/>
  <c r="U221" i="56"/>
  <c r="AO221" i="56" s="1"/>
  <c r="S175" i="56"/>
  <c r="AM175" i="56" s="1"/>
  <c r="S30" i="56"/>
  <c r="AM30" i="56" s="1"/>
  <c r="S186" i="56"/>
  <c r="AM186" i="56" s="1"/>
  <c r="S73" i="56"/>
  <c r="AM73" i="56" s="1"/>
  <c r="S71" i="56"/>
  <c r="AM71" i="56" s="1"/>
  <c r="S145" i="56"/>
  <c r="AM145" i="56" s="1"/>
  <c r="S41" i="56"/>
  <c r="AM41" i="56" s="1"/>
  <c r="S144" i="56"/>
  <c r="AM144" i="56" s="1"/>
  <c r="S168" i="56"/>
  <c r="AM168" i="56" s="1"/>
  <c r="S138" i="56"/>
  <c r="AM138" i="56" s="1"/>
  <c r="S164" i="56"/>
  <c r="AM164" i="56" s="1"/>
  <c r="S5" i="56"/>
  <c r="AM5" i="56" s="1"/>
  <c r="S100" i="56"/>
  <c r="AM100" i="56" s="1"/>
  <c r="S64" i="56"/>
  <c r="AM64" i="56" s="1"/>
  <c r="S56" i="71"/>
  <c r="O55" i="56"/>
  <c r="AX55" i="56" s="1"/>
  <c r="T53" i="16"/>
  <c r="U53" i="16" s="1"/>
  <c r="T206" i="16"/>
  <c r="Z56" i="71" l="1"/>
  <c r="K203" i="78"/>
  <c r="L203" i="78" s="1"/>
  <c r="G70" i="61"/>
  <c r="AC117" i="71" s="1"/>
  <c r="G4" i="61"/>
  <c r="AC6" i="71" s="1"/>
  <c r="G24" i="61"/>
  <c r="AC57" i="71" s="1"/>
  <c r="G35" i="61"/>
  <c r="G34" i="61"/>
  <c r="AC64" i="71" s="1"/>
  <c r="G58" i="61"/>
  <c r="AC100" i="71" s="1"/>
  <c r="G89" i="61"/>
  <c r="AC130" i="71" s="1"/>
  <c r="G85" i="61"/>
  <c r="AC163" i="71" s="1"/>
  <c r="G194" i="61"/>
  <c r="AC190" i="71" s="1"/>
  <c r="G152" i="61"/>
  <c r="AC191" i="71" s="1"/>
  <c r="G159" i="61"/>
  <c r="AC207" i="71" s="1"/>
  <c r="G20" i="61"/>
  <c r="AC52" i="71" s="1"/>
  <c r="G8" i="61"/>
  <c r="AC9" i="71" s="1"/>
  <c r="G193" i="61"/>
  <c r="AC49" i="71" s="1"/>
  <c r="G176" i="61"/>
  <c r="AC51" i="71" s="1"/>
  <c r="G36" i="61"/>
  <c r="AC65" i="71" s="1"/>
  <c r="G46" i="61"/>
  <c r="AC80" i="71" s="1"/>
  <c r="G188" i="61"/>
  <c r="AC86" i="71" s="1"/>
  <c r="G187" i="61"/>
  <c r="AC92" i="71" s="1"/>
  <c r="G175" i="61"/>
  <c r="AC94" i="71" s="1"/>
  <c r="G186" i="61"/>
  <c r="AC95" i="71" s="1"/>
  <c r="G17" i="61"/>
  <c r="AC118" i="71" s="1"/>
  <c r="G80" i="61"/>
  <c r="AC123" i="71" s="1"/>
  <c r="G88" i="61"/>
  <c r="AC129" i="71" s="1"/>
  <c r="G190" i="61"/>
  <c r="AC134" i="71" s="1"/>
  <c r="G191" i="61"/>
  <c r="AC150" i="71" s="1"/>
  <c r="G183" i="61"/>
  <c r="AC160" i="71" s="1"/>
  <c r="G130" i="61"/>
  <c r="AC173" i="71" s="1"/>
  <c r="G181" i="61"/>
  <c r="AC187" i="71" s="1"/>
  <c r="G158" i="61"/>
  <c r="AC206" i="71" s="1"/>
  <c r="G94" i="61"/>
  <c r="G100" i="61"/>
  <c r="G106" i="61"/>
  <c r="AC83" i="71" s="1"/>
  <c r="G179" i="61"/>
  <c r="AC185" i="71" s="1"/>
  <c r="G149" i="61"/>
  <c r="AC188" i="71" s="1"/>
  <c r="G7" i="61"/>
  <c r="AC8" i="71" s="1"/>
  <c r="G21" i="61"/>
  <c r="AC54" i="71" s="1"/>
  <c r="G206" i="61"/>
  <c r="AC56" i="71" s="1"/>
  <c r="G27" i="61"/>
  <c r="AC59" i="71" s="1"/>
  <c r="G134" i="61"/>
  <c r="AC78" i="71" s="1"/>
  <c r="G50" i="61"/>
  <c r="AC84" i="71" s="1"/>
  <c r="G51" i="61"/>
  <c r="AC88" i="71" s="1"/>
  <c r="G16" i="61"/>
  <c r="AC98" i="71" s="1"/>
  <c r="G68" i="61"/>
  <c r="AC116" i="71" s="1"/>
  <c r="G77" i="61"/>
  <c r="AC121" i="71" s="1"/>
  <c r="G198" i="61"/>
  <c r="AC127" i="71" s="1"/>
  <c r="G96" i="61"/>
  <c r="AC137" i="71" s="1"/>
  <c r="G204" i="61"/>
  <c r="AC152" i="71" s="1"/>
  <c r="G129" i="61"/>
  <c r="AC171" i="71" s="1"/>
  <c r="G162" i="61"/>
  <c r="AC176" i="71" s="1"/>
  <c r="G32" i="61"/>
  <c r="AC177" i="71" s="1"/>
  <c r="G10" i="61"/>
  <c r="AC13" i="71" s="1"/>
  <c r="G142" i="61"/>
  <c r="AC180" i="71" s="1"/>
  <c r="G150" i="61"/>
  <c r="AC189" i="71" s="1"/>
  <c r="G177" i="61"/>
  <c r="AC47" i="71" s="1"/>
  <c r="G195" i="61"/>
  <c r="AC53" i="71" s="1"/>
  <c r="G203" i="61"/>
  <c r="AC90" i="71" s="1"/>
  <c r="G9" i="61"/>
  <c r="AC11" i="71" s="1"/>
  <c r="G161" i="61"/>
  <c r="AC122" i="71" s="1"/>
  <c r="G116" i="61"/>
  <c r="AC147" i="71" s="1"/>
  <c r="G117" i="61"/>
  <c r="AC148" i="71" s="1"/>
  <c r="G114" i="61"/>
  <c r="AC149" i="71" s="1"/>
  <c r="G19" i="61"/>
  <c r="AC5" i="71" s="1"/>
  <c r="G74" i="61"/>
  <c r="AC10" i="71" s="1"/>
  <c r="G5" i="61"/>
  <c r="AC14" i="71" s="1"/>
  <c r="G172" i="61"/>
  <c r="AC15" i="71" s="1"/>
  <c r="G38" i="61"/>
  <c r="AC16" i="71" s="1"/>
  <c r="G185" i="61"/>
  <c r="AC17" i="71" s="1"/>
  <c r="G40" i="61"/>
  <c r="AC18" i="71" s="1"/>
  <c r="G156" i="61"/>
  <c r="AC19" i="71" s="1"/>
  <c r="G18" i="61"/>
  <c r="AC20" i="71" s="1"/>
  <c r="G192" i="61"/>
  <c r="G22" i="61"/>
  <c r="AC22" i="71" s="1"/>
  <c r="G26" i="61"/>
  <c r="AC23" i="71" s="1"/>
  <c r="G30" i="61"/>
  <c r="AC24" i="71" s="1"/>
  <c r="G31" i="61"/>
  <c r="AC25" i="71" s="1"/>
  <c r="G111" i="61"/>
  <c r="AC26" i="71" s="1"/>
  <c r="G44" i="61"/>
  <c r="AC27" i="71" s="1"/>
  <c r="G67" i="61"/>
  <c r="AC28" i="71" s="1"/>
  <c r="G171" i="61"/>
  <c r="AC29" i="71" s="1"/>
  <c r="G84" i="61"/>
  <c r="AC30" i="71" s="1"/>
  <c r="G97" i="61"/>
  <c r="AC31" i="71" s="1"/>
  <c r="G98" i="61"/>
  <c r="AC32" i="71" s="1"/>
  <c r="G99" i="61"/>
  <c r="AC33" i="71" s="1"/>
  <c r="G81" i="61"/>
  <c r="AC34" i="71" s="1"/>
  <c r="G53" i="61"/>
  <c r="AC35" i="71" s="1"/>
  <c r="G127" i="61"/>
  <c r="AC36" i="71" s="1"/>
  <c r="G45" i="61"/>
  <c r="AC37" i="71" s="1"/>
  <c r="G174" i="61"/>
  <c r="AC38" i="71" s="1"/>
  <c r="G128" i="61"/>
  <c r="AC39" i="71" s="1"/>
  <c r="G141" i="61"/>
  <c r="AC40" i="71" s="1"/>
  <c r="G138" i="61"/>
  <c r="AC41" i="71" s="1"/>
  <c r="G113" i="61"/>
  <c r="AC42" i="71" s="1"/>
  <c r="G118" i="61"/>
  <c r="AC43" i="71" s="1"/>
  <c r="G147" i="61"/>
  <c r="AC44" i="71" s="1"/>
  <c r="G169" i="61"/>
  <c r="AC45" i="71" s="1"/>
  <c r="G90" i="61"/>
  <c r="AC46" i="71" s="1"/>
  <c r="G121" i="61"/>
  <c r="AC131" i="71" s="1"/>
  <c r="G104" i="61"/>
  <c r="G47" i="61"/>
  <c r="AC166" i="71" s="1"/>
  <c r="G95" i="61"/>
  <c r="AC167" i="71" s="1"/>
  <c r="G151" i="61"/>
  <c r="AC168" i="71" s="1"/>
  <c r="G137" i="61"/>
  <c r="AC169" i="71" s="1"/>
  <c r="G164" i="61"/>
  <c r="G42" i="61"/>
  <c r="AC69" i="71" s="1"/>
  <c r="G11" i="61"/>
  <c r="G78" i="61"/>
  <c r="AC71" i="71" s="1"/>
  <c r="G189" i="61"/>
  <c r="G91" i="61"/>
  <c r="AC73" i="71" s="1"/>
  <c r="G123" i="61"/>
  <c r="G144" i="61"/>
  <c r="AC75" i="71" s="1"/>
  <c r="G148" i="61"/>
  <c r="AC76" i="71" s="1"/>
  <c r="G133" i="61"/>
  <c r="AC77" i="71" s="1"/>
  <c r="G25" i="61"/>
  <c r="AC58" i="71" s="1"/>
  <c r="G55" i="61"/>
  <c r="AC96" i="71" s="1"/>
  <c r="G57" i="61"/>
  <c r="AC99" i="71" s="1"/>
  <c r="G132" i="61"/>
  <c r="AC165" i="71" s="1"/>
  <c r="G3" i="61"/>
  <c r="AC184" i="71" s="1"/>
  <c r="G29" i="61"/>
  <c r="AC60" i="71" s="1"/>
  <c r="G126" i="61"/>
  <c r="AC161" i="71" s="1"/>
  <c r="G136" i="61"/>
  <c r="AC179" i="71" s="1"/>
  <c r="G37" i="61"/>
  <c r="AC66" i="71" s="1"/>
  <c r="G6" i="61"/>
  <c r="AC7" i="71" s="1"/>
  <c r="G14" i="61"/>
  <c r="G48" i="61"/>
  <c r="AC82" i="71" s="1"/>
  <c r="G52" i="61"/>
  <c r="AC89" i="71" s="1"/>
  <c r="G54" i="61"/>
  <c r="AC93" i="71" s="1"/>
  <c r="G87" i="61"/>
  <c r="AC128" i="71" s="1"/>
  <c r="G122" i="61"/>
  <c r="AC158" i="71" s="1"/>
  <c r="G125" i="61"/>
  <c r="AC159" i="71" s="1"/>
  <c r="G167" i="61"/>
  <c r="AC162" i="71" s="1"/>
  <c r="G202" i="61"/>
  <c r="AC178" i="71" s="1"/>
  <c r="G155" i="61"/>
  <c r="AC203" i="71" s="1"/>
  <c r="G60" i="61"/>
  <c r="AC101" i="71" s="1"/>
  <c r="G205" i="61"/>
  <c r="G184" i="61"/>
  <c r="AC103" i="71" s="1"/>
  <c r="G61" i="61"/>
  <c r="AC104" i="71" s="1"/>
  <c r="G62" i="61"/>
  <c r="AC105" i="71" s="1"/>
  <c r="G72" i="61"/>
  <c r="AC106" i="71" s="1"/>
  <c r="G86" i="61"/>
  <c r="AC107" i="71" s="1"/>
  <c r="G63" i="61"/>
  <c r="G180" i="61"/>
  <c r="G182" i="61"/>
  <c r="AC110" i="71" s="1"/>
  <c r="G49" i="61"/>
  <c r="AC111" i="71" s="1"/>
  <c r="G64" i="61"/>
  <c r="AC112" i="71" s="1"/>
  <c r="G65" i="61"/>
  <c r="G66" i="61"/>
  <c r="AC114" i="71" s="1"/>
  <c r="G69" i="61"/>
  <c r="AC115" i="71" s="1"/>
  <c r="G2" i="61"/>
  <c r="G56" i="61"/>
  <c r="AC97" i="71" s="1"/>
  <c r="G71" i="61"/>
  <c r="AC119" i="71" s="1"/>
  <c r="G157" i="61"/>
  <c r="AC204" i="71" s="1"/>
  <c r="G28" i="61"/>
  <c r="AC181" i="71" s="1"/>
  <c r="G146" i="61"/>
  <c r="AC186" i="71" s="1"/>
  <c r="G82" i="61"/>
  <c r="AC124" i="71" s="1"/>
  <c r="G83" i="61"/>
  <c r="AC125" i="71" s="1"/>
  <c r="G23" i="61"/>
  <c r="AC55" i="71" s="1"/>
  <c r="G33" i="61"/>
  <c r="AC62" i="71" s="1"/>
  <c r="G165" i="61"/>
  <c r="AC81" i="71" s="1"/>
  <c r="G73" i="61"/>
  <c r="AC120" i="71" s="1"/>
  <c r="G173" i="61"/>
  <c r="AC145" i="71" s="1"/>
  <c r="G107" i="61"/>
  <c r="AC146" i="71" s="1"/>
  <c r="G154" i="61"/>
  <c r="AC172" i="71" s="1"/>
  <c r="G166" i="61"/>
  <c r="AC12" i="71" s="1"/>
  <c r="G168" i="61"/>
  <c r="AC61" i="71" s="1"/>
  <c r="G41" i="61"/>
  <c r="AC170" i="71" s="1"/>
  <c r="G143" i="61"/>
  <c r="AC182" i="71" s="1"/>
  <c r="G39" i="61"/>
  <c r="G119" i="61"/>
  <c r="AC153" i="71" s="1"/>
  <c r="G115" i="61"/>
  <c r="AC164" i="71" s="1"/>
  <c r="G178" i="61"/>
  <c r="AC202" i="71" s="1"/>
  <c r="G139" i="61"/>
  <c r="AC205" i="71" s="1"/>
  <c r="G197" i="61"/>
  <c r="AC87" i="71" s="1"/>
  <c r="G201" i="61"/>
  <c r="G196" i="61"/>
  <c r="AC139" i="71" s="1"/>
  <c r="G102" i="61"/>
  <c r="G200" i="61"/>
  <c r="AC142" i="71" s="1"/>
  <c r="G105" i="61"/>
  <c r="AC143" i="71" s="1"/>
  <c r="G103" i="61"/>
  <c r="AC144" i="71" s="1"/>
  <c r="G124" i="61"/>
  <c r="AC201" i="71" s="1"/>
  <c r="G108" i="61"/>
  <c r="AC154" i="71" s="1"/>
  <c r="G109" i="61"/>
  <c r="AC155" i="71" s="1"/>
  <c r="G110" i="61"/>
  <c r="AC156" i="71" s="1"/>
  <c r="G170" i="61"/>
  <c r="AC157" i="71" s="1"/>
  <c r="G59" i="61"/>
  <c r="AC192" i="71" s="1"/>
  <c r="G135" i="61"/>
  <c r="AC193" i="71" s="1"/>
  <c r="G13" i="61"/>
  <c r="AC194" i="71" s="1"/>
  <c r="G15" i="61"/>
  <c r="AC195" i="71" s="1"/>
  <c r="G163" i="61"/>
  <c r="AC196" i="71" s="1"/>
  <c r="G79" i="61"/>
  <c r="AC197" i="71" s="1"/>
  <c r="G101" i="61"/>
  <c r="AC198" i="71" s="1"/>
  <c r="G140" i="61"/>
  <c r="AC199" i="71" s="1"/>
  <c r="G12" i="61"/>
  <c r="AC48" i="71" s="1"/>
  <c r="G76" i="61"/>
  <c r="AC4" i="71" s="1"/>
  <c r="AF4" i="71" s="1"/>
  <c r="AN3" i="56" s="1"/>
  <c r="AO3" i="56" s="1"/>
  <c r="H3" i="56" s="1"/>
  <c r="G43" i="61"/>
  <c r="AC79" i="71" s="1"/>
  <c r="G153" i="61"/>
  <c r="AC85" i="71" s="1"/>
  <c r="G75" i="61"/>
  <c r="AC126" i="71" s="1"/>
  <c r="G112" i="61"/>
  <c r="AC132" i="71" s="1"/>
  <c r="G93" i="61"/>
  <c r="AC135" i="71" s="1"/>
  <c r="G131" i="61"/>
  <c r="AC175" i="71" s="1"/>
  <c r="G145" i="61"/>
  <c r="AC183" i="71" s="1"/>
  <c r="G120" i="61"/>
  <c r="AC151" i="71" s="1"/>
  <c r="AC19" i="72" l="1"/>
  <c r="AC140" i="71"/>
  <c r="AC8" i="72"/>
  <c r="AC68" i="71"/>
  <c r="AC20" i="72"/>
  <c r="AC141" i="71"/>
  <c r="AC14" i="72"/>
  <c r="AC108" i="71"/>
  <c r="AC17" i="72"/>
  <c r="AC136" i="71"/>
  <c r="AC15" i="72"/>
  <c r="AC109" i="71"/>
  <c r="AC18" i="72"/>
  <c r="AC138" i="71"/>
  <c r="AC12" i="72"/>
  <c r="AC91" i="71"/>
  <c r="AC5" i="72"/>
  <c r="AC50" i="71"/>
  <c r="AC6" i="72"/>
  <c r="AC63" i="71"/>
  <c r="AC13" i="72"/>
  <c r="AC102" i="71"/>
  <c r="AC21" i="72"/>
  <c r="AC174" i="71"/>
  <c r="AC16" i="72"/>
  <c r="AC113" i="71"/>
  <c r="AC11" i="72"/>
  <c r="AC74" i="71"/>
  <c r="AC7" i="72"/>
  <c r="AC67" i="71"/>
  <c r="AC10" i="72"/>
  <c r="AC72" i="71"/>
  <c r="AC4" i="72"/>
  <c r="AF4" i="72" s="1"/>
  <c r="AP211" i="56" s="1"/>
  <c r="AQ211" i="56" s="1"/>
  <c r="H211" i="56" s="1"/>
  <c r="AC21" i="71"/>
  <c r="E70" i="47"/>
  <c r="AC9" i="72"/>
  <c r="AC70" i="71"/>
  <c r="CH56" i="71"/>
  <c r="CK56" i="71" s="1"/>
  <c r="AZ56" i="71" l="1"/>
  <c r="BC56" i="71" s="1"/>
  <c r="BQ56" i="71"/>
  <c r="BT56" i="71" s="1"/>
  <c r="H55" i="68"/>
  <c r="H55" i="67"/>
  <c r="L228" i="56"/>
  <c r="H3" i="52" l="1"/>
  <c r="D214" i="67"/>
  <c r="E214" i="67"/>
  <c r="P214" i="68"/>
  <c r="AK7" i="72"/>
  <c r="AL7" i="72" s="1"/>
  <c r="P214" i="56" s="1"/>
  <c r="E7" i="72"/>
  <c r="D213" i="66" s="1"/>
  <c r="F7" i="72"/>
  <c r="G7" i="72"/>
  <c r="H7" i="72"/>
  <c r="E78" i="52" l="1"/>
  <c r="E79" i="52" s="1"/>
  <c r="E76" i="52"/>
  <c r="E70" i="52"/>
  <c r="E67" i="52"/>
  <c r="E48" i="52"/>
  <c r="E49" i="52" s="1"/>
  <c r="C26" i="52" s="1"/>
  <c r="E52" i="52"/>
  <c r="E53" i="52" s="1"/>
  <c r="C27" i="52" s="1"/>
  <c r="E44" i="52"/>
  <c r="E42" i="52"/>
  <c r="E43" i="52" s="1"/>
  <c r="C30" i="52"/>
  <c r="E39" i="52"/>
  <c r="M3" i="52"/>
  <c r="I3" i="52"/>
  <c r="B4" i="52"/>
  <c r="BB7" i="72"/>
  <c r="BS7" i="72"/>
  <c r="CJ7" i="72"/>
  <c r="BA7" i="72"/>
  <c r="CI7" i="72"/>
  <c r="BR7" i="72"/>
  <c r="AZ7" i="72"/>
  <c r="BQ7" i="72"/>
  <c r="CH7" i="72"/>
  <c r="CK7" i="72"/>
  <c r="B201" i="52"/>
  <c r="E214" i="56"/>
  <c r="E213" i="66"/>
  <c r="D214" i="56"/>
  <c r="BC7" i="72" l="1"/>
  <c r="BT7" i="72"/>
  <c r="E77" i="52"/>
  <c r="P216" i="68"/>
  <c r="P212" i="68"/>
  <c r="P213" i="68"/>
  <c r="P221" i="68"/>
  <c r="P223" i="68"/>
  <c r="P224" i="68"/>
  <c r="P227" i="68"/>
  <c r="P226" i="68"/>
  <c r="P228" i="68"/>
  <c r="P218" i="68"/>
  <c r="P215" i="68"/>
  <c r="P222" i="68"/>
  <c r="P217" i="68"/>
  <c r="P225" i="68"/>
  <c r="P220" i="68"/>
  <c r="P211" i="68" l="1"/>
  <c r="S5" i="19"/>
  <c r="S4" i="19"/>
  <c r="O181" i="67" l="1"/>
  <c r="O181" i="68"/>
  <c r="O47" i="67"/>
  <c r="O47" i="68"/>
  <c r="O143" i="67"/>
  <c r="O143" i="68"/>
  <c r="O194" i="67"/>
  <c r="O194" i="68"/>
  <c r="O35" i="67"/>
  <c r="O35" i="68"/>
  <c r="O142" i="67"/>
  <c r="O142" i="68"/>
  <c r="O70" i="67"/>
  <c r="O70" i="68"/>
  <c r="O113" i="67"/>
  <c r="O113" i="68"/>
  <c r="O92" i="67"/>
  <c r="O92" i="68"/>
  <c r="O68" i="67"/>
  <c r="O68" i="68"/>
  <c r="O23" i="67"/>
  <c r="O23" i="68"/>
  <c r="O19" i="67"/>
  <c r="O19" i="68"/>
  <c r="O6" i="67"/>
  <c r="O6" i="68"/>
  <c r="O132" i="67"/>
  <c r="O132" i="68"/>
  <c r="O186" i="67"/>
  <c r="O186" i="68"/>
  <c r="O129" i="67"/>
  <c r="O129" i="68"/>
  <c r="O117" i="67"/>
  <c r="O117" i="68"/>
  <c r="O130" i="67"/>
  <c r="O130" i="68"/>
  <c r="O18" i="67"/>
  <c r="O18" i="68"/>
  <c r="O198" i="67"/>
  <c r="O198" i="68"/>
  <c r="O166" i="67"/>
  <c r="O166" i="68"/>
  <c r="O45" i="67"/>
  <c r="O45" i="68"/>
  <c r="O187" i="67"/>
  <c r="O187" i="68"/>
  <c r="O40" i="67"/>
  <c r="O40" i="68"/>
  <c r="O159" i="67"/>
  <c r="O159" i="68"/>
  <c r="O120" i="67"/>
  <c r="O120" i="68"/>
  <c r="O34" i="67"/>
  <c r="O34" i="68"/>
  <c r="O168" i="67"/>
  <c r="O168" i="68"/>
  <c r="O59" i="67"/>
  <c r="O59" i="68"/>
  <c r="O13" i="67"/>
  <c r="O13" i="68"/>
  <c r="O85" i="67"/>
  <c r="O85" i="68"/>
  <c r="O42" i="67"/>
  <c r="O42" i="68"/>
  <c r="O128" i="67"/>
  <c r="O128" i="68"/>
  <c r="O8" i="67"/>
  <c r="O8" i="68"/>
  <c r="O116" i="67"/>
  <c r="O116" i="68"/>
  <c r="O86" i="67"/>
  <c r="O86" i="68"/>
  <c r="O16" i="67"/>
  <c r="O16" i="68"/>
  <c r="O121" i="67"/>
  <c r="O121" i="68"/>
  <c r="O157" i="67"/>
  <c r="O157" i="68"/>
  <c r="O196" i="67"/>
  <c r="O196" i="68"/>
  <c r="O111" i="67"/>
  <c r="O111" i="68"/>
  <c r="O88" i="67"/>
  <c r="O88" i="68"/>
  <c r="O17" i="67"/>
  <c r="O17" i="68"/>
  <c r="O97" i="67"/>
  <c r="O97" i="68"/>
  <c r="O91" i="67"/>
  <c r="O91" i="68"/>
  <c r="O146" i="67"/>
  <c r="O146" i="68"/>
  <c r="O161" i="67"/>
  <c r="O161" i="68"/>
  <c r="O171" i="67"/>
  <c r="O171" i="68"/>
  <c r="O76" i="67"/>
  <c r="O76" i="68"/>
  <c r="O25" i="67"/>
  <c r="O25" i="68"/>
  <c r="O150" i="67"/>
  <c r="O150" i="68"/>
  <c r="O46" i="67"/>
  <c r="O46" i="68"/>
  <c r="O102" i="67"/>
  <c r="O102" i="68"/>
  <c r="O177" i="67"/>
  <c r="O177" i="68"/>
  <c r="O199" i="67"/>
  <c r="O199" i="68"/>
  <c r="O131" i="67"/>
  <c r="O131" i="68"/>
  <c r="O127" i="67"/>
  <c r="O127" i="68"/>
  <c r="O125" i="67"/>
  <c r="O125" i="68"/>
  <c r="O87" i="67"/>
  <c r="O87" i="68"/>
  <c r="O58" i="67"/>
  <c r="O58" i="68"/>
  <c r="O193" i="67"/>
  <c r="O193" i="68"/>
  <c r="O182" i="67"/>
  <c r="O182" i="68"/>
  <c r="O94" i="67"/>
  <c r="O94" i="68"/>
  <c r="O145" i="67"/>
  <c r="O145" i="68"/>
  <c r="O122" i="67"/>
  <c r="O122" i="68"/>
  <c r="O82" i="67"/>
  <c r="O82" i="68"/>
  <c r="O100" i="67"/>
  <c r="O100" i="68"/>
  <c r="O50" i="67"/>
  <c r="O50" i="68"/>
  <c r="O200" i="67"/>
  <c r="O200" i="68"/>
  <c r="O137" i="67"/>
  <c r="O137" i="68"/>
  <c r="O52" i="67"/>
  <c r="O52" i="68"/>
  <c r="O28" i="67"/>
  <c r="O28" i="68"/>
  <c r="O191" i="67"/>
  <c r="O191" i="68"/>
  <c r="O32" i="67"/>
  <c r="O32" i="68"/>
  <c r="O106" i="67"/>
  <c r="O106" i="68"/>
  <c r="O104" i="67"/>
  <c r="O104" i="68"/>
  <c r="O83" i="67"/>
  <c r="O83" i="68"/>
  <c r="O15" i="67"/>
  <c r="O15" i="68"/>
  <c r="O22" i="67"/>
  <c r="O22" i="68"/>
  <c r="O158" i="67"/>
  <c r="O158" i="68"/>
  <c r="O147" i="67"/>
  <c r="O147" i="68"/>
  <c r="O99" i="67"/>
  <c r="O99" i="68"/>
  <c r="O180" i="67"/>
  <c r="O180" i="68"/>
  <c r="O11" i="67"/>
  <c r="O11" i="68"/>
  <c r="O109" i="67"/>
  <c r="O109" i="68"/>
  <c r="O184" i="67"/>
  <c r="O184" i="68"/>
  <c r="O156" i="67"/>
  <c r="O156" i="68"/>
  <c r="O31" i="67"/>
  <c r="O31" i="68"/>
  <c r="O119" i="67"/>
  <c r="O119" i="68"/>
  <c r="O103" i="67"/>
  <c r="O103" i="68"/>
  <c r="O110" i="67"/>
  <c r="O110" i="68"/>
  <c r="O57" i="67"/>
  <c r="O57" i="68"/>
  <c r="O192" i="67"/>
  <c r="O192" i="68"/>
  <c r="O185" i="67"/>
  <c r="O185" i="68"/>
  <c r="O41" i="67"/>
  <c r="O41" i="68"/>
  <c r="O79" i="67"/>
  <c r="O79" i="68"/>
  <c r="O60" i="67"/>
  <c r="O60" i="68"/>
  <c r="O64" i="67"/>
  <c r="O64" i="68"/>
  <c r="O105" i="67"/>
  <c r="O105" i="68"/>
  <c r="O163" i="67"/>
  <c r="O163" i="68"/>
  <c r="O135" i="67"/>
  <c r="O135" i="68"/>
  <c r="O124" i="67"/>
  <c r="O124" i="68"/>
  <c r="O118" i="67"/>
  <c r="O118" i="68"/>
  <c r="O190" i="67"/>
  <c r="O190" i="68"/>
  <c r="O164" i="67"/>
  <c r="O164" i="68"/>
  <c r="O54" i="67"/>
  <c r="O54" i="68"/>
  <c r="O149" i="67"/>
  <c r="O149" i="68"/>
  <c r="O93" i="67"/>
  <c r="O93" i="68"/>
  <c r="O154" i="67"/>
  <c r="O154" i="68"/>
  <c r="Q213" i="67"/>
  <c r="Q213" i="68"/>
  <c r="O65" i="67"/>
  <c r="O65" i="68"/>
  <c r="O89" i="67"/>
  <c r="O89" i="68"/>
  <c r="O160" i="67"/>
  <c r="O160" i="68"/>
  <c r="O201" i="67"/>
  <c r="O201" i="68"/>
  <c r="O173" i="67"/>
  <c r="O173" i="68"/>
  <c r="O151" i="67"/>
  <c r="O151" i="68"/>
  <c r="O144" i="67"/>
  <c r="O144" i="68"/>
  <c r="O165" i="67"/>
  <c r="O165" i="68"/>
  <c r="O123" i="67"/>
  <c r="O123" i="68"/>
  <c r="O21" i="67"/>
  <c r="O21" i="68"/>
  <c r="O12" i="67"/>
  <c r="O12" i="68"/>
  <c r="O5" i="67"/>
  <c r="O5" i="68"/>
  <c r="O206" i="67"/>
  <c r="O206" i="68"/>
  <c r="O153" i="67"/>
  <c r="O153" i="68"/>
  <c r="O63" i="67"/>
  <c r="O63" i="68"/>
  <c r="O202" i="67"/>
  <c r="O202" i="68"/>
  <c r="O176" i="67"/>
  <c r="O176" i="68"/>
  <c r="O170" i="67"/>
  <c r="O170" i="68"/>
  <c r="O178" i="67"/>
  <c r="O178" i="68"/>
  <c r="O114" i="67"/>
  <c r="O114" i="68"/>
  <c r="O98" i="67"/>
  <c r="O98" i="68"/>
  <c r="O36" i="67"/>
  <c r="O36" i="68"/>
  <c r="O188" i="67"/>
  <c r="O188" i="68"/>
  <c r="O205" i="67"/>
  <c r="O205" i="68"/>
  <c r="O152" i="67"/>
  <c r="O152" i="68"/>
  <c r="O179" i="67"/>
  <c r="O179" i="68"/>
  <c r="O80" i="67"/>
  <c r="O80" i="68"/>
  <c r="O84" i="67"/>
  <c r="O84" i="68"/>
  <c r="O39" i="67"/>
  <c r="O39" i="68"/>
  <c r="O169" i="67"/>
  <c r="O169" i="68"/>
  <c r="O141" i="67"/>
  <c r="O141" i="68"/>
  <c r="O133" i="67"/>
  <c r="O133" i="68"/>
  <c r="O115" i="67"/>
  <c r="O115" i="68"/>
  <c r="O26" i="67"/>
  <c r="O26" i="68"/>
  <c r="O175" i="67"/>
  <c r="O175" i="68"/>
  <c r="O48" i="67"/>
  <c r="O48" i="68"/>
  <c r="O204" i="67"/>
  <c r="O204" i="68"/>
  <c r="Q227" i="67"/>
  <c r="Q227" i="68"/>
  <c r="O56" i="67"/>
  <c r="O56" i="68"/>
  <c r="O74" i="67"/>
  <c r="O74" i="68"/>
  <c r="O140" i="67"/>
  <c r="O140" i="68"/>
  <c r="O197" i="67"/>
  <c r="O197" i="68"/>
  <c r="O72" i="67"/>
  <c r="O72" i="68"/>
  <c r="O195" i="67"/>
  <c r="O195" i="68"/>
  <c r="O27" i="67"/>
  <c r="O27" i="68"/>
  <c r="O95" i="67"/>
  <c r="O95" i="68"/>
  <c r="O78" i="67"/>
  <c r="O78" i="68"/>
  <c r="O24" i="67"/>
  <c r="O24" i="68"/>
  <c r="O4" i="67"/>
  <c r="O4" i="68"/>
  <c r="O7" i="67"/>
  <c r="O7" i="68"/>
  <c r="O148" i="67"/>
  <c r="O148" i="68"/>
  <c r="O189" i="67"/>
  <c r="O189" i="68"/>
  <c r="Q224" i="67"/>
  <c r="Q224" i="68"/>
  <c r="O51" i="67"/>
  <c r="O51" i="68"/>
  <c r="O3" i="68"/>
  <c r="Q211" i="68"/>
  <c r="E91" i="71"/>
  <c r="D90" i="56" s="1"/>
  <c r="F91" i="71"/>
  <c r="G91" i="71"/>
  <c r="H91" i="71"/>
  <c r="E184" i="71"/>
  <c r="D183" i="56" s="1"/>
  <c r="F184" i="71"/>
  <c r="G184" i="71"/>
  <c r="H184" i="71"/>
  <c r="E6" i="71"/>
  <c r="D5" i="56" s="1"/>
  <c r="F6" i="71"/>
  <c r="G6" i="71"/>
  <c r="H6" i="71"/>
  <c r="E14" i="71"/>
  <c r="D13" i="56" s="1"/>
  <c r="F14" i="71"/>
  <c r="G14" i="71"/>
  <c r="H14" i="71"/>
  <c r="E7" i="71"/>
  <c r="D6" i="56" s="1"/>
  <c r="F7" i="71"/>
  <c r="G7" i="71"/>
  <c r="H7" i="71"/>
  <c r="E8" i="71"/>
  <c r="D7" i="56" s="1"/>
  <c r="F8" i="71"/>
  <c r="G8" i="71"/>
  <c r="H8" i="71"/>
  <c r="E9" i="71"/>
  <c r="D8" i="56" s="1"/>
  <c r="F9" i="71"/>
  <c r="G9" i="71"/>
  <c r="H9" i="71"/>
  <c r="E11" i="71"/>
  <c r="D10" i="56" s="1"/>
  <c r="F11" i="71"/>
  <c r="G11" i="71"/>
  <c r="H11" i="71"/>
  <c r="E13" i="71"/>
  <c r="D12" i="56" s="1"/>
  <c r="F13" i="71"/>
  <c r="G13" i="71"/>
  <c r="H13" i="71"/>
  <c r="E70" i="71"/>
  <c r="D69" i="56" s="1"/>
  <c r="F70" i="71"/>
  <c r="G70" i="71"/>
  <c r="H70" i="71"/>
  <c r="E48" i="71"/>
  <c r="D47" i="56" s="1"/>
  <c r="F48" i="71"/>
  <c r="G48" i="71"/>
  <c r="H48" i="71"/>
  <c r="E194" i="71"/>
  <c r="D193" i="56" s="1"/>
  <c r="F194" i="71"/>
  <c r="G194" i="71"/>
  <c r="H194" i="71"/>
  <c r="E50" i="71"/>
  <c r="D49" i="56" s="1"/>
  <c r="F50" i="71"/>
  <c r="G50" i="71"/>
  <c r="H50" i="71"/>
  <c r="E195" i="71"/>
  <c r="D194" i="56" s="1"/>
  <c r="F195" i="71"/>
  <c r="G195" i="71"/>
  <c r="H195" i="71"/>
  <c r="E98" i="71"/>
  <c r="D97" i="56" s="1"/>
  <c r="F98" i="71"/>
  <c r="G98" i="71"/>
  <c r="H98" i="71"/>
  <c r="E118" i="71"/>
  <c r="D117" i="56" s="1"/>
  <c r="F118" i="71"/>
  <c r="G118" i="71"/>
  <c r="H118" i="71"/>
  <c r="E20" i="71"/>
  <c r="D19" i="56" s="1"/>
  <c r="F20" i="71"/>
  <c r="G20" i="71"/>
  <c r="H20" i="71"/>
  <c r="E5" i="71"/>
  <c r="D4" i="56" s="1"/>
  <c r="F5" i="71"/>
  <c r="G5" i="71"/>
  <c r="H5" i="71"/>
  <c r="E52" i="71"/>
  <c r="D51" i="56" s="1"/>
  <c r="F52" i="71"/>
  <c r="G52" i="71"/>
  <c r="H52" i="71"/>
  <c r="E54" i="71"/>
  <c r="D53" i="56" s="1"/>
  <c r="F54" i="71"/>
  <c r="G54" i="71"/>
  <c r="H54" i="71"/>
  <c r="E22" i="71"/>
  <c r="D21" i="56" s="1"/>
  <c r="F22" i="71"/>
  <c r="G22" i="71"/>
  <c r="H22" i="71"/>
  <c r="E55" i="71"/>
  <c r="D54" i="56" s="1"/>
  <c r="F55" i="71"/>
  <c r="G55" i="71"/>
  <c r="H55" i="71"/>
  <c r="E57" i="71"/>
  <c r="D56" i="56" s="1"/>
  <c r="F57" i="71"/>
  <c r="G57" i="71"/>
  <c r="H57" i="71"/>
  <c r="E58" i="71"/>
  <c r="D57" i="56" s="1"/>
  <c r="F58" i="71"/>
  <c r="G58" i="71"/>
  <c r="H58" i="71"/>
  <c r="E23" i="71"/>
  <c r="D22" i="56" s="1"/>
  <c r="F23" i="71"/>
  <c r="G23" i="71"/>
  <c r="H23" i="71"/>
  <c r="E59" i="71"/>
  <c r="D58" i="56" s="1"/>
  <c r="F59" i="71"/>
  <c r="G59" i="71"/>
  <c r="H59" i="71"/>
  <c r="E181" i="71"/>
  <c r="D180" i="56" s="1"/>
  <c r="F181" i="71"/>
  <c r="G181" i="71"/>
  <c r="H181" i="71"/>
  <c r="E60" i="71"/>
  <c r="D59" i="56" s="1"/>
  <c r="F60" i="71"/>
  <c r="G60" i="71"/>
  <c r="H60" i="71"/>
  <c r="E24" i="71"/>
  <c r="D23" i="56" s="1"/>
  <c r="F24" i="71"/>
  <c r="G24" i="71"/>
  <c r="H24" i="71"/>
  <c r="E25" i="71"/>
  <c r="D24" i="56" s="1"/>
  <c r="F25" i="71"/>
  <c r="G25" i="71"/>
  <c r="H25" i="71"/>
  <c r="E177" i="71"/>
  <c r="D176" i="56" s="1"/>
  <c r="F177" i="71"/>
  <c r="G177" i="71"/>
  <c r="H177" i="71"/>
  <c r="E62" i="71"/>
  <c r="D61" i="56" s="1"/>
  <c r="F62" i="71"/>
  <c r="G62" i="71"/>
  <c r="H62" i="71"/>
  <c r="E64" i="71"/>
  <c r="D63" i="56" s="1"/>
  <c r="F64" i="71"/>
  <c r="G64" i="71"/>
  <c r="H64" i="71"/>
  <c r="E63" i="71"/>
  <c r="D62" i="56" s="1"/>
  <c r="F63" i="71"/>
  <c r="G63" i="71"/>
  <c r="H63" i="71"/>
  <c r="E65" i="71"/>
  <c r="D64" i="56" s="1"/>
  <c r="F65" i="71"/>
  <c r="G65" i="71"/>
  <c r="H65" i="71"/>
  <c r="E66" i="71"/>
  <c r="D65" i="56" s="1"/>
  <c r="F66" i="71"/>
  <c r="G66" i="71"/>
  <c r="H66" i="71"/>
  <c r="E16" i="71"/>
  <c r="D15" i="56" s="1"/>
  <c r="F16" i="71"/>
  <c r="G16" i="71"/>
  <c r="H16" i="71"/>
  <c r="E67" i="71"/>
  <c r="D66" i="56" s="1"/>
  <c r="F67" i="71"/>
  <c r="G67" i="71"/>
  <c r="H67" i="71"/>
  <c r="E18" i="71"/>
  <c r="D17" i="56" s="1"/>
  <c r="F18" i="71"/>
  <c r="G18" i="71"/>
  <c r="H18" i="71"/>
  <c r="E170" i="71"/>
  <c r="D169" i="56" s="1"/>
  <c r="F170" i="71"/>
  <c r="G170" i="71"/>
  <c r="H170" i="71"/>
  <c r="E69" i="71"/>
  <c r="D68" i="56" s="1"/>
  <c r="F69" i="71"/>
  <c r="G69" i="71"/>
  <c r="H69" i="71"/>
  <c r="E79" i="71"/>
  <c r="D78" i="56" s="1"/>
  <c r="F79" i="71"/>
  <c r="G79" i="71"/>
  <c r="H79" i="71"/>
  <c r="E27" i="71"/>
  <c r="D26" i="56" s="1"/>
  <c r="F27" i="71"/>
  <c r="G27" i="71"/>
  <c r="H27" i="71"/>
  <c r="E37" i="71"/>
  <c r="D36" i="56" s="1"/>
  <c r="F37" i="71"/>
  <c r="G37" i="71"/>
  <c r="H37" i="71"/>
  <c r="E80" i="71"/>
  <c r="D79" i="56" s="1"/>
  <c r="F80" i="71"/>
  <c r="G80" i="71"/>
  <c r="H80" i="71"/>
  <c r="E166" i="71"/>
  <c r="D165" i="56" s="1"/>
  <c r="F166" i="71"/>
  <c r="G166" i="71"/>
  <c r="H166" i="71"/>
  <c r="E82" i="71"/>
  <c r="D81" i="56" s="1"/>
  <c r="F82" i="71"/>
  <c r="G82" i="71"/>
  <c r="H82" i="71"/>
  <c r="E111" i="71"/>
  <c r="D110" i="56" s="1"/>
  <c r="F111" i="71"/>
  <c r="G111" i="71"/>
  <c r="H111" i="71"/>
  <c r="E84" i="71"/>
  <c r="D83" i="56" s="1"/>
  <c r="F84" i="71"/>
  <c r="G84" i="71"/>
  <c r="H84" i="71"/>
  <c r="E88" i="71"/>
  <c r="D87" i="56" s="1"/>
  <c r="F88" i="71"/>
  <c r="G88" i="71"/>
  <c r="H88" i="71"/>
  <c r="E89" i="71"/>
  <c r="D88" i="56" s="1"/>
  <c r="F89" i="71"/>
  <c r="G89" i="71"/>
  <c r="H89" i="71"/>
  <c r="E35" i="71"/>
  <c r="D34" i="56" s="1"/>
  <c r="F35" i="71"/>
  <c r="G35" i="71"/>
  <c r="H35" i="71"/>
  <c r="E93" i="71"/>
  <c r="D92" i="56" s="1"/>
  <c r="F93" i="71"/>
  <c r="G93" i="71"/>
  <c r="H93" i="71"/>
  <c r="E96" i="71"/>
  <c r="D95" i="56" s="1"/>
  <c r="F96" i="71"/>
  <c r="G96" i="71"/>
  <c r="H96" i="71"/>
  <c r="E97" i="71"/>
  <c r="D96" i="56" s="1"/>
  <c r="F97" i="71"/>
  <c r="G97" i="71"/>
  <c r="H97" i="71"/>
  <c r="E99" i="71"/>
  <c r="D98" i="56" s="1"/>
  <c r="F99" i="71"/>
  <c r="G99" i="71"/>
  <c r="H99" i="71"/>
  <c r="E100" i="71"/>
  <c r="D99" i="56" s="1"/>
  <c r="F100" i="71"/>
  <c r="G100" i="71"/>
  <c r="H100" i="71"/>
  <c r="E192" i="71"/>
  <c r="D191" i="56" s="1"/>
  <c r="F192" i="71"/>
  <c r="G192" i="71"/>
  <c r="H192" i="71"/>
  <c r="E101" i="71"/>
  <c r="D100" i="56" s="1"/>
  <c r="F101" i="71"/>
  <c r="G101" i="71"/>
  <c r="H101" i="71"/>
  <c r="E104" i="71"/>
  <c r="D103" i="56" s="1"/>
  <c r="F104" i="71"/>
  <c r="G104" i="71"/>
  <c r="H104" i="71"/>
  <c r="E105" i="71"/>
  <c r="D104" i="56" s="1"/>
  <c r="F105" i="71"/>
  <c r="G105" i="71"/>
  <c r="H105" i="71"/>
  <c r="E108" i="71"/>
  <c r="D107" i="56" s="1"/>
  <c r="F108" i="71"/>
  <c r="G108" i="71"/>
  <c r="H108" i="71"/>
  <c r="E112" i="71"/>
  <c r="D111" i="56" s="1"/>
  <c r="F112" i="71"/>
  <c r="G112" i="71"/>
  <c r="H112" i="71"/>
  <c r="E113" i="71"/>
  <c r="D112" i="56" s="1"/>
  <c r="F113" i="71"/>
  <c r="G113" i="71"/>
  <c r="H113" i="71"/>
  <c r="E114" i="71"/>
  <c r="D113" i="56" s="1"/>
  <c r="F114" i="71"/>
  <c r="G114" i="71"/>
  <c r="H114" i="71"/>
  <c r="E28" i="71"/>
  <c r="D27" i="56" s="1"/>
  <c r="F28" i="71"/>
  <c r="G28" i="71"/>
  <c r="H28" i="71"/>
  <c r="E116" i="71"/>
  <c r="D115" i="56" s="1"/>
  <c r="F116" i="71"/>
  <c r="G116" i="71"/>
  <c r="H116" i="71"/>
  <c r="E115" i="71"/>
  <c r="D114" i="56" s="1"/>
  <c r="F115" i="71"/>
  <c r="G115" i="71"/>
  <c r="H115" i="71"/>
  <c r="E117" i="71"/>
  <c r="D116" i="56" s="1"/>
  <c r="F117" i="71"/>
  <c r="G117" i="71"/>
  <c r="H117" i="71"/>
  <c r="E119" i="71"/>
  <c r="D118" i="56" s="1"/>
  <c r="F119" i="71"/>
  <c r="G119" i="71"/>
  <c r="H119" i="71"/>
  <c r="E106" i="71"/>
  <c r="D105" i="56" s="1"/>
  <c r="F106" i="71"/>
  <c r="G106" i="71"/>
  <c r="H106" i="71"/>
  <c r="E120" i="71"/>
  <c r="D119" i="56" s="1"/>
  <c r="F120" i="71"/>
  <c r="G120" i="71"/>
  <c r="H120" i="71"/>
  <c r="E10" i="71"/>
  <c r="D9" i="56" s="1"/>
  <c r="F10" i="71"/>
  <c r="G10" i="71"/>
  <c r="H10" i="71"/>
  <c r="E126" i="71"/>
  <c r="D125" i="56" s="1"/>
  <c r="F126" i="71"/>
  <c r="G126" i="71"/>
  <c r="H126" i="71"/>
  <c r="E4" i="71"/>
  <c r="E75" i="47" s="1"/>
  <c r="F4" i="71"/>
  <c r="E3" i="56" s="1"/>
  <c r="G4" i="71"/>
  <c r="H4" i="71"/>
  <c r="E121" i="71"/>
  <c r="D120" i="56" s="1"/>
  <c r="F121" i="71"/>
  <c r="G121" i="71"/>
  <c r="H121" i="71"/>
  <c r="E71" i="71"/>
  <c r="D70" i="56" s="1"/>
  <c r="F71" i="71"/>
  <c r="G71" i="71"/>
  <c r="H71" i="71"/>
  <c r="E197" i="71"/>
  <c r="D196" i="56" s="1"/>
  <c r="F197" i="71"/>
  <c r="G197" i="71"/>
  <c r="H197" i="71"/>
  <c r="E123" i="71"/>
  <c r="D122" i="56" s="1"/>
  <c r="F123" i="71"/>
  <c r="G123" i="71"/>
  <c r="H123" i="71"/>
  <c r="E34" i="71"/>
  <c r="D33" i="56" s="1"/>
  <c r="F34" i="71"/>
  <c r="G34" i="71"/>
  <c r="H34" i="71"/>
  <c r="E124" i="71"/>
  <c r="D123" i="56" s="1"/>
  <c r="F124" i="71"/>
  <c r="G124" i="71"/>
  <c r="H124" i="71"/>
  <c r="E125" i="71"/>
  <c r="D124" i="56" s="1"/>
  <c r="F125" i="71"/>
  <c r="G125" i="71"/>
  <c r="H125" i="71"/>
  <c r="E30" i="71"/>
  <c r="D29" i="56" s="1"/>
  <c r="F30" i="71"/>
  <c r="G30" i="71"/>
  <c r="H30" i="71"/>
  <c r="E163" i="71"/>
  <c r="D162" i="56" s="1"/>
  <c r="F163" i="71"/>
  <c r="G163" i="71"/>
  <c r="H163" i="71"/>
  <c r="E107" i="71"/>
  <c r="D106" i="56" s="1"/>
  <c r="F107" i="71"/>
  <c r="G107" i="71"/>
  <c r="H107" i="71"/>
  <c r="E128" i="71"/>
  <c r="D127" i="56" s="1"/>
  <c r="F128" i="71"/>
  <c r="G128" i="71"/>
  <c r="H128" i="71"/>
  <c r="E129" i="71"/>
  <c r="D128" i="56" s="1"/>
  <c r="F129" i="71"/>
  <c r="G129" i="71"/>
  <c r="H129" i="71"/>
  <c r="E130" i="71"/>
  <c r="D129" i="56" s="1"/>
  <c r="F130" i="71"/>
  <c r="G130" i="71"/>
  <c r="H130" i="71"/>
  <c r="E46" i="71"/>
  <c r="D45" i="56" s="1"/>
  <c r="F46" i="71"/>
  <c r="G46" i="71"/>
  <c r="H46" i="71"/>
  <c r="E73" i="71"/>
  <c r="D72" i="56" s="1"/>
  <c r="F73" i="71"/>
  <c r="G73" i="71"/>
  <c r="H73" i="71"/>
  <c r="E135" i="71"/>
  <c r="D134" i="56" s="1"/>
  <c r="F135" i="71"/>
  <c r="G135" i="71"/>
  <c r="H135" i="71"/>
  <c r="E136" i="71"/>
  <c r="D135" i="56" s="1"/>
  <c r="F136" i="71"/>
  <c r="G136" i="71"/>
  <c r="H136" i="71"/>
  <c r="E167" i="71"/>
  <c r="D166" i="56" s="1"/>
  <c r="F167" i="71"/>
  <c r="G167" i="71"/>
  <c r="H167" i="71"/>
  <c r="E137" i="71"/>
  <c r="D136" i="56" s="1"/>
  <c r="F137" i="71"/>
  <c r="G137" i="71"/>
  <c r="H137" i="71"/>
  <c r="E31" i="71"/>
  <c r="D30" i="56" s="1"/>
  <c r="F31" i="71"/>
  <c r="G31" i="71"/>
  <c r="H31" i="71"/>
  <c r="E32" i="71"/>
  <c r="D31" i="56" s="1"/>
  <c r="F32" i="71"/>
  <c r="G32" i="71"/>
  <c r="H32" i="71"/>
  <c r="E33" i="71"/>
  <c r="D32" i="56" s="1"/>
  <c r="F33" i="71"/>
  <c r="G33" i="71"/>
  <c r="H33" i="71"/>
  <c r="E141" i="71"/>
  <c r="D140" i="56" s="1"/>
  <c r="F141" i="71"/>
  <c r="G141" i="71"/>
  <c r="H141" i="71"/>
  <c r="E198" i="71"/>
  <c r="D197" i="56" s="1"/>
  <c r="F198" i="71"/>
  <c r="G198" i="71"/>
  <c r="H198" i="71"/>
  <c r="E140" i="71"/>
  <c r="D139" i="56" s="1"/>
  <c r="F140" i="71"/>
  <c r="G140" i="71"/>
  <c r="H140" i="71"/>
  <c r="E144" i="71"/>
  <c r="D143" i="56" s="1"/>
  <c r="F144" i="71"/>
  <c r="G144" i="71"/>
  <c r="H144" i="71"/>
  <c r="E174" i="71"/>
  <c r="D173" i="56" s="1"/>
  <c r="F174" i="71"/>
  <c r="G174" i="71"/>
  <c r="H174" i="71"/>
  <c r="E143" i="71"/>
  <c r="D142" i="56" s="1"/>
  <c r="F143" i="71"/>
  <c r="G143" i="71"/>
  <c r="H143" i="71"/>
  <c r="E83" i="71"/>
  <c r="D82" i="56" s="1"/>
  <c r="F83" i="71"/>
  <c r="G83" i="71"/>
  <c r="H83" i="71"/>
  <c r="E146" i="71"/>
  <c r="D145" i="56" s="1"/>
  <c r="F146" i="71"/>
  <c r="G146" i="71"/>
  <c r="H146" i="71"/>
  <c r="E154" i="71"/>
  <c r="D153" i="56" s="1"/>
  <c r="F154" i="71"/>
  <c r="G154" i="71"/>
  <c r="H154" i="71"/>
  <c r="E155" i="71"/>
  <c r="D154" i="56" s="1"/>
  <c r="F155" i="71"/>
  <c r="G155" i="71"/>
  <c r="H155" i="71"/>
  <c r="E156" i="71"/>
  <c r="D155" i="56" s="1"/>
  <c r="F156" i="71"/>
  <c r="G156" i="71"/>
  <c r="H156" i="71"/>
  <c r="E26" i="71"/>
  <c r="D25" i="56" s="1"/>
  <c r="F26" i="71"/>
  <c r="G26" i="71"/>
  <c r="H26" i="71"/>
  <c r="E132" i="71"/>
  <c r="D131" i="56" s="1"/>
  <c r="F132" i="71"/>
  <c r="G132" i="71"/>
  <c r="H132" i="71"/>
  <c r="E42" i="71"/>
  <c r="D41" i="56" s="1"/>
  <c r="F42" i="71"/>
  <c r="G42" i="71"/>
  <c r="H42" i="71"/>
  <c r="E149" i="71"/>
  <c r="D148" i="56" s="1"/>
  <c r="F149" i="71"/>
  <c r="G149" i="71"/>
  <c r="H149" i="71"/>
  <c r="E164" i="71"/>
  <c r="D163" i="56" s="1"/>
  <c r="F164" i="71"/>
  <c r="G164" i="71"/>
  <c r="H164" i="71"/>
  <c r="E147" i="71"/>
  <c r="D146" i="56" s="1"/>
  <c r="F147" i="71"/>
  <c r="G147" i="71"/>
  <c r="H147" i="71"/>
  <c r="E148" i="71"/>
  <c r="D147" i="56" s="1"/>
  <c r="F148" i="71"/>
  <c r="G148" i="71"/>
  <c r="H148" i="71"/>
  <c r="E43" i="71"/>
  <c r="D42" i="56" s="1"/>
  <c r="F43" i="71"/>
  <c r="G43" i="71"/>
  <c r="H43" i="71"/>
  <c r="E153" i="71"/>
  <c r="D152" i="56" s="1"/>
  <c r="F153" i="71"/>
  <c r="G153" i="71"/>
  <c r="H153" i="71"/>
  <c r="E151" i="71"/>
  <c r="D150" i="56" s="1"/>
  <c r="F151" i="71"/>
  <c r="G151" i="71"/>
  <c r="H151" i="71"/>
  <c r="E131" i="71"/>
  <c r="D130" i="56" s="1"/>
  <c r="F131" i="71"/>
  <c r="G131" i="71"/>
  <c r="H131" i="71"/>
  <c r="E158" i="71"/>
  <c r="D157" i="56" s="1"/>
  <c r="F158" i="71"/>
  <c r="G158" i="71"/>
  <c r="H158" i="71"/>
  <c r="E74" i="71"/>
  <c r="D73" i="56" s="1"/>
  <c r="F74" i="71"/>
  <c r="G74" i="71"/>
  <c r="H74" i="71"/>
  <c r="E201" i="71"/>
  <c r="D200" i="56" s="1"/>
  <c r="F201" i="71"/>
  <c r="G201" i="71"/>
  <c r="H201" i="71"/>
  <c r="E159" i="71"/>
  <c r="D158" i="56" s="1"/>
  <c r="F159" i="71"/>
  <c r="G159" i="71"/>
  <c r="H159" i="71"/>
  <c r="E161" i="71"/>
  <c r="D160" i="56" s="1"/>
  <c r="F161" i="71"/>
  <c r="G161" i="71"/>
  <c r="H161" i="71"/>
  <c r="E36" i="71"/>
  <c r="D35" i="56" s="1"/>
  <c r="F36" i="71"/>
  <c r="G36" i="71"/>
  <c r="H36" i="71"/>
  <c r="E39" i="71"/>
  <c r="D38" i="56" s="1"/>
  <c r="F39" i="71"/>
  <c r="G39" i="71"/>
  <c r="H39" i="71"/>
  <c r="E171" i="71"/>
  <c r="D170" i="56" s="1"/>
  <c r="F171" i="71"/>
  <c r="G171" i="71"/>
  <c r="H171" i="71"/>
  <c r="E173" i="71"/>
  <c r="D172" i="56" s="1"/>
  <c r="F173" i="71"/>
  <c r="G173" i="71"/>
  <c r="H173" i="71"/>
  <c r="E175" i="71"/>
  <c r="D174" i="56" s="1"/>
  <c r="F175" i="71"/>
  <c r="G175" i="71"/>
  <c r="H175" i="71"/>
  <c r="E165" i="71"/>
  <c r="D164" i="56" s="1"/>
  <c r="F165" i="71"/>
  <c r="G165" i="71"/>
  <c r="H165" i="71"/>
  <c r="E77" i="71"/>
  <c r="D76" i="56" s="1"/>
  <c r="F77" i="71"/>
  <c r="G77" i="71"/>
  <c r="H77" i="71"/>
  <c r="E78" i="71"/>
  <c r="D77" i="56" s="1"/>
  <c r="F78" i="71"/>
  <c r="G78" i="71"/>
  <c r="H78" i="71"/>
  <c r="E193" i="71"/>
  <c r="D192" i="56" s="1"/>
  <c r="F193" i="71"/>
  <c r="G193" i="71"/>
  <c r="H193" i="71"/>
  <c r="E179" i="71"/>
  <c r="D178" i="56" s="1"/>
  <c r="F179" i="71"/>
  <c r="G179" i="71"/>
  <c r="H179" i="71"/>
  <c r="E169" i="71"/>
  <c r="D168" i="56" s="1"/>
  <c r="F169" i="71"/>
  <c r="G169" i="71"/>
  <c r="H169" i="71"/>
  <c r="E41" i="71"/>
  <c r="D40" i="56" s="1"/>
  <c r="F41" i="71"/>
  <c r="G41" i="71"/>
  <c r="H41" i="71"/>
  <c r="E205" i="71"/>
  <c r="D204" i="56" s="1"/>
  <c r="F205" i="71"/>
  <c r="G205" i="71"/>
  <c r="H205" i="71"/>
  <c r="E199" i="71"/>
  <c r="D198" i="56" s="1"/>
  <c r="F199" i="71"/>
  <c r="G199" i="71"/>
  <c r="H199" i="71"/>
  <c r="E40" i="71"/>
  <c r="D39" i="56" s="1"/>
  <c r="F40" i="71"/>
  <c r="G40" i="71"/>
  <c r="H40" i="71"/>
  <c r="E180" i="71"/>
  <c r="D179" i="56" s="1"/>
  <c r="F180" i="71"/>
  <c r="G180" i="71"/>
  <c r="H180" i="71"/>
  <c r="E182" i="71"/>
  <c r="D181" i="56" s="1"/>
  <c r="F182" i="71"/>
  <c r="G182" i="71"/>
  <c r="H182" i="71"/>
  <c r="E75" i="71"/>
  <c r="D74" i="56" s="1"/>
  <c r="F75" i="71"/>
  <c r="G75" i="71"/>
  <c r="H75" i="71"/>
  <c r="E183" i="71"/>
  <c r="D182" i="56" s="1"/>
  <c r="F183" i="71"/>
  <c r="G183" i="71"/>
  <c r="H183" i="71"/>
  <c r="E186" i="71"/>
  <c r="D185" i="56" s="1"/>
  <c r="F186" i="71"/>
  <c r="G186" i="71"/>
  <c r="H186" i="71"/>
  <c r="E44" i="71"/>
  <c r="D43" i="56" s="1"/>
  <c r="F44" i="71"/>
  <c r="G44" i="71"/>
  <c r="H44" i="71"/>
  <c r="E76" i="71"/>
  <c r="D75" i="56" s="1"/>
  <c r="F76" i="71"/>
  <c r="G76" i="71"/>
  <c r="H76" i="71"/>
  <c r="E188" i="71"/>
  <c r="D187" i="56" s="1"/>
  <c r="F188" i="71"/>
  <c r="G188" i="71"/>
  <c r="H188" i="71"/>
  <c r="E189" i="71"/>
  <c r="D188" i="56" s="1"/>
  <c r="F189" i="71"/>
  <c r="G189" i="71"/>
  <c r="H189" i="71"/>
  <c r="E168" i="71"/>
  <c r="D167" i="56" s="1"/>
  <c r="F168" i="71"/>
  <c r="G168" i="71"/>
  <c r="H168" i="71"/>
  <c r="E191" i="71"/>
  <c r="D190" i="56" s="1"/>
  <c r="F191" i="71"/>
  <c r="G191" i="71"/>
  <c r="H191" i="71"/>
  <c r="E85" i="71"/>
  <c r="D84" i="56" s="1"/>
  <c r="F85" i="71"/>
  <c r="G85" i="71"/>
  <c r="H85" i="71"/>
  <c r="E172" i="71"/>
  <c r="D171" i="56" s="1"/>
  <c r="F172" i="71"/>
  <c r="G172" i="71"/>
  <c r="H172" i="71"/>
  <c r="E203" i="71"/>
  <c r="D202" i="56" s="1"/>
  <c r="F203" i="71"/>
  <c r="G203" i="71"/>
  <c r="H203" i="71"/>
  <c r="E19" i="71"/>
  <c r="D18" i="56" s="1"/>
  <c r="F19" i="71"/>
  <c r="G19" i="71"/>
  <c r="H19" i="71"/>
  <c r="E204" i="71"/>
  <c r="D203" i="56" s="1"/>
  <c r="F204" i="71"/>
  <c r="G204" i="71"/>
  <c r="H204" i="71"/>
  <c r="E206" i="71"/>
  <c r="D205" i="56" s="1"/>
  <c r="F206" i="71"/>
  <c r="G206" i="71"/>
  <c r="H206" i="71"/>
  <c r="E207" i="71"/>
  <c r="D206" i="56" s="1"/>
  <c r="F207" i="71"/>
  <c r="G207" i="71"/>
  <c r="H207" i="71"/>
  <c r="E208" i="71"/>
  <c r="D207" i="56" s="1"/>
  <c r="F208" i="71"/>
  <c r="G208" i="71"/>
  <c r="H208" i="71"/>
  <c r="E122" i="71"/>
  <c r="D121" i="56" s="1"/>
  <c r="F122" i="71"/>
  <c r="G122" i="71"/>
  <c r="H122" i="71"/>
  <c r="E176" i="71"/>
  <c r="D175" i="56" s="1"/>
  <c r="F176" i="71"/>
  <c r="G176" i="71"/>
  <c r="H176" i="71"/>
  <c r="E196" i="71"/>
  <c r="D195" i="56" s="1"/>
  <c r="F196" i="71"/>
  <c r="G196" i="71"/>
  <c r="H196" i="71"/>
  <c r="E68" i="71"/>
  <c r="D67" i="56" s="1"/>
  <c r="F68" i="71"/>
  <c r="G68" i="71"/>
  <c r="H68" i="71"/>
  <c r="E81" i="71"/>
  <c r="D80" i="56" s="1"/>
  <c r="F81" i="71"/>
  <c r="G81" i="71"/>
  <c r="H81" i="71"/>
  <c r="E12" i="71"/>
  <c r="D11" i="56" s="1"/>
  <c r="F12" i="71"/>
  <c r="G12" i="71"/>
  <c r="H12" i="71"/>
  <c r="E162" i="71"/>
  <c r="D161" i="56" s="1"/>
  <c r="F162" i="71"/>
  <c r="G162" i="71"/>
  <c r="H162" i="71"/>
  <c r="E61" i="71"/>
  <c r="D60" i="56" s="1"/>
  <c r="F61" i="71"/>
  <c r="G61" i="71"/>
  <c r="H61" i="71"/>
  <c r="E45" i="71"/>
  <c r="D44" i="56" s="1"/>
  <c r="F45" i="71"/>
  <c r="G45" i="71"/>
  <c r="H45" i="71"/>
  <c r="E157" i="71"/>
  <c r="D156" i="56" s="1"/>
  <c r="F157" i="71"/>
  <c r="G157" i="71"/>
  <c r="H157" i="71"/>
  <c r="E29" i="71"/>
  <c r="D28" i="56" s="1"/>
  <c r="F29" i="71"/>
  <c r="G29" i="71"/>
  <c r="H29" i="71"/>
  <c r="E15" i="71"/>
  <c r="D14" i="56" s="1"/>
  <c r="F15" i="71"/>
  <c r="G15" i="71"/>
  <c r="H15" i="71"/>
  <c r="E145" i="71"/>
  <c r="D144" i="56" s="1"/>
  <c r="F145" i="71"/>
  <c r="G145" i="71"/>
  <c r="H145" i="71"/>
  <c r="E38" i="71"/>
  <c r="D37" i="56" s="1"/>
  <c r="F38" i="71"/>
  <c r="G38" i="71"/>
  <c r="H38" i="71"/>
  <c r="E94" i="71"/>
  <c r="D93" i="56" s="1"/>
  <c r="F94" i="71"/>
  <c r="G94" i="71"/>
  <c r="H94" i="71"/>
  <c r="E51" i="71"/>
  <c r="D50" i="56" s="1"/>
  <c r="F51" i="71"/>
  <c r="G51" i="71"/>
  <c r="H51" i="71"/>
  <c r="E47" i="71"/>
  <c r="D46" i="56" s="1"/>
  <c r="F47" i="71"/>
  <c r="G47" i="71"/>
  <c r="H47" i="71"/>
  <c r="E202" i="71"/>
  <c r="D201" i="56" s="1"/>
  <c r="F202" i="71"/>
  <c r="G202" i="71"/>
  <c r="H202" i="71"/>
  <c r="E185" i="71"/>
  <c r="D184" i="56" s="1"/>
  <c r="F185" i="71"/>
  <c r="G185" i="71"/>
  <c r="H185" i="71"/>
  <c r="E109" i="71"/>
  <c r="D108" i="56" s="1"/>
  <c r="F109" i="71"/>
  <c r="G109" i="71"/>
  <c r="H109" i="71"/>
  <c r="E187" i="71"/>
  <c r="D186" i="56" s="1"/>
  <c r="F187" i="71"/>
  <c r="G187" i="71"/>
  <c r="H187" i="71"/>
  <c r="E110" i="71"/>
  <c r="D109" i="56" s="1"/>
  <c r="F110" i="71"/>
  <c r="G110" i="71"/>
  <c r="H110" i="71"/>
  <c r="E160" i="71"/>
  <c r="D159" i="56" s="1"/>
  <c r="F160" i="71"/>
  <c r="G160" i="71"/>
  <c r="H160" i="71"/>
  <c r="E103" i="71"/>
  <c r="D102" i="56" s="1"/>
  <c r="F103" i="71"/>
  <c r="G103" i="71"/>
  <c r="H103" i="71"/>
  <c r="E17" i="71"/>
  <c r="D16" i="56" s="1"/>
  <c r="F17" i="71"/>
  <c r="G17" i="71"/>
  <c r="H17" i="71"/>
  <c r="E95" i="71"/>
  <c r="D94" i="56" s="1"/>
  <c r="F95" i="71"/>
  <c r="G95" i="71"/>
  <c r="H95" i="71"/>
  <c r="E92" i="71"/>
  <c r="D91" i="56" s="1"/>
  <c r="F92" i="71"/>
  <c r="G92" i="71"/>
  <c r="H92" i="71"/>
  <c r="E86" i="71"/>
  <c r="D85" i="56" s="1"/>
  <c r="F86" i="71"/>
  <c r="G86" i="71"/>
  <c r="H86" i="71"/>
  <c r="E72" i="71"/>
  <c r="D71" i="56" s="1"/>
  <c r="F72" i="71"/>
  <c r="G72" i="71"/>
  <c r="H72" i="71"/>
  <c r="E134" i="71"/>
  <c r="D133" i="56" s="1"/>
  <c r="F134" i="71"/>
  <c r="G134" i="71"/>
  <c r="H134" i="71"/>
  <c r="E150" i="71"/>
  <c r="D149" i="56" s="1"/>
  <c r="F150" i="71"/>
  <c r="G150" i="71"/>
  <c r="H150" i="71"/>
  <c r="E21" i="71"/>
  <c r="D20" i="56" s="1"/>
  <c r="F21" i="71"/>
  <c r="G21" i="71"/>
  <c r="H21" i="71"/>
  <c r="E49" i="71"/>
  <c r="D48" i="56" s="1"/>
  <c r="F49" i="71"/>
  <c r="G49" i="71"/>
  <c r="H49" i="71"/>
  <c r="E190" i="71"/>
  <c r="D189" i="56" s="1"/>
  <c r="F190" i="71"/>
  <c r="G190" i="71"/>
  <c r="H190" i="71"/>
  <c r="E53" i="71"/>
  <c r="D52" i="56" s="1"/>
  <c r="F53" i="71"/>
  <c r="G53" i="71"/>
  <c r="H53" i="71"/>
  <c r="E139" i="71"/>
  <c r="D138" i="56" s="1"/>
  <c r="F139" i="71"/>
  <c r="G139" i="71"/>
  <c r="H139" i="71"/>
  <c r="E87" i="71"/>
  <c r="D86" i="56" s="1"/>
  <c r="F87" i="71"/>
  <c r="G87" i="71"/>
  <c r="H87" i="71"/>
  <c r="E127" i="71"/>
  <c r="D126" i="56" s="1"/>
  <c r="F127" i="71"/>
  <c r="G127" i="71"/>
  <c r="H127" i="71"/>
  <c r="E200" i="71"/>
  <c r="D199" i="56" s="1"/>
  <c r="F200" i="71"/>
  <c r="G200" i="71"/>
  <c r="H200" i="71"/>
  <c r="E142" i="71"/>
  <c r="D141" i="56" s="1"/>
  <c r="F142" i="71"/>
  <c r="G142" i="71"/>
  <c r="H142" i="71"/>
  <c r="E138" i="71"/>
  <c r="D137" i="56" s="1"/>
  <c r="F138" i="71"/>
  <c r="G138" i="71"/>
  <c r="H138" i="71"/>
  <c r="E178" i="71"/>
  <c r="D177" i="56" s="1"/>
  <c r="F178" i="71"/>
  <c r="G178" i="71"/>
  <c r="H178" i="71"/>
  <c r="E90" i="71"/>
  <c r="D89" i="56" s="1"/>
  <c r="F90" i="71"/>
  <c r="G90" i="71"/>
  <c r="H90" i="71"/>
  <c r="E152" i="71"/>
  <c r="D151" i="56" s="1"/>
  <c r="F152" i="71"/>
  <c r="G152" i="71"/>
  <c r="H152" i="71"/>
  <c r="E102" i="71"/>
  <c r="F102" i="71"/>
  <c r="G102" i="71"/>
  <c r="H102" i="71"/>
  <c r="O20" i="67" l="1"/>
  <c r="O37" i="67"/>
  <c r="O37" i="68"/>
  <c r="Q226" i="67"/>
  <c r="Q226" i="68"/>
  <c r="Q225" i="67"/>
  <c r="Q225" i="68"/>
  <c r="O75" i="67"/>
  <c r="O75" i="68"/>
  <c r="O134" i="67"/>
  <c r="O134" i="68"/>
  <c r="O136" i="67"/>
  <c r="O136" i="68"/>
  <c r="O155" i="67"/>
  <c r="O155" i="68"/>
  <c r="O73" i="67"/>
  <c r="O73" i="68"/>
  <c r="O49" i="67"/>
  <c r="O49" i="68"/>
  <c r="O38" i="67"/>
  <c r="O38" i="68"/>
  <c r="O96" i="67"/>
  <c r="O96" i="68"/>
  <c r="O167" i="67"/>
  <c r="O167" i="68"/>
  <c r="Q218" i="67"/>
  <c r="Q218" i="68"/>
  <c r="Q212" i="67"/>
  <c r="Q212" i="68"/>
  <c r="O126" i="67"/>
  <c r="O126" i="68"/>
  <c r="O77" i="67"/>
  <c r="O77" i="68"/>
  <c r="O43" i="67"/>
  <c r="O43" i="68"/>
  <c r="O69" i="67"/>
  <c r="O69" i="68"/>
  <c r="O66" i="67"/>
  <c r="O66" i="68"/>
  <c r="O53" i="67"/>
  <c r="O53" i="68"/>
  <c r="O139" i="67"/>
  <c r="O139" i="68"/>
  <c r="O44" i="67"/>
  <c r="O44" i="68"/>
  <c r="O183" i="67"/>
  <c r="O183" i="68"/>
  <c r="Q216" i="67"/>
  <c r="Q216" i="68"/>
  <c r="Q214" i="67"/>
  <c r="Q214" i="68"/>
  <c r="Q222" i="67"/>
  <c r="Q222" i="68"/>
  <c r="Q223" i="67"/>
  <c r="Q223" i="68"/>
  <c r="O67" i="67"/>
  <c r="O67" i="68"/>
  <c r="O107" i="67"/>
  <c r="O107" i="68"/>
  <c r="O33" i="67"/>
  <c r="O33" i="68"/>
  <c r="O162" i="67"/>
  <c r="O162" i="68"/>
  <c r="Q215" i="67"/>
  <c r="Q215" i="68"/>
  <c r="Q221" i="67"/>
  <c r="Q221" i="68"/>
  <c r="O10" i="67"/>
  <c r="O10" i="68"/>
  <c r="O174" i="67"/>
  <c r="O174" i="68"/>
  <c r="O62" i="67"/>
  <c r="O62" i="68"/>
  <c r="O138" i="67"/>
  <c r="O138" i="68"/>
  <c r="O71" i="67"/>
  <c r="O71" i="68"/>
  <c r="O172" i="67"/>
  <c r="O172" i="68"/>
  <c r="O61" i="67"/>
  <c r="O61" i="68"/>
  <c r="Q217" i="67"/>
  <c r="Q217" i="68"/>
  <c r="Q228" i="67"/>
  <c r="Q228" i="68"/>
  <c r="O29" i="67"/>
  <c r="O29" i="68"/>
  <c r="O9" i="67"/>
  <c r="O9" i="68"/>
  <c r="O101" i="67"/>
  <c r="O101" i="68"/>
  <c r="O20" i="68"/>
  <c r="O81" i="67"/>
  <c r="O81" i="68"/>
  <c r="O203" i="67"/>
  <c r="O203" i="68"/>
  <c r="Q220" i="67"/>
  <c r="Q220" i="68"/>
  <c r="O30" i="67"/>
  <c r="O30" i="68"/>
  <c r="O14" i="67"/>
  <c r="O14" i="68"/>
  <c r="Q211" i="67"/>
  <c r="O3" i="67"/>
  <c r="D101" i="56"/>
  <c r="D3" i="56"/>
  <c r="E151" i="56"/>
  <c r="C164" i="74"/>
  <c r="E177" i="56"/>
  <c r="C190" i="74"/>
  <c r="E141" i="56"/>
  <c r="C154" i="74"/>
  <c r="E126" i="56"/>
  <c r="C139" i="74"/>
  <c r="E138" i="56"/>
  <c r="C151" i="74"/>
  <c r="E189" i="56"/>
  <c r="C202" i="74"/>
  <c r="E20" i="56"/>
  <c r="C33" i="74"/>
  <c r="E133" i="56"/>
  <c r="C146" i="74"/>
  <c r="E85" i="56"/>
  <c r="C98" i="74"/>
  <c r="E94" i="56"/>
  <c r="C107" i="74"/>
  <c r="E102" i="56"/>
  <c r="C115" i="74"/>
  <c r="E109" i="56"/>
  <c r="C122" i="74"/>
  <c r="E108" i="56"/>
  <c r="C235" i="74"/>
  <c r="C121" i="74"/>
  <c r="E201" i="56"/>
  <c r="C214" i="74"/>
  <c r="E50" i="56"/>
  <c r="C63" i="74"/>
  <c r="E37" i="56"/>
  <c r="C50" i="74"/>
  <c r="E14" i="56"/>
  <c r="C27" i="74"/>
  <c r="E156" i="56"/>
  <c r="C169" i="74"/>
  <c r="E60" i="56"/>
  <c r="C73" i="74"/>
  <c r="E11" i="56"/>
  <c r="C24" i="74"/>
  <c r="E67" i="56"/>
  <c r="C228" i="74"/>
  <c r="C80" i="74"/>
  <c r="E175" i="56"/>
  <c r="C188" i="74"/>
  <c r="E207" i="56"/>
  <c r="C220" i="74"/>
  <c r="E205" i="56"/>
  <c r="C218" i="74"/>
  <c r="E18" i="56"/>
  <c r="C31" i="74"/>
  <c r="E171" i="56"/>
  <c r="C184" i="74"/>
  <c r="E190" i="56"/>
  <c r="C203" i="74"/>
  <c r="E188" i="56"/>
  <c r="C201" i="74"/>
  <c r="E75" i="56"/>
  <c r="C88" i="74"/>
  <c r="E185" i="56"/>
  <c r="C198" i="74"/>
  <c r="E74" i="56"/>
  <c r="C87" i="74"/>
  <c r="E179" i="56"/>
  <c r="C192" i="74"/>
  <c r="E198" i="56"/>
  <c r="C211" i="74"/>
  <c r="E40" i="56"/>
  <c r="C53" i="74"/>
  <c r="E178" i="56"/>
  <c r="C191" i="74"/>
  <c r="E77" i="56"/>
  <c r="C90" i="74"/>
  <c r="E164" i="56"/>
  <c r="C177" i="74"/>
  <c r="E172" i="56"/>
  <c r="C185" i="74"/>
  <c r="E38" i="56"/>
  <c r="C51" i="74"/>
  <c r="E160" i="56"/>
  <c r="C173" i="74"/>
  <c r="E200" i="56"/>
  <c r="C213" i="74"/>
  <c r="E157" i="56"/>
  <c r="C170" i="74"/>
  <c r="E150" i="56"/>
  <c r="C163" i="74"/>
  <c r="E42" i="56"/>
  <c r="C55" i="74"/>
  <c r="E146" i="56"/>
  <c r="C159" i="74"/>
  <c r="E148" i="56"/>
  <c r="C161" i="74"/>
  <c r="E131" i="56"/>
  <c r="C144" i="74"/>
  <c r="E155" i="56"/>
  <c r="C168" i="74"/>
  <c r="E153" i="56"/>
  <c r="C166" i="74"/>
  <c r="E82" i="56"/>
  <c r="C95" i="74"/>
  <c r="E173" i="56"/>
  <c r="C241" i="74"/>
  <c r="C186" i="74"/>
  <c r="E139" i="56"/>
  <c r="C239" i="74"/>
  <c r="C152" i="74"/>
  <c r="E140" i="56"/>
  <c r="C240" i="74"/>
  <c r="C153" i="74"/>
  <c r="E31" i="56"/>
  <c r="C44" i="74"/>
  <c r="E136" i="56"/>
  <c r="C149" i="74"/>
  <c r="E135" i="56"/>
  <c r="C148" i="74"/>
  <c r="C237" i="74"/>
  <c r="E72" i="56"/>
  <c r="C85" i="74"/>
  <c r="E129" i="56"/>
  <c r="C142" i="74"/>
  <c r="E127" i="56"/>
  <c r="C140" i="74"/>
  <c r="E162" i="56"/>
  <c r="C175" i="74"/>
  <c r="E124" i="56"/>
  <c r="C137" i="74"/>
  <c r="E33" i="56"/>
  <c r="C46" i="74"/>
  <c r="E196" i="56"/>
  <c r="C209" i="74"/>
  <c r="E120" i="56"/>
  <c r="C133" i="74"/>
  <c r="E125" i="56"/>
  <c r="C138" i="74"/>
  <c r="E119" i="56"/>
  <c r="C132" i="74"/>
  <c r="E118" i="56"/>
  <c r="C131" i="74"/>
  <c r="E114" i="56"/>
  <c r="C127" i="74"/>
  <c r="E27" i="56"/>
  <c r="C40" i="74"/>
  <c r="E112" i="56"/>
  <c r="C236" i="74"/>
  <c r="C125" i="74"/>
  <c r="E107" i="56"/>
  <c r="C120" i="74"/>
  <c r="C234" i="74"/>
  <c r="E103" i="56"/>
  <c r="C116" i="74"/>
  <c r="E191" i="56"/>
  <c r="C204" i="74"/>
  <c r="E98" i="56"/>
  <c r="C111" i="74"/>
  <c r="E95" i="56"/>
  <c r="C108" i="74"/>
  <c r="E34" i="56"/>
  <c r="C47" i="74"/>
  <c r="E87" i="56"/>
  <c r="C100" i="74"/>
  <c r="E110" i="56"/>
  <c r="C123" i="74"/>
  <c r="E165" i="56"/>
  <c r="C178" i="74"/>
  <c r="E36" i="56"/>
  <c r="C49" i="74"/>
  <c r="E78" i="56"/>
  <c r="C91" i="74"/>
  <c r="E169" i="56"/>
  <c r="C182" i="74"/>
  <c r="E66" i="56"/>
  <c r="C227" i="74"/>
  <c r="C79" i="74"/>
  <c r="E65" i="56"/>
  <c r="C78" i="74"/>
  <c r="E62" i="56"/>
  <c r="C226" i="74"/>
  <c r="C75" i="74"/>
  <c r="E61" i="56"/>
  <c r="C74" i="74"/>
  <c r="E24" i="56"/>
  <c r="C37" i="74"/>
  <c r="E59" i="56"/>
  <c r="C72" i="74"/>
  <c r="E58" i="56"/>
  <c r="C71" i="74"/>
  <c r="E57" i="56"/>
  <c r="C70" i="74"/>
  <c r="E54" i="56"/>
  <c r="C67" i="74"/>
  <c r="E53" i="56"/>
  <c r="C66" i="74"/>
  <c r="E4" i="56"/>
  <c r="C17" i="74"/>
  <c r="E117" i="56"/>
  <c r="C130" i="74"/>
  <c r="E194" i="56"/>
  <c r="C207" i="74"/>
  <c r="E193" i="56"/>
  <c r="C206" i="74"/>
  <c r="E69" i="56"/>
  <c r="C229" i="74"/>
  <c r="C82" i="74"/>
  <c r="E10" i="56"/>
  <c r="C23" i="74"/>
  <c r="E7" i="56"/>
  <c r="C20" i="74"/>
  <c r="E13" i="56"/>
  <c r="C26" i="74"/>
  <c r="E183" i="56"/>
  <c r="C196" i="74"/>
  <c r="E101" i="56"/>
  <c r="C233" i="74"/>
  <c r="C114" i="74"/>
  <c r="E89" i="56"/>
  <c r="C102" i="74"/>
  <c r="E137" i="56"/>
  <c r="C150" i="74"/>
  <c r="C238" i="74"/>
  <c r="E199" i="56"/>
  <c r="C212" i="74"/>
  <c r="E86" i="56"/>
  <c r="C99" i="74"/>
  <c r="E52" i="56"/>
  <c r="C65" i="74"/>
  <c r="E48" i="56"/>
  <c r="C61" i="74"/>
  <c r="E149" i="56"/>
  <c r="C162" i="74"/>
  <c r="E71" i="56"/>
  <c r="C84" i="74"/>
  <c r="C230" i="74"/>
  <c r="E91" i="56"/>
  <c r="C104" i="74"/>
  <c r="E16" i="56"/>
  <c r="C29" i="74"/>
  <c r="E159" i="56"/>
  <c r="C172" i="74"/>
  <c r="E186" i="56"/>
  <c r="C199" i="74"/>
  <c r="E184" i="56"/>
  <c r="C197" i="74"/>
  <c r="E46" i="56"/>
  <c r="C59" i="74"/>
  <c r="E93" i="56"/>
  <c r="C106" i="74"/>
  <c r="E144" i="56"/>
  <c r="C157" i="74"/>
  <c r="E28" i="56"/>
  <c r="C41" i="74"/>
  <c r="E44" i="56"/>
  <c r="C57" i="74"/>
  <c r="E161" i="56"/>
  <c r="C174" i="74"/>
  <c r="E80" i="56"/>
  <c r="C93" i="74"/>
  <c r="E195" i="56"/>
  <c r="C208" i="74"/>
  <c r="E121" i="56"/>
  <c r="C134" i="74"/>
  <c r="E206" i="56"/>
  <c r="C219" i="74"/>
  <c r="E203" i="56"/>
  <c r="C216" i="74"/>
  <c r="E202" i="56"/>
  <c r="C215" i="74"/>
  <c r="E84" i="56"/>
  <c r="C97" i="74"/>
  <c r="E167" i="56"/>
  <c r="C180" i="74"/>
  <c r="E187" i="56"/>
  <c r="C200" i="74"/>
  <c r="E43" i="56"/>
  <c r="C56" i="74"/>
  <c r="E182" i="56"/>
  <c r="C195" i="74"/>
  <c r="E181" i="56"/>
  <c r="C194" i="74"/>
  <c r="E39" i="56"/>
  <c r="C52" i="74"/>
  <c r="E204" i="56"/>
  <c r="C217" i="74"/>
  <c r="E168" i="56"/>
  <c r="C181" i="74"/>
  <c r="E192" i="56"/>
  <c r="C205" i="74"/>
  <c r="E76" i="56"/>
  <c r="C89" i="74"/>
  <c r="E174" i="56"/>
  <c r="C187" i="74"/>
  <c r="E170" i="56"/>
  <c r="C183" i="74"/>
  <c r="E35" i="56"/>
  <c r="C48" i="74"/>
  <c r="E158" i="56"/>
  <c r="C171" i="74"/>
  <c r="E73" i="56"/>
  <c r="C86" i="74"/>
  <c r="C231" i="74"/>
  <c r="E130" i="56"/>
  <c r="C143" i="74"/>
  <c r="E152" i="56"/>
  <c r="C165" i="74"/>
  <c r="E147" i="56"/>
  <c r="C160" i="74"/>
  <c r="E163" i="56"/>
  <c r="C176" i="74"/>
  <c r="E41" i="56"/>
  <c r="C54" i="74"/>
  <c r="E25" i="56"/>
  <c r="C38" i="74"/>
  <c r="E154" i="56"/>
  <c r="C167" i="74"/>
  <c r="E145" i="56"/>
  <c r="C158" i="74"/>
  <c r="E142" i="56"/>
  <c r="C155" i="74"/>
  <c r="E143" i="56"/>
  <c r="C156" i="74"/>
  <c r="E197" i="56"/>
  <c r="C210" i="74"/>
  <c r="E32" i="56"/>
  <c r="C45" i="74"/>
  <c r="E30" i="56"/>
  <c r="C43" i="74"/>
  <c r="E166" i="56"/>
  <c r="C179" i="74"/>
  <c r="E134" i="56"/>
  <c r="C147" i="74"/>
  <c r="E45" i="56"/>
  <c r="C58" i="74"/>
  <c r="E128" i="56"/>
  <c r="C141" i="74"/>
  <c r="E106" i="56"/>
  <c r="C119" i="74"/>
  <c r="E29" i="56"/>
  <c r="C42" i="74"/>
  <c r="E123" i="56"/>
  <c r="C136" i="74"/>
  <c r="E122" i="56"/>
  <c r="C135" i="74"/>
  <c r="E70" i="56"/>
  <c r="C83" i="74"/>
  <c r="E9" i="56"/>
  <c r="C22" i="74"/>
  <c r="E105" i="56"/>
  <c r="C118" i="74"/>
  <c r="E116" i="56"/>
  <c r="C129" i="74"/>
  <c r="E115" i="56"/>
  <c r="C128" i="74"/>
  <c r="E113" i="56"/>
  <c r="C126" i="74"/>
  <c r="E111" i="56"/>
  <c r="C124" i="74"/>
  <c r="E104" i="56"/>
  <c r="C117" i="74"/>
  <c r="E100" i="56"/>
  <c r="C113" i="74"/>
  <c r="E99" i="56"/>
  <c r="C112" i="74"/>
  <c r="E96" i="56"/>
  <c r="C109" i="74"/>
  <c r="E92" i="56"/>
  <c r="C105" i="74"/>
  <c r="E88" i="56"/>
  <c r="C101" i="74"/>
  <c r="E83" i="56"/>
  <c r="C96" i="74"/>
  <c r="E81" i="56"/>
  <c r="C94" i="74"/>
  <c r="E79" i="56"/>
  <c r="C92" i="74"/>
  <c r="E26" i="56"/>
  <c r="C39" i="74"/>
  <c r="E68" i="56"/>
  <c r="C81" i="74"/>
  <c r="E17" i="56"/>
  <c r="C30" i="74"/>
  <c r="E15" i="56"/>
  <c r="C28" i="74"/>
  <c r="E64" i="56"/>
  <c r="C77" i="74"/>
  <c r="E63" i="56"/>
  <c r="C76" i="74"/>
  <c r="E176" i="56"/>
  <c r="C189" i="74"/>
  <c r="E23" i="56"/>
  <c r="C36" i="74"/>
  <c r="E180" i="56"/>
  <c r="C193" i="74"/>
  <c r="E22" i="56"/>
  <c r="C35" i="74"/>
  <c r="E56" i="56"/>
  <c r="C69" i="74"/>
  <c r="E21" i="56"/>
  <c r="C34" i="74"/>
  <c r="E51" i="56"/>
  <c r="C64" i="74"/>
  <c r="E19" i="56"/>
  <c r="C32" i="74"/>
  <c r="E97" i="56"/>
  <c r="C110" i="74"/>
  <c r="E49" i="56"/>
  <c r="C62" i="74"/>
  <c r="C225" i="74"/>
  <c r="E47" i="56"/>
  <c r="C60" i="74"/>
  <c r="E12" i="56"/>
  <c r="C25" i="74"/>
  <c r="E8" i="56"/>
  <c r="C21" i="74"/>
  <c r="E6" i="56"/>
  <c r="C19" i="74"/>
  <c r="E5" i="56"/>
  <c r="C18" i="74"/>
  <c r="E90" i="56"/>
  <c r="C103" i="74"/>
  <c r="C232" i="74"/>
  <c r="R222" i="68" l="1"/>
  <c r="P11" i="68"/>
  <c r="P23" i="68"/>
  <c r="P35" i="68"/>
  <c r="P47" i="68"/>
  <c r="P59" i="68"/>
  <c r="P71" i="68"/>
  <c r="P83" i="68"/>
  <c r="P95" i="68"/>
  <c r="P107" i="68"/>
  <c r="P119" i="68"/>
  <c r="P131" i="68"/>
  <c r="P143" i="68"/>
  <c r="P155" i="68"/>
  <c r="P167" i="68"/>
  <c r="P179" i="68"/>
  <c r="P191" i="68"/>
  <c r="P203" i="68"/>
  <c r="R221" i="68"/>
  <c r="P12" i="68"/>
  <c r="P24" i="68"/>
  <c r="P36" i="68"/>
  <c r="P48" i="68"/>
  <c r="P60" i="68"/>
  <c r="P72" i="68"/>
  <c r="P84" i="68"/>
  <c r="P96" i="68"/>
  <c r="P108" i="68"/>
  <c r="P120" i="68"/>
  <c r="P132" i="68"/>
  <c r="P144" i="68"/>
  <c r="P156" i="68"/>
  <c r="P168" i="68"/>
  <c r="P180" i="68"/>
  <c r="P192" i="68"/>
  <c r="P204" i="68"/>
  <c r="R220" i="68"/>
  <c r="P13" i="68"/>
  <c r="P25" i="68"/>
  <c r="P37" i="68"/>
  <c r="P49" i="68"/>
  <c r="P61" i="68"/>
  <c r="P73" i="68"/>
  <c r="P85" i="68"/>
  <c r="P97" i="68"/>
  <c r="P109" i="68"/>
  <c r="P121" i="68"/>
  <c r="P133" i="68"/>
  <c r="P145" i="68"/>
  <c r="P157" i="68"/>
  <c r="P169" i="68"/>
  <c r="P181" i="68"/>
  <c r="P193" i="68"/>
  <c r="P205" i="68"/>
  <c r="R219" i="68"/>
  <c r="P14" i="68"/>
  <c r="P26" i="68"/>
  <c r="P38" i="68"/>
  <c r="P50" i="68"/>
  <c r="P62" i="68"/>
  <c r="P74" i="68"/>
  <c r="P86" i="68"/>
  <c r="P98" i="68"/>
  <c r="P110" i="68"/>
  <c r="P122" i="68"/>
  <c r="P134" i="68"/>
  <c r="P146" i="68"/>
  <c r="P158" i="68"/>
  <c r="P170" i="68"/>
  <c r="P182" i="68"/>
  <c r="P194" i="68"/>
  <c r="P206" i="68"/>
  <c r="R218" i="68"/>
  <c r="P15" i="68"/>
  <c r="P27" i="68"/>
  <c r="P39" i="68"/>
  <c r="P51" i="68"/>
  <c r="P63" i="68"/>
  <c r="P75" i="68"/>
  <c r="P87" i="68"/>
  <c r="P99" i="68"/>
  <c r="P111" i="68"/>
  <c r="P123" i="68"/>
  <c r="P135" i="68"/>
  <c r="P147" i="68"/>
  <c r="P159" i="68"/>
  <c r="P171" i="68"/>
  <c r="P183" i="68"/>
  <c r="P195" i="68"/>
  <c r="P3" i="68"/>
  <c r="R217" i="68"/>
  <c r="P4" i="68"/>
  <c r="P16" i="68"/>
  <c r="P28" i="68"/>
  <c r="P40" i="68"/>
  <c r="P52" i="68"/>
  <c r="P64" i="68"/>
  <c r="P76" i="68"/>
  <c r="P88" i="68"/>
  <c r="P100" i="68"/>
  <c r="P112" i="68"/>
  <c r="P124" i="68"/>
  <c r="P136" i="68"/>
  <c r="P148" i="68"/>
  <c r="P160" i="68"/>
  <c r="P172" i="68"/>
  <c r="P184" i="68"/>
  <c r="P196" i="68"/>
  <c r="R228" i="68"/>
  <c r="R216" i="68"/>
  <c r="P5" i="68"/>
  <c r="P17" i="68"/>
  <c r="P29" i="68"/>
  <c r="P41" i="68"/>
  <c r="P53" i="68"/>
  <c r="P65" i="68"/>
  <c r="P77" i="68"/>
  <c r="P89" i="68"/>
  <c r="P101" i="68"/>
  <c r="P113" i="68"/>
  <c r="P125" i="68"/>
  <c r="P137" i="68"/>
  <c r="P149" i="68"/>
  <c r="P161" i="68"/>
  <c r="P173" i="68"/>
  <c r="P185" i="68"/>
  <c r="P197" i="68"/>
  <c r="R227" i="68"/>
  <c r="R215" i="68"/>
  <c r="P6" i="68"/>
  <c r="P18" i="68"/>
  <c r="P30" i="68"/>
  <c r="P42" i="68"/>
  <c r="P54" i="68"/>
  <c r="P66" i="68"/>
  <c r="P78" i="68"/>
  <c r="P90" i="68"/>
  <c r="P102" i="68"/>
  <c r="P114" i="68"/>
  <c r="P126" i="68"/>
  <c r="P138" i="68"/>
  <c r="P150" i="68"/>
  <c r="P162" i="68"/>
  <c r="P174" i="68"/>
  <c r="P186" i="68"/>
  <c r="P198" i="68"/>
  <c r="R226" i="68"/>
  <c r="R214" i="68"/>
  <c r="P7" i="68"/>
  <c r="P19" i="68"/>
  <c r="P31" i="68"/>
  <c r="P43" i="68"/>
  <c r="P55" i="68"/>
  <c r="P67" i="68"/>
  <c r="P79" i="68"/>
  <c r="P91" i="68"/>
  <c r="P103" i="68"/>
  <c r="P115" i="68"/>
  <c r="P127" i="68"/>
  <c r="P139" i="68"/>
  <c r="P151" i="68"/>
  <c r="P163" i="68"/>
  <c r="P175" i="68"/>
  <c r="P187" i="68"/>
  <c r="P199" i="68"/>
  <c r="R225" i="68"/>
  <c r="R213" i="68"/>
  <c r="P8" i="68"/>
  <c r="P20" i="68"/>
  <c r="P32" i="68"/>
  <c r="P44" i="68"/>
  <c r="P56" i="68"/>
  <c r="P68" i="68"/>
  <c r="P80" i="68"/>
  <c r="P92" i="68"/>
  <c r="P104" i="68"/>
  <c r="P116" i="68"/>
  <c r="P128" i="68"/>
  <c r="P140" i="68"/>
  <c r="P152" i="68"/>
  <c r="P164" i="68"/>
  <c r="P176" i="68"/>
  <c r="P188" i="68"/>
  <c r="P200" i="68"/>
  <c r="R224" i="68"/>
  <c r="R212" i="68"/>
  <c r="P9" i="68"/>
  <c r="P21" i="68"/>
  <c r="P33" i="68"/>
  <c r="P45" i="68"/>
  <c r="P57" i="68"/>
  <c r="P69" i="68"/>
  <c r="P81" i="68"/>
  <c r="P93" i="68"/>
  <c r="P105" i="68"/>
  <c r="P117" i="68"/>
  <c r="P129" i="68"/>
  <c r="P141" i="68"/>
  <c r="P153" i="68"/>
  <c r="P165" i="68"/>
  <c r="P177" i="68"/>
  <c r="P189" i="68"/>
  <c r="P201" i="68"/>
  <c r="R223" i="68"/>
  <c r="R211" i="68"/>
  <c r="P10" i="68"/>
  <c r="P22" i="68"/>
  <c r="P34" i="68"/>
  <c r="P46" i="68"/>
  <c r="P58" i="68"/>
  <c r="P70" i="68"/>
  <c r="P82" i="68"/>
  <c r="P94" i="68"/>
  <c r="P106" i="68"/>
  <c r="P118" i="68"/>
  <c r="P130" i="68"/>
  <c r="P142" i="68"/>
  <c r="P154" i="68"/>
  <c r="P166" i="68"/>
  <c r="P178" i="68"/>
  <c r="P190" i="68"/>
  <c r="P202" i="68"/>
  <c r="O90" i="67"/>
  <c r="O90" i="68"/>
  <c r="Q219" i="67"/>
  <c r="Q219" i="68"/>
  <c r="O108" i="67"/>
  <c r="O108" i="68"/>
  <c r="O112" i="67"/>
  <c r="O112" i="68"/>
  <c r="P8" i="67"/>
  <c r="P20" i="67"/>
  <c r="P32" i="67"/>
  <c r="P44" i="67"/>
  <c r="P56" i="67"/>
  <c r="P68" i="67"/>
  <c r="P80" i="67"/>
  <c r="P92" i="67"/>
  <c r="P104" i="67"/>
  <c r="P116" i="67"/>
  <c r="P128" i="67"/>
  <c r="P140" i="67"/>
  <c r="P152" i="67"/>
  <c r="P164" i="67"/>
  <c r="P14" i="67"/>
  <c r="P27" i="67"/>
  <c r="P40" i="67"/>
  <c r="P53" i="67"/>
  <c r="P66" i="67"/>
  <c r="P79" i="67"/>
  <c r="P93" i="67"/>
  <c r="P106" i="67"/>
  <c r="P119" i="67"/>
  <c r="P132" i="67"/>
  <c r="P145" i="67"/>
  <c r="P158" i="67"/>
  <c r="P171" i="67"/>
  <c r="P183" i="67"/>
  <c r="P195" i="67"/>
  <c r="P3" i="67"/>
  <c r="R223" i="67"/>
  <c r="P15" i="67"/>
  <c r="P28" i="67"/>
  <c r="P41" i="67"/>
  <c r="P54" i="67"/>
  <c r="P67" i="67"/>
  <c r="P81" i="67"/>
  <c r="P94" i="67"/>
  <c r="P107" i="67"/>
  <c r="P120" i="67"/>
  <c r="P133" i="67"/>
  <c r="P146" i="67"/>
  <c r="P159" i="67"/>
  <c r="P172" i="67"/>
  <c r="P184" i="67"/>
  <c r="P196" i="67"/>
  <c r="R212" i="67"/>
  <c r="R224" i="67"/>
  <c r="P5" i="67"/>
  <c r="P21" i="67"/>
  <c r="P36" i="67"/>
  <c r="P51" i="67"/>
  <c r="P69" i="67"/>
  <c r="P84" i="67"/>
  <c r="P99" i="67"/>
  <c r="P114" i="67"/>
  <c r="P130" i="67"/>
  <c r="P147" i="67"/>
  <c r="P162" i="67"/>
  <c r="P177" i="67"/>
  <c r="P191" i="67"/>
  <c r="P205" i="67"/>
  <c r="R225" i="67"/>
  <c r="P6" i="67"/>
  <c r="P22" i="67"/>
  <c r="P37" i="67"/>
  <c r="P52" i="67"/>
  <c r="P70" i="67"/>
  <c r="P85" i="67"/>
  <c r="P100" i="67"/>
  <c r="P115" i="67"/>
  <c r="P131" i="67"/>
  <c r="P148" i="67"/>
  <c r="P163" i="67"/>
  <c r="P178" i="67"/>
  <c r="P192" i="67"/>
  <c r="P206" i="67"/>
  <c r="R226" i="67"/>
  <c r="P7" i="67"/>
  <c r="P23" i="67"/>
  <c r="P38" i="67"/>
  <c r="P55" i="67"/>
  <c r="P71" i="67"/>
  <c r="P86" i="67"/>
  <c r="P101" i="67"/>
  <c r="P117" i="67"/>
  <c r="P134" i="67"/>
  <c r="P149" i="67"/>
  <c r="P165" i="67"/>
  <c r="P179" i="67"/>
  <c r="P193" i="67"/>
  <c r="R213" i="67"/>
  <c r="R227" i="67"/>
  <c r="P9" i="67"/>
  <c r="P24" i="67"/>
  <c r="P39" i="67"/>
  <c r="P57" i="67"/>
  <c r="P72" i="67"/>
  <c r="P87" i="67"/>
  <c r="P102" i="67"/>
  <c r="P118" i="67"/>
  <c r="P135" i="67"/>
  <c r="P150" i="67"/>
  <c r="P166" i="67"/>
  <c r="P180" i="67"/>
  <c r="P194" i="67"/>
  <c r="R214" i="67"/>
  <c r="R228" i="67"/>
  <c r="P11" i="67"/>
  <c r="P33" i="67"/>
  <c r="P59" i="67"/>
  <c r="P78" i="67"/>
  <c r="P105" i="67"/>
  <c r="P126" i="67"/>
  <c r="P153" i="67"/>
  <c r="P174" i="67"/>
  <c r="P198" i="67"/>
  <c r="R220" i="67"/>
  <c r="P12" i="67"/>
  <c r="P34" i="67"/>
  <c r="P60" i="67"/>
  <c r="P82" i="67"/>
  <c r="P108" i="67"/>
  <c r="P127" i="67"/>
  <c r="P154" i="67"/>
  <c r="P175" i="67"/>
  <c r="P199" i="67"/>
  <c r="R221" i="67"/>
  <c r="P13" i="67"/>
  <c r="P35" i="67"/>
  <c r="P61" i="67"/>
  <c r="P83" i="67"/>
  <c r="P109" i="67"/>
  <c r="P129" i="67"/>
  <c r="P155" i="67"/>
  <c r="P176" i="67"/>
  <c r="P200" i="67"/>
  <c r="R222" i="67"/>
  <c r="P16" i="67"/>
  <c r="P42" i="67"/>
  <c r="P62" i="67"/>
  <c r="P88" i="67"/>
  <c r="P110" i="67"/>
  <c r="P136" i="67"/>
  <c r="P156" i="67"/>
  <c r="P181" i="67"/>
  <c r="P201" i="67"/>
  <c r="R211" i="67"/>
  <c r="P17" i="67"/>
  <c r="P43" i="67"/>
  <c r="P63" i="67"/>
  <c r="P89" i="67"/>
  <c r="P10" i="67"/>
  <c r="P49" i="67"/>
  <c r="P95" i="67"/>
  <c r="P125" i="67"/>
  <c r="P167" i="67"/>
  <c r="P197" i="67"/>
  <c r="P25" i="67"/>
  <c r="P64" i="67"/>
  <c r="P139" i="67"/>
  <c r="P170" i="67"/>
  <c r="P204" i="67"/>
  <c r="P26" i="67"/>
  <c r="P103" i="67"/>
  <c r="P141" i="67"/>
  <c r="P173" i="67"/>
  <c r="R215" i="67"/>
  <c r="P29" i="67"/>
  <c r="P111" i="67"/>
  <c r="P142" i="67"/>
  <c r="P182" i="67"/>
  <c r="R216" i="67"/>
  <c r="P74" i="67"/>
  <c r="P112" i="67"/>
  <c r="P143" i="67"/>
  <c r="P185" i="67"/>
  <c r="R217" i="67"/>
  <c r="P31" i="67"/>
  <c r="P75" i="67"/>
  <c r="P113" i="67"/>
  <c r="P144" i="67"/>
  <c r="P186" i="67"/>
  <c r="R218" i="67"/>
  <c r="P18" i="67"/>
  <c r="P50" i="67"/>
  <c r="P96" i="67"/>
  <c r="P137" i="67"/>
  <c r="P168" i="67"/>
  <c r="P202" i="67"/>
  <c r="P73" i="67"/>
  <c r="P19" i="67"/>
  <c r="P58" i="67"/>
  <c r="P97" i="67"/>
  <c r="P138" i="67"/>
  <c r="P169" i="67"/>
  <c r="P203" i="67"/>
  <c r="P98" i="67"/>
  <c r="P65" i="67"/>
  <c r="P30" i="67"/>
  <c r="P77" i="67"/>
  <c r="P188" i="67"/>
  <c r="P91" i="67"/>
  <c r="P190" i="67"/>
  <c r="P121" i="67"/>
  <c r="R219" i="67"/>
  <c r="P122" i="67"/>
  <c r="P123" i="67"/>
  <c r="P4" i="67"/>
  <c r="P124" i="67"/>
  <c r="P45" i="67"/>
  <c r="P151" i="67"/>
  <c r="P46" i="67"/>
  <c r="P157" i="67"/>
  <c r="P47" i="67"/>
  <c r="P160" i="67"/>
  <c r="P48" i="67"/>
  <c r="P161" i="67"/>
  <c r="P76" i="67"/>
  <c r="P187" i="67"/>
  <c r="P90" i="67"/>
  <c r="P189" i="67"/>
  <c r="S151" i="19" l="1"/>
  <c r="AK91" i="71" l="1"/>
  <c r="AL91" i="71" s="1"/>
  <c r="CJ184" i="71"/>
  <c r="CJ6" i="71"/>
  <c r="CJ14" i="71"/>
  <c r="CJ7" i="71"/>
  <c r="CJ8" i="71"/>
  <c r="CJ9" i="71"/>
  <c r="CJ11" i="71"/>
  <c r="CJ13" i="71"/>
  <c r="CJ70" i="71"/>
  <c r="CJ48" i="71"/>
  <c r="CJ194" i="71"/>
  <c r="CJ50" i="71"/>
  <c r="CJ195" i="71"/>
  <c r="CJ98" i="71"/>
  <c r="CJ118" i="71"/>
  <c r="CJ20" i="71"/>
  <c r="CJ5" i="71"/>
  <c r="CJ52" i="71"/>
  <c r="CJ54" i="71"/>
  <c r="CJ22" i="71"/>
  <c r="CJ55" i="71"/>
  <c r="CJ57" i="71"/>
  <c r="CJ58" i="71"/>
  <c r="CJ23" i="71"/>
  <c r="CJ59" i="71"/>
  <c r="CJ181" i="71"/>
  <c r="CJ60" i="71"/>
  <c r="CJ24" i="71"/>
  <c r="CJ25" i="71"/>
  <c r="CJ177" i="71"/>
  <c r="CJ62" i="71"/>
  <c r="CJ64" i="71"/>
  <c r="CJ63" i="71"/>
  <c r="CJ65" i="71"/>
  <c r="CJ66" i="71"/>
  <c r="CJ16" i="71"/>
  <c r="CJ67" i="71"/>
  <c r="CJ18" i="71"/>
  <c r="CJ170" i="71"/>
  <c r="CJ69" i="71"/>
  <c r="CJ79" i="71"/>
  <c r="CJ27" i="71"/>
  <c r="CJ37" i="71"/>
  <c r="CJ80" i="71"/>
  <c r="CJ166" i="71"/>
  <c r="CJ82" i="71"/>
  <c r="CJ111" i="71"/>
  <c r="CJ84" i="71"/>
  <c r="CJ88" i="71"/>
  <c r="CJ89" i="71"/>
  <c r="CJ35" i="71"/>
  <c r="CJ93" i="71"/>
  <c r="CJ96" i="71"/>
  <c r="CJ97" i="71"/>
  <c r="CJ99" i="71"/>
  <c r="CJ100" i="71"/>
  <c r="CJ192" i="71"/>
  <c r="CJ101" i="71"/>
  <c r="CJ104" i="71"/>
  <c r="CJ105" i="71"/>
  <c r="CJ108" i="71"/>
  <c r="CJ112" i="71"/>
  <c r="CJ113" i="71"/>
  <c r="CJ114" i="71"/>
  <c r="CJ28" i="71"/>
  <c r="CJ116" i="71"/>
  <c r="CJ115" i="71"/>
  <c r="CJ117" i="71"/>
  <c r="CJ119" i="71"/>
  <c r="CJ106" i="71"/>
  <c r="CJ120" i="71"/>
  <c r="CJ10" i="71"/>
  <c r="CJ126" i="71"/>
  <c r="CJ121" i="71"/>
  <c r="CJ71" i="71"/>
  <c r="CJ197" i="71"/>
  <c r="CJ123" i="71"/>
  <c r="CJ34" i="71"/>
  <c r="CJ124" i="71"/>
  <c r="CJ125" i="71"/>
  <c r="CJ30" i="71"/>
  <c r="CJ163" i="71"/>
  <c r="CJ107" i="71"/>
  <c r="CJ128" i="71"/>
  <c r="CJ129" i="71"/>
  <c r="CJ130" i="71"/>
  <c r="CJ46" i="71"/>
  <c r="CJ73" i="71"/>
  <c r="CJ135" i="71"/>
  <c r="CJ136" i="71"/>
  <c r="CJ167" i="71"/>
  <c r="CJ137" i="71"/>
  <c r="CJ31" i="71"/>
  <c r="CJ32" i="71"/>
  <c r="CJ33" i="71"/>
  <c r="CJ141" i="71"/>
  <c r="CJ198" i="71"/>
  <c r="CJ140" i="71"/>
  <c r="CJ144" i="71"/>
  <c r="CJ174" i="71"/>
  <c r="CJ143" i="71"/>
  <c r="CJ83" i="71"/>
  <c r="CJ146" i="71"/>
  <c r="CJ154" i="71"/>
  <c r="CJ155" i="71"/>
  <c r="CJ156" i="71"/>
  <c r="CJ26" i="71"/>
  <c r="CJ132" i="71"/>
  <c r="CJ42" i="71"/>
  <c r="CJ149" i="71"/>
  <c r="CJ164" i="71"/>
  <c r="CJ147" i="71"/>
  <c r="CJ148" i="71"/>
  <c r="CJ43" i="71"/>
  <c r="CJ153" i="71"/>
  <c r="CJ151" i="71"/>
  <c r="CJ131" i="71"/>
  <c r="CJ158" i="71"/>
  <c r="CJ74" i="71"/>
  <c r="CJ201" i="71"/>
  <c r="CJ159" i="71"/>
  <c r="CJ161" i="71"/>
  <c r="CJ36" i="71"/>
  <c r="CJ39" i="71"/>
  <c r="CJ171" i="71"/>
  <c r="CJ173" i="71"/>
  <c r="CJ175" i="71"/>
  <c r="CJ165" i="71"/>
  <c r="CJ77" i="71"/>
  <c r="CJ78" i="71"/>
  <c r="CJ193" i="71"/>
  <c r="CJ179" i="71"/>
  <c r="CJ169" i="71"/>
  <c r="CJ41" i="71"/>
  <c r="CJ205" i="71"/>
  <c r="CJ199" i="71"/>
  <c r="CJ40" i="71"/>
  <c r="CJ180" i="71"/>
  <c r="CJ182" i="71"/>
  <c r="CJ75" i="71"/>
  <c r="CJ183" i="71"/>
  <c r="CJ186" i="71"/>
  <c r="CJ44" i="71"/>
  <c r="CJ76" i="71"/>
  <c r="CJ188" i="71"/>
  <c r="CJ189" i="71"/>
  <c r="CJ168" i="71"/>
  <c r="CJ191" i="71"/>
  <c r="CJ85" i="71"/>
  <c r="CJ172" i="71"/>
  <c r="CJ203" i="71"/>
  <c r="CJ19" i="71"/>
  <c r="CJ204" i="71"/>
  <c r="CJ206" i="71"/>
  <c r="CJ207" i="71"/>
  <c r="CJ208" i="71"/>
  <c r="CJ122" i="71"/>
  <c r="CJ176" i="71"/>
  <c r="CJ196" i="71"/>
  <c r="CJ68" i="71"/>
  <c r="CJ81" i="71"/>
  <c r="CJ12" i="71"/>
  <c r="CJ162" i="71"/>
  <c r="CJ61" i="71"/>
  <c r="CJ45" i="71"/>
  <c r="CJ157" i="71"/>
  <c r="CJ29" i="71"/>
  <c r="CJ15" i="71"/>
  <c r="CJ145" i="71"/>
  <c r="CJ38" i="71"/>
  <c r="CJ94" i="71"/>
  <c r="CJ51" i="71"/>
  <c r="CJ47" i="71"/>
  <c r="CJ202" i="71"/>
  <c r="CJ185" i="71"/>
  <c r="CJ109" i="71"/>
  <c r="CJ187" i="71"/>
  <c r="CJ110" i="71"/>
  <c r="CJ160" i="71"/>
  <c r="CJ103" i="71"/>
  <c r="CJ17" i="71"/>
  <c r="CJ95" i="71"/>
  <c r="CJ92" i="71"/>
  <c r="CJ86" i="71"/>
  <c r="CJ72" i="71"/>
  <c r="CJ134" i="71"/>
  <c r="CJ150" i="71"/>
  <c r="CJ21" i="71"/>
  <c r="CJ49" i="71"/>
  <c r="CJ190" i="71"/>
  <c r="CJ53" i="71"/>
  <c r="CJ139" i="71"/>
  <c r="CJ87" i="71"/>
  <c r="CJ127" i="71"/>
  <c r="CJ200" i="71"/>
  <c r="CJ142" i="71"/>
  <c r="CJ138" i="71"/>
  <c r="CJ178" i="71"/>
  <c r="CJ90" i="71"/>
  <c r="CJ152" i="71"/>
  <c r="CJ102" i="71"/>
  <c r="CJ91" i="71"/>
  <c r="CI184" i="71"/>
  <c r="CI6" i="71"/>
  <c r="CI14" i="71"/>
  <c r="CI7" i="71"/>
  <c r="CI8" i="71"/>
  <c r="CI9" i="71"/>
  <c r="CI11" i="71"/>
  <c r="CI13" i="71"/>
  <c r="CI70" i="71"/>
  <c r="CI48" i="71"/>
  <c r="CI194" i="71"/>
  <c r="CI50" i="71"/>
  <c r="CI195" i="71"/>
  <c r="CI98" i="71"/>
  <c r="CI118" i="71"/>
  <c r="CI20" i="71"/>
  <c r="CI5" i="71"/>
  <c r="CI52" i="71"/>
  <c r="CI54" i="71"/>
  <c r="CI22" i="71"/>
  <c r="CI55" i="71"/>
  <c r="CI57" i="71"/>
  <c r="CI58" i="71"/>
  <c r="CI23" i="71"/>
  <c r="CI59" i="71"/>
  <c r="CI181" i="71"/>
  <c r="CI60" i="71"/>
  <c r="CI24" i="71"/>
  <c r="CI25" i="71"/>
  <c r="CI177" i="71"/>
  <c r="CI62" i="71"/>
  <c r="CI64" i="71"/>
  <c r="CI63" i="71"/>
  <c r="CI65" i="71"/>
  <c r="CI66" i="71"/>
  <c r="CI16" i="71"/>
  <c r="CI67" i="71"/>
  <c r="CI18" i="71"/>
  <c r="CI170" i="71"/>
  <c r="CI69" i="71"/>
  <c r="CI79" i="71"/>
  <c r="CI27" i="71"/>
  <c r="CI37" i="71"/>
  <c r="CI80" i="71"/>
  <c r="CI166" i="71"/>
  <c r="CI82" i="71"/>
  <c r="CI111" i="71"/>
  <c r="CI84" i="71"/>
  <c r="CI88" i="71"/>
  <c r="CI89" i="71"/>
  <c r="CI35" i="71"/>
  <c r="CI93" i="71"/>
  <c r="CI96" i="71"/>
  <c r="CI97" i="71"/>
  <c r="CI99" i="71"/>
  <c r="CI100" i="71"/>
  <c r="CI192" i="71"/>
  <c r="CI101" i="71"/>
  <c r="CI104" i="71"/>
  <c r="CI105" i="71"/>
  <c r="CI108" i="71"/>
  <c r="CI112" i="71"/>
  <c r="CI113" i="71"/>
  <c r="CI114" i="71"/>
  <c r="CI28" i="71"/>
  <c r="CI116" i="71"/>
  <c r="CI115" i="71"/>
  <c r="CI117" i="71"/>
  <c r="CI119" i="71"/>
  <c r="CI106" i="71"/>
  <c r="CI120" i="71"/>
  <c r="CI10" i="71"/>
  <c r="CI126" i="71"/>
  <c r="CI121" i="71"/>
  <c r="CI71" i="71"/>
  <c r="CI197" i="71"/>
  <c r="CI123" i="71"/>
  <c r="CI34" i="71"/>
  <c r="CI124" i="71"/>
  <c r="CI125" i="71"/>
  <c r="CI30" i="71"/>
  <c r="CI163" i="71"/>
  <c r="CI107" i="71"/>
  <c r="CI128" i="71"/>
  <c r="CI129" i="71"/>
  <c r="CI130" i="71"/>
  <c r="CI46" i="71"/>
  <c r="CI73" i="71"/>
  <c r="CI135" i="71"/>
  <c r="CI136" i="71"/>
  <c r="CI167" i="71"/>
  <c r="CI137" i="71"/>
  <c r="CI31" i="71"/>
  <c r="CI32" i="71"/>
  <c r="CI33" i="71"/>
  <c r="CI141" i="71"/>
  <c r="CI198" i="71"/>
  <c r="CI140" i="71"/>
  <c r="CI144" i="71"/>
  <c r="CI174" i="71"/>
  <c r="CI143" i="71"/>
  <c r="CI83" i="71"/>
  <c r="CI146" i="71"/>
  <c r="CI154" i="71"/>
  <c r="CI155" i="71"/>
  <c r="CI156" i="71"/>
  <c r="CI26" i="71"/>
  <c r="CI132" i="71"/>
  <c r="CI42" i="71"/>
  <c r="CI149" i="71"/>
  <c r="CI164" i="71"/>
  <c r="CI147" i="71"/>
  <c r="CI148" i="71"/>
  <c r="CI43" i="71"/>
  <c r="CI153" i="71"/>
  <c r="CI151" i="71"/>
  <c r="CI131" i="71"/>
  <c r="CI158" i="71"/>
  <c r="CI74" i="71"/>
  <c r="CI201" i="71"/>
  <c r="CI159" i="71"/>
  <c r="CI161" i="71"/>
  <c r="CI36" i="71"/>
  <c r="CI39" i="71"/>
  <c r="CI171" i="71"/>
  <c r="CI173" i="71"/>
  <c r="CI175" i="71"/>
  <c r="CI165" i="71"/>
  <c r="CI77" i="71"/>
  <c r="CI78" i="71"/>
  <c r="CI193" i="71"/>
  <c r="CI179" i="71"/>
  <c r="CI169" i="71"/>
  <c r="CI41" i="71"/>
  <c r="CI205" i="71"/>
  <c r="CI199" i="71"/>
  <c r="CI40" i="71"/>
  <c r="CI180" i="71"/>
  <c r="CI182" i="71"/>
  <c r="CI75" i="71"/>
  <c r="CI183" i="71"/>
  <c r="CI186" i="71"/>
  <c r="CI44" i="71"/>
  <c r="CI76" i="71"/>
  <c r="CI188" i="71"/>
  <c r="CI189" i="71"/>
  <c r="CI168" i="71"/>
  <c r="CI191" i="71"/>
  <c r="CI85" i="71"/>
  <c r="CI172" i="71"/>
  <c r="CI203" i="71"/>
  <c r="CI19" i="71"/>
  <c r="CI204" i="71"/>
  <c r="CI206" i="71"/>
  <c r="CI207" i="71"/>
  <c r="CI208" i="71"/>
  <c r="CI122" i="71"/>
  <c r="CI176" i="71"/>
  <c r="CI196" i="71"/>
  <c r="CI68" i="71"/>
  <c r="CI81" i="71"/>
  <c r="CI12" i="71"/>
  <c r="CI162" i="71"/>
  <c r="CI61" i="71"/>
  <c r="CI45" i="71"/>
  <c r="CI157" i="71"/>
  <c r="CI29" i="71"/>
  <c r="CI15" i="71"/>
  <c r="CI145" i="71"/>
  <c r="CI38" i="71"/>
  <c r="CI94" i="71"/>
  <c r="CI51" i="71"/>
  <c r="CI47" i="71"/>
  <c r="CI202" i="71"/>
  <c r="CI185" i="71"/>
  <c r="CI109" i="71"/>
  <c r="CI187" i="71"/>
  <c r="CI110" i="71"/>
  <c r="CI160" i="71"/>
  <c r="CI103" i="71"/>
  <c r="CI17" i="71"/>
  <c r="CI95" i="71"/>
  <c r="CI92" i="71"/>
  <c r="CI86" i="71"/>
  <c r="CI72" i="71"/>
  <c r="CI134" i="71"/>
  <c r="CI150" i="71"/>
  <c r="CI21" i="71"/>
  <c r="CI49" i="71"/>
  <c r="CI190" i="71"/>
  <c r="CI53" i="71"/>
  <c r="CI139" i="71"/>
  <c r="CI87" i="71"/>
  <c r="CI127" i="71"/>
  <c r="CI200" i="71"/>
  <c r="CI142" i="71"/>
  <c r="CI138" i="71"/>
  <c r="CI178" i="71"/>
  <c r="CI90" i="71"/>
  <c r="CI152" i="71"/>
  <c r="CI102" i="71"/>
  <c r="CI91" i="71"/>
  <c r="N90" i="56" l="1"/>
  <c r="N103" i="74"/>
  <c r="E4" i="72" l="1"/>
  <c r="D210" i="66" s="1"/>
  <c r="D211" i="56" l="1"/>
  <c r="S207" i="19"/>
  <c r="S206" i="19"/>
  <c r="S187" i="19"/>
  <c r="S190" i="19"/>
  <c r="S191" i="19"/>
  <c r="S192" i="19"/>
  <c r="S193" i="19"/>
  <c r="S194" i="19"/>
  <c r="S195" i="19"/>
  <c r="S196" i="19"/>
  <c r="S197" i="19"/>
  <c r="S198" i="19"/>
  <c r="S199" i="19"/>
  <c r="S200" i="19"/>
  <c r="S201" i="19"/>
  <c r="S202" i="19"/>
  <c r="S203" i="19"/>
  <c r="S204" i="19"/>
  <c r="S205" i="19"/>
  <c r="S54" i="19"/>
  <c r="S55" i="19"/>
  <c r="S56" i="19"/>
  <c r="S57" i="19"/>
  <c r="S58" i="19"/>
  <c r="S59" i="19"/>
  <c r="S60" i="19"/>
  <c r="S61" i="19"/>
  <c r="S62" i="19"/>
  <c r="S63" i="19"/>
  <c r="S64" i="19"/>
  <c r="S65" i="19"/>
  <c r="S66" i="19"/>
  <c r="S67" i="19"/>
  <c r="S68" i="19"/>
  <c r="S69" i="19"/>
  <c r="S70" i="19"/>
  <c r="S71" i="19"/>
  <c r="S72" i="19"/>
  <c r="S73" i="19"/>
  <c r="S74" i="19"/>
  <c r="S75" i="19"/>
  <c r="S76" i="19"/>
  <c r="S77" i="19"/>
  <c r="S78" i="19"/>
  <c r="S79" i="19"/>
  <c r="S80" i="19"/>
  <c r="S81" i="19"/>
  <c r="S82" i="19"/>
  <c r="S83" i="19"/>
  <c r="S84" i="19"/>
  <c r="S85" i="19"/>
  <c r="S86" i="19"/>
  <c r="S87" i="19"/>
  <c r="S88" i="19"/>
  <c r="S89" i="19"/>
  <c r="S90" i="19"/>
  <c r="S91" i="19"/>
  <c r="S92" i="19"/>
  <c r="S93" i="19"/>
  <c r="S94" i="19"/>
  <c r="S95" i="19"/>
  <c r="S96" i="19"/>
  <c r="S97" i="19"/>
  <c r="S98" i="19"/>
  <c r="S99" i="19"/>
  <c r="S100" i="19"/>
  <c r="S101" i="19"/>
  <c r="S102" i="19"/>
  <c r="S103" i="19"/>
  <c r="S104" i="19"/>
  <c r="S105" i="19"/>
  <c r="S106" i="19"/>
  <c r="S107" i="19"/>
  <c r="S108" i="19"/>
  <c r="S109" i="19"/>
  <c r="S110" i="19"/>
  <c r="S111" i="19"/>
  <c r="S112" i="19"/>
  <c r="S113" i="19"/>
  <c r="S114" i="19"/>
  <c r="S115" i="19"/>
  <c r="S116" i="19"/>
  <c r="S117" i="19"/>
  <c r="S120" i="19"/>
  <c r="S121" i="19"/>
  <c r="S122" i="19"/>
  <c r="S123" i="19"/>
  <c r="S124" i="19"/>
  <c r="S125" i="19"/>
  <c r="S126" i="19"/>
  <c r="S127" i="19"/>
  <c r="S128" i="19"/>
  <c r="S129" i="19"/>
  <c r="S130" i="19"/>
  <c r="S131" i="19"/>
  <c r="S132" i="19"/>
  <c r="S133" i="19"/>
  <c r="S134" i="19"/>
  <c r="S135" i="19"/>
  <c r="S136" i="19"/>
  <c r="S137" i="19"/>
  <c r="S138" i="19"/>
  <c r="S139" i="19"/>
  <c r="S140" i="19"/>
  <c r="S141" i="19"/>
  <c r="S142" i="19"/>
  <c r="S143" i="19"/>
  <c r="S144" i="19"/>
  <c r="S145" i="19"/>
  <c r="S146" i="19"/>
  <c r="S147" i="19"/>
  <c r="S148" i="19"/>
  <c r="S149" i="19"/>
  <c r="S150" i="19"/>
  <c r="S152" i="19"/>
  <c r="S153" i="19"/>
  <c r="S154" i="19"/>
  <c r="S155" i="19"/>
  <c r="S156" i="19"/>
  <c r="S157" i="19"/>
  <c r="S158" i="19"/>
  <c r="S159" i="19"/>
  <c r="S160" i="19"/>
  <c r="S161" i="19"/>
  <c r="S162" i="19"/>
  <c r="S163" i="19"/>
  <c r="S164" i="19"/>
  <c r="S165" i="19"/>
  <c r="S166" i="19"/>
  <c r="S167" i="19"/>
  <c r="S168" i="19"/>
  <c r="S169" i="19"/>
  <c r="S170" i="19"/>
  <c r="S171" i="19"/>
  <c r="S172" i="19"/>
  <c r="S173" i="19"/>
  <c r="S174" i="19"/>
  <c r="S175" i="19"/>
  <c r="S176" i="19"/>
  <c r="S177" i="19"/>
  <c r="S178" i="19"/>
  <c r="S179" i="19"/>
  <c r="S180" i="19"/>
  <c r="S181" i="19"/>
  <c r="S182" i="19"/>
  <c r="S183" i="19"/>
  <c r="S184" i="19"/>
  <c r="S185" i="19"/>
  <c r="S186" i="19"/>
  <c r="I91" i="71"/>
  <c r="S52" i="19"/>
  <c r="S51" i="19"/>
  <c r="S50" i="19"/>
  <c r="S49" i="19"/>
  <c r="S48" i="19"/>
  <c r="S47" i="19"/>
  <c r="T47" i="19"/>
  <c r="S6" i="19"/>
  <c r="S7" i="19"/>
  <c r="S8" i="19"/>
  <c r="S9" i="19"/>
  <c r="S10" i="19"/>
  <c r="S11" i="19"/>
  <c r="S12" i="19"/>
  <c r="S13" i="19"/>
  <c r="S14" i="19"/>
  <c r="S15" i="19"/>
  <c r="S16" i="19"/>
  <c r="S17" i="19"/>
  <c r="S18" i="19"/>
  <c r="S19" i="19"/>
  <c r="S20" i="19"/>
  <c r="S21" i="19"/>
  <c r="S22" i="19"/>
  <c r="S23" i="19"/>
  <c r="S24" i="19"/>
  <c r="S25" i="19"/>
  <c r="S26" i="19"/>
  <c r="S27" i="19"/>
  <c r="S28" i="19"/>
  <c r="S29" i="19"/>
  <c r="S30" i="19"/>
  <c r="S31" i="19"/>
  <c r="S32" i="19"/>
  <c r="S33" i="19"/>
  <c r="S34" i="19"/>
  <c r="S35" i="19"/>
  <c r="S36" i="19"/>
  <c r="S37" i="19"/>
  <c r="S38" i="19"/>
  <c r="S39" i="19"/>
  <c r="S40" i="19"/>
  <c r="S41" i="19"/>
  <c r="S42" i="19"/>
  <c r="S43" i="19"/>
  <c r="S44" i="19"/>
  <c r="S45" i="19"/>
  <c r="S46" i="19"/>
  <c r="AA207" i="19"/>
  <c r="AA206" i="19"/>
  <c r="AA53" i="19"/>
  <c r="AA54" i="19"/>
  <c r="AA55" i="19"/>
  <c r="AA56" i="19"/>
  <c r="AA57" i="19"/>
  <c r="AA58" i="19"/>
  <c r="AA59" i="19"/>
  <c r="AA60" i="19"/>
  <c r="AA61" i="19"/>
  <c r="AA62" i="19"/>
  <c r="AA63" i="19"/>
  <c r="AA64" i="19"/>
  <c r="AA65" i="19"/>
  <c r="AA66" i="19"/>
  <c r="AA67" i="19"/>
  <c r="AA68" i="19"/>
  <c r="AA69" i="19"/>
  <c r="AA70" i="19"/>
  <c r="AA71" i="19"/>
  <c r="AA72" i="19"/>
  <c r="AA73" i="19"/>
  <c r="AA74" i="19"/>
  <c r="AA75" i="19"/>
  <c r="AA76" i="19"/>
  <c r="Z48" i="19"/>
  <c r="Z49" i="19"/>
  <c r="Z50" i="19"/>
  <c r="Z51" i="19"/>
  <c r="Z52" i="19"/>
  <c r="Z53" i="19"/>
  <c r="Z54" i="19"/>
  <c r="Z55" i="19"/>
  <c r="Z56" i="19"/>
  <c r="Z57" i="19"/>
  <c r="Z58" i="19"/>
  <c r="Z59" i="19"/>
  <c r="Z60" i="19"/>
  <c r="Z61" i="19"/>
  <c r="Z62" i="19"/>
  <c r="Z63" i="19"/>
  <c r="Z64" i="19"/>
  <c r="Z65" i="19"/>
  <c r="Z66" i="19"/>
  <c r="Z67" i="19"/>
  <c r="Z68" i="19"/>
  <c r="Z69" i="19"/>
  <c r="Z70" i="19"/>
  <c r="Z71" i="19"/>
  <c r="Y5" i="19"/>
  <c r="X3" i="19"/>
  <c r="U3" i="19"/>
  <c r="S91" i="71" l="1"/>
  <c r="O90" i="56"/>
  <c r="AX90" i="56" s="1"/>
  <c r="I7" i="72"/>
  <c r="S209" i="19"/>
  <c r="I4" i="71"/>
  <c r="AF56" i="71"/>
  <c r="AN55" i="56" s="1"/>
  <c r="AO55" i="56" s="1"/>
  <c r="H55" i="56" s="1"/>
  <c r="AF7" i="72"/>
  <c r="AP214" i="56" s="1"/>
  <c r="AQ214" i="56" s="1"/>
  <c r="H214" i="56" s="1"/>
  <c r="K55" i="16"/>
  <c r="R215" i="56" l="1"/>
  <c r="R227" i="56"/>
  <c r="P13" i="56"/>
  <c r="P25" i="56"/>
  <c r="P37" i="56"/>
  <c r="P49" i="56"/>
  <c r="P61" i="56"/>
  <c r="P73" i="56"/>
  <c r="P85" i="56"/>
  <c r="P97" i="56"/>
  <c r="P109" i="56"/>
  <c r="P121" i="56"/>
  <c r="P134" i="56"/>
  <c r="P146" i="56"/>
  <c r="P158" i="56"/>
  <c r="P170" i="56"/>
  <c r="P182" i="56"/>
  <c r="P194" i="56"/>
  <c r="P206" i="56"/>
  <c r="R228" i="56"/>
  <c r="P38" i="56"/>
  <c r="P62" i="56"/>
  <c r="P74" i="56"/>
  <c r="P98" i="56"/>
  <c r="P110" i="56"/>
  <c r="P135" i="56"/>
  <c r="P147" i="56"/>
  <c r="P159" i="56"/>
  <c r="P183" i="56"/>
  <c r="P207" i="56"/>
  <c r="P115" i="56"/>
  <c r="P44" i="56"/>
  <c r="P189" i="56"/>
  <c r="P45" i="56"/>
  <c r="P22" i="56"/>
  <c r="P94" i="56"/>
  <c r="P203" i="56"/>
  <c r="R216" i="56"/>
  <c r="P14" i="56"/>
  <c r="P26" i="56"/>
  <c r="P50" i="56"/>
  <c r="P86" i="56"/>
  <c r="P122" i="56"/>
  <c r="P171" i="56"/>
  <c r="P195" i="56"/>
  <c r="P91" i="56"/>
  <c r="P188" i="56"/>
  <c r="P20" i="56"/>
  <c r="P93" i="56"/>
  <c r="P58" i="56"/>
  <c r="P191" i="56"/>
  <c r="R217" i="56"/>
  <c r="R211" i="56"/>
  <c r="P15" i="56"/>
  <c r="P27" i="56"/>
  <c r="P39" i="56"/>
  <c r="P51" i="56"/>
  <c r="P63" i="56"/>
  <c r="P75" i="56"/>
  <c r="P87" i="56"/>
  <c r="P99" i="56"/>
  <c r="P111" i="56"/>
  <c r="P123" i="56"/>
  <c r="P136" i="56"/>
  <c r="P148" i="56"/>
  <c r="P160" i="56"/>
  <c r="P172" i="56"/>
  <c r="P184" i="56"/>
  <c r="P196" i="56"/>
  <c r="P3" i="56"/>
  <c r="P88" i="56"/>
  <c r="P137" i="56"/>
  <c r="P161" i="56"/>
  <c r="P185" i="56"/>
  <c r="P67" i="56"/>
  <c r="P164" i="56"/>
  <c r="P104" i="56"/>
  <c r="P21" i="56"/>
  <c r="P202" i="56"/>
  <c r="R224" i="56"/>
  <c r="R218" i="56"/>
  <c r="P4" i="56"/>
  <c r="P16" i="56"/>
  <c r="P28" i="56"/>
  <c r="P40" i="56"/>
  <c r="P52" i="56"/>
  <c r="P64" i="56"/>
  <c r="P76" i="56"/>
  <c r="P100" i="56"/>
  <c r="P112" i="56"/>
  <c r="P124" i="56"/>
  <c r="P149" i="56"/>
  <c r="P173" i="56"/>
  <c r="P197" i="56"/>
  <c r="P79" i="56"/>
  <c r="P176" i="56"/>
  <c r="P153" i="56"/>
  <c r="P142" i="56"/>
  <c r="P34" i="56"/>
  <c r="P143" i="56"/>
  <c r="R219" i="56"/>
  <c r="P5" i="56"/>
  <c r="P17" i="56"/>
  <c r="P29" i="56"/>
  <c r="P41" i="56"/>
  <c r="P53" i="56"/>
  <c r="P65" i="56"/>
  <c r="P77" i="56"/>
  <c r="P89" i="56"/>
  <c r="P101" i="56"/>
  <c r="P113" i="56"/>
  <c r="P125" i="56"/>
  <c r="P138" i="56"/>
  <c r="P150" i="56"/>
  <c r="P162" i="56"/>
  <c r="P174" i="56"/>
  <c r="P186" i="56"/>
  <c r="P198" i="56"/>
  <c r="P175" i="56"/>
  <c r="P199" i="56"/>
  <c r="P7" i="56"/>
  <c r="P19" i="56"/>
  <c r="P31" i="56"/>
  <c r="P55" i="56"/>
  <c r="P103" i="56"/>
  <c r="P140" i="56"/>
  <c r="P200" i="56"/>
  <c r="P8" i="56"/>
  <c r="P68" i="56"/>
  <c r="P128" i="56"/>
  <c r="P177" i="56"/>
  <c r="P69" i="56"/>
  <c r="P129" i="56"/>
  <c r="P178" i="56"/>
  <c r="P10" i="56"/>
  <c r="P70" i="56"/>
  <c r="P118" i="56"/>
  <c r="P179" i="56"/>
  <c r="R220" i="56"/>
  <c r="P6" i="56"/>
  <c r="P18" i="56"/>
  <c r="P30" i="56"/>
  <c r="P42" i="56"/>
  <c r="P54" i="56"/>
  <c r="P66" i="56"/>
  <c r="P78" i="56"/>
  <c r="P90" i="56"/>
  <c r="P102" i="56"/>
  <c r="P114" i="56"/>
  <c r="P126" i="56"/>
  <c r="P139" i="56"/>
  <c r="P151" i="56"/>
  <c r="P163" i="56"/>
  <c r="P187" i="56"/>
  <c r="R221" i="56"/>
  <c r="P43" i="56"/>
  <c r="P127" i="56"/>
  <c r="R222" i="56"/>
  <c r="P32" i="56"/>
  <c r="P56" i="56"/>
  <c r="P80" i="56"/>
  <c r="P116" i="56"/>
  <c r="P141" i="56"/>
  <c r="P165" i="56"/>
  <c r="P201" i="56"/>
  <c r="R223" i="56"/>
  <c r="P33" i="56"/>
  <c r="P57" i="56"/>
  <c r="P81" i="56"/>
  <c r="P105" i="56"/>
  <c r="P117" i="56"/>
  <c r="P154" i="56"/>
  <c r="P166" i="56"/>
  <c r="P190" i="56"/>
  <c r="R212" i="56"/>
  <c r="P46" i="56"/>
  <c r="P82" i="56"/>
  <c r="P106" i="56"/>
  <c r="P130" i="56"/>
  <c r="P155" i="56"/>
  <c r="P152" i="56"/>
  <c r="P92" i="56"/>
  <c r="P9" i="56"/>
  <c r="P167" i="56"/>
  <c r="P35" i="56"/>
  <c r="P107" i="56"/>
  <c r="P180" i="56"/>
  <c r="P59" i="56"/>
  <c r="P204" i="56"/>
  <c r="P71" i="56"/>
  <c r="P72" i="56"/>
  <c r="P11" i="56"/>
  <c r="P36" i="56"/>
  <c r="P108" i="56"/>
  <c r="P181" i="56"/>
  <c r="P119" i="56"/>
  <c r="P192" i="56"/>
  <c r="P48" i="56"/>
  <c r="P131" i="56"/>
  <c r="P47" i="56"/>
  <c r="P193" i="56"/>
  <c r="P120" i="56"/>
  <c r="P144" i="56"/>
  <c r="R213" i="56"/>
  <c r="R214" i="56"/>
  <c r="P60" i="56"/>
  <c r="P133" i="56"/>
  <c r="P205" i="56"/>
  <c r="R225" i="56"/>
  <c r="R226" i="56"/>
  <c r="P145" i="56"/>
  <c r="P83" i="56"/>
  <c r="P12" i="56"/>
  <c r="P84" i="56"/>
  <c r="P157" i="56"/>
  <c r="P23" i="56"/>
  <c r="P95" i="56"/>
  <c r="P168" i="56"/>
  <c r="P24" i="56"/>
  <c r="P96" i="56"/>
  <c r="P169" i="56"/>
  <c r="P156" i="56"/>
  <c r="S7" i="72"/>
  <c r="Q214" i="56"/>
  <c r="E37" i="47"/>
  <c r="E86" i="47" s="1"/>
  <c r="O3" i="56"/>
  <c r="AX3" i="56" s="1"/>
  <c r="S4" i="71"/>
  <c r="R227" i="66"/>
  <c r="E38" i="52"/>
  <c r="L55" i="16"/>
  <c r="P55" i="16"/>
  <c r="AV214" i="56" l="1"/>
  <c r="AW214" i="56" s="1"/>
  <c r="BA214" i="56" s="1"/>
  <c r="AZ214" i="56"/>
  <c r="A7" i="20"/>
  <c r="BB214" i="56" l="1"/>
  <c r="D7" i="20"/>
  <c r="D24" i="20"/>
  <c r="E24" i="20" s="1"/>
  <c r="T54" i="19" l="1"/>
  <c r="T5" i="19"/>
  <c r="T55" i="19"/>
  <c r="T56" i="19"/>
  <c r="T57" i="19"/>
  <c r="T6" i="19"/>
  <c r="T58" i="19"/>
  <c r="T59" i="19"/>
  <c r="T60" i="19"/>
  <c r="T61" i="19"/>
  <c r="T189" i="19"/>
  <c r="T62" i="19"/>
  <c r="T190" i="19"/>
  <c r="T63" i="19"/>
  <c r="T7" i="19"/>
  <c r="T64" i="19"/>
  <c r="T65" i="19"/>
  <c r="T8" i="19"/>
  <c r="T66" i="19"/>
  <c r="T191" i="19"/>
  <c r="T192" i="19"/>
  <c r="T9" i="19"/>
  <c r="T67" i="19"/>
  <c r="T68" i="19"/>
  <c r="T69" i="19"/>
  <c r="T10" i="19"/>
  <c r="T70" i="19"/>
  <c r="T71" i="19"/>
  <c r="T72" i="19"/>
  <c r="T73" i="19"/>
  <c r="T74" i="19"/>
  <c r="T11" i="19"/>
  <c r="T12" i="19"/>
  <c r="T13" i="19"/>
  <c r="T52" i="19"/>
  <c r="T75" i="19"/>
  <c r="T76" i="19"/>
  <c r="T193" i="19"/>
  <c r="T77" i="19"/>
  <c r="T78" i="19"/>
  <c r="T79" i="19"/>
  <c r="T80" i="19"/>
  <c r="T81" i="19"/>
  <c r="T14" i="19"/>
  <c r="T194" i="19"/>
  <c r="T82" i="19"/>
  <c r="T83" i="19"/>
  <c r="T84" i="19"/>
  <c r="T85" i="19"/>
  <c r="T86" i="19"/>
  <c r="T87" i="19"/>
  <c r="T88" i="19"/>
  <c r="T89" i="19"/>
  <c r="T90" i="19"/>
  <c r="T91" i="19"/>
  <c r="T15" i="19"/>
  <c r="T92" i="19"/>
  <c r="T93" i="19"/>
  <c r="T94" i="19"/>
  <c r="T95" i="19"/>
  <c r="T96" i="19"/>
  <c r="T97" i="19"/>
  <c r="T98" i="19"/>
  <c r="T99" i="19"/>
  <c r="T100" i="19"/>
  <c r="T101" i="19"/>
  <c r="T102" i="19"/>
  <c r="T3" i="19"/>
  <c r="T103" i="19"/>
  <c r="T104" i="19"/>
  <c r="T105" i="19"/>
  <c r="T106" i="19"/>
  <c r="T107" i="19"/>
  <c r="T108" i="19"/>
  <c r="T109" i="19"/>
  <c r="T110" i="19"/>
  <c r="T111" i="19"/>
  <c r="T16" i="19"/>
  <c r="T195" i="19"/>
  <c r="T112" i="19"/>
  <c r="T113" i="19"/>
  <c r="T114" i="19"/>
  <c r="T17" i="19"/>
  <c r="T115" i="19"/>
  <c r="T116" i="19"/>
  <c r="T18" i="19"/>
  <c r="T19" i="19"/>
  <c r="T117" i="19"/>
  <c r="T118" i="19"/>
  <c r="T120" i="19"/>
  <c r="T20" i="19"/>
  <c r="T121" i="19"/>
  <c r="T122" i="19"/>
  <c r="T123" i="19"/>
  <c r="T124" i="19"/>
  <c r="T196" i="19"/>
  <c r="T21" i="19"/>
  <c r="T125" i="19"/>
  <c r="T126" i="19"/>
  <c r="T127" i="19"/>
  <c r="T128" i="19"/>
  <c r="T129" i="19"/>
  <c r="T48" i="19"/>
  <c r="T197" i="19"/>
  <c r="T22" i="19"/>
  <c r="T23" i="19"/>
  <c r="T24" i="19"/>
  <c r="T25" i="19"/>
  <c r="T130" i="19"/>
  <c r="T26" i="19"/>
  <c r="T27" i="19"/>
  <c r="T131" i="19"/>
  <c r="T28" i="19"/>
  <c r="T29" i="19"/>
  <c r="T30" i="19"/>
  <c r="T132" i="19"/>
  <c r="T4" i="19"/>
  <c r="T133" i="19"/>
  <c r="T134" i="19"/>
  <c r="T135" i="19"/>
  <c r="T136" i="19"/>
  <c r="T137" i="19"/>
  <c r="T138" i="19"/>
  <c r="T198" i="19"/>
  <c r="T139" i="19"/>
  <c r="T140" i="19"/>
  <c r="T141" i="19"/>
  <c r="T142" i="19"/>
  <c r="T143" i="19"/>
  <c r="T206" i="19"/>
  <c r="T144" i="19"/>
  <c r="T145" i="19"/>
  <c r="T207" i="19"/>
  <c r="T146" i="19"/>
  <c r="T147" i="19"/>
  <c r="T148" i="19"/>
  <c r="T149" i="19"/>
  <c r="T150" i="19"/>
  <c r="T49" i="19"/>
  <c r="T151" i="19"/>
  <c r="T152" i="19"/>
  <c r="T153" i="19"/>
  <c r="T154" i="19"/>
  <c r="T155" i="19"/>
  <c r="T31" i="19"/>
  <c r="T156" i="19"/>
  <c r="T199" i="19"/>
  <c r="T32" i="19"/>
  <c r="T157" i="19"/>
  <c r="T158" i="19"/>
  <c r="T159" i="19"/>
  <c r="T160" i="19"/>
  <c r="T161" i="19"/>
  <c r="T33" i="19"/>
  <c r="T34" i="19"/>
  <c r="T35" i="19"/>
  <c r="T162" i="19"/>
  <c r="T163" i="19"/>
  <c r="T200" i="19"/>
  <c r="T164" i="19"/>
  <c r="T165" i="19"/>
  <c r="T166" i="19"/>
  <c r="T167" i="19"/>
  <c r="T50" i="19"/>
  <c r="T201" i="19"/>
  <c r="T187" i="19"/>
  <c r="T202" i="19"/>
  <c r="T203" i="19"/>
  <c r="T51" i="19"/>
  <c r="T204" i="19"/>
  <c r="T36" i="19"/>
  <c r="T37" i="19"/>
  <c r="T168" i="19"/>
  <c r="T169" i="19"/>
  <c r="T170" i="19"/>
  <c r="T171" i="19"/>
  <c r="T38" i="19"/>
  <c r="T172" i="19"/>
  <c r="T39" i="19"/>
  <c r="T173" i="19"/>
  <c r="T205" i="19"/>
  <c r="T40" i="19"/>
  <c r="T41" i="19"/>
  <c r="T42" i="19"/>
  <c r="T174" i="19"/>
  <c r="T43" i="19"/>
  <c r="T44" i="19"/>
  <c r="T175" i="19"/>
  <c r="T45" i="19"/>
  <c r="T46" i="19"/>
  <c r="T176" i="19"/>
  <c r="T177" i="19"/>
  <c r="T178" i="19"/>
  <c r="T179" i="19"/>
  <c r="T180" i="19"/>
  <c r="T181" i="19"/>
  <c r="T182" i="19"/>
  <c r="T183" i="19"/>
  <c r="T184" i="19"/>
  <c r="T185" i="19"/>
  <c r="T186" i="19"/>
  <c r="T53" i="19"/>
  <c r="H5" i="53" l="1"/>
  <c r="H92" i="53" s="1"/>
  <c r="H19" i="53" l="1"/>
  <c r="B32" i="53"/>
  <c r="B6" i="53"/>
  <c r="L226" i="66"/>
  <c r="S226" i="66"/>
  <c r="CA5" i="72" l="1"/>
  <c r="CA8" i="72"/>
  <c r="CA9" i="72"/>
  <c r="CA10" i="72"/>
  <c r="CA6" i="72"/>
  <c r="CA11" i="72"/>
  <c r="CA12" i="72"/>
  <c r="CA13" i="72"/>
  <c r="CA14" i="72"/>
  <c r="CA15" i="72"/>
  <c r="CA16" i="72"/>
  <c r="CA17" i="72"/>
  <c r="CA19" i="72"/>
  <c r="CA20" i="72"/>
  <c r="CA21" i="72"/>
  <c r="CA18" i="72"/>
  <c r="CA4" i="72"/>
  <c r="BJ4" i="72"/>
  <c r="AS4" i="72"/>
  <c r="BB18" i="72" l="1"/>
  <c r="BA18" i="72"/>
  <c r="N90" i="68" l="1"/>
  <c r="P219" i="67" l="1"/>
  <c r="N90" i="67"/>
  <c r="B1" i="47" l="1"/>
  <c r="B5" i="47" l="1"/>
  <c r="B24" i="47"/>
  <c r="A74" i="47" s="1"/>
  <c r="L212" i="56"/>
  <c r="L213" i="56"/>
  <c r="L214" i="56"/>
  <c r="L215" i="56"/>
  <c r="L216" i="56"/>
  <c r="L217" i="56"/>
  <c r="L218" i="56"/>
  <c r="L219" i="56"/>
  <c r="L220" i="56"/>
  <c r="L221" i="56"/>
  <c r="L222" i="56"/>
  <c r="L223" i="56"/>
  <c r="L224" i="56"/>
  <c r="L225" i="56"/>
  <c r="L226" i="56"/>
  <c r="L227" i="56"/>
  <c r="L211" i="56"/>
  <c r="L4" i="56"/>
  <c r="L5" i="56"/>
  <c r="L6" i="56"/>
  <c r="L7" i="56"/>
  <c r="L8" i="56"/>
  <c r="L9" i="56"/>
  <c r="L10" i="56"/>
  <c r="L11" i="56"/>
  <c r="L12" i="56"/>
  <c r="L13" i="56"/>
  <c r="L14" i="56"/>
  <c r="L15" i="56"/>
  <c r="L16" i="56"/>
  <c r="L17" i="56"/>
  <c r="L18" i="56"/>
  <c r="L19" i="56"/>
  <c r="L20" i="56"/>
  <c r="L21" i="56"/>
  <c r="L22" i="56"/>
  <c r="L23" i="56"/>
  <c r="L24" i="56"/>
  <c r="L25" i="56"/>
  <c r="L26" i="56"/>
  <c r="L27" i="56"/>
  <c r="L28" i="56"/>
  <c r="L29" i="56"/>
  <c r="L30" i="56"/>
  <c r="L31" i="56"/>
  <c r="L32" i="56"/>
  <c r="L33" i="56"/>
  <c r="L34" i="56"/>
  <c r="L35" i="56"/>
  <c r="L36" i="56"/>
  <c r="L37" i="56"/>
  <c r="L38" i="56"/>
  <c r="L39" i="56"/>
  <c r="L40" i="56"/>
  <c r="L41" i="56"/>
  <c r="L42" i="56"/>
  <c r="L43" i="56"/>
  <c r="L44" i="56"/>
  <c r="L45" i="56"/>
  <c r="L46" i="56"/>
  <c r="L47" i="56"/>
  <c r="L48" i="56"/>
  <c r="L49" i="56"/>
  <c r="L50" i="56"/>
  <c r="L51" i="56"/>
  <c r="L52" i="56"/>
  <c r="L53" i="56"/>
  <c r="L54" i="56"/>
  <c r="L56" i="56"/>
  <c r="L57" i="56"/>
  <c r="L58" i="56"/>
  <c r="L59" i="56"/>
  <c r="L60" i="56"/>
  <c r="L61" i="56"/>
  <c r="L62" i="56"/>
  <c r="L63" i="56"/>
  <c r="L64" i="56"/>
  <c r="L65" i="56"/>
  <c r="L66" i="56"/>
  <c r="L67" i="56"/>
  <c r="L68" i="56"/>
  <c r="L69" i="56"/>
  <c r="L70" i="56"/>
  <c r="L71" i="56"/>
  <c r="L72" i="56"/>
  <c r="L73" i="56"/>
  <c r="L74" i="56"/>
  <c r="L75" i="56"/>
  <c r="L76" i="56"/>
  <c r="L77" i="56"/>
  <c r="L78" i="56"/>
  <c r="L79" i="56"/>
  <c r="L80" i="56"/>
  <c r="L81" i="56"/>
  <c r="L82" i="56"/>
  <c r="L83" i="56"/>
  <c r="L84" i="56"/>
  <c r="L85" i="56"/>
  <c r="L86" i="56"/>
  <c r="L87" i="56"/>
  <c r="L88" i="56"/>
  <c r="L89" i="56"/>
  <c r="L90" i="56"/>
  <c r="L91" i="56"/>
  <c r="L92" i="56"/>
  <c r="L93" i="56"/>
  <c r="L94" i="56"/>
  <c r="L95" i="56"/>
  <c r="L96" i="56"/>
  <c r="L97" i="56"/>
  <c r="L98" i="56"/>
  <c r="L99" i="56"/>
  <c r="L100" i="56"/>
  <c r="L101" i="56"/>
  <c r="L102" i="56"/>
  <c r="L103" i="56"/>
  <c r="L104" i="56"/>
  <c r="L105" i="56"/>
  <c r="L106" i="56"/>
  <c r="L107" i="56"/>
  <c r="L108" i="56"/>
  <c r="L109" i="56"/>
  <c r="L110" i="56"/>
  <c r="L111" i="56"/>
  <c r="L112" i="56"/>
  <c r="L113" i="56"/>
  <c r="L114" i="56"/>
  <c r="L115" i="56"/>
  <c r="L116" i="56"/>
  <c r="L117" i="56"/>
  <c r="L118" i="56"/>
  <c r="L119" i="56"/>
  <c r="L120" i="56"/>
  <c r="L121" i="56"/>
  <c r="L122" i="56"/>
  <c r="L123" i="56"/>
  <c r="L124" i="56"/>
  <c r="L125" i="56"/>
  <c r="L126" i="56"/>
  <c r="L127" i="56"/>
  <c r="L128" i="56"/>
  <c r="L129" i="56"/>
  <c r="L130" i="56"/>
  <c r="L131" i="56"/>
  <c r="L133" i="56"/>
  <c r="L134" i="56"/>
  <c r="L135" i="56"/>
  <c r="L136" i="56"/>
  <c r="L137" i="56"/>
  <c r="L138" i="56"/>
  <c r="L139" i="56"/>
  <c r="L140" i="56"/>
  <c r="L141" i="56"/>
  <c r="L142" i="56"/>
  <c r="L143" i="56"/>
  <c r="L144" i="56"/>
  <c r="L145" i="56"/>
  <c r="L146" i="56"/>
  <c r="L147" i="56"/>
  <c r="L148" i="56"/>
  <c r="L149" i="56"/>
  <c r="L150" i="56"/>
  <c r="L151" i="56"/>
  <c r="L152" i="56"/>
  <c r="L153" i="56"/>
  <c r="L154" i="56"/>
  <c r="L155" i="56"/>
  <c r="L156" i="56"/>
  <c r="L157" i="56"/>
  <c r="L158" i="56"/>
  <c r="L159" i="56"/>
  <c r="L160" i="56"/>
  <c r="L161" i="56"/>
  <c r="L162" i="56"/>
  <c r="L163" i="56"/>
  <c r="L164" i="56"/>
  <c r="L165" i="56"/>
  <c r="L166" i="56"/>
  <c r="L167" i="56"/>
  <c r="L168" i="56"/>
  <c r="L169" i="56"/>
  <c r="L170" i="56"/>
  <c r="L171" i="56"/>
  <c r="L172" i="56"/>
  <c r="L173" i="56"/>
  <c r="L174" i="56"/>
  <c r="L175" i="56"/>
  <c r="L176" i="56"/>
  <c r="L177" i="56"/>
  <c r="L178" i="56"/>
  <c r="L179" i="56"/>
  <c r="L180" i="56"/>
  <c r="L181" i="56"/>
  <c r="L182" i="56"/>
  <c r="L183" i="56"/>
  <c r="L184" i="56"/>
  <c r="L185" i="56"/>
  <c r="L186" i="56"/>
  <c r="L187" i="56"/>
  <c r="L188" i="56"/>
  <c r="L189" i="56"/>
  <c r="L190" i="56"/>
  <c r="L191" i="56"/>
  <c r="L192" i="56"/>
  <c r="L193" i="56"/>
  <c r="L194" i="56"/>
  <c r="L195" i="56"/>
  <c r="L196" i="56"/>
  <c r="L197" i="56"/>
  <c r="L198" i="56"/>
  <c r="L199" i="56"/>
  <c r="L200" i="56"/>
  <c r="L201" i="56"/>
  <c r="L202" i="56"/>
  <c r="L203" i="56"/>
  <c r="L204" i="56"/>
  <c r="L205" i="56"/>
  <c r="L206" i="56"/>
  <c r="L207" i="56"/>
  <c r="L3" i="56"/>
  <c r="C94" i="36"/>
  <c r="B198" i="52" l="1"/>
  <c r="E78" i="20" l="1"/>
  <c r="E81" i="20"/>
  <c r="F25" i="20" s="1"/>
  <c r="G25" i="20" s="1"/>
  <c r="E87" i="20"/>
  <c r="E84" i="20"/>
  <c r="E83" i="20"/>
  <c r="E86" i="20"/>
  <c r="E77" i="20"/>
  <c r="E80" i="20"/>
  <c r="K137" i="16" l="1"/>
  <c r="K133" i="16"/>
  <c r="K54" i="16" l="1"/>
  <c r="L54" i="16"/>
  <c r="T132" i="56" s="1"/>
  <c r="P54" i="16"/>
  <c r="Q54" i="16" s="1"/>
  <c r="R54" i="16" s="1"/>
  <c r="T54" i="16" l="1"/>
  <c r="R132" i="56"/>
  <c r="S132" i="56" s="1"/>
  <c r="AM132" i="56" s="1"/>
  <c r="AO132" i="56" s="1"/>
  <c r="H132" i="56" s="1"/>
  <c r="E220" i="67"/>
  <c r="D220" i="67"/>
  <c r="BB132" i="56" l="1"/>
  <c r="BE132" i="56" s="1"/>
  <c r="K132" i="56"/>
  <c r="M132" i="56" s="1"/>
  <c r="BC132" i="56" s="1"/>
  <c r="BA132" i="56"/>
  <c r="BD132" i="56" s="1"/>
  <c r="CI18" i="72"/>
  <c r="CJ18" i="72"/>
  <c r="BS18" i="72"/>
  <c r="BR18" i="72"/>
  <c r="AK18" i="72"/>
  <c r="AL18" i="72" s="1"/>
  <c r="P225" i="56" s="1"/>
  <c r="H20" i="72"/>
  <c r="H21" i="72"/>
  <c r="H18" i="72"/>
  <c r="G17" i="72"/>
  <c r="G19" i="72"/>
  <c r="G20" i="72"/>
  <c r="G21" i="72"/>
  <c r="G18" i="72"/>
  <c r="F18" i="72"/>
  <c r="E18" i="72"/>
  <c r="E225" i="56" l="1"/>
  <c r="E224" i="66"/>
  <c r="D225" i="56"/>
  <c r="D224" i="66"/>
  <c r="BQ18" i="72"/>
  <c r="AZ18" i="72"/>
  <c r="CH18" i="72"/>
  <c r="B244" i="74" l="1"/>
  <c r="C244" i="74" s="1"/>
  <c r="D244" i="74" s="1"/>
  <c r="E244" i="74" s="1"/>
  <c r="F244" i="74" s="1"/>
  <c r="G244" i="74" s="1"/>
  <c r="H244" i="74" s="1"/>
  <c r="I244" i="74" s="1"/>
  <c r="J244" i="74" s="1"/>
  <c r="K244" i="74" s="1"/>
  <c r="L244" i="74" s="1"/>
  <c r="M244" i="74" s="1"/>
  <c r="N244" i="74" s="1"/>
  <c r="O244" i="74" s="1"/>
  <c r="P244" i="74" s="1"/>
  <c r="Q244" i="74" s="1"/>
  <c r="R244" i="74" s="1"/>
  <c r="S244" i="74" s="1"/>
  <c r="T244" i="74" s="1"/>
  <c r="U244" i="74" s="1"/>
  <c r="V244" i="74" s="1"/>
  <c r="W244" i="74" s="1"/>
  <c r="X244" i="74" s="1"/>
  <c r="Y244" i="74" s="1"/>
  <c r="Z244" i="74" s="1"/>
  <c r="AA244" i="74" s="1"/>
  <c r="AB244" i="74" s="1"/>
  <c r="AC244" i="74" s="1"/>
  <c r="AD244" i="74" s="1"/>
  <c r="AE244" i="74" s="1"/>
  <c r="AF244" i="74" s="1"/>
  <c r="AC9" i="74"/>
  <c r="W9" i="74"/>
  <c r="Q9" i="74"/>
  <c r="C88" i="36"/>
  <c r="B1" i="74"/>
  <c r="C1" i="74" s="1"/>
  <c r="D1" i="74" s="1"/>
  <c r="E1" i="74" s="1"/>
  <c r="F1" i="74" s="1"/>
  <c r="G1" i="74" s="1"/>
  <c r="H1" i="74" s="1"/>
  <c r="I1" i="74" s="1"/>
  <c r="J1" i="74" s="1"/>
  <c r="K1" i="74" s="1"/>
  <c r="L1" i="74" s="1"/>
  <c r="M1" i="74" s="1"/>
  <c r="N1" i="74" s="1"/>
  <c r="O1" i="74" s="1"/>
  <c r="P1" i="74" s="1"/>
  <c r="Q1" i="74" s="1"/>
  <c r="R1" i="74" s="1"/>
  <c r="S1" i="74" s="1"/>
  <c r="T1" i="74" s="1"/>
  <c r="U1" i="74" s="1"/>
  <c r="V1" i="74" s="1"/>
  <c r="W1" i="74" s="1"/>
  <c r="X1" i="74" s="1"/>
  <c r="Y1" i="74" s="1"/>
  <c r="Z1" i="74" s="1"/>
  <c r="AA1" i="74" s="1"/>
  <c r="AB1" i="74" s="1"/>
  <c r="AC1" i="74" s="1"/>
  <c r="AD1" i="74" s="1"/>
  <c r="AE1" i="74" s="1"/>
  <c r="AF1" i="74" s="1"/>
  <c r="AK5" i="72"/>
  <c r="AL5" i="72" s="1"/>
  <c r="P212" i="56" s="1"/>
  <c r="AK8" i="72"/>
  <c r="AL8" i="72" s="1"/>
  <c r="P215" i="56" s="1"/>
  <c r="AK9" i="72"/>
  <c r="AL9" i="72" s="1"/>
  <c r="P216" i="56" s="1"/>
  <c r="AK10" i="72"/>
  <c r="AL10" i="72" s="1"/>
  <c r="P217" i="56" s="1"/>
  <c r="AK6" i="72"/>
  <c r="AL6" i="72" s="1"/>
  <c r="P213" i="56" s="1"/>
  <c r="AK11" i="72"/>
  <c r="AK12" i="72"/>
  <c r="AL12" i="72" s="1"/>
  <c r="P219" i="56" s="1"/>
  <c r="AK13" i="72"/>
  <c r="AL13" i="72" s="1"/>
  <c r="P220" i="56" s="1"/>
  <c r="AK14" i="72"/>
  <c r="AL14" i="72" s="1"/>
  <c r="P221" i="56" s="1"/>
  <c r="AK15" i="72"/>
  <c r="AL15" i="72" s="1"/>
  <c r="P222" i="56" s="1"/>
  <c r="AK16" i="72"/>
  <c r="AL16" i="72" s="1"/>
  <c r="P223" i="56" s="1"/>
  <c r="AK17" i="72"/>
  <c r="AL17" i="72" s="1"/>
  <c r="P224" i="56" s="1"/>
  <c r="AK19" i="72"/>
  <c r="AL19" i="72" s="1"/>
  <c r="P226" i="56" s="1"/>
  <c r="AK20" i="72"/>
  <c r="AL20" i="72" s="1"/>
  <c r="P227" i="56" s="1"/>
  <c r="AK21" i="72"/>
  <c r="AL21" i="72" s="1"/>
  <c r="P228" i="56" s="1"/>
  <c r="AK4" i="72"/>
  <c r="AL4" i="72" s="1"/>
  <c r="CH8" i="72"/>
  <c r="AZ9" i="72"/>
  <c r="BQ14" i="72"/>
  <c r="BQ15" i="72"/>
  <c r="CH17" i="72"/>
  <c r="BQ19" i="72"/>
  <c r="CH20" i="72"/>
  <c r="AZ4" i="72"/>
  <c r="AF12" i="72"/>
  <c r="AP219" i="56" s="1"/>
  <c r="AQ219" i="56" s="1"/>
  <c r="H219" i="56" s="1"/>
  <c r="I12" i="72"/>
  <c r="H5" i="72"/>
  <c r="H8" i="72"/>
  <c r="H9" i="72"/>
  <c r="H10" i="72"/>
  <c r="H6" i="72"/>
  <c r="H11" i="72"/>
  <c r="H12" i="72"/>
  <c r="H13" i="72"/>
  <c r="H14" i="72"/>
  <c r="H15" i="72"/>
  <c r="H16" i="72"/>
  <c r="H17" i="72"/>
  <c r="H19" i="72"/>
  <c r="H4" i="72"/>
  <c r="G5" i="72"/>
  <c r="G8" i="72"/>
  <c r="G9" i="72"/>
  <c r="G10" i="72"/>
  <c r="G6" i="72"/>
  <c r="G11" i="72"/>
  <c r="G12" i="72"/>
  <c r="G13" i="72"/>
  <c r="G14" i="72"/>
  <c r="G15" i="72"/>
  <c r="G16" i="72"/>
  <c r="G4" i="72"/>
  <c r="F8" i="72"/>
  <c r="F9" i="72"/>
  <c r="F10" i="72"/>
  <c r="F6" i="72"/>
  <c r="F11" i="72"/>
  <c r="F12" i="72"/>
  <c r="F13" i="72"/>
  <c r="F14" i="72"/>
  <c r="F15" i="72"/>
  <c r="F16" i="72"/>
  <c r="F17" i="72"/>
  <c r="F19" i="72"/>
  <c r="F20" i="72"/>
  <c r="F21" i="72"/>
  <c r="F5" i="72"/>
  <c r="F4" i="72"/>
  <c r="E210" i="66" s="1"/>
  <c r="E8" i="72"/>
  <c r="E9" i="72"/>
  <c r="E10" i="72"/>
  <c r="E6" i="72"/>
  <c r="E11" i="72"/>
  <c r="E12" i="72"/>
  <c r="E13" i="72"/>
  <c r="E14" i="72"/>
  <c r="E15" i="72"/>
  <c r="E16" i="72"/>
  <c r="E17" i="72"/>
  <c r="E19" i="72"/>
  <c r="E20" i="72"/>
  <c r="E21" i="72"/>
  <c r="E5" i="72"/>
  <c r="AK11" i="71"/>
  <c r="AL11" i="71" s="1"/>
  <c r="AK13" i="71"/>
  <c r="AL13" i="71" s="1"/>
  <c r="AK70" i="71"/>
  <c r="AL70" i="71" s="1"/>
  <c r="AK48" i="71"/>
  <c r="AL48" i="71" s="1"/>
  <c r="AK194" i="71"/>
  <c r="AL194" i="71" s="1"/>
  <c r="AK50" i="71"/>
  <c r="AL50" i="71" s="1"/>
  <c r="AK195" i="71"/>
  <c r="AL195" i="71" s="1"/>
  <c r="AK98" i="71"/>
  <c r="AL98" i="71" s="1"/>
  <c r="AK118" i="71"/>
  <c r="AL118" i="71" s="1"/>
  <c r="AK20" i="71"/>
  <c r="AL20" i="71" s="1"/>
  <c r="AK5" i="71"/>
  <c r="AL5" i="71" s="1"/>
  <c r="AK52" i="71"/>
  <c r="AL52" i="71" s="1"/>
  <c r="AK54" i="71"/>
  <c r="AL54" i="71" s="1"/>
  <c r="AK22" i="71"/>
  <c r="AL22" i="71" s="1"/>
  <c r="AK55" i="71"/>
  <c r="AL55" i="71" s="1"/>
  <c r="AK57" i="71"/>
  <c r="AL57" i="71" s="1"/>
  <c r="AK58" i="71"/>
  <c r="AL58" i="71" s="1"/>
  <c r="AK23" i="71"/>
  <c r="AL23" i="71" s="1"/>
  <c r="AK59" i="71"/>
  <c r="AL59" i="71" s="1"/>
  <c r="AK181" i="71"/>
  <c r="AL181" i="71" s="1"/>
  <c r="AK60" i="71"/>
  <c r="AL60" i="71" s="1"/>
  <c r="AK24" i="71"/>
  <c r="AL24" i="71" s="1"/>
  <c r="AK25" i="71"/>
  <c r="AL25" i="71" s="1"/>
  <c r="AK177" i="71"/>
  <c r="AL177" i="71" s="1"/>
  <c r="AK62" i="71"/>
  <c r="AL62" i="71" s="1"/>
  <c r="AK64" i="71"/>
  <c r="AL64" i="71" s="1"/>
  <c r="AK63" i="71"/>
  <c r="AL63" i="71" s="1"/>
  <c r="AK65" i="71"/>
  <c r="AL65" i="71" s="1"/>
  <c r="AK66" i="71"/>
  <c r="AL66" i="71" s="1"/>
  <c r="AK16" i="71"/>
  <c r="AL16" i="71" s="1"/>
  <c r="AK67" i="71"/>
  <c r="AL67" i="71" s="1"/>
  <c r="AK18" i="71"/>
  <c r="AL18" i="71" s="1"/>
  <c r="AK170" i="71"/>
  <c r="AL170" i="71" s="1"/>
  <c r="AK69" i="71"/>
  <c r="AL69" i="71" s="1"/>
  <c r="AK79" i="71"/>
  <c r="AL79" i="71" s="1"/>
  <c r="AK27" i="71"/>
  <c r="AL27" i="71" s="1"/>
  <c r="AK37" i="71"/>
  <c r="AL37" i="71" s="1"/>
  <c r="AK80" i="71"/>
  <c r="AL80" i="71" s="1"/>
  <c r="AK166" i="71"/>
  <c r="AL166" i="71" s="1"/>
  <c r="AK82" i="71"/>
  <c r="AL82" i="71" s="1"/>
  <c r="AK111" i="71"/>
  <c r="AL111" i="71" s="1"/>
  <c r="AK84" i="71"/>
  <c r="AL84" i="71" s="1"/>
  <c r="AK88" i="71"/>
  <c r="AL88" i="71" s="1"/>
  <c r="AK89" i="71"/>
  <c r="AL89" i="71" s="1"/>
  <c r="AK35" i="71"/>
  <c r="AL35" i="71" s="1"/>
  <c r="AK93" i="71"/>
  <c r="AL93" i="71" s="1"/>
  <c r="AK96" i="71"/>
  <c r="AL96" i="71" s="1"/>
  <c r="AK97" i="71"/>
  <c r="AL97" i="71" s="1"/>
  <c r="AK99" i="71"/>
  <c r="AL99" i="71" s="1"/>
  <c r="AK100" i="71"/>
  <c r="AL100" i="71" s="1"/>
  <c r="AK192" i="71"/>
  <c r="AL192" i="71" s="1"/>
  <c r="AK101" i="71"/>
  <c r="AL101" i="71" s="1"/>
  <c r="AK104" i="71"/>
  <c r="AL104" i="71" s="1"/>
  <c r="AK105" i="71"/>
  <c r="AL105" i="71" s="1"/>
  <c r="AK108" i="71"/>
  <c r="AL108" i="71" s="1"/>
  <c r="AK112" i="71"/>
  <c r="AL112" i="71" s="1"/>
  <c r="AK113" i="71"/>
  <c r="AL113" i="71" s="1"/>
  <c r="AK114" i="71"/>
  <c r="AL114" i="71" s="1"/>
  <c r="AK28" i="71"/>
  <c r="AL28" i="71" s="1"/>
  <c r="AK116" i="71"/>
  <c r="AL116" i="71" s="1"/>
  <c r="AK115" i="71"/>
  <c r="AL115" i="71" s="1"/>
  <c r="AK117" i="71"/>
  <c r="AL117" i="71" s="1"/>
  <c r="AK119" i="71"/>
  <c r="AL119" i="71" s="1"/>
  <c r="AK106" i="71"/>
  <c r="AL106" i="71" s="1"/>
  <c r="AK120" i="71"/>
  <c r="AL120" i="71" s="1"/>
  <c r="AK10" i="71"/>
  <c r="AL10" i="71" s="1"/>
  <c r="AK126" i="71"/>
  <c r="AL126" i="71" s="1"/>
  <c r="AK121" i="71"/>
  <c r="AL121" i="71" s="1"/>
  <c r="AK71" i="71"/>
  <c r="AL71" i="71" s="1"/>
  <c r="AK197" i="71"/>
  <c r="AL197" i="71" s="1"/>
  <c r="AK123" i="71"/>
  <c r="AL123" i="71" s="1"/>
  <c r="AK34" i="71"/>
  <c r="AL34" i="71" s="1"/>
  <c r="AK124" i="71"/>
  <c r="AL124" i="71" s="1"/>
  <c r="AK125" i="71"/>
  <c r="AL125" i="71" s="1"/>
  <c r="AK30" i="71"/>
  <c r="AL30" i="71" s="1"/>
  <c r="AK163" i="71"/>
  <c r="AL163" i="71" s="1"/>
  <c r="AK107" i="71"/>
  <c r="AL107" i="71" s="1"/>
  <c r="AK128" i="71"/>
  <c r="AL128" i="71" s="1"/>
  <c r="AK129" i="71"/>
  <c r="AL129" i="71" s="1"/>
  <c r="AK130" i="71"/>
  <c r="AL130" i="71" s="1"/>
  <c r="AK46" i="71"/>
  <c r="AL46" i="71" s="1"/>
  <c r="AK73" i="71"/>
  <c r="AL73" i="71" s="1"/>
  <c r="AK135" i="71"/>
  <c r="AL135" i="71" s="1"/>
  <c r="AK136" i="71"/>
  <c r="AL136" i="71" s="1"/>
  <c r="AK167" i="71"/>
  <c r="AL167" i="71" s="1"/>
  <c r="AK137" i="71"/>
  <c r="AL137" i="71" s="1"/>
  <c r="AK31" i="71"/>
  <c r="AL31" i="71" s="1"/>
  <c r="AK32" i="71"/>
  <c r="AL32" i="71" s="1"/>
  <c r="AK33" i="71"/>
  <c r="AL33" i="71" s="1"/>
  <c r="AK141" i="71"/>
  <c r="AL141" i="71" s="1"/>
  <c r="AK198" i="71"/>
  <c r="AL198" i="71" s="1"/>
  <c r="AK140" i="71"/>
  <c r="AL140" i="71" s="1"/>
  <c r="AK144" i="71"/>
  <c r="AL144" i="71" s="1"/>
  <c r="AK174" i="71"/>
  <c r="AL174" i="71" s="1"/>
  <c r="AK143" i="71"/>
  <c r="AL143" i="71" s="1"/>
  <c r="AK83" i="71"/>
  <c r="AL83" i="71" s="1"/>
  <c r="AK146" i="71"/>
  <c r="AL146" i="71" s="1"/>
  <c r="AK154" i="71"/>
  <c r="AL154" i="71" s="1"/>
  <c r="AK155" i="71"/>
  <c r="AL155" i="71" s="1"/>
  <c r="AK156" i="71"/>
  <c r="AL156" i="71" s="1"/>
  <c r="AK26" i="71"/>
  <c r="AL26" i="71" s="1"/>
  <c r="AK132" i="71"/>
  <c r="AL132" i="71" s="1"/>
  <c r="AK42" i="71"/>
  <c r="AL42" i="71" s="1"/>
  <c r="AK149" i="71"/>
  <c r="AL149" i="71" s="1"/>
  <c r="AK164" i="71"/>
  <c r="AL164" i="71" s="1"/>
  <c r="AK147" i="71"/>
  <c r="AL147" i="71" s="1"/>
  <c r="AK148" i="71"/>
  <c r="AL148" i="71" s="1"/>
  <c r="AK43" i="71"/>
  <c r="AL43" i="71" s="1"/>
  <c r="AK153" i="71"/>
  <c r="AL153" i="71" s="1"/>
  <c r="AK151" i="71"/>
  <c r="AL151" i="71" s="1"/>
  <c r="AK131" i="71"/>
  <c r="AL131" i="71" s="1"/>
  <c r="AK158" i="71"/>
  <c r="AL158" i="71" s="1"/>
  <c r="AK74" i="71"/>
  <c r="AL74" i="71" s="1"/>
  <c r="AK201" i="71"/>
  <c r="AL201" i="71" s="1"/>
  <c r="AK159" i="71"/>
  <c r="AL159" i="71" s="1"/>
  <c r="AK161" i="71"/>
  <c r="AL161" i="71" s="1"/>
  <c r="AK36" i="71"/>
  <c r="AL36" i="71" s="1"/>
  <c r="AK39" i="71"/>
  <c r="AL39" i="71" s="1"/>
  <c r="AK171" i="71"/>
  <c r="AL171" i="71" s="1"/>
  <c r="AK173" i="71"/>
  <c r="AL173" i="71" s="1"/>
  <c r="AK175" i="71"/>
  <c r="AL175" i="71" s="1"/>
  <c r="AK165" i="71"/>
  <c r="AL165" i="71" s="1"/>
  <c r="AK77" i="71"/>
  <c r="AL77" i="71" s="1"/>
  <c r="AK78" i="71"/>
  <c r="AL78" i="71" s="1"/>
  <c r="AK193" i="71"/>
  <c r="AL193" i="71" s="1"/>
  <c r="AK179" i="71"/>
  <c r="AL179" i="71" s="1"/>
  <c r="AK169" i="71"/>
  <c r="AL169" i="71" s="1"/>
  <c r="AK41" i="71"/>
  <c r="AL41" i="71" s="1"/>
  <c r="AK205" i="71"/>
  <c r="AL205" i="71" s="1"/>
  <c r="AK199" i="71"/>
  <c r="AL199" i="71" s="1"/>
  <c r="AK40" i="71"/>
  <c r="AL40" i="71" s="1"/>
  <c r="AK180" i="71"/>
  <c r="AL180" i="71" s="1"/>
  <c r="AK182" i="71"/>
  <c r="AL182" i="71" s="1"/>
  <c r="AK75" i="71"/>
  <c r="AL75" i="71" s="1"/>
  <c r="AK183" i="71"/>
  <c r="AL183" i="71" s="1"/>
  <c r="AK186" i="71"/>
  <c r="AL186" i="71" s="1"/>
  <c r="AK44" i="71"/>
  <c r="AL44" i="71" s="1"/>
  <c r="AK76" i="71"/>
  <c r="AL76" i="71" s="1"/>
  <c r="AK188" i="71"/>
  <c r="AL188" i="71" s="1"/>
  <c r="AK189" i="71"/>
  <c r="AL189" i="71" s="1"/>
  <c r="AK168" i="71"/>
  <c r="AL168" i="71" s="1"/>
  <c r="AK191" i="71"/>
  <c r="AL191" i="71" s="1"/>
  <c r="AK85" i="71"/>
  <c r="AL85" i="71" s="1"/>
  <c r="AK172" i="71"/>
  <c r="AL172" i="71" s="1"/>
  <c r="AK203" i="71"/>
  <c r="AL203" i="71" s="1"/>
  <c r="AK19" i="71"/>
  <c r="AL19" i="71" s="1"/>
  <c r="AK204" i="71"/>
  <c r="AL204" i="71" s="1"/>
  <c r="AK206" i="71"/>
  <c r="AL206" i="71" s="1"/>
  <c r="AK207" i="71"/>
  <c r="AL207" i="71" s="1"/>
  <c r="AK208" i="71"/>
  <c r="AL208" i="71" s="1"/>
  <c r="AK122" i="71"/>
  <c r="AL122" i="71" s="1"/>
  <c r="AK176" i="71"/>
  <c r="AL176" i="71" s="1"/>
  <c r="AK196" i="71"/>
  <c r="AL196" i="71" s="1"/>
  <c r="AK68" i="71"/>
  <c r="AL68" i="71" s="1"/>
  <c r="AK81" i="71"/>
  <c r="AL81" i="71" s="1"/>
  <c r="AK12" i="71"/>
  <c r="AL12" i="71" s="1"/>
  <c r="AK162" i="71"/>
  <c r="AL162" i="71" s="1"/>
  <c r="AK61" i="71"/>
  <c r="AL61" i="71" s="1"/>
  <c r="AK45" i="71"/>
  <c r="AL45" i="71" s="1"/>
  <c r="AK157" i="71"/>
  <c r="AL157" i="71" s="1"/>
  <c r="AK29" i="71"/>
  <c r="AL29" i="71" s="1"/>
  <c r="AK15" i="71"/>
  <c r="AL15" i="71" s="1"/>
  <c r="AK145" i="71"/>
  <c r="AL145" i="71" s="1"/>
  <c r="AK38" i="71"/>
  <c r="AL38" i="71" s="1"/>
  <c r="AK94" i="71"/>
  <c r="AL94" i="71" s="1"/>
  <c r="AK51" i="71"/>
  <c r="AL51" i="71" s="1"/>
  <c r="AK47" i="71"/>
  <c r="AL47" i="71" s="1"/>
  <c r="AK202" i="71"/>
  <c r="AL202" i="71" s="1"/>
  <c r="AK185" i="71"/>
  <c r="AL185" i="71" s="1"/>
  <c r="AK109" i="71"/>
  <c r="AL109" i="71" s="1"/>
  <c r="AK187" i="71"/>
  <c r="AL187" i="71" s="1"/>
  <c r="AK110" i="71"/>
  <c r="AL110" i="71" s="1"/>
  <c r="AK160" i="71"/>
  <c r="AL160" i="71" s="1"/>
  <c r="AK103" i="71"/>
  <c r="AL103" i="71" s="1"/>
  <c r="AK17" i="71"/>
  <c r="AL17" i="71" s="1"/>
  <c r="AK95" i="71"/>
  <c r="AL95" i="71" s="1"/>
  <c r="AK92" i="71"/>
  <c r="AL92" i="71" s="1"/>
  <c r="AK86" i="71"/>
  <c r="AL86" i="71" s="1"/>
  <c r="AK72" i="71"/>
  <c r="AL72" i="71" s="1"/>
  <c r="AK134" i="71"/>
  <c r="AL134" i="71" s="1"/>
  <c r="AK150" i="71"/>
  <c r="AL150" i="71" s="1"/>
  <c r="AK21" i="71"/>
  <c r="AL21" i="71" s="1"/>
  <c r="AK49" i="71"/>
  <c r="AL49" i="71" s="1"/>
  <c r="AK190" i="71"/>
  <c r="AL190" i="71" s="1"/>
  <c r="AK53" i="71"/>
  <c r="AL53" i="71" s="1"/>
  <c r="AK139" i="71"/>
  <c r="AL139" i="71" s="1"/>
  <c r="AK87" i="71"/>
  <c r="AL87" i="71" s="1"/>
  <c r="AK127" i="71"/>
  <c r="AL127" i="71" s="1"/>
  <c r="AK200" i="71"/>
  <c r="AL200" i="71" s="1"/>
  <c r="AK142" i="71"/>
  <c r="AL142" i="71" s="1"/>
  <c r="AK138" i="71"/>
  <c r="AL138" i="71" s="1"/>
  <c r="AK178" i="71"/>
  <c r="AL178" i="71" s="1"/>
  <c r="AK90" i="71"/>
  <c r="AL90" i="71" s="1"/>
  <c r="AK152" i="71"/>
  <c r="AL152" i="71" s="1"/>
  <c r="AK102" i="71"/>
  <c r="AL102" i="71" s="1"/>
  <c r="AK184" i="71"/>
  <c r="AL184" i="71" s="1"/>
  <c r="AK6" i="71"/>
  <c r="AL6" i="71" s="1"/>
  <c r="AK14" i="71"/>
  <c r="AL14" i="71" s="1"/>
  <c r="AK7" i="71"/>
  <c r="AL7" i="71" s="1"/>
  <c r="AK8" i="71"/>
  <c r="AL8" i="71" s="1"/>
  <c r="AK9" i="71"/>
  <c r="AL9" i="71" s="1"/>
  <c r="CH184" i="71"/>
  <c r="CH6" i="71"/>
  <c r="CH14" i="71"/>
  <c r="CH8" i="71"/>
  <c r="CH9" i="71"/>
  <c r="AZ11" i="71"/>
  <c r="CH13" i="71"/>
  <c r="CH70" i="71"/>
  <c r="CH48" i="71"/>
  <c r="CH195" i="71"/>
  <c r="CH98" i="71"/>
  <c r="CK98" i="71" s="1"/>
  <c r="CH20" i="71"/>
  <c r="CH5" i="71"/>
  <c r="CK5" i="71" s="1"/>
  <c r="CH52" i="71"/>
  <c r="CH54" i="71"/>
  <c r="CH22" i="71"/>
  <c r="CH55" i="71"/>
  <c r="CH23" i="71"/>
  <c r="CH181" i="71"/>
  <c r="CH60" i="71"/>
  <c r="CH24" i="71"/>
  <c r="CH25" i="71"/>
  <c r="CH177" i="71"/>
  <c r="CH62" i="71"/>
  <c r="CH64" i="71"/>
  <c r="CH67" i="71"/>
  <c r="CH18" i="71"/>
  <c r="CH27" i="71"/>
  <c r="CH37" i="71"/>
  <c r="CH80" i="71"/>
  <c r="AZ166" i="71"/>
  <c r="CH82" i="71"/>
  <c r="CH84" i="71"/>
  <c r="CH89" i="71"/>
  <c r="CH35" i="71"/>
  <c r="CH93" i="71"/>
  <c r="CH96" i="71"/>
  <c r="CH97" i="71"/>
  <c r="CH99" i="71"/>
  <c r="CH108" i="71"/>
  <c r="CH112" i="71"/>
  <c r="CK112" i="71" s="1"/>
  <c r="CH114" i="71"/>
  <c r="CH28" i="71"/>
  <c r="CK28" i="71" s="1"/>
  <c r="CH116" i="71"/>
  <c r="CH115" i="71"/>
  <c r="CH117" i="71"/>
  <c r="CH119" i="71"/>
  <c r="CH121" i="71"/>
  <c r="CH197" i="71"/>
  <c r="CH123" i="71"/>
  <c r="CH34" i="71"/>
  <c r="CH125" i="71"/>
  <c r="CH30" i="71"/>
  <c r="CH163" i="71"/>
  <c r="CH107" i="71"/>
  <c r="CH128" i="71"/>
  <c r="CH129" i="71"/>
  <c r="CK129" i="71" s="1"/>
  <c r="CH130" i="71"/>
  <c r="CH46" i="71"/>
  <c r="CH135" i="71"/>
  <c r="CH136" i="71"/>
  <c r="CH137" i="71"/>
  <c r="CH33" i="71"/>
  <c r="CH141" i="71"/>
  <c r="CH198" i="71"/>
  <c r="CK198" i="71" s="1"/>
  <c r="CH140" i="71"/>
  <c r="CH174" i="71"/>
  <c r="CH143" i="71"/>
  <c r="CH83" i="71"/>
  <c r="CH154" i="71"/>
  <c r="CH155" i="71"/>
  <c r="CH132" i="71"/>
  <c r="CH42" i="71"/>
  <c r="CH147" i="71"/>
  <c r="CH148" i="71"/>
  <c r="CH43" i="71"/>
  <c r="CH151" i="71"/>
  <c r="CH158" i="71"/>
  <c r="CH159" i="71"/>
  <c r="CH161" i="71"/>
  <c r="CH39" i="71"/>
  <c r="CH171" i="71"/>
  <c r="CH173" i="71"/>
  <c r="CH175" i="71"/>
  <c r="CH77" i="71"/>
  <c r="CH179" i="71"/>
  <c r="CH169" i="71"/>
  <c r="CH205" i="71"/>
  <c r="CH40" i="71"/>
  <c r="CH75" i="71"/>
  <c r="CH183" i="71"/>
  <c r="CH44" i="71"/>
  <c r="CH76" i="71"/>
  <c r="CH188" i="71"/>
  <c r="CH189" i="71"/>
  <c r="CH191" i="71"/>
  <c r="CH85" i="71"/>
  <c r="CH204" i="71"/>
  <c r="CH206" i="71"/>
  <c r="CH208" i="71"/>
  <c r="CH122" i="71"/>
  <c r="CH176" i="71"/>
  <c r="CH196" i="71"/>
  <c r="CH81" i="71"/>
  <c r="AZ12" i="71"/>
  <c r="CH162" i="71"/>
  <c r="CH157" i="71"/>
  <c r="CH29" i="71"/>
  <c r="CH145" i="71"/>
  <c r="CH38" i="71"/>
  <c r="CH51" i="71"/>
  <c r="CH47" i="71"/>
  <c r="CH187" i="71"/>
  <c r="CH103" i="71"/>
  <c r="CH17" i="71"/>
  <c r="CH95" i="71"/>
  <c r="CH86" i="71"/>
  <c r="CK86" i="71" s="1"/>
  <c r="CH134" i="71"/>
  <c r="CH150" i="71"/>
  <c r="AZ49" i="71"/>
  <c r="CH127" i="71"/>
  <c r="CH200" i="71"/>
  <c r="CH142" i="71"/>
  <c r="CH138" i="71"/>
  <c r="CH178" i="71"/>
  <c r="CH91" i="71"/>
  <c r="CK6" i="71"/>
  <c r="CK181" i="71"/>
  <c r="CK18" i="71"/>
  <c r="CK89" i="71"/>
  <c r="CK147" i="71"/>
  <c r="CK49" i="71"/>
  <c r="I110" i="71"/>
  <c r="CJ21" i="72"/>
  <c r="CI21" i="72"/>
  <c r="BS21" i="72"/>
  <c r="BR21" i="72"/>
  <c r="BB21" i="72"/>
  <c r="BA21" i="72"/>
  <c r="CJ20" i="72"/>
  <c r="CI20" i="72"/>
  <c r="BS20" i="72"/>
  <c r="BR20" i="72"/>
  <c r="BB20" i="72"/>
  <c r="BA20" i="72"/>
  <c r="CJ19" i="72"/>
  <c r="CI19" i="72"/>
  <c r="BS19" i="72"/>
  <c r="BR19" i="72"/>
  <c r="BB19" i="72"/>
  <c r="BA19" i="72"/>
  <c r="CJ17" i="72"/>
  <c r="CI17" i="72"/>
  <c r="BS17" i="72"/>
  <c r="BR17" i="72"/>
  <c r="BB17" i="72"/>
  <c r="BA17" i="72"/>
  <c r="CJ16" i="72"/>
  <c r="CI16" i="72"/>
  <c r="BS16" i="72"/>
  <c r="BR16" i="72"/>
  <c r="BB16" i="72"/>
  <c r="BA16" i="72"/>
  <c r="CJ15" i="72"/>
  <c r="CI15" i="72"/>
  <c r="BS15" i="72"/>
  <c r="BR15" i="72"/>
  <c r="BB15" i="72"/>
  <c r="BA15" i="72"/>
  <c r="CJ14" i="72"/>
  <c r="CI14" i="72"/>
  <c r="BS14" i="72"/>
  <c r="BR14" i="72"/>
  <c r="BB14" i="72"/>
  <c r="BA14" i="72"/>
  <c r="CJ13" i="72"/>
  <c r="CI13" i="72"/>
  <c r="CH13" i="72"/>
  <c r="BS13" i="72"/>
  <c r="BR13" i="72"/>
  <c r="BB13" i="72"/>
  <c r="BA13" i="72"/>
  <c r="AZ13" i="72"/>
  <c r="BQ13" i="72"/>
  <c r="CJ12" i="72"/>
  <c r="CI12" i="72"/>
  <c r="BS12" i="72"/>
  <c r="BR12" i="72"/>
  <c r="BB12" i="72"/>
  <c r="BA12" i="72"/>
  <c r="CJ11" i="72"/>
  <c r="CI11" i="72"/>
  <c r="CH11" i="72"/>
  <c r="BS11" i="72"/>
  <c r="BR11" i="72"/>
  <c r="BB11" i="72"/>
  <c r="BA11" i="72"/>
  <c r="AZ11" i="72"/>
  <c r="AL11" i="72"/>
  <c r="P218" i="56" s="1"/>
  <c r="BQ11" i="72"/>
  <c r="CJ6" i="72"/>
  <c r="CI6" i="72"/>
  <c r="BS6" i="72"/>
  <c r="BR6" i="72"/>
  <c r="BB6" i="72"/>
  <c r="BA6" i="72"/>
  <c r="CJ10" i="72"/>
  <c r="CI10" i="72"/>
  <c r="CH10" i="72"/>
  <c r="BS10" i="72"/>
  <c r="BR10" i="72"/>
  <c r="BB10" i="72"/>
  <c r="BA10" i="72"/>
  <c r="BQ10" i="72"/>
  <c r="CJ9" i="72"/>
  <c r="CI9" i="72"/>
  <c r="BS9" i="72"/>
  <c r="BR9" i="72"/>
  <c r="BB9" i="72"/>
  <c r="BA9" i="72"/>
  <c r="CJ8" i="72"/>
  <c r="CI8" i="72"/>
  <c r="BS8" i="72"/>
  <c r="BR8" i="72"/>
  <c r="BB8" i="72"/>
  <c r="BA8" i="72"/>
  <c r="CJ5" i="72"/>
  <c r="CI5" i="72"/>
  <c r="BS5" i="72"/>
  <c r="BR5" i="72"/>
  <c r="BB5" i="72"/>
  <c r="BA5" i="72"/>
  <c r="AZ5" i="72"/>
  <c r="BQ5" i="72"/>
  <c r="CJ4" i="72"/>
  <c r="CI4" i="72"/>
  <c r="BS4" i="72"/>
  <c r="BR4" i="72"/>
  <c r="BB4" i="72"/>
  <c r="BA4" i="72"/>
  <c r="B1" i="72"/>
  <c r="BS102" i="71"/>
  <c r="BR102" i="71"/>
  <c r="BB102" i="71"/>
  <c r="BA102" i="71"/>
  <c r="BS152" i="71"/>
  <c r="BR152" i="71"/>
  <c r="BB152" i="71"/>
  <c r="BA152" i="71"/>
  <c r="BS90" i="71"/>
  <c r="BR90" i="71"/>
  <c r="BB90" i="71"/>
  <c r="BA90" i="71"/>
  <c r="BS178" i="71"/>
  <c r="BR178" i="71"/>
  <c r="BB178" i="71"/>
  <c r="BA178" i="71"/>
  <c r="BS138" i="71"/>
  <c r="BR138" i="71"/>
  <c r="BB138" i="71"/>
  <c r="BA138" i="71"/>
  <c r="BS142" i="71"/>
  <c r="BR142" i="71"/>
  <c r="BQ142" i="71"/>
  <c r="BB142" i="71"/>
  <c r="BA142" i="71"/>
  <c r="AZ142" i="71"/>
  <c r="BS200" i="71"/>
  <c r="BR200" i="71"/>
  <c r="BB200" i="71"/>
  <c r="BA200" i="71"/>
  <c r="BS127" i="71"/>
  <c r="BR127" i="71"/>
  <c r="BQ127" i="71"/>
  <c r="BB127" i="71"/>
  <c r="BA127" i="71"/>
  <c r="AZ127" i="71"/>
  <c r="BS87" i="71"/>
  <c r="BR87" i="71"/>
  <c r="BB87" i="71"/>
  <c r="BA87" i="71"/>
  <c r="AZ87" i="71"/>
  <c r="BS139" i="71"/>
  <c r="BR139" i="71"/>
  <c r="BB139" i="71"/>
  <c r="BA139" i="71"/>
  <c r="BS53" i="71"/>
  <c r="BR53" i="71"/>
  <c r="BB53" i="71"/>
  <c r="BA53" i="71"/>
  <c r="BS190" i="71"/>
  <c r="BR190" i="71"/>
  <c r="BB190" i="71"/>
  <c r="BA190" i="71"/>
  <c r="BS49" i="71"/>
  <c r="BR49" i="71"/>
  <c r="BB49" i="71"/>
  <c r="BA49" i="71"/>
  <c r="BS21" i="71"/>
  <c r="BR21" i="71"/>
  <c r="BB21" i="71"/>
  <c r="BA21" i="71"/>
  <c r="BS150" i="71"/>
  <c r="BR150" i="71"/>
  <c r="BB150" i="71"/>
  <c r="BA150" i="71"/>
  <c r="BS134" i="71"/>
  <c r="BR134" i="71"/>
  <c r="BB134" i="71"/>
  <c r="BA134" i="71"/>
  <c r="BS72" i="71"/>
  <c r="BR72" i="71"/>
  <c r="BB72" i="71"/>
  <c r="BA72" i="71"/>
  <c r="AZ72" i="71"/>
  <c r="BS86" i="71"/>
  <c r="BR86" i="71"/>
  <c r="BB86" i="71"/>
  <c r="BA86" i="71"/>
  <c r="BQ86" i="71"/>
  <c r="BS92" i="71"/>
  <c r="BR92" i="71"/>
  <c r="BB92" i="71"/>
  <c r="BA92" i="71"/>
  <c r="BS95" i="71"/>
  <c r="BR95" i="71"/>
  <c r="BB95" i="71"/>
  <c r="BA95" i="71"/>
  <c r="AZ95" i="71"/>
  <c r="BS17" i="71"/>
  <c r="BR17" i="71"/>
  <c r="BB17" i="71"/>
  <c r="BA17" i="71"/>
  <c r="BS103" i="71"/>
  <c r="BR103" i="71"/>
  <c r="BB103" i="71"/>
  <c r="BA103" i="71"/>
  <c r="BS160" i="71"/>
  <c r="BR160" i="71"/>
  <c r="BB160" i="71"/>
  <c r="BA160" i="71"/>
  <c r="BS110" i="71"/>
  <c r="BR110" i="71"/>
  <c r="BB110" i="71"/>
  <c r="BA110" i="71"/>
  <c r="BS187" i="71"/>
  <c r="BR187" i="71"/>
  <c r="BB187" i="71"/>
  <c r="BA187" i="71"/>
  <c r="BS109" i="71"/>
  <c r="BR109" i="71"/>
  <c r="BB109" i="71"/>
  <c r="BA109" i="71"/>
  <c r="BS185" i="71"/>
  <c r="BR185" i="71"/>
  <c r="BB185" i="71"/>
  <c r="BA185" i="71"/>
  <c r="BS202" i="71"/>
  <c r="BR202" i="71"/>
  <c r="BB202" i="71"/>
  <c r="BA202" i="71"/>
  <c r="BS47" i="71"/>
  <c r="BR47" i="71"/>
  <c r="BB47" i="71"/>
  <c r="BA47" i="71"/>
  <c r="BS51" i="71"/>
  <c r="BR51" i="71"/>
  <c r="BQ51" i="71"/>
  <c r="BB51" i="71"/>
  <c r="BA51" i="71"/>
  <c r="AZ51" i="71"/>
  <c r="BS94" i="71"/>
  <c r="BR94" i="71"/>
  <c r="BB94" i="71"/>
  <c r="BA94" i="71"/>
  <c r="BS38" i="71"/>
  <c r="BR38" i="71"/>
  <c r="BB38" i="71"/>
  <c r="BA38" i="71"/>
  <c r="AZ38" i="71"/>
  <c r="BS145" i="71"/>
  <c r="BR145" i="71"/>
  <c r="BB145" i="71"/>
  <c r="BA145" i="71"/>
  <c r="BS15" i="71"/>
  <c r="BR15" i="71"/>
  <c r="BB15" i="71"/>
  <c r="BA15" i="71"/>
  <c r="BS29" i="71"/>
  <c r="BR29" i="71"/>
  <c r="BB29" i="71"/>
  <c r="BA29" i="71"/>
  <c r="BS157" i="71"/>
  <c r="BR157" i="71"/>
  <c r="BB157" i="71"/>
  <c r="BA157" i="71"/>
  <c r="BS45" i="71"/>
  <c r="BR45" i="71"/>
  <c r="BB45" i="71"/>
  <c r="BA45" i="71"/>
  <c r="BS61" i="71"/>
  <c r="BR61" i="71"/>
  <c r="BB61" i="71"/>
  <c r="BA61" i="71"/>
  <c r="BS162" i="71"/>
  <c r="BR162" i="71"/>
  <c r="BB162" i="71"/>
  <c r="BA162" i="71"/>
  <c r="BS12" i="71"/>
  <c r="BR12" i="71"/>
  <c r="BB12" i="71"/>
  <c r="BA12" i="71"/>
  <c r="BS81" i="71"/>
  <c r="BR81" i="71"/>
  <c r="BB81" i="71"/>
  <c r="BA81" i="71"/>
  <c r="BS68" i="71"/>
  <c r="BR68" i="71"/>
  <c r="BB68" i="71"/>
  <c r="BA68" i="71"/>
  <c r="BS196" i="71"/>
  <c r="BR196" i="71"/>
  <c r="BB196" i="71"/>
  <c r="BA196" i="71"/>
  <c r="BS176" i="71"/>
  <c r="BR176" i="71"/>
  <c r="BB176" i="71"/>
  <c r="BA176" i="71"/>
  <c r="BS122" i="71"/>
  <c r="BR122" i="71"/>
  <c r="BQ122" i="71"/>
  <c r="BB122" i="71"/>
  <c r="BA122" i="71"/>
  <c r="AZ122" i="71"/>
  <c r="BS208" i="71"/>
  <c r="BR208" i="71"/>
  <c r="BB208" i="71"/>
  <c r="BA208" i="71"/>
  <c r="BS207" i="71"/>
  <c r="BR207" i="71"/>
  <c r="BB207" i="71"/>
  <c r="BA207" i="71"/>
  <c r="BS206" i="71"/>
  <c r="BR206" i="71"/>
  <c r="BB206" i="71"/>
  <c r="BA206" i="71"/>
  <c r="BS204" i="71"/>
  <c r="BR204" i="71"/>
  <c r="BB204" i="71"/>
  <c r="BA204" i="71"/>
  <c r="BS19" i="71"/>
  <c r="BR19" i="71"/>
  <c r="BB19" i="71"/>
  <c r="BA19" i="71"/>
  <c r="BS203" i="71"/>
  <c r="BR203" i="71"/>
  <c r="BB203" i="71"/>
  <c r="BA203" i="71"/>
  <c r="BS172" i="71"/>
  <c r="BR172" i="71"/>
  <c r="BB172" i="71"/>
  <c r="BA172" i="71"/>
  <c r="BS85" i="71"/>
  <c r="BR85" i="71"/>
  <c r="BB85" i="71"/>
  <c r="BA85" i="71"/>
  <c r="AZ85" i="71"/>
  <c r="BS191" i="71"/>
  <c r="BR191" i="71"/>
  <c r="BQ191" i="71"/>
  <c r="BB191" i="71"/>
  <c r="BA191" i="71"/>
  <c r="AZ191" i="71"/>
  <c r="BS168" i="71"/>
  <c r="BR168" i="71"/>
  <c r="BB168" i="71"/>
  <c r="BA168" i="71"/>
  <c r="BS189" i="71"/>
  <c r="BR189" i="71"/>
  <c r="BB189" i="71"/>
  <c r="BA189" i="71"/>
  <c r="AZ189" i="71"/>
  <c r="BQ189" i="71"/>
  <c r="BS188" i="71"/>
  <c r="BR188" i="71"/>
  <c r="BB188" i="71"/>
  <c r="BA188" i="71"/>
  <c r="BS76" i="71"/>
  <c r="BR76" i="71"/>
  <c r="BB76" i="71"/>
  <c r="BA76" i="71"/>
  <c r="BS44" i="71"/>
  <c r="BR44" i="71"/>
  <c r="BB44" i="71"/>
  <c r="BA44" i="71"/>
  <c r="BS186" i="71"/>
  <c r="BR186" i="71"/>
  <c r="BB186" i="71"/>
  <c r="BA186" i="71"/>
  <c r="BS183" i="71"/>
  <c r="BR183" i="71"/>
  <c r="BB183" i="71"/>
  <c r="BA183" i="71"/>
  <c r="BS75" i="71"/>
  <c r="BR75" i="71"/>
  <c r="BB75" i="71"/>
  <c r="BA75" i="71"/>
  <c r="BS182" i="71"/>
  <c r="BR182" i="71"/>
  <c r="BB182" i="71"/>
  <c r="BA182" i="71"/>
  <c r="BS180" i="71"/>
  <c r="BR180" i="71"/>
  <c r="BQ180" i="71"/>
  <c r="BB180" i="71"/>
  <c r="BA180" i="71"/>
  <c r="BS40" i="71"/>
  <c r="BR40" i="71"/>
  <c r="BB40" i="71"/>
  <c r="BA40" i="71"/>
  <c r="AZ40" i="71"/>
  <c r="BS199" i="71"/>
  <c r="BR199" i="71"/>
  <c r="BB199" i="71"/>
  <c r="BA199" i="71"/>
  <c r="BS205" i="71"/>
  <c r="BR205" i="71"/>
  <c r="BB205" i="71"/>
  <c r="BA205" i="71"/>
  <c r="BS41" i="71"/>
  <c r="BR41" i="71"/>
  <c r="BB41" i="71"/>
  <c r="BA41" i="71"/>
  <c r="BS169" i="71"/>
  <c r="BR169" i="71"/>
  <c r="BB169" i="71"/>
  <c r="BA169" i="71"/>
  <c r="AZ169" i="71"/>
  <c r="BS179" i="71"/>
  <c r="BR179" i="71"/>
  <c r="BB179" i="71"/>
  <c r="BA179" i="71"/>
  <c r="BS193" i="71"/>
  <c r="BR193" i="71"/>
  <c r="BB193" i="71"/>
  <c r="BA193" i="71"/>
  <c r="BS78" i="71"/>
  <c r="BR78" i="71"/>
  <c r="BB78" i="71"/>
  <c r="BA78" i="71"/>
  <c r="BS77" i="71"/>
  <c r="BR77" i="71"/>
  <c r="BB77" i="71"/>
  <c r="BA77" i="71"/>
  <c r="BS165" i="71"/>
  <c r="BR165" i="71"/>
  <c r="BB165" i="71"/>
  <c r="BA165" i="71"/>
  <c r="BS175" i="71"/>
  <c r="BR175" i="71"/>
  <c r="BB175" i="71"/>
  <c r="BA175" i="71"/>
  <c r="BS173" i="71"/>
  <c r="BR173" i="71"/>
  <c r="BB173" i="71"/>
  <c r="BA173" i="71"/>
  <c r="BS171" i="71"/>
  <c r="BR171" i="71"/>
  <c r="BQ171" i="71"/>
  <c r="BB171" i="71"/>
  <c r="BA171" i="71"/>
  <c r="BS39" i="71"/>
  <c r="BR39" i="71"/>
  <c r="BB39" i="71"/>
  <c r="BA39" i="71"/>
  <c r="AZ39" i="71"/>
  <c r="BQ39" i="71"/>
  <c r="BS36" i="71"/>
  <c r="BR36" i="71"/>
  <c r="BB36" i="71"/>
  <c r="BA36" i="71"/>
  <c r="BS161" i="71"/>
  <c r="BR161" i="71"/>
  <c r="BB161" i="71"/>
  <c r="BA161" i="71"/>
  <c r="BS159" i="71"/>
  <c r="BR159" i="71"/>
  <c r="BQ159" i="71"/>
  <c r="BB159" i="71"/>
  <c r="BA159" i="71"/>
  <c r="BS201" i="71"/>
  <c r="BR201" i="71"/>
  <c r="BB201" i="71"/>
  <c r="BA201" i="71"/>
  <c r="BS74" i="71"/>
  <c r="BR74" i="71"/>
  <c r="BB74" i="71"/>
  <c r="BA74" i="71"/>
  <c r="BS158" i="71"/>
  <c r="BR158" i="71"/>
  <c r="BB158" i="71"/>
  <c r="BA158" i="71"/>
  <c r="BS131" i="71"/>
  <c r="BR131" i="71"/>
  <c r="BB131" i="71"/>
  <c r="BA131" i="71"/>
  <c r="BS151" i="71"/>
  <c r="BR151" i="71"/>
  <c r="BB151" i="71"/>
  <c r="BA151" i="71"/>
  <c r="BS153" i="71"/>
  <c r="BR153" i="71"/>
  <c r="BB153" i="71"/>
  <c r="BA153" i="71"/>
  <c r="BS43" i="71"/>
  <c r="BR43" i="71"/>
  <c r="BB43" i="71"/>
  <c r="BA43" i="71"/>
  <c r="BS148" i="71"/>
  <c r="BR148" i="71"/>
  <c r="BQ148" i="71"/>
  <c r="BB148" i="71"/>
  <c r="BA148" i="71"/>
  <c r="BS147" i="71"/>
  <c r="BR147" i="71"/>
  <c r="BB147" i="71"/>
  <c r="BA147" i="71"/>
  <c r="AZ147" i="71"/>
  <c r="BS164" i="71"/>
  <c r="BR164" i="71"/>
  <c r="BB164" i="71"/>
  <c r="BA164" i="71"/>
  <c r="BS149" i="71"/>
  <c r="BR149" i="71"/>
  <c r="BB149" i="71"/>
  <c r="BA149" i="71"/>
  <c r="BS42" i="71"/>
  <c r="BR42" i="71"/>
  <c r="BQ42" i="71"/>
  <c r="BB42" i="71"/>
  <c r="BA42" i="71"/>
  <c r="BS132" i="71"/>
  <c r="BR132" i="71"/>
  <c r="BB132" i="71"/>
  <c r="BA132" i="71"/>
  <c r="BS26" i="71"/>
  <c r="BR26" i="71"/>
  <c r="BB26" i="71"/>
  <c r="BA26" i="71"/>
  <c r="BS156" i="71"/>
  <c r="BR156" i="71"/>
  <c r="BB156" i="71"/>
  <c r="BA156" i="71"/>
  <c r="BS155" i="71"/>
  <c r="BR155" i="71"/>
  <c r="BB155" i="71"/>
  <c r="BA155" i="71"/>
  <c r="BS154" i="71"/>
  <c r="BR154" i="71"/>
  <c r="BB154" i="71"/>
  <c r="BA154" i="71"/>
  <c r="BS146" i="71"/>
  <c r="BR146" i="71"/>
  <c r="BB146" i="71"/>
  <c r="BA146" i="71"/>
  <c r="BS83" i="71"/>
  <c r="BR83" i="71"/>
  <c r="BB83" i="71"/>
  <c r="BA83" i="71"/>
  <c r="BS143" i="71"/>
  <c r="BR143" i="71"/>
  <c r="BB143" i="71"/>
  <c r="BA143" i="71"/>
  <c r="AZ143" i="71"/>
  <c r="BS174" i="71"/>
  <c r="BR174" i="71"/>
  <c r="BB174" i="71"/>
  <c r="BA174" i="71"/>
  <c r="AZ174" i="71"/>
  <c r="BS144" i="71"/>
  <c r="BR144" i="71"/>
  <c r="BB144" i="71"/>
  <c r="BA144" i="71"/>
  <c r="BS140" i="71"/>
  <c r="BR140" i="71"/>
  <c r="BB140" i="71"/>
  <c r="BA140" i="71"/>
  <c r="AZ140" i="71"/>
  <c r="BS198" i="71"/>
  <c r="BR198" i="71"/>
  <c r="BQ198" i="71"/>
  <c r="BB198" i="71"/>
  <c r="BA198" i="71"/>
  <c r="AZ198" i="71"/>
  <c r="BS141" i="71"/>
  <c r="BR141" i="71"/>
  <c r="BB141" i="71"/>
  <c r="BA141" i="71"/>
  <c r="BS33" i="71"/>
  <c r="BR33" i="71"/>
  <c r="BB33" i="71"/>
  <c r="BA33" i="71"/>
  <c r="BS32" i="71"/>
  <c r="BR32" i="71"/>
  <c r="BB32" i="71"/>
  <c r="BA32" i="71"/>
  <c r="BS31" i="71"/>
  <c r="BR31" i="71"/>
  <c r="BB31" i="71"/>
  <c r="BA31" i="71"/>
  <c r="BS137" i="71"/>
  <c r="BR137" i="71"/>
  <c r="BB137" i="71"/>
  <c r="BA137" i="71"/>
  <c r="BS167" i="71"/>
  <c r="BR167" i="71"/>
  <c r="BB167" i="71"/>
  <c r="BA167" i="71"/>
  <c r="BS136" i="71"/>
  <c r="BR136" i="71"/>
  <c r="BB136" i="71"/>
  <c r="BA136" i="71"/>
  <c r="BS135" i="71"/>
  <c r="BR135" i="71"/>
  <c r="BQ135" i="71"/>
  <c r="BB135" i="71"/>
  <c r="BA135" i="71"/>
  <c r="AZ135" i="71"/>
  <c r="BS73" i="71"/>
  <c r="BR73" i="71"/>
  <c r="BB73" i="71"/>
  <c r="BA73" i="71"/>
  <c r="BS46" i="71"/>
  <c r="BR46" i="71"/>
  <c r="BB46" i="71"/>
  <c r="BA46" i="71"/>
  <c r="BS130" i="71"/>
  <c r="BR130" i="71"/>
  <c r="BB130" i="71"/>
  <c r="BA130" i="71"/>
  <c r="AZ130" i="71"/>
  <c r="BS129" i="71"/>
  <c r="BR129" i="71"/>
  <c r="BQ129" i="71"/>
  <c r="BB129" i="71"/>
  <c r="BA129" i="71"/>
  <c r="AZ129" i="71"/>
  <c r="BS128" i="71"/>
  <c r="BR128" i="71"/>
  <c r="BB128" i="71"/>
  <c r="BA128" i="71"/>
  <c r="BS107" i="71"/>
  <c r="BR107" i="71"/>
  <c r="BB107" i="71"/>
  <c r="BA107" i="71"/>
  <c r="BS163" i="71"/>
  <c r="BR163" i="71"/>
  <c r="BB163" i="71"/>
  <c r="BA163" i="71"/>
  <c r="BS30" i="71"/>
  <c r="BR30" i="71"/>
  <c r="BB30" i="71"/>
  <c r="BA30" i="71"/>
  <c r="BS125" i="71"/>
  <c r="BR125" i="71"/>
  <c r="BB125" i="71"/>
  <c r="BA125" i="71"/>
  <c r="BS124" i="71"/>
  <c r="BR124" i="71"/>
  <c r="BB124" i="71"/>
  <c r="BA124" i="71"/>
  <c r="BS34" i="71"/>
  <c r="BR34" i="71"/>
  <c r="BB34" i="71"/>
  <c r="BA34" i="71"/>
  <c r="BS123" i="71"/>
  <c r="BR123" i="71"/>
  <c r="BB123" i="71"/>
  <c r="BA123" i="71"/>
  <c r="AZ123" i="71"/>
  <c r="BS197" i="71"/>
  <c r="BR197" i="71"/>
  <c r="BB197" i="71"/>
  <c r="BA197" i="71"/>
  <c r="BS71" i="71"/>
  <c r="BR71" i="71"/>
  <c r="BB71" i="71"/>
  <c r="BA71" i="71"/>
  <c r="BS121" i="71"/>
  <c r="BR121" i="71"/>
  <c r="BB121" i="71"/>
  <c r="BA121" i="71"/>
  <c r="BQ121" i="71"/>
  <c r="CJ4" i="71"/>
  <c r="CI4" i="71"/>
  <c r="BS4" i="71"/>
  <c r="BR4" i="71"/>
  <c r="BB4" i="71"/>
  <c r="BA4" i="71"/>
  <c r="AZ4" i="71"/>
  <c r="BS126" i="71"/>
  <c r="BR126" i="71"/>
  <c r="BB126" i="71"/>
  <c r="BA126" i="71"/>
  <c r="BS10" i="71"/>
  <c r="BR10" i="71"/>
  <c r="BB10" i="71"/>
  <c r="BA10" i="71"/>
  <c r="BS120" i="71"/>
  <c r="BR120" i="71"/>
  <c r="BB120" i="71"/>
  <c r="BA120" i="71"/>
  <c r="BS106" i="71"/>
  <c r="BR106" i="71"/>
  <c r="BB106" i="71"/>
  <c r="BA106" i="71"/>
  <c r="BS119" i="71"/>
  <c r="BR119" i="71"/>
  <c r="BB119" i="71"/>
  <c r="BA119" i="71"/>
  <c r="BS117" i="71"/>
  <c r="BR117" i="71"/>
  <c r="BB117" i="71"/>
  <c r="BA117" i="71"/>
  <c r="BS115" i="71"/>
  <c r="BR115" i="71"/>
  <c r="BB115" i="71"/>
  <c r="BA115" i="71"/>
  <c r="BS116" i="71"/>
  <c r="BR116" i="71"/>
  <c r="BB116" i="71"/>
  <c r="BA116" i="71"/>
  <c r="AZ116" i="71"/>
  <c r="BS28" i="71"/>
  <c r="BR28" i="71"/>
  <c r="BB28" i="71"/>
  <c r="BA28" i="71"/>
  <c r="BS114" i="71"/>
  <c r="BR114" i="71"/>
  <c r="BB114" i="71"/>
  <c r="BA114" i="71"/>
  <c r="BS113" i="71"/>
  <c r="BR113" i="71"/>
  <c r="BB113" i="71"/>
  <c r="BA113" i="71"/>
  <c r="AZ113" i="71"/>
  <c r="BS112" i="71"/>
  <c r="BR112" i="71"/>
  <c r="BQ112" i="71"/>
  <c r="BB112" i="71"/>
  <c r="BA112" i="71"/>
  <c r="AZ112" i="71"/>
  <c r="BS108" i="71"/>
  <c r="BR108" i="71"/>
  <c r="BB108" i="71"/>
  <c r="BA108" i="71"/>
  <c r="BS105" i="71"/>
  <c r="BR105" i="71"/>
  <c r="BB105" i="71"/>
  <c r="BA105" i="71"/>
  <c r="BS104" i="71"/>
  <c r="BR104" i="71"/>
  <c r="BB104" i="71"/>
  <c r="BA104" i="71"/>
  <c r="BS101" i="71"/>
  <c r="BR101" i="71"/>
  <c r="BB101" i="71"/>
  <c r="BA101" i="71"/>
  <c r="BS192" i="71"/>
  <c r="BR192" i="71"/>
  <c r="BB192" i="71"/>
  <c r="BA192" i="71"/>
  <c r="BS100" i="71"/>
  <c r="BR100" i="71"/>
  <c r="BB100" i="71"/>
  <c r="BA100" i="71"/>
  <c r="BS99" i="71"/>
  <c r="BR99" i="71"/>
  <c r="BB99" i="71"/>
  <c r="BA99" i="71"/>
  <c r="BS97" i="71"/>
  <c r="BR97" i="71"/>
  <c r="BB97" i="71"/>
  <c r="BA97" i="71"/>
  <c r="BS96" i="71"/>
  <c r="BR96" i="71"/>
  <c r="BB96" i="71"/>
  <c r="BA96" i="71"/>
  <c r="AZ96" i="71"/>
  <c r="BS93" i="71"/>
  <c r="BR93" i="71"/>
  <c r="BB93" i="71"/>
  <c r="BA93" i="71"/>
  <c r="BS35" i="71"/>
  <c r="BR35" i="71"/>
  <c r="BQ35" i="71"/>
  <c r="BB35" i="71"/>
  <c r="BA35" i="71"/>
  <c r="AZ35" i="71"/>
  <c r="BS89" i="71"/>
  <c r="BR89" i="71"/>
  <c r="BB89" i="71"/>
  <c r="BA89" i="71"/>
  <c r="BS88" i="71"/>
  <c r="BR88" i="71"/>
  <c r="BB88" i="71"/>
  <c r="BA88" i="71"/>
  <c r="BS84" i="71"/>
  <c r="BR84" i="71"/>
  <c r="BB84" i="71"/>
  <c r="BA84" i="71"/>
  <c r="BS111" i="71"/>
  <c r="BR111" i="71"/>
  <c r="BB111" i="71"/>
  <c r="BA111" i="71"/>
  <c r="BS82" i="71"/>
  <c r="BR82" i="71"/>
  <c r="BB82" i="71"/>
  <c r="BA82" i="71"/>
  <c r="BS166" i="71"/>
  <c r="BR166" i="71"/>
  <c r="BB166" i="71"/>
  <c r="BA166" i="71"/>
  <c r="BS80" i="71"/>
  <c r="BR80" i="71"/>
  <c r="BB80" i="71"/>
  <c r="BA80" i="71"/>
  <c r="BS37" i="71"/>
  <c r="BR37" i="71"/>
  <c r="BB37" i="71"/>
  <c r="BA37" i="71"/>
  <c r="AZ37" i="71"/>
  <c r="BS27" i="71"/>
  <c r="BR27" i="71"/>
  <c r="BQ27" i="71"/>
  <c r="BB27" i="71"/>
  <c r="BA27" i="71"/>
  <c r="AZ27" i="71"/>
  <c r="BS79" i="71"/>
  <c r="BR79" i="71"/>
  <c r="BB79" i="71"/>
  <c r="BA79" i="71"/>
  <c r="BS69" i="71"/>
  <c r="BR69" i="71"/>
  <c r="BB69" i="71"/>
  <c r="BA69" i="71"/>
  <c r="BS170" i="71"/>
  <c r="BR170" i="71"/>
  <c r="BB170" i="71"/>
  <c r="BA170" i="71"/>
  <c r="BS18" i="71"/>
  <c r="BR18" i="71"/>
  <c r="BQ18" i="71"/>
  <c r="BB18" i="71"/>
  <c r="BA18" i="71"/>
  <c r="AZ18" i="71"/>
  <c r="BS67" i="71"/>
  <c r="BR67" i="71"/>
  <c r="BB67" i="71"/>
  <c r="BA67" i="71"/>
  <c r="BS16" i="71"/>
  <c r="BR16" i="71"/>
  <c r="BB16" i="71"/>
  <c r="BA16" i="71"/>
  <c r="BS66" i="71"/>
  <c r="BR66" i="71"/>
  <c r="BB66" i="71"/>
  <c r="BA66" i="71"/>
  <c r="BS65" i="71"/>
  <c r="BR65" i="71"/>
  <c r="BB65" i="71"/>
  <c r="BA65" i="71"/>
  <c r="BS63" i="71"/>
  <c r="BR63" i="71"/>
  <c r="BB63" i="71"/>
  <c r="BA63" i="71"/>
  <c r="BS64" i="71"/>
  <c r="BR64" i="71"/>
  <c r="BB64" i="71"/>
  <c r="BA64" i="71"/>
  <c r="BS62" i="71"/>
  <c r="BR62" i="71"/>
  <c r="BB62" i="71"/>
  <c r="BA62" i="71"/>
  <c r="BS177" i="71"/>
  <c r="BR177" i="71"/>
  <c r="BB177" i="71"/>
  <c r="BA177" i="71"/>
  <c r="BS25" i="71"/>
  <c r="BR25" i="71"/>
  <c r="BB25" i="71"/>
  <c r="BA25" i="71"/>
  <c r="AZ25" i="71"/>
  <c r="BS24" i="71"/>
  <c r="BR24" i="71"/>
  <c r="BB24" i="71"/>
  <c r="BA24" i="71"/>
  <c r="BS60" i="71"/>
  <c r="BR60" i="71"/>
  <c r="BQ60" i="71"/>
  <c r="BB60" i="71"/>
  <c r="BA60" i="71"/>
  <c r="AZ60" i="71"/>
  <c r="BS181" i="71"/>
  <c r="BR181" i="71"/>
  <c r="BB181" i="71"/>
  <c r="BA181" i="71"/>
  <c r="BS59" i="71"/>
  <c r="BR59" i="71"/>
  <c r="BB59" i="71"/>
  <c r="BA59" i="71"/>
  <c r="BS23" i="71"/>
  <c r="BR23" i="71"/>
  <c r="BB23" i="71"/>
  <c r="BA23" i="71"/>
  <c r="BS58" i="71"/>
  <c r="BR58" i="71"/>
  <c r="BB58" i="71"/>
  <c r="BA58" i="71"/>
  <c r="BS57" i="71"/>
  <c r="BR57" i="71"/>
  <c r="BB57" i="71"/>
  <c r="BA57" i="71"/>
  <c r="BS55" i="71"/>
  <c r="BR55" i="71"/>
  <c r="BB55" i="71"/>
  <c r="BA55" i="71"/>
  <c r="BS22" i="71"/>
  <c r="BR22" i="71"/>
  <c r="BB22" i="71"/>
  <c r="BA22" i="71"/>
  <c r="BS54" i="71"/>
  <c r="BR54" i="71"/>
  <c r="BB54" i="71"/>
  <c r="BA54" i="71"/>
  <c r="BS52" i="71"/>
  <c r="BR52" i="71"/>
  <c r="BB52" i="71"/>
  <c r="BA52" i="71"/>
  <c r="AZ52" i="71"/>
  <c r="BS5" i="71"/>
  <c r="BR5" i="71"/>
  <c r="BB5" i="71"/>
  <c r="BA5" i="71"/>
  <c r="BS20" i="71"/>
  <c r="BR20" i="71"/>
  <c r="BB20" i="71"/>
  <c r="BA20" i="71"/>
  <c r="BS118" i="71"/>
  <c r="BR118" i="71"/>
  <c r="BB118" i="71"/>
  <c r="BA118" i="71"/>
  <c r="BS98" i="71"/>
  <c r="BR98" i="71"/>
  <c r="BQ98" i="71"/>
  <c r="BB98" i="71"/>
  <c r="BA98" i="71"/>
  <c r="AZ98" i="71"/>
  <c r="BS195" i="71"/>
  <c r="BR195" i="71"/>
  <c r="BB195" i="71"/>
  <c r="BA195" i="71"/>
  <c r="BS50" i="71"/>
  <c r="BR50" i="71"/>
  <c r="BB50" i="71"/>
  <c r="BA50" i="71"/>
  <c r="BS194" i="71"/>
  <c r="BR194" i="71"/>
  <c r="BB194" i="71"/>
  <c r="BA194" i="71"/>
  <c r="BS48" i="71"/>
  <c r="BR48" i="71"/>
  <c r="BB48" i="71"/>
  <c r="BA48" i="71"/>
  <c r="BS70" i="71"/>
  <c r="BR70" i="71"/>
  <c r="BB70" i="71"/>
  <c r="BA70" i="71"/>
  <c r="BS13" i="71"/>
  <c r="BR13" i="71"/>
  <c r="BB13" i="71"/>
  <c r="BA13" i="71"/>
  <c r="BS11" i="71"/>
  <c r="BR11" i="71"/>
  <c r="BB11" i="71"/>
  <c r="BA11" i="71"/>
  <c r="BS9" i="71"/>
  <c r="BR9" i="71"/>
  <c r="BB9" i="71"/>
  <c r="BA9" i="71"/>
  <c r="AZ9" i="71"/>
  <c r="BQ9" i="71"/>
  <c r="BS8" i="71"/>
  <c r="BR8" i="71"/>
  <c r="BB8" i="71"/>
  <c r="BA8" i="71"/>
  <c r="BS7" i="71"/>
  <c r="BR7" i="71"/>
  <c r="BB7" i="71"/>
  <c r="BA7" i="71"/>
  <c r="BS14" i="71"/>
  <c r="BR14" i="71"/>
  <c r="BB14" i="71"/>
  <c r="BA14" i="71"/>
  <c r="AZ14" i="71"/>
  <c r="BQ14" i="71"/>
  <c r="BS6" i="71"/>
  <c r="BR6" i="71"/>
  <c r="BQ6" i="71"/>
  <c r="BB6" i="71"/>
  <c r="BA6" i="71"/>
  <c r="AZ6" i="71"/>
  <c r="BS184" i="71"/>
  <c r="BR184" i="71"/>
  <c r="BB184" i="71"/>
  <c r="BA184" i="71"/>
  <c r="BS91" i="71"/>
  <c r="BR91" i="71"/>
  <c r="BB91" i="71"/>
  <c r="BA91" i="71"/>
  <c r="B1" i="71"/>
  <c r="C1" i="71" s="1"/>
  <c r="D1" i="71" s="1"/>
  <c r="E1" i="71" s="1"/>
  <c r="F1" i="71" s="1"/>
  <c r="G1" i="71" s="1"/>
  <c r="H1" i="71" s="1"/>
  <c r="I1" i="71" s="1"/>
  <c r="J1" i="71" s="1"/>
  <c r="K1" i="71" s="1"/>
  <c r="L1" i="71" s="1"/>
  <c r="M1" i="71" s="1"/>
  <c r="N1" i="71" s="1"/>
  <c r="O1" i="71" s="1"/>
  <c r="P1" i="71" s="1"/>
  <c r="Q1" i="71" s="1"/>
  <c r="R1" i="71" s="1"/>
  <c r="S1" i="71" s="1"/>
  <c r="T1" i="71" s="1"/>
  <c r="U1" i="71" s="1"/>
  <c r="V1" i="71" s="1"/>
  <c r="W1" i="71" s="1"/>
  <c r="X1" i="71" s="1"/>
  <c r="Y1" i="71" s="1"/>
  <c r="Z1" i="71" s="1"/>
  <c r="AA1" i="71" s="1"/>
  <c r="AB1" i="71" s="1"/>
  <c r="AC1" i="71" s="1"/>
  <c r="AD1" i="71" s="1"/>
  <c r="AE1" i="71" s="1"/>
  <c r="AF1" i="71" s="1"/>
  <c r="AG1" i="71" s="1"/>
  <c r="AH1" i="71" s="1"/>
  <c r="AI1" i="71" s="1"/>
  <c r="AJ1" i="71" s="1"/>
  <c r="AK1" i="71" s="1"/>
  <c r="AL1" i="71" s="1"/>
  <c r="AM1" i="71" s="1"/>
  <c r="AN1" i="71" s="1"/>
  <c r="AO1" i="71" s="1"/>
  <c r="AP1" i="71" s="1"/>
  <c r="AQ1" i="71" s="1"/>
  <c r="AR1" i="71" s="1"/>
  <c r="AS1" i="71" s="1"/>
  <c r="AT1" i="71" s="1"/>
  <c r="AU1" i="71" s="1"/>
  <c r="AV1" i="71" s="1"/>
  <c r="AW1" i="71" s="1"/>
  <c r="AX1" i="71" s="1"/>
  <c r="AY1" i="71" s="1"/>
  <c r="AZ1" i="71" s="1"/>
  <c r="BA1" i="71" s="1"/>
  <c r="BB1" i="71" s="1"/>
  <c r="BC1" i="71" s="1"/>
  <c r="BD1" i="71" s="1"/>
  <c r="BE1" i="71" s="1"/>
  <c r="BF1" i="71" s="1"/>
  <c r="BG1" i="71" s="1"/>
  <c r="BH1" i="71" s="1"/>
  <c r="BI1" i="71" s="1"/>
  <c r="BJ1" i="71" s="1"/>
  <c r="BK1" i="71" s="1"/>
  <c r="BL1" i="71" s="1"/>
  <c r="BM1" i="71" s="1"/>
  <c r="BN1" i="71" s="1"/>
  <c r="BO1" i="71" s="1"/>
  <c r="BP1" i="71" s="1"/>
  <c r="BQ1" i="71" s="1"/>
  <c r="BR1" i="71" s="1"/>
  <c r="BS1" i="71" s="1"/>
  <c r="BT1" i="71" s="1"/>
  <c r="BU1" i="71" s="1"/>
  <c r="BV1" i="71" s="1"/>
  <c r="BW1" i="71" s="1"/>
  <c r="BX1" i="71" s="1"/>
  <c r="BY1" i="71" s="1"/>
  <c r="BZ1" i="71" s="1"/>
  <c r="CA1" i="71" s="1"/>
  <c r="CB1" i="71" s="1"/>
  <c r="CC1" i="71" s="1"/>
  <c r="CD1" i="71" s="1"/>
  <c r="CE1" i="71" s="1"/>
  <c r="CF1" i="71" s="1"/>
  <c r="CG1" i="71" s="1"/>
  <c r="CH1" i="71" s="1"/>
  <c r="CI1" i="71" s="1"/>
  <c r="CJ1" i="71" s="1"/>
  <c r="CK1" i="71" s="1"/>
  <c r="CL1" i="71" s="1"/>
  <c r="CM1" i="71" s="1"/>
  <c r="CN1" i="71" s="1"/>
  <c r="CO1" i="71" s="1"/>
  <c r="CP1" i="71" s="1"/>
  <c r="CQ1" i="71" s="1"/>
  <c r="S12" i="72" l="1"/>
  <c r="Q219" i="56"/>
  <c r="S110" i="71"/>
  <c r="O109" i="56"/>
  <c r="AX109" i="56" s="1"/>
  <c r="N138" i="56"/>
  <c r="N151" i="74"/>
  <c r="N75" i="56"/>
  <c r="N88" i="74"/>
  <c r="N200" i="56"/>
  <c r="N213" i="74"/>
  <c r="N206" i="56"/>
  <c r="N219" i="74"/>
  <c r="N57" i="56"/>
  <c r="N70" i="74"/>
  <c r="N183" i="56"/>
  <c r="N196" i="74"/>
  <c r="N189" i="56"/>
  <c r="N202" i="74"/>
  <c r="N109" i="56"/>
  <c r="N122" i="74"/>
  <c r="N156" i="56"/>
  <c r="N169" i="74"/>
  <c r="N205" i="56"/>
  <c r="N218" i="74"/>
  <c r="N185" i="56"/>
  <c r="N198" i="74"/>
  <c r="N77" i="56"/>
  <c r="N90" i="74"/>
  <c r="N157" i="56"/>
  <c r="N170" i="74"/>
  <c r="N155" i="56"/>
  <c r="N168" i="74"/>
  <c r="N31" i="56"/>
  <c r="N44" i="74"/>
  <c r="N162" i="56"/>
  <c r="N175" i="74"/>
  <c r="N105" i="56"/>
  <c r="N118" i="74"/>
  <c r="N100" i="56"/>
  <c r="N113" i="74"/>
  <c r="N81" i="56"/>
  <c r="N94" i="74"/>
  <c r="N64" i="56"/>
  <c r="N77" i="74"/>
  <c r="N56" i="56"/>
  <c r="N69" i="74"/>
  <c r="N47" i="56"/>
  <c r="N60" i="74"/>
  <c r="N207" i="56"/>
  <c r="N220" i="74"/>
  <c r="N178" i="56"/>
  <c r="N191" i="74"/>
  <c r="N83" i="56"/>
  <c r="N96" i="74"/>
  <c r="N15" i="56"/>
  <c r="N28" i="74"/>
  <c r="N28" i="56"/>
  <c r="N41" i="74"/>
  <c r="N25" i="56"/>
  <c r="N38" i="74"/>
  <c r="N65" i="56"/>
  <c r="N78" i="74"/>
  <c r="N101" i="56"/>
  <c r="N114" i="74"/>
  <c r="N48" i="56"/>
  <c r="N61" i="74"/>
  <c r="N186" i="56"/>
  <c r="N199" i="74"/>
  <c r="N44" i="56"/>
  <c r="N57" i="74"/>
  <c r="N203" i="56"/>
  <c r="N216" i="74"/>
  <c r="N182" i="56"/>
  <c r="N195" i="74"/>
  <c r="N76" i="56"/>
  <c r="N89" i="74"/>
  <c r="N130" i="56"/>
  <c r="N143" i="74"/>
  <c r="N154" i="56"/>
  <c r="N167" i="74"/>
  <c r="N30" i="56"/>
  <c r="N43" i="74"/>
  <c r="N29" i="56"/>
  <c r="N42" i="74"/>
  <c r="N118" i="56"/>
  <c r="N131" i="74"/>
  <c r="N191" i="56"/>
  <c r="N204" i="74"/>
  <c r="N165" i="56"/>
  <c r="N178" i="74"/>
  <c r="N62" i="56"/>
  <c r="N75" i="74"/>
  <c r="N54" i="56"/>
  <c r="N67" i="74"/>
  <c r="N69" i="56"/>
  <c r="N82" i="74"/>
  <c r="N13" i="56"/>
  <c r="N26" i="74"/>
  <c r="N49" i="56"/>
  <c r="N62" i="74"/>
  <c r="N159" i="56"/>
  <c r="N172" i="74"/>
  <c r="N32" i="56"/>
  <c r="N45" i="74"/>
  <c r="N151" i="56"/>
  <c r="N164" i="74"/>
  <c r="N20" i="56"/>
  <c r="N33" i="74"/>
  <c r="N108" i="56"/>
  <c r="N121" i="74"/>
  <c r="N60" i="56"/>
  <c r="N73" i="74"/>
  <c r="N18" i="56"/>
  <c r="N31" i="74"/>
  <c r="N74" i="56"/>
  <c r="N87" i="74"/>
  <c r="N164" i="56"/>
  <c r="N177" i="74"/>
  <c r="N150" i="56"/>
  <c r="N163" i="74"/>
  <c r="N153" i="56"/>
  <c r="N166" i="74"/>
  <c r="N136" i="56"/>
  <c r="N149" i="74"/>
  <c r="N124" i="56"/>
  <c r="N137" i="74"/>
  <c r="N116" i="56"/>
  <c r="N129" i="74"/>
  <c r="N99" i="56"/>
  <c r="N112" i="74"/>
  <c r="N79" i="56"/>
  <c r="N92" i="74"/>
  <c r="N63" i="56"/>
  <c r="N76" i="74"/>
  <c r="N21" i="56"/>
  <c r="N34" i="74"/>
  <c r="N12" i="56"/>
  <c r="N25" i="74"/>
  <c r="N140" i="56"/>
  <c r="N153" i="74"/>
  <c r="N43" i="56"/>
  <c r="N56" i="74"/>
  <c r="N110" i="56"/>
  <c r="N123" i="74"/>
  <c r="N89" i="56"/>
  <c r="N102" i="74"/>
  <c r="N149" i="56"/>
  <c r="N162" i="74"/>
  <c r="N184" i="56"/>
  <c r="N197" i="74"/>
  <c r="N161" i="56"/>
  <c r="N174" i="74"/>
  <c r="N202" i="56"/>
  <c r="N215" i="74"/>
  <c r="N181" i="56"/>
  <c r="N194" i="74"/>
  <c r="N174" i="56"/>
  <c r="N187" i="74"/>
  <c r="N152" i="56"/>
  <c r="N165" i="74"/>
  <c r="N145" i="56"/>
  <c r="N158" i="74"/>
  <c r="N166" i="56"/>
  <c r="N179" i="74"/>
  <c r="N123" i="56"/>
  <c r="N136" i="74"/>
  <c r="N114" i="56"/>
  <c r="N127" i="74"/>
  <c r="N98" i="56"/>
  <c r="N111" i="74"/>
  <c r="N36" i="56"/>
  <c r="N49" i="74"/>
  <c r="N61" i="56"/>
  <c r="N74" i="74"/>
  <c r="N53" i="56"/>
  <c r="N66" i="74"/>
  <c r="N10" i="56"/>
  <c r="N23" i="74"/>
  <c r="N102" i="56"/>
  <c r="N115" i="74"/>
  <c r="N104" i="56"/>
  <c r="N117" i="74"/>
  <c r="N52" i="56"/>
  <c r="N65" i="74"/>
  <c r="N119" i="56"/>
  <c r="N132" i="74"/>
  <c r="N177" i="56"/>
  <c r="N190" i="74"/>
  <c r="N133" i="56"/>
  <c r="N146" i="74"/>
  <c r="N201" i="56"/>
  <c r="N214" i="74"/>
  <c r="N11" i="56"/>
  <c r="N24" i="74"/>
  <c r="N171" i="56"/>
  <c r="N184" i="74"/>
  <c r="N179" i="56"/>
  <c r="N192" i="74"/>
  <c r="N172" i="56"/>
  <c r="N185" i="74"/>
  <c r="N42" i="56"/>
  <c r="N55" i="74"/>
  <c r="N82" i="56"/>
  <c r="N95" i="74"/>
  <c r="N135" i="56"/>
  <c r="N148" i="74"/>
  <c r="N33" i="56"/>
  <c r="N46" i="74"/>
  <c r="N115" i="56"/>
  <c r="N128" i="74"/>
  <c r="N96" i="56"/>
  <c r="N109" i="74"/>
  <c r="N26" i="56"/>
  <c r="N39" i="74"/>
  <c r="N176" i="56"/>
  <c r="N189" i="74"/>
  <c r="N51" i="56"/>
  <c r="N64" i="74"/>
  <c r="N131" i="56"/>
  <c r="N144" i="74"/>
  <c r="N192" i="56"/>
  <c r="N205" i="74"/>
  <c r="N103" i="56"/>
  <c r="N116" i="74"/>
  <c r="N137" i="56"/>
  <c r="N150" i="74"/>
  <c r="N71" i="56"/>
  <c r="N84" i="74"/>
  <c r="N46" i="56"/>
  <c r="N59" i="74"/>
  <c r="N80" i="56"/>
  <c r="N93" i="74"/>
  <c r="N84" i="56"/>
  <c r="N97" i="74"/>
  <c r="N39" i="56"/>
  <c r="N52" i="74"/>
  <c r="N170" i="56"/>
  <c r="N183" i="74"/>
  <c r="N147" i="56"/>
  <c r="N160" i="74"/>
  <c r="N142" i="56"/>
  <c r="N155" i="74"/>
  <c r="N134" i="56"/>
  <c r="N147" i="74"/>
  <c r="N122" i="56"/>
  <c r="N135" i="74"/>
  <c r="N27" i="56"/>
  <c r="N40" i="74"/>
  <c r="N95" i="56"/>
  <c r="N108" i="74"/>
  <c r="N78" i="56"/>
  <c r="N91" i="74"/>
  <c r="N24" i="56"/>
  <c r="N37" i="74"/>
  <c r="N4" i="56"/>
  <c r="N17" i="74"/>
  <c r="N22" i="56"/>
  <c r="N35" i="74"/>
  <c r="N5" i="56"/>
  <c r="N18" i="74"/>
  <c r="N106" i="56"/>
  <c r="N119" i="74"/>
  <c r="N141" i="56"/>
  <c r="N154" i="74"/>
  <c r="N85" i="56"/>
  <c r="N98" i="74"/>
  <c r="N50" i="56"/>
  <c r="N63" i="74"/>
  <c r="N67" i="56"/>
  <c r="N80" i="74"/>
  <c r="N190" i="56"/>
  <c r="N203" i="74"/>
  <c r="N198" i="56"/>
  <c r="N211" i="74"/>
  <c r="N38" i="56"/>
  <c r="N51" i="74"/>
  <c r="N146" i="56"/>
  <c r="N159" i="74"/>
  <c r="N173" i="56"/>
  <c r="N186" i="74"/>
  <c r="N72" i="56"/>
  <c r="N85" i="74"/>
  <c r="N196" i="56"/>
  <c r="N209" i="74"/>
  <c r="N113" i="56"/>
  <c r="N126" i="74"/>
  <c r="N92" i="56"/>
  <c r="N105" i="74"/>
  <c r="N68" i="56"/>
  <c r="N81" i="74"/>
  <c r="N23" i="56"/>
  <c r="N36" i="74"/>
  <c r="N19" i="56"/>
  <c r="N32" i="74"/>
  <c r="N14" i="56"/>
  <c r="N27" i="74"/>
  <c r="N9" i="56"/>
  <c r="N22" i="74"/>
  <c r="N73" i="56"/>
  <c r="N86" i="74"/>
  <c r="N193" i="56"/>
  <c r="N206" i="74"/>
  <c r="N8" i="56"/>
  <c r="N21" i="74"/>
  <c r="N199" i="56"/>
  <c r="N212" i="74"/>
  <c r="N91" i="56"/>
  <c r="N104" i="74"/>
  <c r="N93" i="56"/>
  <c r="N106" i="74"/>
  <c r="N195" i="56"/>
  <c r="N208" i="74"/>
  <c r="N167" i="56"/>
  <c r="N180" i="74"/>
  <c r="N204" i="56"/>
  <c r="N217" i="74"/>
  <c r="N35" i="56"/>
  <c r="N48" i="74"/>
  <c r="N163" i="56"/>
  <c r="N176" i="74"/>
  <c r="N143" i="56"/>
  <c r="N156" i="74"/>
  <c r="N45" i="56"/>
  <c r="N58" i="74"/>
  <c r="N70" i="56"/>
  <c r="N83" i="74"/>
  <c r="N112" i="56"/>
  <c r="N125" i="74"/>
  <c r="N34" i="56"/>
  <c r="N47" i="74"/>
  <c r="N169" i="56"/>
  <c r="N182" i="74"/>
  <c r="N59" i="56"/>
  <c r="N72" i="74"/>
  <c r="N117" i="56"/>
  <c r="N130" i="74"/>
  <c r="N127" i="56"/>
  <c r="N140" i="74"/>
  <c r="P211" i="56"/>
  <c r="C34" i="52"/>
  <c r="N7" i="56"/>
  <c r="N20" i="74"/>
  <c r="N126" i="56"/>
  <c r="N139" i="74"/>
  <c r="N94" i="56"/>
  <c r="N107" i="74"/>
  <c r="N37" i="56"/>
  <c r="N50" i="74"/>
  <c r="N175" i="56"/>
  <c r="N188" i="74"/>
  <c r="N188" i="56"/>
  <c r="N201" i="74"/>
  <c r="N40" i="56"/>
  <c r="N53" i="74"/>
  <c r="N160" i="56"/>
  <c r="N173" i="74"/>
  <c r="N148" i="56"/>
  <c r="N161" i="74"/>
  <c r="N139" i="56"/>
  <c r="N152" i="74"/>
  <c r="N129" i="56"/>
  <c r="N142" i="74"/>
  <c r="N120" i="56"/>
  <c r="N133" i="74"/>
  <c r="N111" i="56"/>
  <c r="N124" i="74"/>
  <c r="N88" i="56"/>
  <c r="N101" i="74"/>
  <c r="N17" i="56"/>
  <c r="N30" i="74"/>
  <c r="N180" i="56"/>
  <c r="N193" i="74"/>
  <c r="N97" i="56"/>
  <c r="N110" i="74"/>
  <c r="N6" i="56"/>
  <c r="N19" i="74"/>
  <c r="N86" i="56"/>
  <c r="N99" i="74"/>
  <c r="N16" i="56"/>
  <c r="N29" i="74"/>
  <c r="N144" i="56"/>
  <c r="N157" i="74"/>
  <c r="N121" i="56"/>
  <c r="N134" i="74"/>
  <c r="N187" i="56"/>
  <c r="N200" i="74"/>
  <c r="N168" i="56"/>
  <c r="N181" i="74"/>
  <c r="N158" i="56"/>
  <c r="N171" i="74"/>
  <c r="N41" i="56"/>
  <c r="N54" i="74"/>
  <c r="N197" i="56"/>
  <c r="N210" i="74"/>
  <c r="N128" i="56"/>
  <c r="N141" i="74"/>
  <c r="N125" i="56"/>
  <c r="N138" i="74"/>
  <c r="N107" i="56"/>
  <c r="N120" i="74"/>
  <c r="N87" i="56"/>
  <c r="N100" i="74"/>
  <c r="N66" i="56"/>
  <c r="N79" i="74"/>
  <c r="N58" i="56"/>
  <c r="N71" i="74"/>
  <c r="N194" i="56"/>
  <c r="N207" i="74"/>
  <c r="E75" i="52"/>
  <c r="BQ62" i="71"/>
  <c r="BQ115" i="71"/>
  <c r="AZ115" i="71"/>
  <c r="AZ91" i="71"/>
  <c r="CK157" i="71"/>
  <c r="CK77" i="71"/>
  <c r="CK82" i="71"/>
  <c r="CK178" i="71"/>
  <c r="CK183" i="71"/>
  <c r="CK34" i="71"/>
  <c r="BQ138" i="71"/>
  <c r="CK52" i="71"/>
  <c r="CK9" i="71"/>
  <c r="CK187" i="71"/>
  <c r="CK30" i="71"/>
  <c r="BQ91" i="71"/>
  <c r="CK83" i="71"/>
  <c r="CK99" i="71"/>
  <c r="BQ37" i="71"/>
  <c r="BQ97" i="71"/>
  <c r="BQ143" i="71"/>
  <c r="BQ40" i="71"/>
  <c r="CK155" i="71"/>
  <c r="AZ54" i="71"/>
  <c r="CK173" i="71"/>
  <c r="CK62" i="71"/>
  <c r="BQ54" i="71"/>
  <c r="BQ123" i="71"/>
  <c r="CK158" i="71"/>
  <c r="CK204" i="71"/>
  <c r="CK48" i="71"/>
  <c r="AZ134" i="71"/>
  <c r="AZ138" i="71"/>
  <c r="AZ151" i="71"/>
  <c r="AZ119" i="71"/>
  <c r="CK154" i="71"/>
  <c r="CK125" i="71"/>
  <c r="CK70" i="71"/>
  <c r="CK130" i="71"/>
  <c r="AZ126" i="71"/>
  <c r="CH126" i="71"/>
  <c r="CK126" i="71" s="1"/>
  <c r="BQ105" i="71"/>
  <c r="CH105" i="71"/>
  <c r="CK105" i="71" s="1"/>
  <c r="AZ67" i="71"/>
  <c r="BQ179" i="71"/>
  <c r="AF53" i="71"/>
  <c r="AN52" i="56" s="1"/>
  <c r="AO52" i="56" s="1"/>
  <c r="H52" i="56" s="1"/>
  <c r="AF160" i="71"/>
  <c r="AN159" i="56" s="1"/>
  <c r="AO159" i="56" s="1"/>
  <c r="H159" i="56" s="1"/>
  <c r="AF29" i="71"/>
  <c r="AN28" i="56" s="1"/>
  <c r="AO28" i="56" s="1"/>
  <c r="H28" i="56" s="1"/>
  <c r="CK29" i="71"/>
  <c r="AF207" i="71"/>
  <c r="AN206" i="56" s="1"/>
  <c r="AO206" i="56" s="1"/>
  <c r="H206" i="56" s="1"/>
  <c r="AF44" i="71"/>
  <c r="AN43" i="56" s="1"/>
  <c r="AO43" i="56" s="1"/>
  <c r="H43" i="56" s="1"/>
  <c r="CK44" i="71"/>
  <c r="AF193" i="71"/>
  <c r="AN192" i="56" s="1"/>
  <c r="AO192" i="56" s="1"/>
  <c r="H192" i="56" s="1"/>
  <c r="AF74" i="71"/>
  <c r="AN73" i="56" s="1"/>
  <c r="AO73" i="56" s="1"/>
  <c r="H73" i="56" s="1"/>
  <c r="AF26" i="71"/>
  <c r="AN25" i="56" s="1"/>
  <c r="AO25" i="56" s="1"/>
  <c r="H25" i="56" s="1"/>
  <c r="AF33" i="71"/>
  <c r="AN32" i="56" s="1"/>
  <c r="AO32" i="56" s="1"/>
  <c r="H32" i="56" s="1"/>
  <c r="CK33" i="71"/>
  <c r="AF107" i="71"/>
  <c r="AN106" i="56" s="1"/>
  <c r="AO106" i="56" s="1"/>
  <c r="H106" i="56" s="1"/>
  <c r="CK107" i="71"/>
  <c r="AF10" i="71"/>
  <c r="AN9" i="56" s="1"/>
  <c r="AO9" i="56" s="1"/>
  <c r="H9" i="56" s="1"/>
  <c r="AF105" i="71"/>
  <c r="AN104" i="56" s="1"/>
  <c r="AO104" i="56" s="1"/>
  <c r="H104" i="56" s="1"/>
  <c r="AF84" i="71"/>
  <c r="AN83" i="56" s="1"/>
  <c r="AO83" i="56" s="1"/>
  <c r="H83" i="56" s="1"/>
  <c r="CK84" i="71"/>
  <c r="AF16" i="71"/>
  <c r="AN15" i="56" s="1"/>
  <c r="AO15" i="56" s="1"/>
  <c r="H15" i="56" s="1"/>
  <c r="AF23" i="71"/>
  <c r="AN22" i="56" s="1"/>
  <c r="AO22" i="56" s="1"/>
  <c r="H22" i="56" s="1"/>
  <c r="CK23" i="71"/>
  <c r="AF50" i="71"/>
  <c r="AN49" i="56" s="1"/>
  <c r="AO49" i="56" s="1"/>
  <c r="H49" i="56" s="1"/>
  <c r="AZ190" i="71"/>
  <c r="CH190" i="71"/>
  <c r="CK190" i="71" s="1"/>
  <c r="AZ110" i="71"/>
  <c r="CH110" i="71"/>
  <c r="CK110" i="71" s="1"/>
  <c r="BQ186" i="71"/>
  <c r="CH186" i="71"/>
  <c r="CK186" i="71" s="1"/>
  <c r="AZ78" i="71"/>
  <c r="CH78" i="71"/>
  <c r="CK78" i="71" s="1"/>
  <c r="AZ156" i="71"/>
  <c r="CH156" i="71"/>
  <c r="CK156" i="71" s="1"/>
  <c r="AZ32" i="71"/>
  <c r="CH32" i="71"/>
  <c r="CK32" i="71" s="1"/>
  <c r="BQ120" i="71"/>
  <c r="CH120" i="71"/>
  <c r="CK120" i="71" s="1"/>
  <c r="BQ104" i="71"/>
  <c r="CH104" i="71"/>
  <c r="CK104" i="71" s="1"/>
  <c r="BQ111" i="71"/>
  <c r="CH111" i="71"/>
  <c r="CK111" i="71" s="1"/>
  <c r="AZ66" i="71"/>
  <c r="CH66" i="71"/>
  <c r="CK66" i="71" s="1"/>
  <c r="BQ58" i="71"/>
  <c r="CH58" i="71"/>
  <c r="CK58" i="71" s="1"/>
  <c r="AZ194" i="71"/>
  <c r="CH194" i="71"/>
  <c r="CK194" i="71" s="1"/>
  <c r="AF42" i="71"/>
  <c r="AN41" i="56" s="1"/>
  <c r="AO41" i="56" s="1"/>
  <c r="H41" i="56" s="1"/>
  <c r="CK42" i="71"/>
  <c r="AZ160" i="71"/>
  <c r="CH160" i="71"/>
  <c r="CK160" i="71" s="1"/>
  <c r="BQ50" i="71"/>
  <c r="CH50" i="71"/>
  <c r="CK50" i="71" s="1"/>
  <c r="BQ103" i="71"/>
  <c r="AF91" i="71"/>
  <c r="AN90" i="56" s="1"/>
  <c r="AO90" i="56" s="1"/>
  <c r="H90" i="56" s="1"/>
  <c r="CK91" i="71"/>
  <c r="AF110" i="71"/>
  <c r="AN109" i="56" s="1"/>
  <c r="AO109" i="56" s="1"/>
  <c r="H109" i="56" s="1"/>
  <c r="AF206" i="71"/>
  <c r="AN205" i="56" s="1"/>
  <c r="AO205" i="56" s="1"/>
  <c r="H205" i="56" s="1"/>
  <c r="CK206" i="71"/>
  <c r="AF78" i="71"/>
  <c r="AN77" i="56" s="1"/>
  <c r="AO77" i="56" s="1"/>
  <c r="H77" i="56" s="1"/>
  <c r="AF156" i="71"/>
  <c r="AN155" i="56" s="1"/>
  <c r="AO155" i="56" s="1"/>
  <c r="H155" i="56" s="1"/>
  <c r="AF163" i="71"/>
  <c r="AN162" i="56" s="1"/>
  <c r="AO162" i="56" s="1"/>
  <c r="H162" i="56" s="1"/>
  <c r="CK163" i="71"/>
  <c r="AF104" i="71"/>
  <c r="AN103" i="56" s="1"/>
  <c r="AO103" i="56" s="1"/>
  <c r="H103" i="56" s="1"/>
  <c r="AF66" i="71"/>
  <c r="AN65" i="56" s="1"/>
  <c r="AO65" i="56" s="1"/>
  <c r="H65" i="56" s="1"/>
  <c r="AF194" i="71"/>
  <c r="AN193" i="56" s="1"/>
  <c r="AO193" i="56" s="1"/>
  <c r="H193" i="56" s="1"/>
  <c r="BQ102" i="71"/>
  <c r="CH102" i="71"/>
  <c r="CK102" i="71" s="1"/>
  <c r="BQ45" i="71"/>
  <c r="CH45" i="71"/>
  <c r="CK45" i="71" s="1"/>
  <c r="BQ131" i="71"/>
  <c r="CH131" i="71"/>
  <c r="CK131" i="71" s="1"/>
  <c r="BQ31" i="71"/>
  <c r="CH31" i="71"/>
  <c r="CK31" i="71" s="1"/>
  <c r="AZ106" i="71"/>
  <c r="CH106" i="71"/>
  <c r="CK106" i="71" s="1"/>
  <c r="BQ101" i="71"/>
  <c r="CH101" i="71"/>
  <c r="CK101" i="71" s="1"/>
  <c r="AZ65" i="71"/>
  <c r="CH65" i="71"/>
  <c r="CK65" i="71" s="1"/>
  <c r="AZ57" i="71"/>
  <c r="CH57" i="71"/>
  <c r="CK57" i="71" s="1"/>
  <c r="AF145" i="71"/>
  <c r="AN144" i="56" s="1"/>
  <c r="AO144" i="56" s="1"/>
  <c r="H144" i="56" s="1"/>
  <c r="CK145" i="71"/>
  <c r="AF188" i="71"/>
  <c r="AN187" i="56" s="1"/>
  <c r="AO187" i="56" s="1"/>
  <c r="H187" i="56" s="1"/>
  <c r="CK188" i="71"/>
  <c r="AZ139" i="71"/>
  <c r="CH139" i="71"/>
  <c r="CK139" i="71" s="1"/>
  <c r="AF208" i="71"/>
  <c r="AN207" i="56" s="1"/>
  <c r="AO207" i="56" s="1"/>
  <c r="H207" i="56" s="1"/>
  <c r="CK208" i="71"/>
  <c r="AF195" i="71"/>
  <c r="AN194" i="56" s="1"/>
  <c r="AO194" i="56" s="1"/>
  <c r="H194" i="56" s="1"/>
  <c r="CK195" i="71"/>
  <c r="BQ26" i="71"/>
  <c r="CH26" i="71"/>
  <c r="CK26" i="71" s="1"/>
  <c r="BQ152" i="71"/>
  <c r="CH152" i="71"/>
  <c r="AZ21" i="71"/>
  <c r="CH21" i="71"/>
  <c r="CK21" i="71" s="1"/>
  <c r="BQ109" i="71"/>
  <c r="CH109" i="71"/>
  <c r="CK109" i="71" s="1"/>
  <c r="BQ61" i="71"/>
  <c r="CH61" i="71"/>
  <c r="CK61" i="71" s="1"/>
  <c r="AZ19" i="71"/>
  <c r="CH19" i="71"/>
  <c r="CK19" i="71" s="1"/>
  <c r="BQ165" i="71"/>
  <c r="CH165" i="71"/>
  <c r="CK165" i="71" s="1"/>
  <c r="AZ192" i="71"/>
  <c r="CH192" i="71"/>
  <c r="CK192" i="71" s="1"/>
  <c r="BQ166" i="71"/>
  <c r="CH166" i="71"/>
  <c r="CK166" i="71" s="1"/>
  <c r="BQ63" i="71"/>
  <c r="CH63" i="71"/>
  <c r="CK63" i="71" s="1"/>
  <c r="AZ59" i="71"/>
  <c r="CH59" i="71"/>
  <c r="CK59" i="71" s="1"/>
  <c r="AF103" i="71"/>
  <c r="AN102" i="56" s="1"/>
  <c r="AO102" i="56" s="1"/>
  <c r="H102" i="56" s="1"/>
  <c r="CK103" i="71"/>
  <c r="AF128" i="71"/>
  <c r="AN127" i="56" s="1"/>
  <c r="AO127" i="56" s="1"/>
  <c r="H127" i="56" s="1"/>
  <c r="CK128" i="71"/>
  <c r="AZ208" i="71"/>
  <c r="CK152" i="71"/>
  <c r="AF21" i="71"/>
  <c r="AN20" i="56" s="1"/>
  <c r="AO20" i="56" s="1"/>
  <c r="H20" i="56" s="1"/>
  <c r="AF61" i="71"/>
  <c r="AN60" i="56" s="1"/>
  <c r="AO60" i="56" s="1"/>
  <c r="H60" i="56" s="1"/>
  <c r="AF75" i="71"/>
  <c r="AN74" i="56" s="1"/>
  <c r="AO74" i="56" s="1"/>
  <c r="H74" i="56" s="1"/>
  <c r="CK75" i="71"/>
  <c r="AF151" i="71"/>
  <c r="AN150" i="56" s="1"/>
  <c r="AO150" i="56" s="1"/>
  <c r="H150" i="56" s="1"/>
  <c r="CK151" i="71"/>
  <c r="AF137" i="71"/>
  <c r="AN136" i="56" s="1"/>
  <c r="AO136" i="56" s="1"/>
  <c r="H136" i="56" s="1"/>
  <c r="CK137" i="71"/>
  <c r="AF119" i="71"/>
  <c r="AN118" i="56" s="1"/>
  <c r="AO118" i="56" s="1"/>
  <c r="H118" i="56" s="1"/>
  <c r="CK119" i="71"/>
  <c r="AF166" i="71"/>
  <c r="AN165" i="56" s="1"/>
  <c r="AO165" i="56" s="1"/>
  <c r="H165" i="56" s="1"/>
  <c r="AF55" i="71"/>
  <c r="AN54" i="56" s="1"/>
  <c r="AO54" i="56" s="1"/>
  <c r="H54" i="56" s="1"/>
  <c r="CK55" i="71"/>
  <c r="BQ90" i="71"/>
  <c r="CH90" i="71"/>
  <c r="CK90" i="71" s="1"/>
  <c r="AZ185" i="71"/>
  <c r="CH185" i="71"/>
  <c r="CK185" i="71" s="1"/>
  <c r="AZ203" i="71"/>
  <c r="CH203" i="71"/>
  <c r="CK203" i="71" s="1"/>
  <c r="AZ182" i="71"/>
  <c r="CH182" i="71"/>
  <c r="CK182" i="71" s="1"/>
  <c r="AZ153" i="71"/>
  <c r="CH153" i="71"/>
  <c r="CK153" i="71" s="1"/>
  <c r="BQ146" i="71"/>
  <c r="CH146" i="71"/>
  <c r="CK146" i="71" s="1"/>
  <c r="AZ167" i="71"/>
  <c r="CH167" i="71"/>
  <c r="CK167" i="71" s="1"/>
  <c r="BQ124" i="71"/>
  <c r="CH124" i="71"/>
  <c r="CK124" i="71" s="1"/>
  <c r="BQ100" i="71"/>
  <c r="CH100" i="71"/>
  <c r="CK100" i="71" s="1"/>
  <c r="BQ67" i="71"/>
  <c r="AF67" i="71"/>
  <c r="AN66" i="56" s="1"/>
  <c r="AO66" i="56" s="1"/>
  <c r="H66" i="56" s="1"/>
  <c r="CK67" i="71"/>
  <c r="BQ53" i="71"/>
  <c r="CH53" i="71"/>
  <c r="CK53" i="71" s="1"/>
  <c r="BQ74" i="71"/>
  <c r="CH74" i="71"/>
  <c r="CK74" i="71" s="1"/>
  <c r="BQ16" i="71"/>
  <c r="CH16" i="71"/>
  <c r="CK16" i="71" s="1"/>
  <c r="AZ179" i="71"/>
  <c r="BQ132" i="71"/>
  <c r="AF90" i="71"/>
  <c r="AN89" i="56" s="1"/>
  <c r="AO89" i="56" s="1"/>
  <c r="H89" i="56" s="1"/>
  <c r="AF150" i="71"/>
  <c r="AN149" i="56" s="1"/>
  <c r="AO149" i="56" s="1"/>
  <c r="H149" i="56" s="1"/>
  <c r="CK150" i="71"/>
  <c r="AF185" i="71"/>
  <c r="AN184" i="56" s="1"/>
  <c r="AO184" i="56" s="1"/>
  <c r="H184" i="56" s="1"/>
  <c r="AF162" i="71"/>
  <c r="AN161" i="56" s="1"/>
  <c r="AO161" i="56" s="1"/>
  <c r="H161" i="56" s="1"/>
  <c r="CK162" i="71"/>
  <c r="AF203" i="71"/>
  <c r="AN202" i="56" s="1"/>
  <c r="AO202" i="56" s="1"/>
  <c r="H202" i="56" s="1"/>
  <c r="AF182" i="71"/>
  <c r="AN181" i="56" s="1"/>
  <c r="AO181" i="56" s="1"/>
  <c r="H181" i="56" s="1"/>
  <c r="AF175" i="71"/>
  <c r="AN174" i="56" s="1"/>
  <c r="AO174" i="56" s="1"/>
  <c r="H174" i="56" s="1"/>
  <c r="CK175" i="71"/>
  <c r="AF153" i="71"/>
  <c r="AN152" i="56" s="1"/>
  <c r="AO152" i="56" s="1"/>
  <c r="H152" i="56" s="1"/>
  <c r="AF146" i="71"/>
  <c r="AN145" i="56" s="1"/>
  <c r="AO145" i="56" s="1"/>
  <c r="H145" i="56" s="1"/>
  <c r="AF167" i="71"/>
  <c r="AN166" i="56" s="1"/>
  <c r="AO166" i="56" s="1"/>
  <c r="H166" i="56" s="1"/>
  <c r="AF124" i="71"/>
  <c r="AN123" i="56" s="1"/>
  <c r="AO123" i="56" s="1"/>
  <c r="H123" i="56" s="1"/>
  <c r="AF117" i="71"/>
  <c r="AN116" i="56" s="1"/>
  <c r="AO116" i="56" s="1"/>
  <c r="H116" i="56" s="1"/>
  <c r="CK117" i="71"/>
  <c r="AF100" i="71"/>
  <c r="AN99" i="56" s="1"/>
  <c r="AO99" i="56" s="1"/>
  <c r="H99" i="56" s="1"/>
  <c r="AF80" i="71"/>
  <c r="AN79" i="56" s="1"/>
  <c r="AO79" i="56" s="1"/>
  <c r="H79" i="56" s="1"/>
  <c r="CK80" i="71"/>
  <c r="AF64" i="71"/>
  <c r="AN63" i="56" s="1"/>
  <c r="AO63" i="56" s="1"/>
  <c r="H63" i="56" s="1"/>
  <c r="CK64" i="71"/>
  <c r="AF22" i="71"/>
  <c r="AN21" i="56" s="1"/>
  <c r="AO21" i="56" s="1"/>
  <c r="H21" i="56" s="1"/>
  <c r="CK22" i="71"/>
  <c r="AF13" i="71"/>
  <c r="AN12" i="56" s="1"/>
  <c r="AO12" i="56" s="1"/>
  <c r="H12" i="56" s="1"/>
  <c r="CK13" i="71"/>
  <c r="BQ202" i="71"/>
  <c r="CH202" i="71"/>
  <c r="CK202" i="71" s="1"/>
  <c r="BQ12" i="71"/>
  <c r="CH12" i="71"/>
  <c r="CK12" i="71" s="1"/>
  <c r="AZ172" i="71"/>
  <c r="CH172" i="71"/>
  <c r="CK172" i="71" s="1"/>
  <c r="AZ180" i="71"/>
  <c r="CH180" i="71"/>
  <c r="CK180" i="71" s="1"/>
  <c r="BQ11" i="71"/>
  <c r="CH11" i="71"/>
  <c r="CK11" i="71" s="1"/>
  <c r="AF179" i="71"/>
  <c r="AN178" i="56" s="1"/>
  <c r="AO178" i="56" s="1"/>
  <c r="H178" i="56" s="1"/>
  <c r="CK179" i="71"/>
  <c r="AZ193" i="71"/>
  <c r="CH193" i="71"/>
  <c r="CK193" i="71" s="1"/>
  <c r="AZ132" i="71"/>
  <c r="AF134" i="71"/>
  <c r="AN133" i="56" s="1"/>
  <c r="AO133" i="56" s="1"/>
  <c r="H133" i="56" s="1"/>
  <c r="CK134" i="71"/>
  <c r="AF12" i="71"/>
  <c r="AN11" i="56" s="1"/>
  <c r="AO11" i="56" s="1"/>
  <c r="H11" i="56" s="1"/>
  <c r="AF180" i="71"/>
  <c r="AN179" i="56" s="1"/>
  <c r="AO179" i="56" s="1"/>
  <c r="H179" i="56" s="1"/>
  <c r="AF43" i="71"/>
  <c r="AN42" i="56" s="1"/>
  <c r="AO42" i="56" s="1"/>
  <c r="H42" i="56" s="1"/>
  <c r="CK43" i="71"/>
  <c r="AF136" i="71"/>
  <c r="AN135" i="56" s="1"/>
  <c r="AO135" i="56" s="1"/>
  <c r="H135" i="56" s="1"/>
  <c r="CK136" i="71"/>
  <c r="AF115" i="71"/>
  <c r="AN114" i="56" s="1"/>
  <c r="AO114" i="56" s="1"/>
  <c r="H114" i="56" s="1"/>
  <c r="CK115" i="71"/>
  <c r="AF37" i="71"/>
  <c r="AN36" i="56" s="1"/>
  <c r="AO36" i="56" s="1"/>
  <c r="H36" i="56" s="1"/>
  <c r="CK37" i="71"/>
  <c r="AF54" i="71"/>
  <c r="AN53" i="56" s="1"/>
  <c r="AO53" i="56" s="1"/>
  <c r="H53" i="56" s="1"/>
  <c r="CK54" i="71"/>
  <c r="BQ72" i="71"/>
  <c r="CH72" i="71"/>
  <c r="CK72" i="71" s="1"/>
  <c r="AF169" i="71"/>
  <c r="AN168" i="56" s="1"/>
  <c r="AO168" i="56" s="1"/>
  <c r="H168" i="56" s="1"/>
  <c r="CK169" i="71"/>
  <c r="CK141" i="71"/>
  <c r="AF138" i="71"/>
  <c r="AN137" i="56" s="1"/>
  <c r="AO137" i="56" s="1"/>
  <c r="H137" i="56" s="1"/>
  <c r="CK138" i="71"/>
  <c r="AF72" i="71"/>
  <c r="AN71" i="56" s="1"/>
  <c r="AO71" i="56" s="1"/>
  <c r="H71" i="56" s="1"/>
  <c r="AF47" i="71"/>
  <c r="AN46" i="56" s="1"/>
  <c r="AO46" i="56" s="1"/>
  <c r="H46" i="56" s="1"/>
  <c r="CK47" i="71"/>
  <c r="AF81" i="71"/>
  <c r="AN80" i="56" s="1"/>
  <c r="AO80" i="56" s="1"/>
  <c r="H80" i="56" s="1"/>
  <c r="CK81" i="71"/>
  <c r="AF85" i="71"/>
  <c r="AN84" i="56" s="1"/>
  <c r="AO84" i="56" s="1"/>
  <c r="H84" i="56" s="1"/>
  <c r="CK85" i="71"/>
  <c r="AF40" i="71"/>
  <c r="AN39" i="56" s="1"/>
  <c r="AO39" i="56" s="1"/>
  <c r="H39" i="56" s="1"/>
  <c r="CK40" i="71"/>
  <c r="AF171" i="71"/>
  <c r="AN170" i="56" s="1"/>
  <c r="AO170" i="56" s="1"/>
  <c r="H170" i="56" s="1"/>
  <c r="CK171" i="71"/>
  <c r="AF148" i="71"/>
  <c r="AN147" i="56" s="1"/>
  <c r="AO147" i="56" s="1"/>
  <c r="H147" i="56" s="1"/>
  <c r="CK148" i="71"/>
  <c r="AF143" i="71"/>
  <c r="AN142" i="56" s="1"/>
  <c r="AO142" i="56" s="1"/>
  <c r="H142" i="56" s="1"/>
  <c r="CK143" i="71"/>
  <c r="AF135" i="71"/>
  <c r="AN134" i="56" s="1"/>
  <c r="AO134" i="56" s="1"/>
  <c r="H134" i="56" s="1"/>
  <c r="CK135" i="71"/>
  <c r="AF123" i="71"/>
  <c r="AN122" i="56" s="1"/>
  <c r="AO122" i="56" s="1"/>
  <c r="H122" i="56" s="1"/>
  <c r="CK123" i="71"/>
  <c r="AF116" i="71"/>
  <c r="AN115" i="56" s="1"/>
  <c r="AO115" i="56" s="1"/>
  <c r="H115" i="56" s="1"/>
  <c r="CK116" i="71"/>
  <c r="AF97" i="71"/>
  <c r="AN96" i="56" s="1"/>
  <c r="AO96" i="56" s="1"/>
  <c r="H96" i="56" s="1"/>
  <c r="CK97" i="71"/>
  <c r="AF27" i="71"/>
  <c r="AN26" i="56" s="1"/>
  <c r="AO26" i="56" s="1"/>
  <c r="H26" i="56" s="1"/>
  <c r="CK27" i="71"/>
  <c r="AF177" i="71"/>
  <c r="AN176" i="56" s="1"/>
  <c r="AO176" i="56" s="1"/>
  <c r="H176" i="56" s="1"/>
  <c r="CK177" i="71"/>
  <c r="AZ68" i="71"/>
  <c r="CH68" i="71"/>
  <c r="CK68" i="71" s="1"/>
  <c r="AZ199" i="71"/>
  <c r="CH199" i="71"/>
  <c r="CK199" i="71" s="1"/>
  <c r="AZ73" i="71"/>
  <c r="CH73" i="71"/>
  <c r="CK73" i="71" s="1"/>
  <c r="AZ79" i="71"/>
  <c r="CH79" i="71"/>
  <c r="CK79" i="71" s="1"/>
  <c r="AF87" i="71"/>
  <c r="AN86" i="56" s="1"/>
  <c r="AO86" i="56" s="1"/>
  <c r="H86" i="56" s="1"/>
  <c r="AZ201" i="71"/>
  <c r="CH201" i="71"/>
  <c r="CK201" i="71" s="1"/>
  <c r="AF108" i="71"/>
  <c r="AN107" i="56" s="1"/>
  <c r="AO107" i="56" s="1"/>
  <c r="H107" i="56" s="1"/>
  <c r="CK108" i="71"/>
  <c r="AZ207" i="71"/>
  <c r="CH207" i="71"/>
  <c r="CK207" i="71" s="1"/>
  <c r="AF142" i="71"/>
  <c r="AN141" i="56" s="1"/>
  <c r="AO141" i="56" s="1"/>
  <c r="H141" i="56" s="1"/>
  <c r="CK142" i="71"/>
  <c r="AF51" i="71"/>
  <c r="AN50" i="56" s="1"/>
  <c r="AO50" i="56" s="1"/>
  <c r="H50" i="56" s="1"/>
  <c r="CK51" i="71"/>
  <c r="AF191" i="71"/>
  <c r="AN190" i="56" s="1"/>
  <c r="AO190" i="56" s="1"/>
  <c r="H190" i="56" s="1"/>
  <c r="CK191" i="71"/>
  <c r="AF39" i="71"/>
  <c r="AN38" i="56" s="1"/>
  <c r="AO38" i="56" s="1"/>
  <c r="H38" i="56" s="1"/>
  <c r="CK39" i="71"/>
  <c r="AF174" i="71"/>
  <c r="AN173" i="56" s="1"/>
  <c r="AO173" i="56" s="1"/>
  <c r="H173" i="56" s="1"/>
  <c r="CK174" i="71"/>
  <c r="AF197" i="71"/>
  <c r="AN196" i="56" s="1"/>
  <c r="AO196" i="56" s="1"/>
  <c r="H196" i="56" s="1"/>
  <c r="CK197" i="71"/>
  <c r="AF96" i="71"/>
  <c r="AN95" i="56" s="1"/>
  <c r="AO95" i="56" s="1"/>
  <c r="H95" i="56" s="1"/>
  <c r="CK96" i="71"/>
  <c r="AF25" i="71"/>
  <c r="AN24" i="56" s="1"/>
  <c r="AO24" i="56" s="1"/>
  <c r="H24" i="56" s="1"/>
  <c r="CK25" i="71"/>
  <c r="AF8" i="71"/>
  <c r="AN7" i="56" s="1"/>
  <c r="AO7" i="56" s="1"/>
  <c r="H7" i="56" s="1"/>
  <c r="CK8" i="71"/>
  <c r="AZ92" i="71"/>
  <c r="CH92" i="71"/>
  <c r="CK92" i="71" s="1"/>
  <c r="AZ94" i="71"/>
  <c r="CH94" i="71"/>
  <c r="CK94" i="71" s="1"/>
  <c r="BQ168" i="71"/>
  <c r="CH168" i="71"/>
  <c r="CK168" i="71" s="1"/>
  <c r="BQ36" i="71"/>
  <c r="CH36" i="71"/>
  <c r="CK36" i="71" s="1"/>
  <c r="BQ164" i="71"/>
  <c r="CH164" i="71"/>
  <c r="CK164" i="71" s="1"/>
  <c r="BQ144" i="71"/>
  <c r="CH144" i="71"/>
  <c r="CK144" i="71" s="1"/>
  <c r="BQ71" i="71"/>
  <c r="CH71" i="71"/>
  <c r="CK71" i="71" s="1"/>
  <c r="AZ69" i="71"/>
  <c r="CH69" i="71"/>
  <c r="CK69" i="71" s="1"/>
  <c r="BQ7" i="71"/>
  <c r="CH7" i="71"/>
  <c r="CK7" i="71" s="1"/>
  <c r="AF17" i="71"/>
  <c r="AN16" i="56" s="1"/>
  <c r="AO16" i="56" s="1"/>
  <c r="H16" i="56" s="1"/>
  <c r="CK17" i="71"/>
  <c r="AZ15" i="71"/>
  <c r="CH15" i="71"/>
  <c r="CK15" i="71" s="1"/>
  <c r="AZ88" i="71"/>
  <c r="CH88" i="71"/>
  <c r="CK88" i="71" s="1"/>
  <c r="CK76" i="71"/>
  <c r="CK184" i="71"/>
  <c r="BQ10" i="71"/>
  <c r="CH10" i="71"/>
  <c r="CK10" i="71" s="1"/>
  <c r="AF200" i="71"/>
  <c r="AN199" i="56" s="1"/>
  <c r="AO199" i="56" s="1"/>
  <c r="H199" i="56" s="1"/>
  <c r="CK200" i="71"/>
  <c r="AF92" i="71"/>
  <c r="AN91" i="56" s="1"/>
  <c r="AO91" i="56" s="1"/>
  <c r="H91" i="56" s="1"/>
  <c r="AF94" i="71"/>
  <c r="AN93" i="56" s="1"/>
  <c r="AO93" i="56" s="1"/>
  <c r="H93" i="56" s="1"/>
  <c r="AF196" i="71"/>
  <c r="AN195" i="56" s="1"/>
  <c r="AO195" i="56" s="1"/>
  <c r="H195" i="56" s="1"/>
  <c r="CK196" i="71"/>
  <c r="AF168" i="71"/>
  <c r="AN167" i="56" s="1"/>
  <c r="AO167" i="56" s="1"/>
  <c r="H167" i="56" s="1"/>
  <c r="AF205" i="71"/>
  <c r="AN204" i="56" s="1"/>
  <c r="AO204" i="56" s="1"/>
  <c r="H204" i="56" s="1"/>
  <c r="CK205" i="71"/>
  <c r="AF36" i="71"/>
  <c r="AN35" i="56" s="1"/>
  <c r="AO35" i="56" s="1"/>
  <c r="H35" i="56" s="1"/>
  <c r="AF164" i="71"/>
  <c r="AN163" i="56" s="1"/>
  <c r="AO163" i="56" s="1"/>
  <c r="H163" i="56" s="1"/>
  <c r="AF144" i="71"/>
  <c r="AN143" i="56" s="1"/>
  <c r="AO143" i="56" s="1"/>
  <c r="H143" i="56" s="1"/>
  <c r="AF46" i="71"/>
  <c r="AN45" i="56" s="1"/>
  <c r="AO45" i="56" s="1"/>
  <c r="H45" i="56" s="1"/>
  <c r="CK46" i="71"/>
  <c r="AF71" i="71"/>
  <c r="AN70" i="56" s="1"/>
  <c r="AO70" i="56" s="1"/>
  <c r="H70" i="56" s="1"/>
  <c r="AF114" i="71"/>
  <c r="AN113" i="56" s="1"/>
  <c r="AO113" i="56" s="1"/>
  <c r="H113" i="56" s="1"/>
  <c r="CK114" i="71"/>
  <c r="AF93" i="71"/>
  <c r="AN92" i="56" s="1"/>
  <c r="AO92" i="56" s="1"/>
  <c r="H92" i="56" s="1"/>
  <c r="CK93" i="71"/>
  <c r="AF69" i="71"/>
  <c r="AN68" i="56" s="1"/>
  <c r="AO68" i="56" s="1"/>
  <c r="H68" i="56" s="1"/>
  <c r="AF24" i="71"/>
  <c r="AN23" i="56" s="1"/>
  <c r="AO23" i="56" s="1"/>
  <c r="H23" i="56" s="1"/>
  <c r="CK24" i="71"/>
  <c r="AF20" i="71"/>
  <c r="AN19" i="56" s="1"/>
  <c r="AO19" i="56" s="1"/>
  <c r="H19" i="56" s="1"/>
  <c r="CK20" i="71"/>
  <c r="AF7" i="71"/>
  <c r="AN6" i="56" s="1"/>
  <c r="AO6" i="56" s="1"/>
  <c r="H6" i="56" s="1"/>
  <c r="BQ41" i="71"/>
  <c r="CH41" i="71"/>
  <c r="CK41" i="71" s="1"/>
  <c r="BQ149" i="71"/>
  <c r="CH149" i="71"/>
  <c r="CK149" i="71" s="1"/>
  <c r="BQ113" i="71"/>
  <c r="CH113" i="71"/>
  <c r="CK113" i="71" s="1"/>
  <c r="BQ170" i="71"/>
  <c r="CH170" i="71"/>
  <c r="CK170" i="71" s="1"/>
  <c r="BQ118" i="71"/>
  <c r="CH118" i="71"/>
  <c r="CK118" i="71" s="1"/>
  <c r="AF122" i="71"/>
  <c r="AN121" i="56" s="1"/>
  <c r="AO121" i="56" s="1"/>
  <c r="H121" i="56" s="1"/>
  <c r="CK122" i="71"/>
  <c r="AF159" i="71"/>
  <c r="AN158" i="56" s="1"/>
  <c r="AO158" i="56" s="1"/>
  <c r="H158" i="56" s="1"/>
  <c r="CK159" i="71"/>
  <c r="AF132" i="71"/>
  <c r="AN131" i="56" s="1"/>
  <c r="AO131" i="56" s="1"/>
  <c r="H131" i="56" s="1"/>
  <c r="CK132" i="71"/>
  <c r="AF127" i="71"/>
  <c r="AN126" i="56" s="1"/>
  <c r="AO126" i="56" s="1"/>
  <c r="H126" i="56" s="1"/>
  <c r="CK127" i="71"/>
  <c r="CK95" i="71"/>
  <c r="AF38" i="71"/>
  <c r="AN37" i="56" s="1"/>
  <c r="AO37" i="56" s="1"/>
  <c r="H37" i="56" s="1"/>
  <c r="CK38" i="71"/>
  <c r="CK176" i="71"/>
  <c r="AF189" i="71"/>
  <c r="AN188" i="56" s="1"/>
  <c r="AO188" i="56" s="1"/>
  <c r="H188" i="56" s="1"/>
  <c r="CK189" i="71"/>
  <c r="AF161" i="71"/>
  <c r="AN160" i="56" s="1"/>
  <c r="AO160" i="56" s="1"/>
  <c r="H160" i="56" s="1"/>
  <c r="CK161" i="71"/>
  <c r="AF140" i="71"/>
  <c r="AN139" i="56" s="1"/>
  <c r="AO139" i="56" s="1"/>
  <c r="H139" i="56" s="1"/>
  <c r="CK140" i="71"/>
  <c r="AF121" i="71"/>
  <c r="AN120" i="56" s="1"/>
  <c r="AO120" i="56" s="1"/>
  <c r="H120" i="56" s="1"/>
  <c r="CK121" i="71"/>
  <c r="AF35" i="71"/>
  <c r="AN34" i="56" s="1"/>
  <c r="AO34" i="56" s="1"/>
  <c r="H34" i="56" s="1"/>
  <c r="CK35" i="71"/>
  <c r="AF60" i="71"/>
  <c r="AN59" i="56" s="1"/>
  <c r="AO59" i="56" s="1"/>
  <c r="H59" i="56" s="1"/>
  <c r="CK60" i="71"/>
  <c r="AF14" i="71"/>
  <c r="AN13" i="56" s="1"/>
  <c r="AO13" i="56" s="1"/>
  <c r="H13" i="56" s="1"/>
  <c r="CK14" i="71"/>
  <c r="BQ87" i="71"/>
  <c r="CH87" i="71"/>
  <c r="CK87" i="71" s="1"/>
  <c r="D212" i="56"/>
  <c r="D211" i="66"/>
  <c r="D217" i="56"/>
  <c r="D216" i="66"/>
  <c r="E220" i="56"/>
  <c r="E219" i="66"/>
  <c r="AF198" i="71"/>
  <c r="AN197" i="56" s="1"/>
  <c r="AO197" i="56" s="1"/>
  <c r="H197" i="56" s="1"/>
  <c r="AF129" i="71"/>
  <c r="AN128" i="56" s="1"/>
  <c r="AO128" i="56" s="1"/>
  <c r="H128" i="56" s="1"/>
  <c r="AF112" i="71"/>
  <c r="AN111" i="56" s="1"/>
  <c r="AO111" i="56" s="1"/>
  <c r="H111" i="56" s="1"/>
  <c r="AF89" i="71"/>
  <c r="AN88" i="56" s="1"/>
  <c r="AO88" i="56" s="1"/>
  <c r="H88" i="56" s="1"/>
  <c r="AF18" i="71"/>
  <c r="AN17" i="56" s="1"/>
  <c r="AO17" i="56" s="1"/>
  <c r="H17" i="56" s="1"/>
  <c r="AF181" i="71"/>
  <c r="AN180" i="56" s="1"/>
  <c r="AO180" i="56" s="1"/>
  <c r="H180" i="56" s="1"/>
  <c r="AF98" i="71"/>
  <c r="AN97" i="56" s="1"/>
  <c r="AO97" i="56" s="1"/>
  <c r="H97" i="56" s="1"/>
  <c r="AF6" i="71"/>
  <c r="AN5" i="56" s="1"/>
  <c r="AO5" i="56" s="1"/>
  <c r="H5" i="56" s="1"/>
  <c r="D228" i="56"/>
  <c r="D227" i="66"/>
  <c r="D216" i="56"/>
  <c r="D215" i="66"/>
  <c r="E219" i="56"/>
  <c r="E218" i="66"/>
  <c r="D227" i="56"/>
  <c r="D226" i="66"/>
  <c r="D215" i="56"/>
  <c r="D214" i="66"/>
  <c r="E218" i="56"/>
  <c r="E217" i="66"/>
  <c r="D226" i="56"/>
  <c r="D225" i="66"/>
  <c r="E213" i="56"/>
  <c r="E212" i="66"/>
  <c r="D224" i="56"/>
  <c r="D223" i="66"/>
  <c r="AF102" i="71"/>
  <c r="AN101" i="56" s="1"/>
  <c r="AO101" i="56" s="1"/>
  <c r="H101" i="56" s="1"/>
  <c r="AF49" i="71"/>
  <c r="AN48" i="56" s="1"/>
  <c r="AO48" i="56" s="1"/>
  <c r="H48" i="56" s="1"/>
  <c r="AF187" i="71"/>
  <c r="AN186" i="56" s="1"/>
  <c r="AO186" i="56" s="1"/>
  <c r="H186" i="56" s="1"/>
  <c r="AF45" i="71"/>
  <c r="AN44" i="56" s="1"/>
  <c r="AO44" i="56" s="1"/>
  <c r="H44" i="56" s="1"/>
  <c r="AF204" i="71"/>
  <c r="AN203" i="56" s="1"/>
  <c r="AO203" i="56" s="1"/>
  <c r="H203" i="56" s="1"/>
  <c r="AF183" i="71"/>
  <c r="AN182" i="56" s="1"/>
  <c r="AO182" i="56" s="1"/>
  <c r="H182" i="56" s="1"/>
  <c r="AF77" i="71"/>
  <c r="AN76" i="56" s="1"/>
  <c r="AO76" i="56" s="1"/>
  <c r="H76" i="56" s="1"/>
  <c r="AF131" i="71"/>
  <c r="AN130" i="56" s="1"/>
  <c r="AO130" i="56" s="1"/>
  <c r="H130" i="56" s="1"/>
  <c r="AF155" i="71"/>
  <c r="AN154" i="56" s="1"/>
  <c r="AO154" i="56" s="1"/>
  <c r="H154" i="56" s="1"/>
  <c r="AF31" i="71"/>
  <c r="AN30" i="56" s="1"/>
  <c r="AO30" i="56" s="1"/>
  <c r="H30" i="56" s="1"/>
  <c r="AF30" i="71"/>
  <c r="AN29" i="56" s="1"/>
  <c r="AO29" i="56" s="1"/>
  <c r="H29" i="56" s="1"/>
  <c r="AF106" i="71"/>
  <c r="AN105" i="56" s="1"/>
  <c r="AO105" i="56" s="1"/>
  <c r="H105" i="56" s="1"/>
  <c r="AF101" i="71"/>
  <c r="AN100" i="56" s="1"/>
  <c r="AO100" i="56" s="1"/>
  <c r="H100" i="56" s="1"/>
  <c r="AF82" i="71"/>
  <c r="AN81" i="56" s="1"/>
  <c r="AO81" i="56" s="1"/>
  <c r="H81" i="56" s="1"/>
  <c r="AF65" i="71"/>
  <c r="AN64" i="56" s="1"/>
  <c r="AO64" i="56" s="1"/>
  <c r="H64" i="56" s="1"/>
  <c r="AF57" i="71"/>
  <c r="AN56" i="56" s="1"/>
  <c r="AO56" i="56" s="1"/>
  <c r="H56" i="56" s="1"/>
  <c r="AF48" i="71"/>
  <c r="AN47" i="56" s="1"/>
  <c r="AO47" i="56" s="1"/>
  <c r="H47" i="56" s="1"/>
  <c r="D223" i="56"/>
  <c r="D222" i="66"/>
  <c r="E228" i="56"/>
  <c r="E227" i="66"/>
  <c r="E216" i="56"/>
  <c r="E215" i="66"/>
  <c r="E212" i="56"/>
  <c r="E211" i="66"/>
  <c r="E217" i="56"/>
  <c r="E216" i="66"/>
  <c r="D222" i="56"/>
  <c r="D221" i="66"/>
  <c r="E227" i="56"/>
  <c r="E226" i="66"/>
  <c r="E215" i="56"/>
  <c r="E214" i="66"/>
  <c r="D221" i="56"/>
  <c r="D220" i="66"/>
  <c r="E226" i="56"/>
  <c r="E225" i="66"/>
  <c r="D220" i="56"/>
  <c r="D219" i="66"/>
  <c r="E224" i="56"/>
  <c r="E223" i="66"/>
  <c r="AZ183" i="71"/>
  <c r="AF52" i="71"/>
  <c r="AN51" i="56" s="1"/>
  <c r="AO51" i="56" s="1"/>
  <c r="H51" i="56" s="1"/>
  <c r="AF9" i="71"/>
  <c r="AN8" i="56" s="1"/>
  <c r="AO8" i="56" s="1"/>
  <c r="H8" i="56" s="1"/>
  <c r="D219" i="56"/>
  <c r="D218" i="66"/>
  <c r="E223" i="56"/>
  <c r="E222" i="66"/>
  <c r="D218" i="56"/>
  <c r="D217" i="66"/>
  <c r="E222" i="56"/>
  <c r="E221" i="66"/>
  <c r="D213" i="56"/>
  <c r="D212" i="66"/>
  <c r="E221" i="56"/>
  <c r="E220" i="66"/>
  <c r="AZ118" i="71"/>
  <c r="BQ130" i="71"/>
  <c r="AZ202" i="71"/>
  <c r="AZ62" i="71"/>
  <c r="AF178" i="71"/>
  <c r="AN177" i="56" s="1"/>
  <c r="AO177" i="56" s="1"/>
  <c r="H177" i="56" s="1"/>
  <c r="AF190" i="71"/>
  <c r="AN189" i="56" s="1"/>
  <c r="AO189" i="56" s="1"/>
  <c r="H189" i="56" s="1"/>
  <c r="AF95" i="71"/>
  <c r="AN94" i="56" s="1"/>
  <c r="AO94" i="56" s="1"/>
  <c r="H94" i="56" s="1"/>
  <c r="AF202" i="71"/>
  <c r="AN201" i="56" s="1"/>
  <c r="AO201" i="56" s="1"/>
  <c r="H201" i="56" s="1"/>
  <c r="AF157" i="71"/>
  <c r="AN156" i="56" s="1"/>
  <c r="AO156" i="56" s="1"/>
  <c r="H156" i="56" s="1"/>
  <c r="AF176" i="71"/>
  <c r="AN175" i="56" s="1"/>
  <c r="AO175" i="56" s="1"/>
  <c r="H175" i="56" s="1"/>
  <c r="AF172" i="71"/>
  <c r="AN171" i="56" s="1"/>
  <c r="AO171" i="56" s="1"/>
  <c r="H171" i="56" s="1"/>
  <c r="AF186" i="71"/>
  <c r="AN185" i="56" s="1"/>
  <c r="AO185" i="56" s="1"/>
  <c r="H185" i="56" s="1"/>
  <c r="AF41" i="71"/>
  <c r="AN40" i="56" s="1"/>
  <c r="AO40" i="56" s="1"/>
  <c r="H40" i="56" s="1"/>
  <c r="AF173" i="71"/>
  <c r="AN172" i="56" s="1"/>
  <c r="AO172" i="56" s="1"/>
  <c r="H172" i="56" s="1"/>
  <c r="AF158" i="71"/>
  <c r="AN157" i="56" s="1"/>
  <c r="AO157" i="56" s="1"/>
  <c r="H157" i="56" s="1"/>
  <c r="AF149" i="71"/>
  <c r="AN148" i="56" s="1"/>
  <c r="AO148" i="56" s="1"/>
  <c r="H148" i="56" s="1"/>
  <c r="AF83" i="71"/>
  <c r="AN82" i="56" s="1"/>
  <c r="AO82" i="56" s="1"/>
  <c r="H82" i="56" s="1"/>
  <c r="AF32" i="71"/>
  <c r="AN31" i="56" s="1"/>
  <c r="AO31" i="56" s="1"/>
  <c r="H31" i="56" s="1"/>
  <c r="AF130" i="71"/>
  <c r="AN129" i="56" s="1"/>
  <c r="AO129" i="56" s="1"/>
  <c r="H129" i="56" s="1"/>
  <c r="AF34" i="71"/>
  <c r="AN33" i="56" s="1"/>
  <c r="AO33" i="56" s="1"/>
  <c r="H33" i="56" s="1"/>
  <c r="AF120" i="71"/>
  <c r="AN119" i="56" s="1"/>
  <c r="AO119" i="56" s="1"/>
  <c r="H119" i="56" s="1"/>
  <c r="AF113" i="71"/>
  <c r="AN112" i="56" s="1"/>
  <c r="AO112" i="56" s="1"/>
  <c r="H112" i="56" s="1"/>
  <c r="AF99" i="71"/>
  <c r="AN98" i="56" s="1"/>
  <c r="AO98" i="56" s="1"/>
  <c r="H98" i="56" s="1"/>
  <c r="AF111" i="71"/>
  <c r="AN110" i="56" s="1"/>
  <c r="AO110" i="56" s="1"/>
  <c r="H110" i="56" s="1"/>
  <c r="AF170" i="71"/>
  <c r="AN169" i="56" s="1"/>
  <c r="AO169" i="56" s="1"/>
  <c r="H169" i="56" s="1"/>
  <c r="AF62" i="71"/>
  <c r="AN61" i="56" s="1"/>
  <c r="AO61" i="56" s="1"/>
  <c r="H61" i="56" s="1"/>
  <c r="AF58" i="71"/>
  <c r="AN57" i="56" s="1"/>
  <c r="AO57" i="56" s="1"/>
  <c r="H57" i="56" s="1"/>
  <c r="AF118" i="71"/>
  <c r="AN117" i="56" s="1"/>
  <c r="AO117" i="56" s="1"/>
  <c r="H117" i="56" s="1"/>
  <c r="AF11" i="71"/>
  <c r="AN10" i="56" s="1"/>
  <c r="AO10" i="56" s="1"/>
  <c r="H10" i="56" s="1"/>
  <c r="BQ201" i="71"/>
  <c r="BQ15" i="71"/>
  <c r="AZ86" i="71"/>
  <c r="BQ126" i="71"/>
  <c r="BQ73" i="71"/>
  <c r="AZ154" i="71"/>
  <c r="BQ147" i="71"/>
  <c r="BQ68" i="71"/>
  <c r="BQ139" i="71"/>
  <c r="AF152" i="71"/>
  <c r="AN151" i="56" s="1"/>
  <c r="AO151" i="56" s="1"/>
  <c r="H151" i="56" s="1"/>
  <c r="AF139" i="71"/>
  <c r="AN138" i="56" s="1"/>
  <c r="AO138" i="56" s="1"/>
  <c r="H138" i="56" s="1"/>
  <c r="AF86" i="71"/>
  <c r="AN85" i="56" s="1"/>
  <c r="AO85" i="56" s="1"/>
  <c r="H85" i="56" s="1"/>
  <c r="AF109" i="71"/>
  <c r="AN108" i="56" s="1"/>
  <c r="AO108" i="56" s="1"/>
  <c r="H108" i="56" s="1"/>
  <c r="AF15" i="71"/>
  <c r="AN14" i="56" s="1"/>
  <c r="AO14" i="56" s="1"/>
  <c r="H14" i="56" s="1"/>
  <c r="AF68" i="71"/>
  <c r="AN67" i="56" s="1"/>
  <c r="AO67" i="56" s="1"/>
  <c r="H67" i="56" s="1"/>
  <c r="AF19" i="71"/>
  <c r="AN18" i="56" s="1"/>
  <c r="AO18" i="56" s="1"/>
  <c r="H18" i="56" s="1"/>
  <c r="AF76" i="71"/>
  <c r="AN75" i="56" s="1"/>
  <c r="AO75" i="56" s="1"/>
  <c r="H75" i="56" s="1"/>
  <c r="AF199" i="71"/>
  <c r="AN198" i="56" s="1"/>
  <c r="AO198" i="56" s="1"/>
  <c r="H198" i="56" s="1"/>
  <c r="AF165" i="71"/>
  <c r="AN164" i="56" s="1"/>
  <c r="AO164" i="56" s="1"/>
  <c r="H164" i="56" s="1"/>
  <c r="AF201" i="71"/>
  <c r="AN200" i="56" s="1"/>
  <c r="AO200" i="56" s="1"/>
  <c r="H200" i="56" s="1"/>
  <c r="AF147" i="71"/>
  <c r="AN146" i="56" s="1"/>
  <c r="AO146" i="56" s="1"/>
  <c r="H146" i="56" s="1"/>
  <c r="AF154" i="71"/>
  <c r="AN153" i="56" s="1"/>
  <c r="AO153" i="56" s="1"/>
  <c r="H153" i="56" s="1"/>
  <c r="AF141" i="71"/>
  <c r="AN140" i="56" s="1"/>
  <c r="AO140" i="56" s="1"/>
  <c r="H140" i="56" s="1"/>
  <c r="AF73" i="71"/>
  <c r="AN72" i="56" s="1"/>
  <c r="AO72" i="56" s="1"/>
  <c r="H72" i="56" s="1"/>
  <c r="AF125" i="71"/>
  <c r="AN124" i="56" s="1"/>
  <c r="AO124" i="56" s="1"/>
  <c r="H124" i="56" s="1"/>
  <c r="AF126" i="71"/>
  <c r="AN125" i="56" s="1"/>
  <c r="AO125" i="56" s="1"/>
  <c r="H125" i="56" s="1"/>
  <c r="AF28" i="71"/>
  <c r="AN27" i="56" s="1"/>
  <c r="AO27" i="56" s="1"/>
  <c r="H27" i="56" s="1"/>
  <c r="AF192" i="71"/>
  <c r="AN191" i="56" s="1"/>
  <c r="AO191" i="56" s="1"/>
  <c r="H191" i="56" s="1"/>
  <c r="AF88" i="71"/>
  <c r="AN87" i="56" s="1"/>
  <c r="AO87" i="56" s="1"/>
  <c r="H87" i="56" s="1"/>
  <c r="AF79" i="71"/>
  <c r="AN78" i="56" s="1"/>
  <c r="AO78" i="56" s="1"/>
  <c r="H78" i="56" s="1"/>
  <c r="AF63" i="71"/>
  <c r="AN62" i="56" s="1"/>
  <c r="AO62" i="56" s="1"/>
  <c r="H62" i="56" s="1"/>
  <c r="AF59" i="71"/>
  <c r="AN58" i="56" s="1"/>
  <c r="AO58" i="56" s="1"/>
  <c r="H58" i="56" s="1"/>
  <c r="AF5" i="71"/>
  <c r="AN4" i="56" s="1"/>
  <c r="AO4" i="56" s="1"/>
  <c r="H4" i="56" s="1"/>
  <c r="AF70" i="71"/>
  <c r="AN69" i="56" s="1"/>
  <c r="AO69" i="56" s="1"/>
  <c r="H69" i="56" s="1"/>
  <c r="AF184" i="71"/>
  <c r="AN183" i="56" s="1"/>
  <c r="AO183" i="56" s="1"/>
  <c r="H183" i="56" s="1"/>
  <c r="AZ165" i="71"/>
  <c r="E211" i="56"/>
  <c r="E47" i="52"/>
  <c r="E51" i="52"/>
  <c r="BQ20" i="71"/>
  <c r="BQ178" i="71"/>
  <c r="BQ13" i="71"/>
  <c r="D3" i="66"/>
  <c r="E259" i="47"/>
  <c r="D142" i="66"/>
  <c r="D85" i="66"/>
  <c r="D35" i="66"/>
  <c r="D29" i="66"/>
  <c r="E169" i="66"/>
  <c r="E134" i="66"/>
  <c r="E95" i="66"/>
  <c r="E35" i="66"/>
  <c r="D4" i="66"/>
  <c r="D200" i="66"/>
  <c r="D195" i="66"/>
  <c r="D186" i="66"/>
  <c r="D176" i="66"/>
  <c r="D167" i="66"/>
  <c r="D99" i="66"/>
  <c r="D151" i="66"/>
  <c r="D141" i="66"/>
  <c r="D133" i="66"/>
  <c r="D125" i="66"/>
  <c r="D114" i="66"/>
  <c r="D105" i="66"/>
  <c r="D92" i="66"/>
  <c r="D84" i="66"/>
  <c r="D75" i="66"/>
  <c r="D66" i="66"/>
  <c r="D58" i="66"/>
  <c r="D52" i="66"/>
  <c r="D43" i="66"/>
  <c r="D34" i="66"/>
  <c r="D23" i="66"/>
  <c r="D17" i="66"/>
  <c r="D122" i="66"/>
  <c r="D13" i="66"/>
  <c r="D10" i="66"/>
  <c r="E5" i="66"/>
  <c r="E200" i="66"/>
  <c r="E195" i="66"/>
  <c r="E186" i="66"/>
  <c r="E176" i="66"/>
  <c r="E167" i="66"/>
  <c r="E99" i="66"/>
  <c r="E151" i="66"/>
  <c r="E141" i="66"/>
  <c r="E133" i="66"/>
  <c r="E125" i="66"/>
  <c r="E114" i="66"/>
  <c r="E105" i="66"/>
  <c r="E92" i="66"/>
  <c r="E84" i="66"/>
  <c r="E75" i="66"/>
  <c r="E66" i="66"/>
  <c r="E58" i="66"/>
  <c r="E52" i="66"/>
  <c r="E43" i="66"/>
  <c r="E34" i="66"/>
  <c r="E23" i="66"/>
  <c r="E17" i="66"/>
  <c r="E122" i="66"/>
  <c r="E13" i="66"/>
  <c r="E10" i="66"/>
  <c r="D169" i="66"/>
  <c r="D106" i="66"/>
  <c r="D44" i="66"/>
  <c r="E6" i="66"/>
  <c r="E161" i="66"/>
  <c r="E126" i="66"/>
  <c r="E85" i="66"/>
  <c r="E123" i="66"/>
  <c r="D199" i="66"/>
  <c r="D194" i="66"/>
  <c r="D185" i="66"/>
  <c r="D175" i="66"/>
  <c r="D166" i="66"/>
  <c r="D159" i="66"/>
  <c r="D148" i="66"/>
  <c r="D140" i="66"/>
  <c r="D132" i="66"/>
  <c r="D124" i="66"/>
  <c r="D113" i="66"/>
  <c r="D104" i="66"/>
  <c r="D91" i="66"/>
  <c r="D83" i="66"/>
  <c r="D74" i="66"/>
  <c r="D65" i="66"/>
  <c r="D57" i="66"/>
  <c r="D51" i="66"/>
  <c r="D42" i="66"/>
  <c r="D33" i="66"/>
  <c r="D22" i="66"/>
  <c r="D16" i="66"/>
  <c r="D108" i="66"/>
  <c r="D27" i="66"/>
  <c r="D9" i="66"/>
  <c r="E199" i="66"/>
  <c r="E194" i="66"/>
  <c r="E185" i="66"/>
  <c r="E175" i="66"/>
  <c r="E166" i="66"/>
  <c r="E159" i="66"/>
  <c r="E148" i="66"/>
  <c r="E140" i="66"/>
  <c r="E132" i="66"/>
  <c r="E124" i="66"/>
  <c r="E113" i="66"/>
  <c r="E104" i="66"/>
  <c r="E91" i="66"/>
  <c r="E83" i="66"/>
  <c r="E74" i="66"/>
  <c r="E65" i="66"/>
  <c r="E57" i="66"/>
  <c r="E51" i="66"/>
  <c r="E42" i="66"/>
  <c r="E33" i="66"/>
  <c r="E22" i="66"/>
  <c r="E16" i="66"/>
  <c r="E108" i="66"/>
  <c r="E27" i="66"/>
  <c r="E9" i="66"/>
  <c r="D161" i="66"/>
  <c r="E44" i="66"/>
  <c r="D180" i="66"/>
  <c r="D193" i="66"/>
  <c r="D183" i="66"/>
  <c r="D174" i="66"/>
  <c r="D165" i="66"/>
  <c r="D157" i="66"/>
  <c r="D147" i="66"/>
  <c r="D139" i="66"/>
  <c r="D131" i="66"/>
  <c r="D121" i="66"/>
  <c r="D112" i="66"/>
  <c r="D103" i="66"/>
  <c r="D90" i="66"/>
  <c r="D82" i="66"/>
  <c r="D73" i="66"/>
  <c r="D64" i="66"/>
  <c r="D56" i="66"/>
  <c r="D50" i="66"/>
  <c r="D40" i="66"/>
  <c r="D32" i="66"/>
  <c r="D20" i="66"/>
  <c r="D168" i="66"/>
  <c r="D94" i="66"/>
  <c r="D150" i="66"/>
  <c r="D7" i="66"/>
  <c r="E180" i="66"/>
  <c r="E193" i="66"/>
  <c r="E183" i="66"/>
  <c r="E174" i="66"/>
  <c r="E165" i="66"/>
  <c r="E157" i="66"/>
  <c r="E147" i="66"/>
  <c r="E139" i="66"/>
  <c r="E131" i="66"/>
  <c r="E121" i="66"/>
  <c r="E112" i="66"/>
  <c r="E103" i="66"/>
  <c r="E90" i="66"/>
  <c r="E82" i="66"/>
  <c r="E73" i="66"/>
  <c r="E64" i="66"/>
  <c r="E56" i="66"/>
  <c r="E50" i="66"/>
  <c r="E40" i="66"/>
  <c r="E32" i="66"/>
  <c r="E20" i="66"/>
  <c r="E168" i="66"/>
  <c r="E94" i="66"/>
  <c r="E150" i="66"/>
  <c r="E7" i="66"/>
  <c r="D201" i="66"/>
  <c r="D152" i="66"/>
  <c r="D77" i="66"/>
  <c r="D102" i="66"/>
  <c r="E177" i="66"/>
  <c r="E106" i="66"/>
  <c r="E101" i="66"/>
  <c r="E41" i="66"/>
  <c r="D206" i="66"/>
  <c r="D197" i="66"/>
  <c r="D192" i="66"/>
  <c r="D182" i="66"/>
  <c r="D173" i="66"/>
  <c r="D76" i="66"/>
  <c r="D156" i="66"/>
  <c r="D146" i="66"/>
  <c r="D138" i="66"/>
  <c r="D130" i="66"/>
  <c r="D120" i="66"/>
  <c r="D111" i="66"/>
  <c r="D100" i="66"/>
  <c r="D89" i="66"/>
  <c r="D81" i="66"/>
  <c r="D72" i="66"/>
  <c r="D63" i="66"/>
  <c r="D53" i="66"/>
  <c r="D49" i="66"/>
  <c r="D39" i="66"/>
  <c r="D31" i="66"/>
  <c r="D19" i="66"/>
  <c r="D160" i="66"/>
  <c r="D93" i="66"/>
  <c r="D18" i="66"/>
  <c r="D6" i="66"/>
  <c r="E206" i="66"/>
  <c r="E197" i="66"/>
  <c r="E192" i="66"/>
  <c r="E182" i="66"/>
  <c r="E173" i="66"/>
  <c r="E76" i="66"/>
  <c r="E156" i="66"/>
  <c r="E146" i="66"/>
  <c r="E138" i="66"/>
  <c r="E130" i="66"/>
  <c r="E120" i="66"/>
  <c r="E111" i="66"/>
  <c r="E100" i="66"/>
  <c r="E89" i="66"/>
  <c r="E81" i="66"/>
  <c r="E72" i="66"/>
  <c r="E63" i="66"/>
  <c r="E53" i="66"/>
  <c r="E49" i="66"/>
  <c r="E39" i="66"/>
  <c r="E31" i="66"/>
  <c r="E19" i="66"/>
  <c r="E160" i="66"/>
  <c r="E93" i="66"/>
  <c r="E18" i="66"/>
  <c r="D177" i="66"/>
  <c r="D126" i="66"/>
  <c r="D67" i="66"/>
  <c r="D25" i="66"/>
  <c r="E196" i="66"/>
  <c r="E152" i="66"/>
  <c r="E67" i="66"/>
  <c r="E102" i="66"/>
  <c r="D205" i="66"/>
  <c r="D70" i="66"/>
  <c r="D191" i="66"/>
  <c r="D181" i="66"/>
  <c r="D172" i="66"/>
  <c r="D164" i="66"/>
  <c r="D155" i="66"/>
  <c r="D145" i="66"/>
  <c r="D137" i="66"/>
  <c r="D129" i="66"/>
  <c r="D119" i="66"/>
  <c r="D110" i="66"/>
  <c r="D98" i="66"/>
  <c r="D88" i="66"/>
  <c r="D80" i="66"/>
  <c r="D71" i="66"/>
  <c r="D62" i="66"/>
  <c r="D184" i="66"/>
  <c r="D48" i="66"/>
  <c r="D38" i="66"/>
  <c r="D30" i="66"/>
  <c r="D204" i="66"/>
  <c r="D55" i="66"/>
  <c r="D54" i="66"/>
  <c r="D8" i="66"/>
  <c r="D5" i="66"/>
  <c r="E205" i="66"/>
  <c r="E70" i="66"/>
  <c r="E191" i="66"/>
  <c r="E181" i="66"/>
  <c r="E172" i="66"/>
  <c r="E164" i="66"/>
  <c r="E155" i="66"/>
  <c r="E145" i="66"/>
  <c r="E137" i="66"/>
  <c r="E129" i="66"/>
  <c r="E119" i="66"/>
  <c r="E110" i="66"/>
  <c r="E98" i="66"/>
  <c r="E88" i="66"/>
  <c r="E80" i="66"/>
  <c r="E71" i="66"/>
  <c r="E62" i="66"/>
  <c r="E184" i="66"/>
  <c r="E48" i="66"/>
  <c r="E38" i="66"/>
  <c r="E30" i="66"/>
  <c r="E204" i="66"/>
  <c r="E55" i="66"/>
  <c r="E54" i="66"/>
  <c r="E8" i="66"/>
  <c r="D187" i="66"/>
  <c r="D134" i="66"/>
  <c r="D95" i="66"/>
  <c r="D101" i="66"/>
  <c r="D41" i="66"/>
  <c r="E187" i="66"/>
  <c r="E116" i="66"/>
  <c r="E59" i="66"/>
  <c r="E29" i="66"/>
  <c r="D203" i="66"/>
  <c r="D24" i="66"/>
  <c r="D189" i="66"/>
  <c r="D179" i="66"/>
  <c r="D171" i="66"/>
  <c r="D163" i="66"/>
  <c r="D154" i="66"/>
  <c r="D144" i="66"/>
  <c r="D136" i="66"/>
  <c r="D128" i="66"/>
  <c r="D118" i="66"/>
  <c r="D109" i="66"/>
  <c r="D97" i="66"/>
  <c r="D87" i="66"/>
  <c r="D79" i="66"/>
  <c r="D69" i="66"/>
  <c r="D61" i="66"/>
  <c r="D149" i="66"/>
  <c r="D47" i="66"/>
  <c r="D37" i="66"/>
  <c r="D28" i="66"/>
  <c r="D198" i="66"/>
  <c r="D158" i="66"/>
  <c r="D46" i="66"/>
  <c r="D12" i="66"/>
  <c r="E3" i="66"/>
  <c r="E203" i="66"/>
  <c r="E24" i="66"/>
  <c r="E189" i="66"/>
  <c r="E179" i="66"/>
  <c r="E171" i="66"/>
  <c r="E163" i="66"/>
  <c r="E154" i="66"/>
  <c r="E144" i="66"/>
  <c r="E136" i="66"/>
  <c r="E128" i="66"/>
  <c r="E118" i="66"/>
  <c r="E109" i="66"/>
  <c r="E97" i="66"/>
  <c r="E87" i="66"/>
  <c r="E79" i="66"/>
  <c r="E69" i="66"/>
  <c r="E61" i="66"/>
  <c r="E149" i="66"/>
  <c r="E47" i="66"/>
  <c r="E37" i="66"/>
  <c r="E28" i="66"/>
  <c r="E198" i="66"/>
  <c r="E158" i="66"/>
  <c r="E46" i="66"/>
  <c r="E12" i="66"/>
  <c r="E239" i="52"/>
  <c r="E185" i="52"/>
  <c r="E131" i="52"/>
  <c r="D196" i="66"/>
  <c r="D116" i="66"/>
  <c r="D59" i="66"/>
  <c r="D123" i="66"/>
  <c r="E201" i="66"/>
  <c r="E142" i="66"/>
  <c r="E77" i="66"/>
  <c r="E25" i="66"/>
  <c r="D202" i="66"/>
  <c r="D21" i="66"/>
  <c r="D188" i="66"/>
  <c r="D178" i="66"/>
  <c r="D170" i="66"/>
  <c r="D162" i="66"/>
  <c r="D153" i="66"/>
  <c r="D143" i="66"/>
  <c r="D135" i="66"/>
  <c r="D127" i="66"/>
  <c r="D117" i="66"/>
  <c r="D107" i="66"/>
  <c r="D96" i="66"/>
  <c r="D86" i="66"/>
  <c r="D78" i="66"/>
  <c r="D68" i="66"/>
  <c r="D60" i="66"/>
  <c r="D115" i="66"/>
  <c r="D45" i="66"/>
  <c r="D36" i="66"/>
  <c r="D26" i="66"/>
  <c r="D190" i="66"/>
  <c r="D15" i="66"/>
  <c r="D14" i="66"/>
  <c r="D11" i="66"/>
  <c r="E4" i="66"/>
  <c r="E202" i="66"/>
  <c r="E21" i="66"/>
  <c r="E188" i="66"/>
  <c r="E178" i="66"/>
  <c r="E170" i="66"/>
  <c r="E162" i="66"/>
  <c r="E153" i="66"/>
  <c r="E143" i="66"/>
  <c r="E135" i="66"/>
  <c r="E127" i="66"/>
  <c r="E117" i="66"/>
  <c r="E107" i="66"/>
  <c r="E96" i="66"/>
  <c r="E86" i="66"/>
  <c r="E78" i="66"/>
  <c r="E68" i="66"/>
  <c r="E60" i="66"/>
  <c r="E115" i="66"/>
  <c r="E45" i="66"/>
  <c r="E36" i="66"/>
  <c r="E26" i="66"/>
  <c r="E190" i="66"/>
  <c r="E15" i="66"/>
  <c r="E14" i="66"/>
  <c r="E11" i="66"/>
  <c r="C16" i="74"/>
  <c r="C224" i="74"/>
  <c r="BQ125" i="71"/>
  <c r="BQ137" i="71"/>
  <c r="AZ137" i="71"/>
  <c r="BQ151" i="71"/>
  <c r="BQ192" i="71"/>
  <c r="BQ19" i="71"/>
  <c r="AZ61" i="71"/>
  <c r="AZ178" i="71"/>
  <c r="AZ124" i="71"/>
  <c r="AZ152" i="71"/>
  <c r="BQ172" i="71"/>
  <c r="BQ21" i="71"/>
  <c r="AZ48" i="71"/>
  <c r="AZ101" i="71"/>
  <c r="BQ48" i="71"/>
  <c r="AZ155" i="71"/>
  <c r="BQ17" i="72"/>
  <c r="BQ155" i="71"/>
  <c r="BQ65" i="71"/>
  <c r="AZ30" i="71"/>
  <c r="BQ183" i="71"/>
  <c r="BQ30" i="71"/>
  <c r="AZ17" i="72"/>
  <c r="BQ160" i="71"/>
  <c r="BQ193" i="71"/>
  <c r="BQ20" i="72"/>
  <c r="AZ10" i="71"/>
  <c r="AZ31" i="71"/>
  <c r="AZ20" i="72"/>
  <c r="BQ49" i="71"/>
  <c r="CH15" i="72"/>
  <c r="AZ102" i="71"/>
  <c r="AZ120" i="71"/>
  <c r="AZ111" i="71"/>
  <c r="AZ104" i="71"/>
  <c r="BQ78" i="71"/>
  <c r="AZ163" i="71"/>
  <c r="BQ156" i="71"/>
  <c r="AZ58" i="71"/>
  <c r="AZ206" i="71"/>
  <c r="AZ186" i="71"/>
  <c r="BQ110" i="71"/>
  <c r="BQ194" i="71"/>
  <c r="BQ66" i="71"/>
  <c r="BQ206" i="71"/>
  <c r="BQ8" i="72"/>
  <c r="AZ15" i="72"/>
  <c r="AZ8" i="72"/>
  <c r="AZ107" i="71"/>
  <c r="BQ167" i="71"/>
  <c r="BQ150" i="71"/>
  <c r="BQ9" i="72"/>
  <c r="AZ24" i="71"/>
  <c r="BQ153" i="71"/>
  <c r="AZ36" i="71"/>
  <c r="BQ207" i="71"/>
  <c r="BQ94" i="71"/>
  <c r="AZ200" i="71"/>
  <c r="CH9" i="72"/>
  <c r="BQ117" i="71"/>
  <c r="AZ71" i="71"/>
  <c r="AZ168" i="71"/>
  <c r="AZ7" i="71"/>
  <c r="AZ50" i="71"/>
  <c r="BQ107" i="71"/>
  <c r="AZ26" i="71"/>
  <c r="AZ162" i="71"/>
  <c r="BQ200" i="71"/>
  <c r="BQ185" i="71"/>
  <c r="AZ64" i="71"/>
  <c r="BQ114" i="71"/>
  <c r="AZ74" i="71"/>
  <c r="AZ196" i="71"/>
  <c r="AZ164" i="71"/>
  <c r="AZ175" i="71"/>
  <c r="AZ44" i="71"/>
  <c r="BQ203" i="71"/>
  <c r="AZ29" i="71"/>
  <c r="AZ90" i="71"/>
  <c r="AZ13" i="71"/>
  <c r="AZ20" i="71"/>
  <c r="BQ33" i="71"/>
  <c r="BQ196" i="71"/>
  <c r="CH4" i="72"/>
  <c r="CH6" i="72"/>
  <c r="AZ6" i="72"/>
  <c r="BQ4" i="72"/>
  <c r="CH5" i="72"/>
  <c r="AZ10" i="72"/>
  <c r="BQ6" i="72"/>
  <c r="AZ12" i="72"/>
  <c r="BQ12" i="72"/>
  <c r="CH12" i="72"/>
  <c r="AZ14" i="72"/>
  <c r="CH16" i="72"/>
  <c r="AZ19" i="72"/>
  <c r="CH21" i="72"/>
  <c r="BQ16" i="72"/>
  <c r="BQ21" i="72"/>
  <c r="CH14" i="72"/>
  <c r="AZ16" i="72"/>
  <c r="CH19" i="72"/>
  <c r="AZ21" i="72"/>
  <c r="BQ181" i="71"/>
  <c r="BQ8" i="71"/>
  <c r="BQ70" i="71"/>
  <c r="BQ195" i="71"/>
  <c r="AZ5" i="71"/>
  <c r="BQ5" i="71"/>
  <c r="AZ22" i="71"/>
  <c r="BQ22" i="71"/>
  <c r="AZ23" i="71"/>
  <c r="BQ23" i="71"/>
  <c r="BQ184" i="71"/>
  <c r="AZ184" i="71"/>
  <c r="AZ8" i="71"/>
  <c r="AZ70" i="71"/>
  <c r="AZ195" i="71"/>
  <c r="BQ57" i="71"/>
  <c r="BQ52" i="71"/>
  <c r="AZ181" i="71"/>
  <c r="AZ177" i="71"/>
  <c r="BQ177" i="71"/>
  <c r="AZ55" i="71"/>
  <c r="BQ55" i="71"/>
  <c r="BQ24" i="71"/>
  <c r="BQ64" i="71"/>
  <c r="BQ79" i="71"/>
  <c r="AZ80" i="71"/>
  <c r="BQ80" i="71"/>
  <c r="AZ16" i="71"/>
  <c r="AZ89" i="71"/>
  <c r="BQ89" i="71"/>
  <c r="BQ59" i="71"/>
  <c r="BQ25" i="71"/>
  <c r="AZ63" i="71"/>
  <c r="AZ82" i="71"/>
  <c r="BQ82" i="71"/>
  <c r="AZ170" i="71"/>
  <c r="BQ99" i="71"/>
  <c r="AZ99" i="71"/>
  <c r="BQ84" i="71"/>
  <c r="BQ93" i="71"/>
  <c r="AZ28" i="71"/>
  <c r="BQ28" i="71"/>
  <c r="AZ97" i="71"/>
  <c r="AZ108" i="71"/>
  <c r="BQ108" i="71"/>
  <c r="BQ69" i="71"/>
  <c r="AZ84" i="71"/>
  <c r="BQ88" i="71"/>
  <c r="AZ93" i="71"/>
  <c r="BQ96" i="71"/>
  <c r="AZ100" i="71"/>
  <c r="AZ105" i="71"/>
  <c r="AZ114" i="71"/>
  <c r="AZ117" i="71"/>
  <c r="BQ119" i="71"/>
  <c r="AZ121" i="71"/>
  <c r="AZ197" i="71"/>
  <c r="AZ128" i="71"/>
  <c r="BQ128" i="71"/>
  <c r="BQ116" i="71"/>
  <c r="BQ106" i="71"/>
  <c r="AZ125" i="71"/>
  <c r="BQ4" i="71"/>
  <c r="BQ197" i="71"/>
  <c r="AZ46" i="71"/>
  <c r="BQ46" i="71"/>
  <c r="AZ34" i="71"/>
  <c r="BQ34" i="71"/>
  <c r="CH4" i="71"/>
  <c r="BQ163" i="71"/>
  <c r="AZ83" i="71"/>
  <c r="BQ83" i="71"/>
  <c r="BQ136" i="71"/>
  <c r="BQ32" i="71"/>
  <c r="AZ136" i="71"/>
  <c r="AZ141" i="71"/>
  <c r="BQ141" i="71"/>
  <c r="BQ140" i="71"/>
  <c r="AZ33" i="71"/>
  <c r="AZ144" i="71"/>
  <c r="BQ174" i="71"/>
  <c r="AZ146" i="71"/>
  <c r="BQ154" i="71"/>
  <c r="AZ158" i="71"/>
  <c r="BQ158" i="71"/>
  <c r="BQ173" i="71"/>
  <c r="AZ173" i="71"/>
  <c r="AZ42" i="71"/>
  <c r="AZ149" i="71"/>
  <c r="AZ161" i="71"/>
  <c r="BQ161" i="71"/>
  <c r="AZ43" i="71"/>
  <c r="BQ43" i="71"/>
  <c r="AZ77" i="71"/>
  <c r="BQ77" i="71"/>
  <c r="BQ175" i="71"/>
  <c r="BQ75" i="71"/>
  <c r="AZ171" i="71"/>
  <c r="AZ41" i="71"/>
  <c r="AZ148" i="71"/>
  <c r="AZ131" i="71"/>
  <c r="AZ159" i="71"/>
  <c r="AZ75" i="71"/>
  <c r="AZ76" i="71"/>
  <c r="BQ169" i="71"/>
  <c r="AZ205" i="71"/>
  <c r="BQ205" i="71"/>
  <c r="AZ188" i="71"/>
  <c r="BQ188" i="71"/>
  <c r="BQ199" i="71"/>
  <c r="BQ76" i="71"/>
  <c r="BQ182" i="71"/>
  <c r="BQ44" i="71"/>
  <c r="AZ204" i="71"/>
  <c r="BQ204" i="71"/>
  <c r="BQ85" i="71"/>
  <c r="BQ208" i="71"/>
  <c r="AZ176" i="71"/>
  <c r="BQ176" i="71"/>
  <c r="AZ157" i="71"/>
  <c r="BQ157" i="71"/>
  <c r="AZ145" i="71"/>
  <c r="BQ81" i="71"/>
  <c r="BQ145" i="71"/>
  <c r="AZ81" i="71"/>
  <c r="AZ45" i="71"/>
  <c r="BQ38" i="71"/>
  <c r="BQ162" i="71"/>
  <c r="BQ29" i="71"/>
  <c r="AZ47" i="71"/>
  <c r="BQ47" i="71"/>
  <c r="AZ187" i="71"/>
  <c r="BQ187" i="71"/>
  <c r="AZ109" i="71"/>
  <c r="AZ103" i="71"/>
  <c r="BQ17" i="71"/>
  <c r="BQ95" i="71"/>
  <c r="AZ17" i="71"/>
  <c r="BQ92" i="71"/>
  <c r="AZ150" i="71"/>
  <c r="AZ53" i="71"/>
  <c r="BQ134" i="71"/>
  <c r="BQ190" i="71"/>
  <c r="AZ219" i="56" l="1"/>
  <c r="AV219" i="56"/>
  <c r="AW219" i="56" s="1"/>
  <c r="BA219" i="56" s="1"/>
  <c r="E225" i="67"/>
  <c r="D225" i="67"/>
  <c r="E211" i="67"/>
  <c r="D211" i="67"/>
  <c r="E217" i="67"/>
  <c r="D217" i="67"/>
  <c r="E222" i="67"/>
  <c r="D222" i="67"/>
  <c r="E215" i="67"/>
  <c r="D215" i="67"/>
  <c r="E218" i="67"/>
  <c r="D218" i="67"/>
  <c r="E228" i="67"/>
  <c r="E226" i="67"/>
  <c r="D226" i="67"/>
  <c r="E227" i="67"/>
  <c r="D227" i="67"/>
  <c r="E224" i="67"/>
  <c r="D224" i="67"/>
  <c r="E223" i="67"/>
  <c r="D223" i="67"/>
  <c r="E221" i="67"/>
  <c r="D221" i="67"/>
  <c r="E213" i="67"/>
  <c r="D213" i="67"/>
  <c r="E212" i="67"/>
  <c r="D212" i="67"/>
  <c r="E216" i="67"/>
  <c r="D216" i="67"/>
  <c r="P219" i="68"/>
  <c r="E219" i="67"/>
  <c r="D219" i="67"/>
  <c r="BB219" i="56" l="1"/>
  <c r="D228" i="67"/>
  <c r="E68" i="20" l="1"/>
  <c r="E57" i="20"/>
  <c r="A24" i="20"/>
  <c r="D23" i="20"/>
  <c r="E23" i="20" s="1"/>
  <c r="A23" i="20"/>
  <c r="D22" i="20"/>
  <c r="E22" i="20" s="1"/>
  <c r="A22" i="20"/>
  <c r="D21" i="20"/>
  <c r="E21" i="20" s="1"/>
  <c r="A21" i="20"/>
  <c r="D20" i="20"/>
  <c r="E20" i="20" s="1"/>
  <c r="A20" i="20"/>
  <c r="D19" i="20"/>
  <c r="E19" i="20" s="1"/>
  <c r="A19" i="20"/>
  <c r="D18" i="20"/>
  <c r="E18" i="20" s="1"/>
  <c r="A18" i="20"/>
  <c r="D17" i="20"/>
  <c r="E17" i="20" s="1"/>
  <c r="A17" i="20"/>
  <c r="D16" i="20"/>
  <c r="E16" i="20" s="1"/>
  <c r="F16" i="20" s="1"/>
  <c r="G16" i="20" s="1"/>
  <c r="A16" i="20"/>
  <c r="D15" i="20"/>
  <c r="E15" i="20" s="1"/>
  <c r="A15" i="20"/>
  <c r="D14" i="20"/>
  <c r="E14" i="20" s="1"/>
  <c r="A14" i="20"/>
  <c r="D13" i="20"/>
  <c r="E13" i="20" s="1"/>
  <c r="A13" i="20"/>
  <c r="D12" i="20"/>
  <c r="E12" i="20" s="1"/>
  <c r="A12" i="20"/>
  <c r="D11" i="20"/>
  <c r="E11" i="20" s="1"/>
  <c r="A11" i="20"/>
  <c r="D10" i="20"/>
  <c r="E10" i="20" s="1"/>
  <c r="A10" i="20"/>
  <c r="D9" i="20"/>
  <c r="E9" i="20" s="1"/>
  <c r="A9" i="20"/>
  <c r="D8" i="20"/>
  <c r="E8" i="20" s="1"/>
  <c r="A8" i="20"/>
  <c r="E7" i="20"/>
  <c r="E45" i="20" l="1"/>
  <c r="E54" i="20"/>
  <c r="E66" i="20"/>
  <c r="E62" i="20"/>
  <c r="E36" i="20"/>
  <c r="F12" i="20" s="1"/>
  <c r="G12" i="20" s="1"/>
  <c r="E39" i="20"/>
  <c r="F15" i="20" s="1"/>
  <c r="G15" i="20" s="1"/>
  <c r="E33" i="20"/>
  <c r="F10" i="20" s="1"/>
  <c r="G10" i="20" s="1"/>
  <c r="E48" i="20"/>
  <c r="E30" i="20"/>
  <c r="F8" i="20" s="1"/>
  <c r="G8" i="20" s="1"/>
  <c r="E42" i="20"/>
  <c r="F18" i="20" s="1"/>
  <c r="G18" i="20" s="1"/>
  <c r="E75" i="20"/>
  <c r="E74" i="20"/>
  <c r="F17" i="20"/>
  <c r="G17" i="20" s="1"/>
  <c r="E32" i="20"/>
  <c r="F9" i="20" s="1"/>
  <c r="G9" i="20" s="1"/>
  <c r="E44" i="20"/>
  <c r="F23" i="20"/>
  <c r="G23" i="20" s="1"/>
  <c r="E38" i="20"/>
  <c r="E56" i="20"/>
  <c r="E51" i="20"/>
  <c r="E60" i="20"/>
  <c r="E50" i="20"/>
  <c r="E63" i="20"/>
  <c r="E72" i="20"/>
  <c r="E69" i="20"/>
  <c r="G24" i="20" s="1"/>
  <c r="E29" i="20"/>
  <c r="G7" i="20" s="1"/>
  <c r="E35" i="20"/>
  <c r="E41" i="20"/>
  <c r="E47" i="20"/>
  <c r="E53" i="20"/>
  <c r="E59" i="20"/>
  <c r="E65" i="20"/>
  <c r="E71" i="20"/>
  <c r="F11" i="20" l="1"/>
  <c r="G11" i="20" s="1"/>
  <c r="F14" i="20"/>
  <c r="G14" i="20" s="1"/>
  <c r="F13" i="20"/>
  <c r="G13" i="20" s="1"/>
  <c r="F20" i="20"/>
  <c r="G20" i="20" s="1"/>
  <c r="F22" i="20"/>
  <c r="G22" i="20" s="1"/>
  <c r="F19" i="20"/>
  <c r="G19" i="20" s="1"/>
  <c r="F21" i="20"/>
  <c r="G21" i="20" s="1"/>
  <c r="I139" i="71" l="1"/>
  <c r="I53" i="71"/>
  <c r="S139" i="71" l="1"/>
  <c r="O138" i="56"/>
  <c r="AX138" i="56" s="1"/>
  <c r="S53" i="71"/>
  <c r="O52" i="56"/>
  <c r="AX52" i="56" s="1"/>
  <c r="T71" i="68"/>
  <c r="T217" i="67"/>
  <c r="T71" i="67"/>
  <c r="T7" i="68"/>
  <c r="T7" i="67"/>
  <c r="BN12" i="72"/>
  <c r="CE12" i="72"/>
  <c r="T84" i="68"/>
  <c r="T84" i="67"/>
  <c r="T169" i="68"/>
  <c r="T169" i="67"/>
  <c r="T12" i="68"/>
  <c r="T12" i="67"/>
  <c r="T87" i="68"/>
  <c r="T87" i="67"/>
  <c r="T183" i="68"/>
  <c r="T183" i="67"/>
  <c r="T139" i="68"/>
  <c r="T227" i="67"/>
  <c r="T139" i="67"/>
  <c r="T126" i="68"/>
  <c r="T126" i="67"/>
  <c r="T68" i="68"/>
  <c r="T68" i="67"/>
  <c r="T72" i="68"/>
  <c r="T72" i="67"/>
  <c r="T17" i="68"/>
  <c r="T17" i="67"/>
  <c r="T104" i="68"/>
  <c r="T104" i="67"/>
  <c r="T103" i="68"/>
  <c r="T103" i="67"/>
  <c r="T168" i="68"/>
  <c r="T168" i="67"/>
  <c r="T95" i="68"/>
  <c r="T95" i="67"/>
  <c r="T157" i="68"/>
  <c r="T157" i="67"/>
  <c r="T186" i="68"/>
  <c r="T186" i="67"/>
  <c r="T197" i="68"/>
  <c r="T197" i="67"/>
  <c r="T147" i="68"/>
  <c r="T147" i="67"/>
  <c r="T190" i="68"/>
  <c r="T190" i="67"/>
  <c r="T162" i="68"/>
  <c r="T162" i="67"/>
  <c r="T48" i="68"/>
  <c r="T48" i="67"/>
  <c r="T176" i="68"/>
  <c r="T176" i="67"/>
  <c r="T28" i="68"/>
  <c r="T28" i="67"/>
  <c r="T109" i="68"/>
  <c r="T109" i="67"/>
  <c r="T134" i="68"/>
  <c r="T134" i="67"/>
  <c r="T224" i="67"/>
  <c r="T141" i="68"/>
  <c r="T141" i="67"/>
  <c r="T188" i="68"/>
  <c r="T188" i="67"/>
  <c r="T50" i="68"/>
  <c r="T50" i="67"/>
  <c r="T112" i="68"/>
  <c r="T223" i="67"/>
  <c r="T112" i="67"/>
  <c r="T152" i="68"/>
  <c r="T152" i="67"/>
  <c r="T79" i="68"/>
  <c r="T79" i="67"/>
  <c r="T201" i="68"/>
  <c r="T201" i="67"/>
  <c r="T224" i="68"/>
  <c r="Z224" i="68" s="1"/>
  <c r="T43" i="68"/>
  <c r="T43" i="67"/>
  <c r="T217" i="68"/>
  <c r="Z217" i="68" s="1"/>
  <c r="T124" i="68"/>
  <c r="T124" i="67"/>
  <c r="T23" i="68"/>
  <c r="T23" i="67"/>
  <c r="T172" i="68"/>
  <c r="T228" i="67"/>
  <c r="Z228" i="67" s="1"/>
  <c r="T172" i="67"/>
  <c r="T128" i="68"/>
  <c r="T128" i="67"/>
  <c r="T44" i="68"/>
  <c r="T44" i="67"/>
  <c r="T140" i="68"/>
  <c r="T140" i="67"/>
  <c r="T202" i="68"/>
  <c r="T202" i="67"/>
  <c r="T149" i="68"/>
  <c r="T149" i="67"/>
  <c r="T158" i="68"/>
  <c r="T158" i="67"/>
  <c r="T206" i="68"/>
  <c r="T206" i="67"/>
  <c r="T89" i="68"/>
  <c r="T89" i="67"/>
  <c r="T138" i="68"/>
  <c r="T138" i="67"/>
  <c r="T226" i="67"/>
  <c r="T187" i="68"/>
  <c r="T187" i="67"/>
  <c r="T212" i="68"/>
  <c r="Z212" i="68" s="1"/>
  <c r="T98" i="68"/>
  <c r="T98" i="67"/>
  <c r="T86" i="68"/>
  <c r="T86" i="67"/>
  <c r="T195" i="68"/>
  <c r="T195" i="67"/>
  <c r="T78" i="68"/>
  <c r="T78" i="67"/>
  <c r="T181" i="68"/>
  <c r="T181" i="67"/>
  <c r="T163" i="68"/>
  <c r="T163" i="67"/>
  <c r="T223" i="68"/>
  <c r="Z223" i="68" s="1"/>
  <c r="T74" i="68"/>
  <c r="T74" i="67"/>
  <c r="T6" i="68"/>
  <c r="T6" i="67"/>
  <c r="T165" i="68"/>
  <c r="T165" i="67"/>
  <c r="T119" i="68"/>
  <c r="T119" i="67"/>
  <c r="T13" i="68"/>
  <c r="T13" i="67"/>
  <c r="T16" i="68"/>
  <c r="T16" i="67"/>
  <c r="T38" i="68"/>
  <c r="T38" i="67"/>
  <c r="T171" i="68"/>
  <c r="T171" i="67"/>
  <c r="T85" i="68"/>
  <c r="T85" i="67"/>
  <c r="T73" i="68"/>
  <c r="T218" i="67"/>
  <c r="T73" i="67"/>
  <c r="T91" i="68"/>
  <c r="T91" i="67"/>
  <c r="T150" i="68"/>
  <c r="T150" i="67"/>
  <c r="T174" i="68"/>
  <c r="T174" i="67"/>
  <c r="T108" i="68"/>
  <c r="T108" i="67"/>
  <c r="T222" i="67"/>
  <c r="T58" i="68"/>
  <c r="T58" i="67"/>
  <c r="T63" i="68"/>
  <c r="T63" i="67"/>
  <c r="T61" i="68"/>
  <c r="T61" i="67"/>
  <c r="T118" i="68"/>
  <c r="T118" i="67"/>
  <c r="T49" i="68"/>
  <c r="T212" i="67"/>
  <c r="T49" i="67"/>
  <c r="T14" i="68"/>
  <c r="T14" i="67"/>
  <c r="T92" i="68"/>
  <c r="T92" i="67"/>
  <c r="T142" i="68"/>
  <c r="T142" i="67"/>
  <c r="T35" i="68"/>
  <c r="T35" i="67"/>
  <c r="T102" i="68"/>
  <c r="T102" i="67"/>
  <c r="T69" i="68"/>
  <c r="T216" i="67"/>
  <c r="T69" i="67"/>
  <c r="T65" i="68"/>
  <c r="T65" i="67"/>
  <c r="T15" i="68"/>
  <c r="T15" i="67"/>
  <c r="T121" i="68"/>
  <c r="T121" i="67"/>
  <c r="T179" i="68"/>
  <c r="T179" i="67"/>
  <c r="T94" i="68"/>
  <c r="T94" i="67"/>
  <c r="T3" i="68"/>
  <c r="T3" i="67"/>
  <c r="T213" i="68"/>
  <c r="Z213" i="68" s="1"/>
  <c r="T57" i="68"/>
  <c r="T57" i="67"/>
  <c r="T82" i="68"/>
  <c r="T82" i="67"/>
  <c r="T161" i="68"/>
  <c r="T161" i="67"/>
  <c r="T100" i="68"/>
  <c r="T100" i="67"/>
  <c r="T226" i="68"/>
  <c r="Z226" i="68" s="1"/>
  <c r="T115" i="68"/>
  <c r="T115" i="67"/>
  <c r="T125" i="68"/>
  <c r="T125" i="67"/>
  <c r="T200" i="68"/>
  <c r="T200" i="67"/>
  <c r="T193" i="68"/>
  <c r="T193" i="67"/>
  <c r="T101" i="68"/>
  <c r="T220" i="67"/>
  <c r="T101" i="67"/>
  <c r="T33" i="68"/>
  <c r="T33" i="67"/>
  <c r="T36" i="68"/>
  <c r="T36" i="67"/>
  <c r="T132" i="68"/>
  <c r="T132" i="67"/>
  <c r="T166" i="68"/>
  <c r="T166" i="67"/>
  <c r="T148" i="68"/>
  <c r="T148" i="67"/>
  <c r="T144" i="68"/>
  <c r="T144" i="67"/>
  <c r="T123" i="68"/>
  <c r="T123" i="67"/>
  <c r="T211" i="68"/>
  <c r="Z211" i="68" s="1"/>
  <c r="T111" i="68"/>
  <c r="T111" i="67"/>
  <c r="T160" i="68"/>
  <c r="T160" i="67"/>
  <c r="T42" i="68"/>
  <c r="T42" i="67"/>
  <c r="T77" i="68"/>
  <c r="T77" i="67"/>
  <c r="T159" i="68"/>
  <c r="T159" i="67"/>
  <c r="T146" i="68"/>
  <c r="T146" i="67"/>
  <c r="T137" i="68"/>
  <c r="T137" i="67"/>
  <c r="T177" i="68"/>
  <c r="T177" i="67"/>
  <c r="T178" i="68"/>
  <c r="T178" i="67"/>
  <c r="T70" i="68"/>
  <c r="T70" i="67"/>
  <c r="T182" i="68"/>
  <c r="T182" i="67"/>
  <c r="T60" i="68"/>
  <c r="T60" i="67"/>
  <c r="T9" i="68"/>
  <c r="T9" i="67"/>
  <c r="T130" i="68"/>
  <c r="T130" i="67"/>
  <c r="T31" i="68"/>
  <c r="T31" i="67"/>
  <c r="T156" i="68"/>
  <c r="T156" i="67"/>
  <c r="T47" i="68"/>
  <c r="T47" i="67"/>
  <c r="T80" i="68"/>
  <c r="T80" i="67"/>
  <c r="T27" i="68"/>
  <c r="T27" i="67"/>
  <c r="T143" i="68"/>
  <c r="T143" i="67"/>
  <c r="T113" i="68"/>
  <c r="T113" i="67"/>
  <c r="T145" i="68"/>
  <c r="T145" i="67"/>
  <c r="T170" i="68"/>
  <c r="T170" i="67"/>
  <c r="T133" i="68"/>
  <c r="T133" i="67"/>
  <c r="T154" i="68"/>
  <c r="T154" i="67"/>
  <c r="T106" i="68"/>
  <c r="T106" i="67"/>
  <c r="T153" i="68"/>
  <c r="T153" i="67"/>
  <c r="T110" i="68"/>
  <c r="T110" i="67"/>
  <c r="T185" i="68"/>
  <c r="T185" i="67"/>
  <c r="T164" i="68"/>
  <c r="T164" i="67"/>
  <c r="T129" i="68"/>
  <c r="T129" i="67"/>
  <c r="T184" i="68"/>
  <c r="T184" i="67"/>
  <c r="T155" i="68"/>
  <c r="T155" i="67"/>
  <c r="T131" i="68"/>
  <c r="T131" i="67"/>
  <c r="T135" i="68"/>
  <c r="T135" i="67"/>
  <c r="T66" i="68"/>
  <c r="T214" i="67"/>
  <c r="T66" i="67"/>
  <c r="T127" i="68"/>
  <c r="T127" i="67"/>
  <c r="T151" i="68"/>
  <c r="T151" i="67"/>
  <c r="T199" i="68"/>
  <c r="T199" i="67"/>
  <c r="T227" i="68"/>
  <c r="Z227" i="68" s="1"/>
  <c r="T93" i="68"/>
  <c r="T93" i="67"/>
  <c r="T107" i="68"/>
  <c r="T107" i="67"/>
  <c r="T221" i="67"/>
  <c r="T220" i="68"/>
  <c r="Z220" i="68" s="1"/>
  <c r="T4" i="68"/>
  <c r="T4" i="67"/>
  <c r="T21" i="68"/>
  <c r="T21" i="67"/>
  <c r="T32" i="68"/>
  <c r="T32" i="67"/>
  <c r="T25" i="68"/>
  <c r="T25" i="67"/>
  <c r="T122" i="68"/>
  <c r="T122" i="67"/>
  <c r="T175" i="68"/>
  <c r="T175" i="67"/>
  <c r="T26" i="68"/>
  <c r="T26" i="67"/>
  <c r="T196" i="68"/>
  <c r="T196" i="67"/>
  <c r="T205" i="68"/>
  <c r="T205" i="67"/>
  <c r="CE7" i="72"/>
  <c r="BN7" i="72"/>
  <c r="T59" i="68"/>
  <c r="T59" i="67"/>
  <c r="T219" i="68"/>
  <c r="Z219" i="68" s="1"/>
  <c r="T46" i="68"/>
  <c r="T46" i="67"/>
  <c r="T215" i="68"/>
  <c r="Z215" i="68" s="1"/>
  <c r="T76" i="68"/>
  <c r="T76" i="67"/>
  <c r="T120" i="68"/>
  <c r="T120" i="67"/>
  <c r="T18" i="68"/>
  <c r="T18" i="67"/>
  <c r="T53" i="68"/>
  <c r="T53" i="67"/>
  <c r="T62" i="68"/>
  <c r="T62" i="67"/>
  <c r="T213" i="67"/>
  <c r="T105" i="68"/>
  <c r="T105" i="67"/>
  <c r="T194" i="68"/>
  <c r="T194" i="67"/>
  <c r="T22" i="68"/>
  <c r="T22" i="67"/>
  <c r="T29" i="68"/>
  <c r="T29" i="67"/>
  <c r="T203" i="68"/>
  <c r="T203" i="67"/>
  <c r="T30" i="68"/>
  <c r="T30" i="67"/>
  <c r="T37" i="68"/>
  <c r="T37" i="67"/>
  <c r="T189" i="68"/>
  <c r="T189" i="67"/>
  <c r="T198" i="68"/>
  <c r="T198" i="67"/>
  <c r="T114" i="68"/>
  <c r="T114" i="67"/>
  <c r="T45" i="68"/>
  <c r="T45" i="67"/>
  <c r="T225" i="68"/>
  <c r="Z225" i="68" s="1"/>
  <c r="T64" i="68"/>
  <c r="T64" i="67"/>
  <c r="T167" i="68"/>
  <c r="T167" i="67"/>
  <c r="T20" i="68"/>
  <c r="T20" i="67"/>
  <c r="T211" i="67"/>
  <c r="T51" i="68"/>
  <c r="T51" i="67"/>
  <c r="T116" i="68"/>
  <c r="T116" i="67"/>
  <c r="T54" i="68"/>
  <c r="T54" i="67"/>
  <c r="T19" i="68"/>
  <c r="T19" i="67"/>
  <c r="T56" i="68"/>
  <c r="T56" i="67"/>
  <c r="T67" i="68"/>
  <c r="T67" i="67"/>
  <c r="T215" i="67"/>
  <c r="T136" i="68"/>
  <c r="T225" i="67"/>
  <c r="T136" i="67"/>
  <c r="T8" i="68"/>
  <c r="T8" i="67"/>
  <c r="T24" i="68"/>
  <c r="T24" i="67"/>
  <c r="T218" i="68"/>
  <c r="Z218" i="68" s="1"/>
  <c r="T222" i="68"/>
  <c r="Z222" i="68" s="1"/>
  <c r="T10" i="68"/>
  <c r="T10" i="67"/>
  <c r="T99" i="68"/>
  <c r="T99" i="67"/>
  <c r="T228" i="68"/>
  <c r="Z228" i="68" s="1"/>
  <c r="T39" i="68"/>
  <c r="T39" i="67"/>
  <c r="T5" i="68"/>
  <c r="T5" i="67"/>
  <c r="T173" i="68"/>
  <c r="T173" i="67"/>
  <c r="T216" i="68"/>
  <c r="Z216" i="68" s="1"/>
  <c r="T81" i="68"/>
  <c r="T81" i="67"/>
  <c r="T34" i="68"/>
  <c r="T34" i="67"/>
  <c r="T96" i="68"/>
  <c r="T96" i="67"/>
  <c r="T52" i="68"/>
  <c r="T52" i="67"/>
  <c r="T55" i="68"/>
  <c r="T55" i="67"/>
  <c r="T221" i="68"/>
  <c r="Z221" i="68" s="1"/>
  <c r="T191" i="68"/>
  <c r="T191" i="67"/>
  <c r="T192" i="68"/>
  <c r="T192" i="67"/>
  <c r="T75" i="68"/>
  <c r="T75" i="67"/>
  <c r="T83" i="68"/>
  <c r="T83" i="67"/>
  <c r="T88" i="68"/>
  <c r="T88" i="67"/>
  <c r="T214" i="68"/>
  <c r="Z214" i="68" s="1"/>
  <c r="T117" i="68"/>
  <c r="T117" i="67"/>
  <c r="T11" i="68"/>
  <c r="T11" i="67"/>
  <c r="T180" i="68"/>
  <c r="T180" i="67"/>
  <c r="T97" i="68"/>
  <c r="T97" i="67"/>
  <c r="T40" i="68"/>
  <c r="T40" i="67"/>
  <c r="T204" i="68"/>
  <c r="T204" i="67"/>
  <c r="T41" i="68"/>
  <c r="T41" i="67"/>
  <c r="AW12" i="72"/>
  <c r="E260" i="47"/>
  <c r="AW7" i="72"/>
  <c r="E240" i="52" l="1"/>
  <c r="E186" i="52"/>
  <c r="E138" i="47"/>
  <c r="E199" i="47"/>
  <c r="E132" i="52"/>
  <c r="T3" i="77" l="1"/>
  <c r="L3" i="77"/>
  <c r="T4" i="77"/>
  <c r="X139" i="71"/>
  <c r="X137" i="71"/>
  <c r="X11" i="72"/>
  <c r="Y11" i="72" s="1"/>
  <c r="X123" i="71"/>
  <c r="X206" i="71"/>
  <c r="X148" i="71"/>
  <c r="X187" i="71"/>
  <c r="V196" i="71"/>
  <c r="V8" i="72"/>
  <c r="V57" i="71"/>
  <c r="V19" i="72"/>
  <c r="V163" i="71"/>
  <c r="V104" i="71"/>
  <c r="V27" i="71"/>
  <c r="V144" i="71"/>
  <c r="V29" i="71"/>
  <c r="V173" i="71"/>
  <c r="V99" i="71"/>
  <c r="V187" i="71"/>
  <c r="V90" i="71"/>
  <c r="V189" i="71"/>
  <c r="V17" i="71"/>
  <c r="V137" i="71"/>
  <c r="V31" i="71"/>
  <c r="V116" i="71"/>
  <c r="V89" i="71"/>
  <c r="V13" i="71"/>
  <c r="V60" i="71"/>
  <c r="V143" i="71"/>
  <c r="V140" i="71"/>
  <c r="V74" i="71"/>
  <c r="V23" i="71"/>
  <c r="V153" i="71"/>
  <c r="V46" i="71"/>
  <c r="V107" i="71"/>
  <c r="V44" i="71"/>
  <c r="V42" i="71"/>
  <c r="V198" i="71"/>
  <c r="V64" i="71"/>
  <c r="V41" i="71"/>
  <c r="V206" i="71"/>
  <c r="V149" i="71"/>
  <c r="V161" i="71"/>
  <c r="V33" i="71"/>
  <c r="V59" i="71"/>
  <c r="V170" i="71"/>
  <c r="V169" i="71"/>
  <c r="V152" i="71"/>
  <c r="V138" i="71"/>
  <c r="V194" i="71"/>
  <c r="V112" i="71"/>
  <c r="V148" i="71"/>
  <c r="V18" i="72"/>
  <c r="V97" i="71"/>
  <c r="V171" i="71"/>
  <c r="V164" i="71"/>
  <c r="V139" i="71"/>
  <c r="V39" i="71"/>
  <c r="V5" i="71"/>
  <c r="V71" i="71"/>
  <c r="L4" i="77"/>
  <c r="M4" i="77" s="1"/>
  <c r="K4" i="16"/>
  <c r="W59" i="71" l="1"/>
  <c r="X58" i="56"/>
  <c r="Y58" i="56" s="1"/>
  <c r="G58" i="56" s="1"/>
  <c r="W173" i="71"/>
  <c r="X172" i="56"/>
  <c r="Y172" i="56" s="1"/>
  <c r="G172" i="56" s="1"/>
  <c r="Y206" i="71"/>
  <c r="V205" i="56"/>
  <c r="W205" i="56" s="1"/>
  <c r="F205" i="56" s="1"/>
  <c r="W153" i="71"/>
  <c r="X152" i="56"/>
  <c r="Y152" i="56" s="1"/>
  <c r="G152" i="56" s="1"/>
  <c r="Y187" i="71"/>
  <c r="V186" i="56"/>
  <c r="W186" i="56" s="1"/>
  <c r="F186" i="56" s="1"/>
  <c r="W29" i="71"/>
  <c r="X28" i="56"/>
  <c r="Y28" i="56" s="1"/>
  <c r="G28" i="56" s="1"/>
  <c r="Y123" i="71"/>
  <c r="V122" i="56"/>
  <c r="W122" i="56" s="1"/>
  <c r="F122" i="56" s="1"/>
  <c r="W139" i="71"/>
  <c r="X138" i="56"/>
  <c r="Y138" i="56" s="1"/>
  <c r="G138" i="56" s="1"/>
  <c r="W33" i="71"/>
  <c r="X32" i="56"/>
  <c r="Y32" i="56" s="1"/>
  <c r="G32" i="56" s="1"/>
  <c r="W74" i="71"/>
  <c r="X73" i="56"/>
  <c r="Y73" i="56" s="1"/>
  <c r="G73" i="56" s="1"/>
  <c r="Y148" i="71"/>
  <c r="V147" i="56"/>
  <c r="W147" i="56" s="1"/>
  <c r="F147" i="56" s="1"/>
  <c r="W41" i="71"/>
  <c r="X40" i="56"/>
  <c r="Y40" i="56" s="1"/>
  <c r="G40" i="56" s="1"/>
  <c r="W60" i="71"/>
  <c r="X59" i="56"/>
  <c r="Y59" i="56" s="1"/>
  <c r="G59" i="56" s="1"/>
  <c r="W112" i="71"/>
  <c r="X111" i="56"/>
  <c r="Y111" i="56" s="1"/>
  <c r="G111" i="56" s="1"/>
  <c r="W64" i="71"/>
  <c r="X63" i="56"/>
  <c r="Y63" i="56" s="1"/>
  <c r="G63" i="56" s="1"/>
  <c r="W13" i="71"/>
  <c r="X12" i="56"/>
  <c r="Y12" i="56" s="1"/>
  <c r="G12" i="56" s="1"/>
  <c r="W144" i="71"/>
  <c r="X143" i="56"/>
  <c r="Y143" i="56" s="1"/>
  <c r="G143" i="56" s="1"/>
  <c r="W196" i="71"/>
  <c r="X195" i="56"/>
  <c r="Y195" i="56" s="1"/>
  <c r="G195" i="56" s="1"/>
  <c r="W99" i="71"/>
  <c r="X98" i="56"/>
  <c r="Y98" i="56" s="1"/>
  <c r="G98" i="56" s="1"/>
  <c r="W89" i="71"/>
  <c r="X88" i="56"/>
  <c r="Y88" i="56" s="1"/>
  <c r="G88" i="56" s="1"/>
  <c r="W27" i="71"/>
  <c r="X26" i="56"/>
  <c r="Y26" i="56" s="1"/>
  <c r="G26" i="56" s="1"/>
  <c r="Y137" i="71"/>
  <c r="V136" i="56"/>
  <c r="W136" i="56" s="1"/>
  <c r="F136" i="56" s="1"/>
  <c r="W189" i="71"/>
  <c r="X188" i="56"/>
  <c r="Y188" i="56" s="1"/>
  <c r="G188" i="56" s="1"/>
  <c r="W187" i="71"/>
  <c r="X186" i="56"/>
  <c r="Y186" i="56" s="1"/>
  <c r="G186" i="56" s="1"/>
  <c r="W143" i="71"/>
  <c r="X142" i="56"/>
  <c r="Y142" i="56" s="1"/>
  <c r="G142" i="56" s="1"/>
  <c r="W42" i="71"/>
  <c r="X41" i="56"/>
  <c r="Y41" i="56" s="1"/>
  <c r="G41" i="56" s="1"/>
  <c r="W116" i="71"/>
  <c r="X115" i="56"/>
  <c r="Y115" i="56" s="1"/>
  <c r="G115" i="56" s="1"/>
  <c r="W104" i="71"/>
  <c r="X103" i="56"/>
  <c r="Y103" i="56" s="1"/>
  <c r="G103" i="56" s="1"/>
  <c r="Y139" i="71"/>
  <c r="V138" i="56"/>
  <c r="W138" i="56" s="1"/>
  <c r="F138" i="56" s="1"/>
  <c r="BB138" i="56" s="1"/>
  <c r="BE138" i="56" s="1"/>
  <c r="W164" i="71"/>
  <c r="X163" i="56"/>
  <c r="Y163" i="56" s="1"/>
  <c r="G163" i="56" s="1"/>
  <c r="W171" i="71"/>
  <c r="X170" i="56"/>
  <c r="Y170" i="56" s="1"/>
  <c r="G170" i="56" s="1"/>
  <c r="W140" i="71"/>
  <c r="X139" i="56"/>
  <c r="Y139" i="56" s="1"/>
  <c r="G139" i="56" s="1"/>
  <c r="W194" i="71"/>
  <c r="X193" i="56"/>
  <c r="Y193" i="56" s="1"/>
  <c r="G193" i="56" s="1"/>
  <c r="W71" i="71"/>
  <c r="X70" i="56"/>
  <c r="Y70" i="56" s="1"/>
  <c r="G70" i="56" s="1"/>
  <c r="W152" i="71"/>
  <c r="X151" i="56"/>
  <c r="Y151" i="56" s="1"/>
  <c r="G151" i="56" s="1"/>
  <c r="W44" i="71"/>
  <c r="X43" i="56"/>
  <c r="Y43" i="56" s="1"/>
  <c r="G43" i="56" s="1"/>
  <c r="W31" i="71"/>
  <c r="X30" i="56"/>
  <c r="Y30" i="56" s="1"/>
  <c r="G30" i="56" s="1"/>
  <c r="W163" i="71"/>
  <c r="X162" i="56"/>
  <c r="Y162" i="56" s="1"/>
  <c r="G162" i="56" s="1"/>
  <c r="W90" i="71"/>
  <c r="X89" i="56"/>
  <c r="Y89" i="56" s="1"/>
  <c r="G89" i="56" s="1"/>
  <c r="W97" i="71"/>
  <c r="X96" i="56"/>
  <c r="Y96" i="56" s="1"/>
  <c r="G96" i="56" s="1"/>
  <c r="W148" i="71"/>
  <c r="X147" i="56"/>
  <c r="Y147" i="56" s="1"/>
  <c r="G147" i="56" s="1"/>
  <c r="W169" i="71"/>
  <c r="X168" i="56"/>
  <c r="Y168" i="56" s="1"/>
  <c r="G168" i="56" s="1"/>
  <c r="W137" i="71"/>
  <c r="X136" i="56"/>
  <c r="Y136" i="56" s="1"/>
  <c r="G136" i="56" s="1"/>
  <c r="W23" i="71"/>
  <c r="X22" i="56"/>
  <c r="Y22" i="56" s="1"/>
  <c r="G22" i="56" s="1"/>
  <c r="W161" i="71"/>
  <c r="X160" i="56"/>
  <c r="Y160" i="56" s="1"/>
  <c r="G160" i="56" s="1"/>
  <c r="W149" i="71"/>
  <c r="X148" i="56"/>
  <c r="Y148" i="56" s="1"/>
  <c r="G148" i="56" s="1"/>
  <c r="W206" i="71"/>
  <c r="X205" i="56"/>
  <c r="Y205" i="56" s="1"/>
  <c r="G205" i="56" s="1"/>
  <c r="W198" i="71"/>
  <c r="X197" i="56"/>
  <c r="Y197" i="56" s="1"/>
  <c r="G197" i="56" s="1"/>
  <c r="W138" i="71"/>
  <c r="X137" i="56"/>
  <c r="Y137" i="56" s="1"/>
  <c r="G137" i="56" s="1"/>
  <c r="W5" i="71"/>
  <c r="X4" i="56"/>
  <c r="Y4" i="56" s="1"/>
  <c r="G4" i="56" s="1"/>
  <c r="W107" i="71"/>
  <c r="X106" i="56"/>
  <c r="Y106" i="56" s="1"/>
  <c r="G106" i="56" s="1"/>
  <c r="W39" i="71"/>
  <c r="X38" i="56"/>
  <c r="Y38" i="56" s="1"/>
  <c r="G38" i="56" s="1"/>
  <c r="W170" i="71"/>
  <c r="X169" i="56"/>
  <c r="Y169" i="56" s="1"/>
  <c r="G169" i="56" s="1"/>
  <c r="W46" i="71"/>
  <c r="X45" i="56"/>
  <c r="Y45" i="56" s="1"/>
  <c r="G45" i="56" s="1"/>
  <c r="W17" i="71"/>
  <c r="X16" i="56"/>
  <c r="Y16" i="56" s="1"/>
  <c r="G16" i="56" s="1"/>
  <c r="W57" i="71"/>
  <c r="X56" i="56"/>
  <c r="Y56" i="56" s="1"/>
  <c r="G56" i="56" s="1"/>
  <c r="W19" i="72"/>
  <c r="W8" i="72"/>
  <c r="W18" i="72"/>
  <c r="X118" i="71"/>
  <c r="U4" i="77"/>
  <c r="V165" i="71"/>
  <c r="M3" i="77"/>
  <c r="X18" i="72"/>
  <c r="Y18" i="72" s="1"/>
  <c r="U3" i="77"/>
  <c r="X66" i="71"/>
  <c r="X159" i="71"/>
  <c r="X177" i="71"/>
  <c r="X28" i="71"/>
  <c r="X124" i="71"/>
  <c r="X53" i="71"/>
  <c r="X185" i="71"/>
  <c r="X9" i="71"/>
  <c r="X16" i="71"/>
  <c r="X7" i="71"/>
  <c r="X88" i="71"/>
  <c r="X25" i="71"/>
  <c r="X168" i="71"/>
  <c r="X82" i="71"/>
  <c r="X84" i="71"/>
  <c r="X208" i="71"/>
  <c r="X50" i="71"/>
  <c r="X70" i="71"/>
  <c r="X11" i="71"/>
  <c r="X125" i="71"/>
  <c r="X182" i="71"/>
  <c r="X23" i="71"/>
  <c r="V86" i="71"/>
  <c r="V105" i="71"/>
  <c r="X104" i="56" s="1"/>
  <c r="Y104" i="56" s="1"/>
  <c r="G104" i="56" s="1"/>
  <c r="V191" i="71"/>
  <c r="V123" i="71"/>
  <c r="V45" i="71"/>
  <c r="V75" i="71"/>
  <c r="V141" i="71"/>
  <c r="V87" i="71"/>
  <c r="X86" i="56" s="1"/>
  <c r="Y86" i="56" s="1"/>
  <c r="G86" i="56" s="1"/>
  <c r="V37" i="71"/>
  <c r="V11" i="72"/>
  <c r="X107" i="71"/>
  <c r="V111" i="71"/>
  <c r="V20" i="72"/>
  <c r="V150" i="71"/>
  <c r="V18" i="71"/>
  <c r="X98" i="71"/>
  <c r="X190" i="71"/>
  <c r="X6" i="71"/>
  <c r="V12" i="71"/>
  <c r="V119" i="71"/>
  <c r="X118" i="56" s="1"/>
  <c r="Y118" i="56" s="1"/>
  <c r="G118" i="56" s="1"/>
  <c r="V40" i="71"/>
  <c r="X170" i="71"/>
  <c r="X54" i="71"/>
  <c r="V53" i="56" s="1"/>
  <c r="W53" i="56" s="1"/>
  <c r="F53" i="56" s="1"/>
  <c r="V142" i="71"/>
  <c r="V68" i="71"/>
  <c r="X67" i="56" s="1"/>
  <c r="Y67" i="56" s="1"/>
  <c r="G67" i="56" s="1"/>
  <c r="X5" i="71"/>
  <c r="X75" i="71"/>
  <c r="V131" i="71"/>
  <c r="V93" i="71"/>
  <c r="X92" i="56" s="1"/>
  <c r="Y92" i="56" s="1"/>
  <c r="G92" i="56" s="1"/>
  <c r="X8" i="72"/>
  <c r="X152" i="71"/>
  <c r="X164" i="71"/>
  <c r="V163" i="56" s="1"/>
  <c r="W163" i="56" s="1"/>
  <c r="F163" i="56" s="1"/>
  <c r="X37" i="71"/>
  <c r="X116" i="71"/>
  <c r="V115" i="56" s="1"/>
  <c r="W115" i="56" s="1"/>
  <c r="F115" i="56" s="1"/>
  <c r="X29" i="71"/>
  <c r="X13" i="71"/>
  <c r="X138" i="71"/>
  <c r="X131" i="71"/>
  <c r="X60" i="71"/>
  <c r="X45" i="71"/>
  <c r="X27" i="71"/>
  <c r="X105" i="71"/>
  <c r="X194" i="71"/>
  <c r="X74" i="71"/>
  <c r="X64" i="71"/>
  <c r="X39" i="71"/>
  <c r="V38" i="56" s="1"/>
  <c r="W38" i="56" s="1"/>
  <c r="F38" i="56" s="1"/>
  <c r="X141" i="71"/>
  <c r="X17" i="71"/>
  <c r="X104" i="71"/>
  <c r="X90" i="71"/>
  <c r="X142" i="71"/>
  <c r="X144" i="71"/>
  <c r="X87" i="71"/>
  <c r="X44" i="71"/>
  <c r="X59" i="71"/>
  <c r="X19" i="72"/>
  <c r="X20" i="72"/>
  <c r="X119" i="71"/>
  <c r="X161" i="71"/>
  <c r="V160" i="56" s="1"/>
  <c r="W160" i="56" s="1"/>
  <c r="F160" i="56" s="1"/>
  <c r="BB160" i="56" s="1"/>
  <c r="BE160" i="56" s="1"/>
  <c r="X173" i="71"/>
  <c r="X46" i="71"/>
  <c r="X196" i="71"/>
  <c r="X99" i="71"/>
  <c r="X68" i="71"/>
  <c r="X198" i="71"/>
  <c r="X41" i="71"/>
  <c r="X57" i="71"/>
  <c r="X18" i="71"/>
  <c r="V17" i="56" s="1"/>
  <c r="W17" i="56" s="1"/>
  <c r="F17" i="56" s="1"/>
  <c r="X12" i="71"/>
  <c r="X149" i="71"/>
  <c r="X111" i="71"/>
  <c r="X150" i="71"/>
  <c r="X33" i="71"/>
  <c r="X191" i="71"/>
  <c r="X42" i="71"/>
  <c r="X163" i="71"/>
  <c r="X97" i="71"/>
  <c r="X86" i="71"/>
  <c r="X89" i="71"/>
  <c r="X31" i="71"/>
  <c r="V30" i="56" s="1"/>
  <c r="W30" i="56" s="1"/>
  <c r="F30" i="56" s="1"/>
  <c r="X93" i="71"/>
  <c r="X71" i="71"/>
  <c r="V70" i="56" s="1"/>
  <c r="W70" i="56" s="1"/>
  <c r="F70" i="56" s="1"/>
  <c r="X189" i="71"/>
  <c r="X40" i="71"/>
  <c r="V39" i="56" s="1"/>
  <c r="W39" i="56" s="1"/>
  <c r="F39" i="56" s="1"/>
  <c r="X165" i="71"/>
  <c r="X169" i="71"/>
  <c r="X171" i="71"/>
  <c r="X140" i="71"/>
  <c r="X112" i="71"/>
  <c r="X143" i="71"/>
  <c r="X153" i="71"/>
  <c r="V152" i="56" s="1"/>
  <c r="W152" i="56" s="1"/>
  <c r="F152" i="56" s="1"/>
  <c r="X192" i="71"/>
  <c r="X145" i="71"/>
  <c r="X55" i="71"/>
  <c r="X162" i="71"/>
  <c r="X193" i="71"/>
  <c r="X172" i="71"/>
  <c r="X78" i="71"/>
  <c r="X134" i="71"/>
  <c r="V133" i="56" s="1"/>
  <c r="W133" i="56" s="1"/>
  <c r="F133" i="56" s="1"/>
  <c r="X6" i="72"/>
  <c r="X61" i="71"/>
  <c r="X158" i="71"/>
  <c r="X69" i="71"/>
  <c r="X5" i="72"/>
  <c r="X186" i="71"/>
  <c r="X85" i="71"/>
  <c r="V84" i="56" s="1"/>
  <c r="W84" i="56" s="1"/>
  <c r="F84" i="56" s="1"/>
  <c r="X81" i="71"/>
  <c r="X167" i="71"/>
  <c r="V166" i="56" s="1"/>
  <c r="W166" i="56" s="1"/>
  <c r="F166" i="56" s="1"/>
  <c r="X128" i="71"/>
  <c r="X120" i="71"/>
  <c r="X146" i="71"/>
  <c r="X9" i="72"/>
  <c r="X19" i="71"/>
  <c r="X63" i="71"/>
  <c r="V62" i="56" s="1"/>
  <c r="W62" i="56" s="1"/>
  <c r="F62" i="56" s="1"/>
  <c r="X47" i="71"/>
  <c r="X80" i="71"/>
  <c r="V79" i="56" s="1"/>
  <c r="W79" i="56" s="1"/>
  <c r="F79" i="56" s="1"/>
  <c r="X166" i="71"/>
  <c r="V165" i="56" s="1"/>
  <c r="W165" i="56" s="1"/>
  <c r="F165" i="56" s="1"/>
  <c r="X207" i="71"/>
  <c r="X117" i="71"/>
  <c r="V116" i="56" s="1"/>
  <c r="W116" i="56" s="1"/>
  <c r="F116" i="56" s="1"/>
  <c r="X62" i="71"/>
  <c r="X22" i="71"/>
  <c r="V47" i="71"/>
  <c r="V120" i="71"/>
  <c r="V88" i="71"/>
  <c r="V80" i="71"/>
  <c r="V167" i="71"/>
  <c r="V69" i="71"/>
  <c r="V66" i="71"/>
  <c r="V11" i="71"/>
  <c r="V28" i="71"/>
  <c r="V193" i="71"/>
  <c r="V53" i="71"/>
  <c r="V134" i="71"/>
  <c r="V125" i="71"/>
  <c r="V61" i="71"/>
  <c r="V186" i="71"/>
  <c r="V118" i="71"/>
  <c r="V158" i="71"/>
  <c r="V22" i="71"/>
  <c r="V168" i="71"/>
  <c r="V172" i="71"/>
  <c r="V19" i="71"/>
  <c r="V70" i="71"/>
  <c r="V81" i="71"/>
  <c r="V177" i="71"/>
  <c r="V98" i="71"/>
  <c r="V84" i="71"/>
  <c r="V128" i="71"/>
  <c r="V62" i="71"/>
  <c r="V192" i="71"/>
  <c r="V63" i="71"/>
  <c r="V54" i="71"/>
  <c r="V185" i="71"/>
  <c r="V55" i="71"/>
  <c r="V78" i="71"/>
  <c r="V9" i="71"/>
  <c r="V85" i="71"/>
  <c r="V166" i="71"/>
  <c r="V5" i="72"/>
  <c r="V124" i="71"/>
  <c r="V208" i="71"/>
  <c r="V182" i="71"/>
  <c r="V190" i="71"/>
  <c r="V6" i="71"/>
  <c r="V6" i="72"/>
  <c r="V50" i="71"/>
  <c r="V146" i="71"/>
  <c r="V159" i="71"/>
  <c r="V7" i="71"/>
  <c r="V9" i="72"/>
  <c r="V16" i="71"/>
  <c r="V117" i="71"/>
  <c r="V162" i="71"/>
  <c r="V207" i="71"/>
  <c r="V145" i="71"/>
  <c r="V82" i="71"/>
  <c r="V25" i="71"/>
  <c r="I213" i="22"/>
  <c r="I214" i="22" s="1"/>
  <c r="BB152" i="56" l="1"/>
  <c r="BE152" i="56" s="1"/>
  <c r="BB30" i="56"/>
  <c r="BE30" i="56" s="1"/>
  <c r="BB70" i="56"/>
  <c r="BE70" i="56" s="1"/>
  <c r="BB38" i="56"/>
  <c r="BE38" i="56" s="1"/>
  <c r="BB115" i="56"/>
  <c r="BE115" i="56" s="1"/>
  <c r="Y165" i="71"/>
  <c r="V164" i="56"/>
  <c r="W164" i="56" s="1"/>
  <c r="F164" i="56" s="1"/>
  <c r="W70" i="71"/>
  <c r="X69" i="56"/>
  <c r="Y69" i="56" s="1"/>
  <c r="G69" i="56" s="1"/>
  <c r="Y162" i="71"/>
  <c r="V161" i="56"/>
  <c r="W161" i="56" s="1"/>
  <c r="F161" i="56" s="1"/>
  <c r="Y125" i="71"/>
  <c r="V124" i="56"/>
  <c r="W124" i="56" s="1"/>
  <c r="F124" i="56" s="1"/>
  <c r="Y186" i="71"/>
  <c r="V185" i="56"/>
  <c r="W185" i="56" s="1"/>
  <c r="F185" i="56" s="1"/>
  <c r="Y145" i="71"/>
  <c r="V144" i="56"/>
  <c r="W144" i="56" s="1"/>
  <c r="F144" i="56" s="1"/>
  <c r="Y93" i="71"/>
  <c r="V92" i="56"/>
  <c r="W92" i="56" s="1"/>
  <c r="F92" i="56" s="1"/>
  <c r="BB92" i="56" s="1"/>
  <c r="BE92" i="56" s="1"/>
  <c r="Y12" i="71"/>
  <c r="V11" i="56"/>
  <c r="W11" i="56" s="1"/>
  <c r="F11" i="56" s="1"/>
  <c r="Y64" i="71"/>
  <c r="V63" i="56"/>
  <c r="W63" i="56" s="1"/>
  <c r="F63" i="56" s="1"/>
  <c r="BB63" i="56" s="1"/>
  <c r="BE63" i="56" s="1"/>
  <c r="Y37" i="71"/>
  <c r="V36" i="56"/>
  <c r="W36" i="56" s="1"/>
  <c r="F36" i="56" s="1"/>
  <c r="W40" i="71"/>
  <c r="X39" i="56"/>
  <c r="Y39" i="56" s="1"/>
  <c r="G39" i="56" s="1"/>
  <c r="BB39" i="56" s="1"/>
  <c r="BE39" i="56" s="1"/>
  <c r="W37" i="71"/>
  <c r="X36" i="56"/>
  <c r="Y36" i="56" s="1"/>
  <c r="G36" i="56" s="1"/>
  <c r="Y11" i="71"/>
  <c r="V10" i="56"/>
  <c r="W10" i="56" s="1"/>
  <c r="F10" i="56" s="1"/>
  <c r="Y185" i="71"/>
  <c r="V184" i="56"/>
  <c r="W184" i="56" s="1"/>
  <c r="F184" i="56" s="1"/>
  <c r="Y118" i="71"/>
  <c r="V117" i="56"/>
  <c r="W117" i="56" s="1"/>
  <c r="F117" i="56" s="1"/>
  <c r="BB136" i="56"/>
  <c r="BE136" i="56" s="1"/>
  <c r="Y46" i="71"/>
  <c r="V45" i="56"/>
  <c r="W45" i="56" s="1"/>
  <c r="F45" i="56" s="1"/>
  <c r="BB45" i="56" s="1"/>
  <c r="BE45" i="56" s="1"/>
  <c r="W6" i="71"/>
  <c r="X5" i="56"/>
  <c r="Y5" i="56" s="1"/>
  <c r="G5" i="56" s="1"/>
  <c r="Y192" i="71"/>
  <c r="V191" i="56"/>
  <c r="W191" i="56" s="1"/>
  <c r="F191" i="56" s="1"/>
  <c r="Y74" i="71"/>
  <c r="V73" i="56"/>
  <c r="W73" i="56" s="1"/>
  <c r="F73" i="56" s="1"/>
  <c r="BB73" i="56" s="1"/>
  <c r="BE73" i="56" s="1"/>
  <c r="BB163" i="56"/>
  <c r="BE163" i="56" s="1"/>
  <c r="Y70" i="71"/>
  <c r="V69" i="56"/>
  <c r="W69" i="56" s="1"/>
  <c r="F69" i="56" s="1"/>
  <c r="Y53" i="71"/>
  <c r="V52" i="56"/>
  <c r="W52" i="56" s="1"/>
  <c r="F52" i="56" s="1"/>
  <c r="W85" i="71"/>
  <c r="X84" i="56"/>
  <c r="Y84" i="56" s="1"/>
  <c r="G84" i="56" s="1"/>
  <c r="BB84" i="56" s="1"/>
  <c r="BE84" i="56" s="1"/>
  <c r="Y22" i="71"/>
  <c r="V21" i="56"/>
  <c r="W21" i="56" s="1"/>
  <c r="F21" i="56" s="1"/>
  <c r="Y88" i="71"/>
  <c r="V87" i="56"/>
  <c r="W87" i="56" s="1"/>
  <c r="F87" i="56" s="1"/>
  <c r="Y62" i="71"/>
  <c r="V61" i="56"/>
  <c r="W61" i="56" s="1"/>
  <c r="F61" i="56" s="1"/>
  <c r="Y173" i="71"/>
  <c r="V172" i="56"/>
  <c r="W172" i="56" s="1"/>
  <c r="F172" i="56" s="1"/>
  <c r="BB172" i="56" s="1"/>
  <c r="BE172" i="56" s="1"/>
  <c r="Y23" i="71"/>
  <c r="V22" i="56"/>
  <c r="W22" i="56" s="1"/>
  <c r="F22" i="56" s="1"/>
  <c r="BB22" i="56" s="1"/>
  <c r="BE22" i="56" s="1"/>
  <c r="Y182" i="71"/>
  <c r="V181" i="56"/>
  <c r="W181" i="56" s="1"/>
  <c r="F181" i="56" s="1"/>
  <c r="W165" i="71"/>
  <c r="X164" i="56"/>
  <c r="Y164" i="56" s="1"/>
  <c r="G164" i="56" s="1"/>
  <c r="Y9" i="71"/>
  <c r="V8" i="56"/>
  <c r="W8" i="56" s="1"/>
  <c r="F8" i="56" s="1"/>
  <c r="W25" i="71"/>
  <c r="X24" i="56"/>
  <c r="Y24" i="56" s="1"/>
  <c r="G24" i="56" s="1"/>
  <c r="W82" i="71"/>
  <c r="X81" i="56"/>
  <c r="Y81" i="56" s="1"/>
  <c r="G81" i="56" s="1"/>
  <c r="W145" i="71"/>
  <c r="X144" i="56"/>
  <c r="Y144" i="56" s="1"/>
  <c r="G144" i="56" s="1"/>
  <c r="W190" i="71"/>
  <c r="X189" i="56"/>
  <c r="Y189" i="56" s="1"/>
  <c r="G189" i="56" s="1"/>
  <c r="W63" i="71"/>
  <c r="X62" i="56"/>
  <c r="Y62" i="56" s="1"/>
  <c r="G62" i="56" s="1"/>
  <c r="W22" i="71"/>
  <c r="X21" i="56"/>
  <c r="Y21" i="56" s="1"/>
  <c r="G21" i="56" s="1"/>
  <c r="W69" i="71"/>
  <c r="X68" i="56"/>
  <c r="Y68" i="56" s="1"/>
  <c r="G68" i="56" s="1"/>
  <c r="Y47" i="71"/>
  <c r="V46" i="56"/>
  <c r="W46" i="56" s="1"/>
  <c r="F46" i="56" s="1"/>
  <c r="Y69" i="71"/>
  <c r="V68" i="56"/>
  <c r="W68" i="56" s="1"/>
  <c r="F68" i="56" s="1"/>
  <c r="Y89" i="71"/>
  <c r="V88" i="56"/>
  <c r="W88" i="56" s="1"/>
  <c r="F88" i="56" s="1"/>
  <c r="BB88" i="56" s="1"/>
  <c r="BE88" i="56" s="1"/>
  <c r="Y57" i="71"/>
  <c r="V56" i="56"/>
  <c r="W56" i="56" s="1"/>
  <c r="F56" i="56" s="1"/>
  <c r="BB56" i="56" s="1"/>
  <c r="BE56" i="56" s="1"/>
  <c r="Y59" i="71"/>
  <c r="V58" i="56"/>
  <c r="W58" i="56" s="1"/>
  <c r="F58" i="56" s="1"/>
  <c r="BB58" i="56" s="1"/>
  <c r="BE58" i="56" s="1"/>
  <c r="Y194" i="71"/>
  <c r="V193" i="56"/>
  <c r="W193" i="56" s="1"/>
  <c r="F193" i="56" s="1"/>
  <c r="BB193" i="56" s="1"/>
  <c r="BE193" i="56" s="1"/>
  <c r="Y152" i="71"/>
  <c r="V151" i="56"/>
  <c r="W151" i="56" s="1"/>
  <c r="F151" i="56" s="1"/>
  <c r="BB151" i="56" s="1"/>
  <c r="BE151" i="56" s="1"/>
  <c r="W12" i="71"/>
  <c r="X11" i="56"/>
  <c r="Y11" i="56" s="1"/>
  <c r="G11" i="56" s="1"/>
  <c r="W141" i="71"/>
  <c r="X140" i="56"/>
  <c r="Y140" i="56" s="1"/>
  <c r="G140" i="56" s="1"/>
  <c r="Y50" i="71"/>
  <c r="V49" i="56"/>
  <c r="W49" i="56" s="1"/>
  <c r="F49" i="56" s="1"/>
  <c r="Y124" i="71"/>
  <c r="V123" i="56"/>
  <c r="W123" i="56" s="1"/>
  <c r="F123" i="56" s="1"/>
  <c r="BB205" i="56"/>
  <c r="BE205" i="56" s="1"/>
  <c r="W134" i="71"/>
  <c r="X133" i="56"/>
  <c r="Y133" i="56" s="1"/>
  <c r="G133" i="56" s="1"/>
  <c r="BB133" i="56" s="1"/>
  <c r="BE133" i="56" s="1"/>
  <c r="Y104" i="71"/>
  <c r="V103" i="56"/>
  <c r="W103" i="56" s="1"/>
  <c r="F103" i="56" s="1"/>
  <c r="BB103" i="56" s="1"/>
  <c r="BE103" i="56" s="1"/>
  <c r="W9" i="71"/>
  <c r="X8" i="56"/>
  <c r="Y8" i="56" s="1"/>
  <c r="G8" i="56" s="1"/>
  <c r="W142" i="71"/>
  <c r="X141" i="56"/>
  <c r="Y141" i="56" s="1"/>
  <c r="G141" i="56" s="1"/>
  <c r="Y111" i="71"/>
  <c r="V110" i="56"/>
  <c r="W110" i="56" s="1"/>
  <c r="F110" i="56" s="1"/>
  <c r="W11" i="71"/>
  <c r="X10" i="56"/>
  <c r="Y10" i="56" s="1"/>
  <c r="G10" i="56" s="1"/>
  <c r="W54" i="71"/>
  <c r="X53" i="56"/>
  <c r="Y53" i="56" s="1"/>
  <c r="G53" i="56" s="1"/>
  <c r="BB53" i="56" s="1"/>
  <c r="BE53" i="56" s="1"/>
  <c r="W207" i="71"/>
  <c r="X206" i="56"/>
  <c r="Y206" i="56" s="1"/>
  <c r="G206" i="56" s="1"/>
  <c r="W182" i="71"/>
  <c r="X181" i="56"/>
  <c r="Y181" i="56" s="1"/>
  <c r="G181" i="56" s="1"/>
  <c r="W192" i="71"/>
  <c r="X191" i="56"/>
  <c r="Y191" i="56" s="1"/>
  <c r="G191" i="56" s="1"/>
  <c r="W158" i="71"/>
  <c r="X157" i="56"/>
  <c r="Y157" i="56" s="1"/>
  <c r="G157" i="56" s="1"/>
  <c r="W167" i="71"/>
  <c r="X166" i="56"/>
  <c r="Y166" i="56" s="1"/>
  <c r="G166" i="56" s="1"/>
  <c r="BB166" i="56" s="1"/>
  <c r="BE166" i="56" s="1"/>
  <c r="BB62" i="56"/>
  <c r="BE62" i="56" s="1"/>
  <c r="Y158" i="71"/>
  <c r="V157" i="56"/>
  <c r="W157" i="56" s="1"/>
  <c r="F157" i="56" s="1"/>
  <c r="BB157" i="56" s="1"/>
  <c r="BE157" i="56" s="1"/>
  <c r="Y143" i="71"/>
  <c r="V142" i="56"/>
  <c r="W142" i="56" s="1"/>
  <c r="F142" i="56" s="1"/>
  <c r="BB142" i="56" s="1"/>
  <c r="BE142" i="56" s="1"/>
  <c r="Y86" i="71"/>
  <c r="V85" i="56"/>
  <c r="W85" i="56" s="1"/>
  <c r="F85" i="56" s="1"/>
  <c r="Y41" i="71"/>
  <c r="V40" i="56"/>
  <c r="W40" i="56" s="1"/>
  <c r="F40" i="56" s="1"/>
  <c r="BB40" i="56" s="1"/>
  <c r="BE40" i="56" s="1"/>
  <c r="Y44" i="71"/>
  <c r="V43" i="56"/>
  <c r="W43" i="56" s="1"/>
  <c r="F43" i="56" s="1"/>
  <c r="BB43" i="56" s="1"/>
  <c r="BE43" i="56" s="1"/>
  <c r="Y105" i="71"/>
  <c r="V104" i="56"/>
  <c r="W104" i="56" s="1"/>
  <c r="F104" i="56" s="1"/>
  <c r="BB104" i="56" s="1"/>
  <c r="BE104" i="56" s="1"/>
  <c r="Y6" i="71"/>
  <c r="V5" i="56"/>
  <c r="W5" i="56" s="1"/>
  <c r="F5" i="56" s="1"/>
  <c r="BB5" i="56" s="1"/>
  <c r="BE5" i="56" s="1"/>
  <c r="W75" i="71"/>
  <c r="X74" i="56"/>
  <c r="Y74" i="56" s="1"/>
  <c r="G74" i="56" s="1"/>
  <c r="Y208" i="71"/>
  <c r="V207" i="56"/>
  <c r="W207" i="56" s="1"/>
  <c r="F207" i="56" s="1"/>
  <c r="Y28" i="71"/>
  <c r="V27" i="56"/>
  <c r="W27" i="56" s="1"/>
  <c r="F27" i="56" s="1"/>
  <c r="W177" i="71"/>
  <c r="X176" i="56"/>
  <c r="Y176" i="56" s="1"/>
  <c r="G176" i="56" s="1"/>
  <c r="Y33" i="71"/>
  <c r="V32" i="56"/>
  <c r="W32" i="56" s="1"/>
  <c r="F32" i="56" s="1"/>
  <c r="BB32" i="56" s="1"/>
  <c r="BE32" i="56" s="1"/>
  <c r="W86" i="71"/>
  <c r="X85" i="56"/>
  <c r="Y85" i="56" s="1"/>
  <c r="G85" i="56" s="1"/>
  <c r="Y150" i="71"/>
  <c r="V149" i="56"/>
  <c r="W149" i="56" s="1"/>
  <c r="F149" i="56" s="1"/>
  <c r="Y29" i="71"/>
  <c r="V28" i="56"/>
  <c r="W28" i="56" s="1"/>
  <c r="F28" i="56" s="1"/>
  <c r="BB28" i="56" s="1"/>
  <c r="BE28" i="56" s="1"/>
  <c r="W19" i="71"/>
  <c r="X18" i="56"/>
  <c r="Y18" i="56" s="1"/>
  <c r="G18" i="56" s="1"/>
  <c r="W62" i="71"/>
  <c r="X61" i="56"/>
  <c r="Y61" i="56" s="1"/>
  <c r="G61" i="56" s="1"/>
  <c r="Y97" i="71"/>
  <c r="V96" i="56"/>
  <c r="W96" i="56" s="1"/>
  <c r="F96" i="56" s="1"/>
  <c r="BB96" i="56" s="1"/>
  <c r="BE96" i="56" s="1"/>
  <c r="Y190" i="71"/>
  <c r="V189" i="56"/>
  <c r="W189" i="56" s="1"/>
  <c r="F189" i="56" s="1"/>
  <c r="BB189" i="56" s="1"/>
  <c r="BE189" i="56" s="1"/>
  <c r="W45" i="71"/>
  <c r="X44" i="56"/>
  <c r="Y44" i="56" s="1"/>
  <c r="G44" i="56" s="1"/>
  <c r="Y84" i="71"/>
  <c r="V83" i="56"/>
  <c r="W83" i="56" s="1"/>
  <c r="F83" i="56" s="1"/>
  <c r="Y177" i="71"/>
  <c r="V176" i="56"/>
  <c r="W176" i="56" s="1"/>
  <c r="F176" i="56" s="1"/>
  <c r="W7" i="71"/>
  <c r="X6" i="56"/>
  <c r="Y6" i="56" s="1"/>
  <c r="G6" i="56" s="1"/>
  <c r="Y128" i="71"/>
  <c r="V127" i="56"/>
  <c r="W127" i="56" s="1"/>
  <c r="F127" i="56" s="1"/>
  <c r="BB127" i="56" s="1"/>
  <c r="BE127" i="56" s="1"/>
  <c r="Y138" i="71"/>
  <c r="V137" i="56"/>
  <c r="W137" i="56" s="1"/>
  <c r="F137" i="56" s="1"/>
  <c r="BB137" i="56" s="1"/>
  <c r="BE137" i="56" s="1"/>
  <c r="W53" i="71"/>
  <c r="X52" i="56"/>
  <c r="Y52" i="56" s="1"/>
  <c r="G52" i="56" s="1"/>
  <c r="W111" i="71"/>
  <c r="X110" i="56"/>
  <c r="Y110" i="56" s="1"/>
  <c r="G110" i="56" s="1"/>
  <c r="W78" i="71"/>
  <c r="X77" i="56"/>
  <c r="Y77" i="56" s="1"/>
  <c r="G77" i="56" s="1"/>
  <c r="Y189" i="71"/>
  <c r="V188" i="56"/>
  <c r="W188" i="56" s="1"/>
  <c r="F188" i="56" s="1"/>
  <c r="BB188" i="56" s="1"/>
  <c r="BE188" i="56" s="1"/>
  <c r="BB147" i="56"/>
  <c r="BE147" i="56" s="1"/>
  <c r="Y207" i="71"/>
  <c r="V206" i="56"/>
  <c r="W206" i="56" s="1"/>
  <c r="F206" i="56" s="1"/>
  <c r="Y170" i="71"/>
  <c r="V169" i="56"/>
  <c r="W169" i="56" s="1"/>
  <c r="F169" i="56" s="1"/>
  <c r="BB169" i="56" s="1"/>
  <c r="BE169" i="56" s="1"/>
  <c r="W185" i="71"/>
  <c r="X184" i="56"/>
  <c r="Y184" i="56" s="1"/>
  <c r="G184" i="56" s="1"/>
  <c r="W168" i="71"/>
  <c r="X167" i="56"/>
  <c r="Y167" i="56" s="1"/>
  <c r="G167" i="56" s="1"/>
  <c r="W162" i="71"/>
  <c r="X161" i="56"/>
  <c r="Y161" i="56" s="1"/>
  <c r="G161" i="56" s="1"/>
  <c r="Y19" i="71"/>
  <c r="V18" i="56"/>
  <c r="W18" i="56" s="1"/>
  <c r="F18" i="56" s="1"/>
  <c r="Y112" i="71"/>
  <c r="V111" i="56"/>
  <c r="W111" i="56" s="1"/>
  <c r="F111" i="56" s="1"/>
  <c r="BB111" i="56" s="1"/>
  <c r="BE111" i="56" s="1"/>
  <c r="Y87" i="71"/>
  <c r="V86" i="56"/>
  <c r="W86" i="56" s="1"/>
  <c r="F86" i="56" s="1"/>
  <c r="BB86" i="56" s="1"/>
  <c r="BE86" i="56" s="1"/>
  <c r="Y27" i="71"/>
  <c r="V26" i="56"/>
  <c r="W26" i="56" s="1"/>
  <c r="F26" i="56" s="1"/>
  <c r="BB26" i="56" s="1"/>
  <c r="BE26" i="56" s="1"/>
  <c r="W117" i="71"/>
  <c r="X116" i="56"/>
  <c r="Y116" i="56" s="1"/>
  <c r="G116" i="56" s="1"/>
  <c r="W124" i="71"/>
  <c r="X123" i="56"/>
  <c r="Y123" i="56" s="1"/>
  <c r="G123" i="56" s="1"/>
  <c r="W128" i="71"/>
  <c r="X127" i="56"/>
  <c r="Y127" i="56" s="1"/>
  <c r="G127" i="56" s="1"/>
  <c r="W186" i="71"/>
  <c r="X185" i="56"/>
  <c r="Y185" i="56" s="1"/>
  <c r="G185" i="56" s="1"/>
  <c r="W88" i="71"/>
  <c r="X87" i="56"/>
  <c r="Y87" i="56" s="1"/>
  <c r="G87" i="56" s="1"/>
  <c r="Y140" i="71"/>
  <c r="V139" i="56"/>
  <c r="W139" i="56" s="1"/>
  <c r="F139" i="56" s="1"/>
  <c r="BB139" i="56" s="1"/>
  <c r="BE139" i="56" s="1"/>
  <c r="Y163" i="71"/>
  <c r="V162" i="56"/>
  <c r="W162" i="56" s="1"/>
  <c r="F162" i="56" s="1"/>
  <c r="BB162" i="56" s="1"/>
  <c r="BE162" i="56" s="1"/>
  <c r="Y68" i="71"/>
  <c r="V67" i="56"/>
  <c r="W67" i="56" s="1"/>
  <c r="F67" i="56" s="1"/>
  <c r="BB67" i="56" s="1"/>
  <c r="BE67" i="56" s="1"/>
  <c r="Y144" i="71"/>
  <c r="V143" i="56"/>
  <c r="W143" i="56" s="1"/>
  <c r="F143" i="56" s="1"/>
  <c r="BB143" i="56" s="1"/>
  <c r="BE143" i="56" s="1"/>
  <c r="Y45" i="71"/>
  <c r="V44" i="56"/>
  <c r="W44" i="56" s="1"/>
  <c r="F44" i="56" s="1"/>
  <c r="W131" i="71"/>
  <c r="X130" i="56"/>
  <c r="Y130" i="56" s="1"/>
  <c r="G130" i="56" s="1"/>
  <c r="Y98" i="71"/>
  <c r="V97" i="56"/>
  <c r="W97" i="56" s="1"/>
  <c r="F97" i="56" s="1"/>
  <c r="W123" i="71"/>
  <c r="X122" i="56"/>
  <c r="Y122" i="56" s="1"/>
  <c r="G122" i="56" s="1"/>
  <c r="BB122" i="56" s="1"/>
  <c r="BE122" i="56" s="1"/>
  <c r="Y82" i="71"/>
  <c r="V81" i="56"/>
  <c r="W81" i="56" s="1"/>
  <c r="F81" i="56" s="1"/>
  <c r="Y159" i="71"/>
  <c r="V158" i="56"/>
  <c r="W158" i="56" s="1"/>
  <c r="F158" i="56" s="1"/>
  <c r="Y172" i="71"/>
  <c r="V171" i="56"/>
  <c r="W171" i="56" s="1"/>
  <c r="F171" i="56" s="1"/>
  <c r="W159" i="71"/>
  <c r="X158" i="56"/>
  <c r="Y158" i="56" s="1"/>
  <c r="G158" i="56" s="1"/>
  <c r="Y17" i="71"/>
  <c r="V16" i="56"/>
  <c r="W16" i="56" s="1"/>
  <c r="F16" i="56" s="1"/>
  <c r="BB16" i="56" s="1"/>
  <c r="BE16" i="56" s="1"/>
  <c r="W146" i="71"/>
  <c r="X145" i="56"/>
  <c r="Y145" i="56" s="1"/>
  <c r="G145" i="56" s="1"/>
  <c r="W193" i="71"/>
  <c r="X192" i="56"/>
  <c r="Y192" i="56" s="1"/>
  <c r="G192" i="56" s="1"/>
  <c r="Y107" i="71"/>
  <c r="V106" i="56"/>
  <c r="W106" i="56" s="1"/>
  <c r="F106" i="56" s="1"/>
  <c r="BB106" i="56" s="1"/>
  <c r="BE106" i="56" s="1"/>
  <c r="W55" i="71"/>
  <c r="X54" i="56"/>
  <c r="Y54" i="56" s="1"/>
  <c r="G54" i="56" s="1"/>
  <c r="Y119" i="71"/>
  <c r="V118" i="56"/>
  <c r="W118" i="56" s="1"/>
  <c r="F118" i="56" s="1"/>
  <c r="BB118" i="56" s="1"/>
  <c r="BE118" i="56" s="1"/>
  <c r="W172" i="71"/>
  <c r="X171" i="56"/>
  <c r="Y171" i="56" s="1"/>
  <c r="G171" i="56" s="1"/>
  <c r="W66" i="71"/>
  <c r="X65" i="56"/>
  <c r="Y65" i="56" s="1"/>
  <c r="G65" i="56" s="1"/>
  <c r="W80" i="71"/>
  <c r="X79" i="56"/>
  <c r="Y79" i="56" s="1"/>
  <c r="G79" i="56" s="1"/>
  <c r="BB79" i="56" s="1"/>
  <c r="BE79" i="56" s="1"/>
  <c r="Y99" i="71"/>
  <c r="V98" i="56"/>
  <c r="W98" i="56" s="1"/>
  <c r="F98" i="56" s="1"/>
  <c r="BB98" i="56" s="1"/>
  <c r="BE98" i="56" s="1"/>
  <c r="W18" i="71"/>
  <c r="X17" i="56"/>
  <c r="Y17" i="56" s="1"/>
  <c r="G17" i="56" s="1"/>
  <c r="BB17" i="56" s="1"/>
  <c r="BE17" i="56" s="1"/>
  <c r="Y66" i="71"/>
  <c r="V65" i="56"/>
  <c r="W65" i="56" s="1"/>
  <c r="F65" i="56" s="1"/>
  <c r="W81" i="71"/>
  <c r="X80" i="56"/>
  <c r="Y80" i="56" s="1"/>
  <c r="G80" i="56" s="1"/>
  <c r="Y193" i="71"/>
  <c r="V192" i="56"/>
  <c r="W192" i="56" s="1"/>
  <c r="F192" i="56" s="1"/>
  <c r="Y13" i="71"/>
  <c r="V12" i="56"/>
  <c r="W12" i="56" s="1"/>
  <c r="F12" i="56" s="1"/>
  <c r="BB12" i="56" s="1"/>
  <c r="BE12" i="56" s="1"/>
  <c r="Y7" i="71"/>
  <c r="V6" i="56"/>
  <c r="W6" i="56" s="1"/>
  <c r="F6" i="56" s="1"/>
  <c r="BB116" i="56"/>
  <c r="BE116" i="56" s="1"/>
  <c r="Y81" i="71"/>
  <c r="V80" i="56"/>
  <c r="W80" i="56" s="1"/>
  <c r="F80" i="56" s="1"/>
  <c r="Y141" i="71"/>
  <c r="V140" i="56"/>
  <c r="W140" i="56" s="1"/>
  <c r="F140" i="56" s="1"/>
  <c r="Y16" i="71"/>
  <c r="V15" i="56"/>
  <c r="W15" i="56" s="1"/>
  <c r="F15" i="56" s="1"/>
  <c r="BB186" i="56"/>
  <c r="BE186" i="56" s="1"/>
  <c r="W50" i="71"/>
  <c r="X49" i="56"/>
  <c r="Y49" i="56" s="1"/>
  <c r="G49" i="56" s="1"/>
  <c r="W28" i="71"/>
  <c r="X27" i="56"/>
  <c r="Y27" i="56" s="1"/>
  <c r="G27" i="56" s="1"/>
  <c r="Y55" i="71"/>
  <c r="V54" i="56"/>
  <c r="W54" i="56" s="1"/>
  <c r="F54" i="56" s="1"/>
  <c r="Y149" i="71"/>
  <c r="V148" i="56"/>
  <c r="W148" i="56" s="1"/>
  <c r="F148" i="56" s="1"/>
  <c r="BB148" i="56" s="1"/>
  <c r="BE148" i="56" s="1"/>
  <c r="W208" i="71"/>
  <c r="X207" i="56"/>
  <c r="Y207" i="56" s="1"/>
  <c r="G207" i="56" s="1"/>
  <c r="W118" i="71"/>
  <c r="X117" i="56"/>
  <c r="Y117" i="56" s="1"/>
  <c r="G117" i="56" s="1"/>
  <c r="Y61" i="71"/>
  <c r="V60" i="56"/>
  <c r="W60" i="56" s="1"/>
  <c r="F60" i="56" s="1"/>
  <c r="Y198" i="71"/>
  <c r="V197" i="56"/>
  <c r="W197" i="56" s="1"/>
  <c r="F197" i="56" s="1"/>
  <c r="BB197" i="56" s="1"/>
  <c r="BE197" i="56" s="1"/>
  <c r="W16" i="71"/>
  <c r="X15" i="56"/>
  <c r="Y15" i="56" s="1"/>
  <c r="G15" i="56" s="1"/>
  <c r="W84" i="71"/>
  <c r="X83" i="56"/>
  <c r="Y83" i="56" s="1"/>
  <c r="G83" i="56" s="1"/>
  <c r="W61" i="71"/>
  <c r="X60" i="56"/>
  <c r="Y60" i="56" s="1"/>
  <c r="G60" i="56" s="1"/>
  <c r="W120" i="71"/>
  <c r="X119" i="56"/>
  <c r="Y119" i="56" s="1"/>
  <c r="G119" i="56" s="1"/>
  <c r="Y146" i="71"/>
  <c r="V145" i="56"/>
  <c r="W145" i="56" s="1"/>
  <c r="F145" i="56" s="1"/>
  <c r="BB145" i="56" s="1"/>
  <c r="BE145" i="56" s="1"/>
  <c r="Y171" i="71"/>
  <c r="V170" i="56"/>
  <c r="W170" i="56" s="1"/>
  <c r="F170" i="56" s="1"/>
  <c r="BB170" i="56" s="1"/>
  <c r="BE170" i="56" s="1"/>
  <c r="Y42" i="71"/>
  <c r="V41" i="56"/>
  <c r="W41" i="56" s="1"/>
  <c r="F41" i="56" s="1"/>
  <c r="BB41" i="56" s="1"/>
  <c r="BE41" i="56" s="1"/>
  <c r="Y142" i="71"/>
  <c r="V141" i="56"/>
  <c r="W141" i="56" s="1"/>
  <c r="F141" i="56" s="1"/>
  <c r="BB141" i="56" s="1"/>
  <c r="BE141" i="56" s="1"/>
  <c r="Y60" i="71"/>
  <c r="V59" i="56"/>
  <c r="W59" i="56" s="1"/>
  <c r="F59" i="56" s="1"/>
  <c r="BB59" i="56" s="1"/>
  <c r="BE59" i="56" s="1"/>
  <c r="Y75" i="71"/>
  <c r="V74" i="56"/>
  <c r="W74" i="56" s="1"/>
  <c r="F74" i="56" s="1"/>
  <c r="W191" i="71"/>
  <c r="X190" i="56"/>
  <c r="Y190" i="56" s="1"/>
  <c r="G190" i="56" s="1"/>
  <c r="Y168" i="71"/>
  <c r="V167" i="56"/>
  <c r="W167" i="56" s="1"/>
  <c r="F167" i="56" s="1"/>
  <c r="BB167" i="56" s="1"/>
  <c r="BE167" i="56" s="1"/>
  <c r="W166" i="71"/>
  <c r="X165" i="56"/>
  <c r="Y165" i="56" s="1"/>
  <c r="G165" i="56" s="1"/>
  <c r="BB165" i="56" s="1"/>
  <c r="BE165" i="56" s="1"/>
  <c r="W98" i="71"/>
  <c r="X97" i="56"/>
  <c r="Y97" i="56" s="1"/>
  <c r="G97" i="56" s="1"/>
  <c r="W125" i="71"/>
  <c r="X124" i="56"/>
  <c r="Y124" i="56" s="1"/>
  <c r="G124" i="56" s="1"/>
  <c r="W47" i="71"/>
  <c r="X46" i="56"/>
  <c r="Y46" i="56" s="1"/>
  <c r="G46" i="56" s="1"/>
  <c r="Y120" i="71"/>
  <c r="V119" i="56"/>
  <c r="W119" i="56" s="1"/>
  <c r="F119" i="56" s="1"/>
  <c r="Y78" i="71"/>
  <c r="V77" i="56"/>
  <c r="W77" i="56" s="1"/>
  <c r="F77" i="56" s="1"/>
  <c r="Y169" i="71"/>
  <c r="V168" i="56"/>
  <c r="W168" i="56" s="1"/>
  <c r="F168" i="56" s="1"/>
  <c r="BB168" i="56" s="1"/>
  <c r="BE168" i="56" s="1"/>
  <c r="Y191" i="71"/>
  <c r="V190" i="56"/>
  <c r="W190" i="56" s="1"/>
  <c r="F190" i="56" s="1"/>
  <c r="Y196" i="71"/>
  <c r="V195" i="56"/>
  <c r="W195" i="56" s="1"/>
  <c r="F195" i="56" s="1"/>
  <c r="BB195" i="56" s="1"/>
  <c r="BE195" i="56" s="1"/>
  <c r="Y90" i="71"/>
  <c r="V89" i="56"/>
  <c r="W89" i="56" s="1"/>
  <c r="F89" i="56" s="1"/>
  <c r="BB89" i="56" s="1"/>
  <c r="BE89" i="56" s="1"/>
  <c r="Y131" i="71"/>
  <c r="V130" i="56"/>
  <c r="W130" i="56" s="1"/>
  <c r="F130" i="56" s="1"/>
  <c r="Y5" i="71"/>
  <c r="V4" i="56"/>
  <c r="W4" i="56" s="1"/>
  <c r="F4" i="56" s="1"/>
  <c r="BB4" i="56" s="1"/>
  <c r="BE4" i="56" s="1"/>
  <c r="W150" i="71"/>
  <c r="X149" i="56"/>
  <c r="Y149" i="56" s="1"/>
  <c r="G149" i="56" s="1"/>
  <c r="Y25" i="71"/>
  <c r="V24" i="56"/>
  <c r="W24" i="56" s="1"/>
  <c r="F24" i="56" s="1"/>
  <c r="Y20" i="72"/>
  <c r="Y5" i="72"/>
  <c r="Y19" i="72"/>
  <c r="Y8" i="72"/>
  <c r="Y9" i="72"/>
  <c r="Y6" i="72"/>
  <c r="W20" i="72"/>
  <c r="W5" i="72"/>
  <c r="W11" i="72"/>
  <c r="W9" i="72"/>
  <c r="W6" i="72"/>
  <c r="Y18" i="71"/>
  <c r="Y153" i="71"/>
  <c r="Y134" i="71"/>
  <c r="Y31" i="71"/>
  <c r="Y63" i="71"/>
  <c r="Y80" i="71"/>
  <c r="Y167" i="71"/>
  <c r="Y40" i="71"/>
  <c r="Y117" i="71"/>
  <c r="Y161" i="71"/>
  <c r="Y54" i="71"/>
  <c r="Y85" i="71"/>
  <c r="Y71" i="71"/>
  <c r="Y39" i="71"/>
  <c r="Y116" i="71"/>
  <c r="Y164" i="71"/>
  <c r="Y166" i="71"/>
  <c r="W68" i="71"/>
  <c r="W105" i="71"/>
  <c r="W119" i="71"/>
  <c r="W87" i="71"/>
  <c r="W93" i="71"/>
  <c r="J4" i="22"/>
  <c r="J21" i="22"/>
  <c r="AS91" i="71"/>
  <c r="AW91" i="71" s="1"/>
  <c r="J207" i="22"/>
  <c r="AS102" i="71" s="1"/>
  <c r="E61" i="52"/>
  <c r="E60" i="52"/>
  <c r="E59" i="52"/>
  <c r="E58" i="52"/>
  <c r="E57" i="52"/>
  <c r="E56" i="52"/>
  <c r="BB140" i="56" l="1"/>
  <c r="BE140" i="56" s="1"/>
  <c r="BB171" i="56"/>
  <c r="BE171" i="56" s="1"/>
  <c r="BB158" i="56"/>
  <c r="BE158" i="56" s="1"/>
  <c r="BB69" i="56"/>
  <c r="BE69" i="56" s="1"/>
  <c r="BB192" i="56"/>
  <c r="BE192" i="56" s="1"/>
  <c r="BB176" i="56"/>
  <c r="BE176" i="56" s="1"/>
  <c r="BB144" i="56"/>
  <c r="BE144" i="56" s="1"/>
  <c r="BB185" i="56"/>
  <c r="BE185" i="56" s="1"/>
  <c r="BB36" i="56"/>
  <c r="BE36" i="56" s="1"/>
  <c r="BB119" i="56"/>
  <c r="BE119" i="56" s="1"/>
  <c r="BB77" i="56"/>
  <c r="BE77" i="56" s="1"/>
  <c r="BB130" i="56"/>
  <c r="BE130" i="56" s="1"/>
  <c r="BB6" i="56"/>
  <c r="BE6" i="56" s="1"/>
  <c r="BB60" i="56"/>
  <c r="BE60" i="56" s="1"/>
  <c r="BB74" i="56"/>
  <c r="BE74" i="56" s="1"/>
  <c r="BB124" i="56"/>
  <c r="BE124" i="56" s="1"/>
  <c r="BB46" i="56"/>
  <c r="BE46" i="56" s="1"/>
  <c r="BB44" i="56"/>
  <c r="BE44" i="56" s="1"/>
  <c r="BB61" i="56"/>
  <c r="BE61" i="56" s="1"/>
  <c r="BB18" i="56"/>
  <c r="BE18" i="56" s="1"/>
  <c r="BB117" i="56"/>
  <c r="BE117" i="56" s="1"/>
  <c r="BB81" i="56"/>
  <c r="BE81" i="56" s="1"/>
  <c r="BB123" i="56"/>
  <c r="BE123" i="56" s="1"/>
  <c r="BB8" i="56"/>
  <c r="BE8" i="56" s="1"/>
  <c r="BB87" i="56"/>
  <c r="BE87" i="56" s="1"/>
  <c r="BB161" i="56"/>
  <c r="BE161" i="56" s="1"/>
  <c r="BB206" i="56"/>
  <c r="BE206" i="56" s="1"/>
  <c r="BB15" i="56"/>
  <c r="BE15" i="56" s="1"/>
  <c r="BB110" i="56"/>
  <c r="BE110" i="56" s="1"/>
  <c r="BB184" i="56"/>
  <c r="BE184" i="56" s="1"/>
  <c r="BB11" i="56"/>
  <c r="BE11" i="56" s="1"/>
  <c r="BB27" i="56"/>
  <c r="BE27" i="56" s="1"/>
  <c r="BB49" i="56"/>
  <c r="BE49" i="56" s="1"/>
  <c r="BB21" i="56"/>
  <c r="BE21" i="56" s="1"/>
  <c r="BB191" i="56"/>
  <c r="BE191" i="56" s="1"/>
  <c r="BB190" i="56"/>
  <c r="BE190" i="56" s="1"/>
  <c r="BB83" i="56"/>
  <c r="BE83" i="56" s="1"/>
  <c r="BB10" i="56"/>
  <c r="BE10" i="56" s="1"/>
  <c r="BB97" i="56"/>
  <c r="BE97" i="56" s="1"/>
  <c r="BB207" i="56"/>
  <c r="BE207" i="56" s="1"/>
  <c r="BB85" i="56"/>
  <c r="BE85" i="56" s="1"/>
  <c r="BB181" i="56"/>
  <c r="BE181" i="56" s="1"/>
  <c r="BB80" i="56"/>
  <c r="BE80" i="56" s="1"/>
  <c r="BB65" i="56"/>
  <c r="BE65" i="56" s="1"/>
  <c r="BB164" i="56"/>
  <c r="BE164" i="56" s="1"/>
  <c r="BB24" i="56"/>
  <c r="BE24" i="56" s="1"/>
  <c r="BB54" i="56"/>
  <c r="BE54" i="56" s="1"/>
  <c r="BB149" i="56"/>
  <c r="BE149" i="56" s="1"/>
  <c r="BB68" i="56"/>
  <c r="BE68" i="56" s="1"/>
  <c r="BB52" i="56"/>
  <c r="BE52" i="56" s="1"/>
  <c r="E62" i="52"/>
  <c r="E63" i="52" s="1"/>
  <c r="E65" i="52" s="1"/>
  <c r="E68" i="52" s="1"/>
  <c r="E69" i="52" s="1"/>
  <c r="E66" i="52" l="1"/>
  <c r="B91" i="52"/>
  <c r="B144" i="52"/>
  <c r="B95" i="47"/>
  <c r="B155" i="47"/>
  <c r="J200" i="22" l="1"/>
  <c r="AS127" i="71" s="1"/>
  <c r="J147" i="22" l="1"/>
  <c r="AS183" i="71" s="1"/>
  <c r="J6" i="22"/>
  <c r="J204" i="22"/>
  <c r="AS178" i="71" s="1"/>
  <c r="C230" i="52" l="1"/>
  <c r="C176" i="52"/>
  <c r="A230" i="52"/>
  <c r="A176" i="52"/>
  <c r="E248" i="47" l="1"/>
  <c r="E187" i="47"/>
  <c r="A248" i="47"/>
  <c r="A187" i="47"/>
  <c r="S211" i="66" l="1"/>
  <c r="S212" i="66"/>
  <c r="S213" i="66"/>
  <c r="S215" i="66"/>
  <c r="S216" i="66"/>
  <c r="S217" i="66"/>
  <c r="S218" i="66"/>
  <c r="S219" i="66"/>
  <c r="S220" i="66"/>
  <c r="S221" i="66"/>
  <c r="S222" i="66"/>
  <c r="S223" i="66"/>
  <c r="S224" i="66"/>
  <c r="S225" i="66"/>
  <c r="S214" i="66"/>
  <c r="S210" i="66"/>
  <c r="Q4" i="66"/>
  <c r="Q5" i="66"/>
  <c r="Q6" i="66"/>
  <c r="Q7" i="66"/>
  <c r="Q8" i="66"/>
  <c r="Q9" i="66"/>
  <c r="Q10" i="66"/>
  <c r="Q11" i="66"/>
  <c r="Q12" i="66"/>
  <c r="Q13" i="66"/>
  <c r="Q14" i="66"/>
  <c r="Q15" i="66"/>
  <c r="Q16" i="66"/>
  <c r="Q17" i="66"/>
  <c r="Q18" i="66"/>
  <c r="Q19" i="66"/>
  <c r="Q20" i="66"/>
  <c r="Q21" i="66"/>
  <c r="Q22" i="66"/>
  <c r="Q23" i="66"/>
  <c r="Q24" i="66"/>
  <c r="Q25" i="66"/>
  <c r="Q26" i="66"/>
  <c r="Q27" i="66"/>
  <c r="Q28" i="66"/>
  <c r="Q29" i="66"/>
  <c r="Q30" i="66"/>
  <c r="Q31" i="66"/>
  <c r="Q32" i="66"/>
  <c r="Q33" i="66"/>
  <c r="Q34" i="66"/>
  <c r="Q35" i="66"/>
  <c r="Q36" i="66"/>
  <c r="Q37" i="66"/>
  <c r="Q38" i="66"/>
  <c r="Q39" i="66"/>
  <c r="Q40" i="66"/>
  <c r="Q41" i="66"/>
  <c r="Q42" i="66"/>
  <c r="Q43" i="66"/>
  <c r="Q44" i="66"/>
  <c r="Q45" i="66"/>
  <c r="Q46" i="66"/>
  <c r="Q47" i="66"/>
  <c r="Q48" i="66"/>
  <c r="Q49" i="66"/>
  <c r="Q50" i="66"/>
  <c r="Q51" i="66"/>
  <c r="Q52" i="66"/>
  <c r="Q53" i="66"/>
  <c r="Q54" i="66"/>
  <c r="Q55" i="66"/>
  <c r="Q56" i="66"/>
  <c r="Q57" i="66"/>
  <c r="Q58" i="66"/>
  <c r="Q59" i="66"/>
  <c r="Q60" i="66"/>
  <c r="Q61" i="66"/>
  <c r="Q62" i="66"/>
  <c r="Q63" i="66"/>
  <c r="Q64" i="66"/>
  <c r="Q65" i="66"/>
  <c r="Q66" i="66"/>
  <c r="Q67" i="66"/>
  <c r="Q68" i="66"/>
  <c r="Q69" i="66"/>
  <c r="Q70" i="66"/>
  <c r="Q71" i="66"/>
  <c r="Q72" i="66"/>
  <c r="Q73" i="66"/>
  <c r="Q74" i="66"/>
  <c r="Q75" i="66"/>
  <c r="Q76" i="66"/>
  <c r="Q77" i="66"/>
  <c r="Q78" i="66"/>
  <c r="Q79" i="66"/>
  <c r="Q80" i="66"/>
  <c r="Q81" i="66"/>
  <c r="Q82" i="66"/>
  <c r="Q83" i="66"/>
  <c r="Q84" i="66"/>
  <c r="Q85" i="66"/>
  <c r="Q86" i="66"/>
  <c r="Q87" i="66"/>
  <c r="Q88" i="66"/>
  <c r="Q89" i="66"/>
  <c r="Q90" i="66"/>
  <c r="Q91" i="66"/>
  <c r="Q92" i="66"/>
  <c r="Q93" i="66"/>
  <c r="Q94" i="66"/>
  <c r="Q95" i="66"/>
  <c r="Q96" i="66"/>
  <c r="Q97" i="66"/>
  <c r="Q98" i="66"/>
  <c r="Q99" i="66"/>
  <c r="Q100" i="66"/>
  <c r="Q101" i="66"/>
  <c r="Q102" i="66"/>
  <c r="Q103" i="66"/>
  <c r="Q104" i="66"/>
  <c r="Q105" i="66"/>
  <c r="Q106" i="66"/>
  <c r="Q107" i="66"/>
  <c r="Q108" i="66"/>
  <c r="Q109" i="66"/>
  <c r="Q110" i="66"/>
  <c r="Q111" i="66"/>
  <c r="Q112" i="66"/>
  <c r="Q113" i="66"/>
  <c r="Q114" i="66"/>
  <c r="Q115" i="66"/>
  <c r="Q116" i="66"/>
  <c r="Q117" i="66"/>
  <c r="Q118" i="66"/>
  <c r="Q119" i="66"/>
  <c r="Q120" i="66"/>
  <c r="Q121" i="66"/>
  <c r="Q122" i="66"/>
  <c r="Q123" i="66"/>
  <c r="Q124" i="66"/>
  <c r="Q125" i="66"/>
  <c r="Q126" i="66"/>
  <c r="Q127" i="66"/>
  <c r="Q128" i="66"/>
  <c r="Q129" i="66"/>
  <c r="Q130" i="66"/>
  <c r="Q131" i="66"/>
  <c r="Q132" i="66"/>
  <c r="Q133" i="66"/>
  <c r="Q134" i="66"/>
  <c r="Q135" i="66"/>
  <c r="Q136" i="66"/>
  <c r="Q137" i="66"/>
  <c r="Q138" i="66"/>
  <c r="Q139" i="66"/>
  <c r="Q140" i="66"/>
  <c r="Q141" i="66"/>
  <c r="Q142" i="66"/>
  <c r="Q143" i="66"/>
  <c r="Q144" i="66"/>
  <c r="Q145" i="66"/>
  <c r="Q146" i="66"/>
  <c r="Q147" i="66"/>
  <c r="Q148" i="66"/>
  <c r="Q149" i="66"/>
  <c r="Q150" i="66"/>
  <c r="Q151" i="66"/>
  <c r="Q152" i="66"/>
  <c r="Q153" i="66"/>
  <c r="Q154" i="66"/>
  <c r="Q155" i="66"/>
  <c r="Q156" i="66"/>
  <c r="Q157" i="66"/>
  <c r="Q158" i="66"/>
  <c r="Q159" i="66"/>
  <c r="Q160" i="66"/>
  <c r="Q161" i="66"/>
  <c r="Q162" i="66"/>
  <c r="Q163" i="66"/>
  <c r="Q164" i="66"/>
  <c r="Q165" i="66"/>
  <c r="Q166" i="66"/>
  <c r="Q167" i="66"/>
  <c r="Q168" i="66"/>
  <c r="Q169" i="66"/>
  <c r="Q170" i="66"/>
  <c r="Q171" i="66"/>
  <c r="Q172" i="66"/>
  <c r="Q173" i="66"/>
  <c r="Q174" i="66"/>
  <c r="Q175" i="66"/>
  <c r="Q176" i="66"/>
  <c r="Q177" i="66"/>
  <c r="Q178" i="66"/>
  <c r="Q179" i="66"/>
  <c r="Q180" i="66"/>
  <c r="Q181" i="66"/>
  <c r="Q182" i="66"/>
  <c r="Q183" i="66"/>
  <c r="Q184" i="66"/>
  <c r="Q185" i="66"/>
  <c r="Q186" i="66"/>
  <c r="Q187" i="66"/>
  <c r="Q188" i="66"/>
  <c r="Q189" i="66"/>
  <c r="Q190" i="66"/>
  <c r="Q191" i="66"/>
  <c r="Q192" i="66"/>
  <c r="Q193" i="66"/>
  <c r="Q194" i="66"/>
  <c r="Q195" i="66"/>
  <c r="Q196" i="66"/>
  <c r="Q197" i="66"/>
  <c r="Q198" i="66"/>
  <c r="Q199" i="66"/>
  <c r="Q200" i="66"/>
  <c r="Q201" i="66"/>
  <c r="Q202" i="66"/>
  <c r="Q203" i="66"/>
  <c r="Q204" i="66"/>
  <c r="Q205" i="66"/>
  <c r="Q206" i="66"/>
  <c r="Q3" i="66"/>
  <c r="L211" i="66"/>
  <c r="L212" i="66"/>
  <c r="L213" i="66"/>
  <c r="L215" i="66"/>
  <c r="L216" i="66"/>
  <c r="L217" i="66"/>
  <c r="L218" i="66"/>
  <c r="L219" i="66"/>
  <c r="L220" i="66"/>
  <c r="L221" i="66"/>
  <c r="L222" i="66"/>
  <c r="L223" i="66"/>
  <c r="L224" i="66"/>
  <c r="L225" i="66"/>
  <c r="L214" i="66"/>
  <c r="L210" i="66"/>
  <c r="L4" i="66"/>
  <c r="L5" i="66"/>
  <c r="L6" i="66"/>
  <c r="L7" i="66"/>
  <c r="L8" i="66"/>
  <c r="L9" i="66"/>
  <c r="L10" i="66"/>
  <c r="L11" i="66"/>
  <c r="L12" i="66"/>
  <c r="L13" i="66"/>
  <c r="L14" i="66"/>
  <c r="L15" i="66"/>
  <c r="L16" i="66"/>
  <c r="L17" i="66"/>
  <c r="L18" i="66"/>
  <c r="L19" i="66"/>
  <c r="L20" i="66"/>
  <c r="L21" i="66"/>
  <c r="L22" i="66"/>
  <c r="L23" i="66"/>
  <c r="L24" i="66"/>
  <c r="L25" i="66"/>
  <c r="L26" i="66"/>
  <c r="L27" i="66"/>
  <c r="L28" i="66"/>
  <c r="L29" i="66"/>
  <c r="L30" i="66"/>
  <c r="L31" i="66"/>
  <c r="L32" i="66"/>
  <c r="L33" i="66"/>
  <c r="L34" i="66"/>
  <c r="L35" i="66"/>
  <c r="L36" i="66"/>
  <c r="L37" i="66"/>
  <c r="L38" i="66"/>
  <c r="L39" i="66"/>
  <c r="L40" i="66"/>
  <c r="L41" i="66"/>
  <c r="L42" i="66"/>
  <c r="L43" i="66"/>
  <c r="L44" i="66"/>
  <c r="L45" i="66"/>
  <c r="L46" i="66"/>
  <c r="L47" i="66"/>
  <c r="L48" i="66"/>
  <c r="L49" i="66"/>
  <c r="L50" i="66"/>
  <c r="L51" i="66"/>
  <c r="L52" i="66"/>
  <c r="L53" i="66"/>
  <c r="L54" i="66"/>
  <c r="L55" i="66"/>
  <c r="L56" i="66"/>
  <c r="L57" i="66"/>
  <c r="L58" i="66"/>
  <c r="L59" i="66"/>
  <c r="L60" i="66"/>
  <c r="L61" i="66"/>
  <c r="L62" i="66"/>
  <c r="L63" i="66"/>
  <c r="L64" i="66"/>
  <c r="L65" i="66"/>
  <c r="L66" i="66"/>
  <c r="L67" i="66"/>
  <c r="L68" i="66"/>
  <c r="L69" i="66"/>
  <c r="L70" i="66"/>
  <c r="L71" i="66"/>
  <c r="L72" i="66"/>
  <c r="L73" i="66"/>
  <c r="L74" i="66"/>
  <c r="L75" i="66"/>
  <c r="L76" i="66"/>
  <c r="L77" i="66"/>
  <c r="L78" i="66"/>
  <c r="L79" i="66"/>
  <c r="L80" i="66"/>
  <c r="L81" i="66"/>
  <c r="L82" i="66"/>
  <c r="L83" i="66"/>
  <c r="L84" i="66"/>
  <c r="L85" i="66"/>
  <c r="L86" i="66"/>
  <c r="L87" i="66"/>
  <c r="L88" i="66"/>
  <c r="L89" i="66"/>
  <c r="L90" i="66"/>
  <c r="L91" i="66"/>
  <c r="L92" i="66"/>
  <c r="L93" i="66"/>
  <c r="L94" i="66"/>
  <c r="L95" i="66"/>
  <c r="L96" i="66"/>
  <c r="L97" i="66"/>
  <c r="L98" i="66"/>
  <c r="L99" i="66"/>
  <c r="L100" i="66"/>
  <c r="L101" i="66"/>
  <c r="L102" i="66"/>
  <c r="L103" i="66"/>
  <c r="L104" i="66"/>
  <c r="L105" i="66"/>
  <c r="L106" i="66"/>
  <c r="L107" i="66"/>
  <c r="L108" i="66"/>
  <c r="L109" i="66"/>
  <c r="L110" i="66"/>
  <c r="L111" i="66"/>
  <c r="L112" i="66"/>
  <c r="L113" i="66"/>
  <c r="L114" i="66"/>
  <c r="L115" i="66"/>
  <c r="L116" i="66"/>
  <c r="L117" i="66"/>
  <c r="L118" i="66"/>
  <c r="L119" i="66"/>
  <c r="L120" i="66"/>
  <c r="L121" i="66"/>
  <c r="L122" i="66"/>
  <c r="L123" i="66"/>
  <c r="L124" i="66"/>
  <c r="L125" i="66"/>
  <c r="L126" i="66"/>
  <c r="L127" i="66"/>
  <c r="L128" i="66"/>
  <c r="L129" i="66"/>
  <c r="L130" i="66"/>
  <c r="L131" i="66"/>
  <c r="L132" i="66"/>
  <c r="L133" i="66"/>
  <c r="L134" i="66"/>
  <c r="L135" i="66"/>
  <c r="L136" i="66"/>
  <c r="L137" i="66"/>
  <c r="L138" i="66"/>
  <c r="L139" i="66"/>
  <c r="L140" i="66"/>
  <c r="L141" i="66"/>
  <c r="L142" i="66"/>
  <c r="L143" i="66"/>
  <c r="L144" i="66"/>
  <c r="L145" i="66"/>
  <c r="L146" i="66"/>
  <c r="L147" i="66"/>
  <c r="L148" i="66"/>
  <c r="L149" i="66"/>
  <c r="L150" i="66"/>
  <c r="L151" i="66"/>
  <c r="L152" i="66"/>
  <c r="L153" i="66"/>
  <c r="L154" i="66"/>
  <c r="L155" i="66"/>
  <c r="L156" i="66"/>
  <c r="L157" i="66"/>
  <c r="L158" i="66"/>
  <c r="L159" i="66"/>
  <c r="L160" i="66"/>
  <c r="L161" i="66"/>
  <c r="L162" i="66"/>
  <c r="L163" i="66"/>
  <c r="L164" i="66"/>
  <c r="L165" i="66"/>
  <c r="L166" i="66"/>
  <c r="L167" i="66"/>
  <c r="L168" i="66"/>
  <c r="L169" i="66"/>
  <c r="L170" i="66"/>
  <c r="L171" i="66"/>
  <c r="L172" i="66"/>
  <c r="L173" i="66"/>
  <c r="L174" i="66"/>
  <c r="L175" i="66"/>
  <c r="L176" i="66"/>
  <c r="L177" i="66"/>
  <c r="L178" i="66"/>
  <c r="L179" i="66"/>
  <c r="L180" i="66"/>
  <c r="L181" i="66"/>
  <c r="L182" i="66"/>
  <c r="L183" i="66"/>
  <c r="L184" i="66"/>
  <c r="L185" i="66"/>
  <c r="L186" i="66"/>
  <c r="L187" i="66"/>
  <c r="L188" i="66"/>
  <c r="L189" i="66"/>
  <c r="L190" i="66"/>
  <c r="L191" i="66"/>
  <c r="L192" i="66"/>
  <c r="L193" i="66"/>
  <c r="L194" i="66"/>
  <c r="L195" i="66"/>
  <c r="L196" i="66"/>
  <c r="L197" i="66"/>
  <c r="L198" i="66"/>
  <c r="L199" i="66"/>
  <c r="L200" i="66"/>
  <c r="L201" i="66"/>
  <c r="L202" i="66"/>
  <c r="L203" i="66"/>
  <c r="L204" i="66"/>
  <c r="L205" i="66"/>
  <c r="L206" i="66"/>
  <c r="L3" i="66"/>
  <c r="A122" i="52" l="1"/>
  <c r="C122" i="52"/>
  <c r="E126" i="47"/>
  <c r="A126" i="47" l="1"/>
  <c r="R8" i="66" l="1"/>
  <c r="S8" i="66" s="1"/>
  <c r="R16" i="66"/>
  <c r="S16" i="66" s="1"/>
  <c r="R24" i="66"/>
  <c r="S24" i="66" s="1"/>
  <c r="R32" i="66"/>
  <c r="S32" i="66" s="1"/>
  <c r="R40" i="66"/>
  <c r="S40" i="66" s="1"/>
  <c r="R48" i="66"/>
  <c r="S48" i="66" s="1"/>
  <c r="R56" i="66"/>
  <c r="S56" i="66" s="1"/>
  <c r="R64" i="66"/>
  <c r="S64" i="66" s="1"/>
  <c r="R72" i="66"/>
  <c r="S72" i="66" s="1"/>
  <c r="R80" i="66"/>
  <c r="S80" i="66" s="1"/>
  <c r="R88" i="66"/>
  <c r="S88" i="66" s="1"/>
  <c r="R96" i="66"/>
  <c r="S96" i="66" s="1"/>
  <c r="R104" i="66"/>
  <c r="S104" i="66" s="1"/>
  <c r="R112" i="66"/>
  <c r="S112" i="66" s="1"/>
  <c r="R120" i="66"/>
  <c r="S120" i="66" s="1"/>
  <c r="R128" i="66"/>
  <c r="S128" i="66" s="1"/>
  <c r="R136" i="66"/>
  <c r="S136" i="66" s="1"/>
  <c r="R143" i="66"/>
  <c r="S143" i="66" s="1"/>
  <c r="R151" i="66"/>
  <c r="S151" i="66" s="1"/>
  <c r="R159" i="66"/>
  <c r="S159" i="66" s="1"/>
  <c r="R167" i="66"/>
  <c r="S167" i="66" s="1"/>
  <c r="R175" i="66"/>
  <c r="S175" i="66" s="1"/>
  <c r="R183" i="66"/>
  <c r="S183" i="66" s="1"/>
  <c r="R191" i="66"/>
  <c r="S191" i="66" s="1"/>
  <c r="R198" i="66"/>
  <c r="S198" i="66" s="1"/>
  <c r="R206" i="66"/>
  <c r="S206" i="66" s="1"/>
  <c r="R172" i="66"/>
  <c r="S172" i="66" s="1"/>
  <c r="R7" i="66"/>
  <c r="S7" i="66" s="1"/>
  <c r="R15" i="66"/>
  <c r="S15" i="66" s="1"/>
  <c r="R23" i="66"/>
  <c r="S23" i="66" s="1"/>
  <c r="R31" i="66"/>
  <c r="S31" i="66" s="1"/>
  <c r="R39" i="66"/>
  <c r="S39" i="66" s="1"/>
  <c r="R63" i="66"/>
  <c r="S63" i="66" s="1"/>
  <c r="R71" i="66"/>
  <c r="S71" i="66" s="1"/>
  <c r="R87" i="66"/>
  <c r="S87" i="66" s="1"/>
  <c r="R103" i="66"/>
  <c r="S103" i="66" s="1"/>
  <c r="R111" i="66"/>
  <c r="S111" i="66" s="1"/>
  <c r="R135" i="66"/>
  <c r="S135" i="66" s="1"/>
  <c r="R158" i="66"/>
  <c r="S158" i="66" s="1"/>
  <c r="R182" i="66"/>
  <c r="S182" i="66" s="1"/>
  <c r="R9" i="66"/>
  <c r="S9" i="66" s="1"/>
  <c r="R17" i="66"/>
  <c r="S17" i="66" s="1"/>
  <c r="R25" i="66"/>
  <c r="S25" i="66" s="1"/>
  <c r="R33" i="66"/>
  <c r="S33" i="66" s="1"/>
  <c r="R41" i="66"/>
  <c r="S41" i="66" s="1"/>
  <c r="R49" i="66"/>
  <c r="S49" i="66" s="1"/>
  <c r="R57" i="66"/>
  <c r="S57" i="66" s="1"/>
  <c r="R65" i="66"/>
  <c r="S65" i="66" s="1"/>
  <c r="R73" i="66"/>
  <c r="S73" i="66" s="1"/>
  <c r="R81" i="66"/>
  <c r="S81" i="66" s="1"/>
  <c r="R89" i="66"/>
  <c r="S89" i="66" s="1"/>
  <c r="R97" i="66"/>
  <c r="S97" i="66" s="1"/>
  <c r="R105" i="66"/>
  <c r="S105" i="66" s="1"/>
  <c r="R113" i="66"/>
  <c r="S113" i="66" s="1"/>
  <c r="R121" i="66"/>
  <c r="S121" i="66" s="1"/>
  <c r="R129" i="66"/>
  <c r="S129" i="66" s="1"/>
  <c r="R137" i="66"/>
  <c r="S137" i="66" s="1"/>
  <c r="R144" i="66"/>
  <c r="S144" i="66" s="1"/>
  <c r="R152" i="66"/>
  <c r="S152" i="66" s="1"/>
  <c r="R160" i="66"/>
  <c r="S160" i="66" s="1"/>
  <c r="R168" i="66"/>
  <c r="S168" i="66" s="1"/>
  <c r="R176" i="66"/>
  <c r="S176" i="66" s="1"/>
  <c r="R184" i="66"/>
  <c r="S184" i="66" s="1"/>
  <c r="R199" i="66"/>
  <c r="S199" i="66" s="1"/>
  <c r="R5" i="66"/>
  <c r="S5" i="66" s="1"/>
  <c r="R13" i="66"/>
  <c r="S13" i="66" s="1"/>
  <c r="R21" i="66"/>
  <c r="S21" i="66" s="1"/>
  <c r="R29" i="66"/>
  <c r="S29" i="66" s="1"/>
  <c r="R37" i="66"/>
  <c r="S37" i="66" s="1"/>
  <c r="R45" i="66"/>
  <c r="S45" i="66" s="1"/>
  <c r="R61" i="66"/>
  <c r="S61" i="66" s="1"/>
  <c r="R77" i="66"/>
  <c r="S77" i="66" s="1"/>
  <c r="R85" i="66"/>
  <c r="S85" i="66" s="1"/>
  <c r="R93" i="66"/>
  <c r="S93" i="66" s="1"/>
  <c r="R101" i="66"/>
  <c r="S101" i="66" s="1"/>
  <c r="R117" i="66"/>
  <c r="S117" i="66" s="1"/>
  <c r="R133" i="66"/>
  <c r="S133" i="66" s="1"/>
  <c r="R148" i="66"/>
  <c r="S148" i="66" s="1"/>
  <c r="R156" i="66"/>
  <c r="S156" i="66" s="1"/>
  <c r="R180" i="66"/>
  <c r="S180" i="66" s="1"/>
  <c r="R195" i="66"/>
  <c r="S195" i="66" s="1"/>
  <c r="R47" i="66"/>
  <c r="S47" i="66" s="1"/>
  <c r="R95" i="66"/>
  <c r="S95" i="66" s="1"/>
  <c r="R119" i="66"/>
  <c r="S119" i="66" s="1"/>
  <c r="R150" i="66"/>
  <c r="S150" i="66" s="1"/>
  <c r="R174" i="66"/>
  <c r="S174" i="66" s="1"/>
  <c r="R205" i="66"/>
  <c r="S205" i="66" s="1"/>
  <c r="R10" i="66"/>
  <c r="S10" i="66" s="1"/>
  <c r="R18" i="66"/>
  <c r="S18" i="66" s="1"/>
  <c r="R26" i="66"/>
  <c r="S26" i="66" s="1"/>
  <c r="R34" i="66"/>
  <c r="S34" i="66" s="1"/>
  <c r="R42" i="66"/>
  <c r="S42" i="66" s="1"/>
  <c r="R50" i="66"/>
  <c r="S50" i="66" s="1"/>
  <c r="R58" i="66"/>
  <c r="S58" i="66" s="1"/>
  <c r="R66" i="66"/>
  <c r="S66" i="66" s="1"/>
  <c r="R74" i="66"/>
  <c r="S74" i="66" s="1"/>
  <c r="R82" i="66"/>
  <c r="S82" i="66" s="1"/>
  <c r="R90" i="66"/>
  <c r="S90" i="66" s="1"/>
  <c r="R98" i="66"/>
  <c r="S98" i="66" s="1"/>
  <c r="R106" i="66"/>
  <c r="S106" i="66" s="1"/>
  <c r="R114" i="66"/>
  <c r="S114" i="66" s="1"/>
  <c r="R122" i="66"/>
  <c r="S122" i="66" s="1"/>
  <c r="R130" i="66"/>
  <c r="S130" i="66" s="1"/>
  <c r="R138" i="66"/>
  <c r="S138" i="66" s="1"/>
  <c r="R145" i="66"/>
  <c r="S145" i="66" s="1"/>
  <c r="R153" i="66"/>
  <c r="S153" i="66" s="1"/>
  <c r="R161" i="66"/>
  <c r="S161" i="66" s="1"/>
  <c r="R169" i="66"/>
  <c r="S169" i="66" s="1"/>
  <c r="R177" i="66"/>
  <c r="S177" i="66" s="1"/>
  <c r="R185" i="66"/>
  <c r="S185" i="66" s="1"/>
  <c r="R192" i="66"/>
  <c r="S192" i="66" s="1"/>
  <c r="R200" i="66"/>
  <c r="S200" i="66" s="1"/>
  <c r="R69" i="66"/>
  <c r="S69" i="66" s="1"/>
  <c r="R141" i="66"/>
  <c r="S141" i="66" s="1"/>
  <c r="R188" i="66"/>
  <c r="S188" i="66" s="1"/>
  <c r="R197" i="66"/>
  <c r="S197" i="66" s="1"/>
  <c r="R11" i="66"/>
  <c r="S11" i="66" s="1"/>
  <c r="R19" i="66"/>
  <c r="S19" i="66" s="1"/>
  <c r="R27" i="66"/>
  <c r="S27" i="66" s="1"/>
  <c r="R35" i="66"/>
  <c r="S35" i="66" s="1"/>
  <c r="R43" i="66"/>
  <c r="S43" i="66" s="1"/>
  <c r="R51" i="66"/>
  <c r="S51" i="66" s="1"/>
  <c r="R59" i="66"/>
  <c r="S59" i="66" s="1"/>
  <c r="R67" i="66"/>
  <c r="S67" i="66" s="1"/>
  <c r="R75" i="66"/>
  <c r="S75" i="66" s="1"/>
  <c r="R83" i="66"/>
  <c r="S83" i="66" s="1"/>
  <c r="R91" i="66"/>
  <c r="S91" i="66" s="1"/>
  <c r="R99" i="66"/>
  <c r="S99" i="66" s="1"/>
  <c r="R107" i="66"/>
  <c r="S107" i="66" s="1"/>
  <c r="R115" i="66"/>
  <c r="S115" i="66" s="1"/>
  <c r="R123" i="66"/>
  <c r="S123" i="66" s="1"/>
  <c r="R131" i="66"/>
  <c r="S131" i="66" s="1"/>
  <c r="R139" i="66"/>
  <c r="S139" i="66" s="1"/>
  <c r="R146" i="66"/>
  <c r="S146" i="66" s="1"/>
  <c r="R154" i="66"/>
  <c r="S154" i="66" s="1"/>
  <c r="R162" i="66"/>
  <c r="S162" i="66" s="1"/>
  <c r="R170" i="66"/>
  <c r="S170" i="66" s="1"/>
  <c r="R178" i="66"/>
  <c r="S178" i="66" s="1"/>
  <c r="R186" i="66"/>
  <c r="S186" i="66" s="1"/>
  <c r="R193" i="66"/>
  <c r="S193" i="66" s="1"/>
  <c r="R201" i="66"/>
  <c r="S201" i="66" s="1"/>
  <c r="R3" i="66"/>
  <c r="S3" i="66" s="1"/>
  <c r="R53" i="66"/>
  <c r="S53" i="66" s="1"/>
  <c r="R109" i="66"/>
  <c r="S109" i="66" s="1"/>
  <c r="R164" i="66"/>
  <c r="S164" i="66" s="1"/>
  <c r="R55" i="66"/>
  <c r="S55" i="66" s="1"/>
  <c r="R142" i="66"/>
  <c r="S142" i="66" s="1"/>
  <c r="R4" i="66"/>
  <c r="S4" i="66" s="1"/>
  <c r="R12" i="66"/>
  <c r="S12" i="66" s="1"/>
  <c r="R20" i="66"/>
  <c r="S20" i="66" s="1"/>
  <c r="R28" i="66"/>
  <c r="S28" i="66" s="1"/>
  <c r="R36" i="66"/>
  <c r="S36" i="66" s="1"/>
  <c r="R44" i="66"/>
  <c r="S44" i="66" s="1"/>
  <c r="R52" i="66"/>
  <c r="S52" i="66" s="1"/>
  <c r="R60" i="66"/>
  <c r="S60" i="66" s="1"/>
  <c r="R68" i="66"/>
  <c r="S68" i="66" s="1"/>
  <c r="R76" i="66"/>
  <c r="S76" i="66" s="1"/>
  <c r="R84" i="66"/>
  <c r="S84" i="66" s="1"/>
  <c r="R92" i="66"/>
  <c r="S92" i="66" s="1"/>
  <c r="R100" i="66"/>
  <c r="S100" i="66" s="1"/>
  <c r="R108" i="66"/>
  <c r="S108" i="66" s="1"/>
  <c r="R116" i="66"/>
  <c r="S116" i="66" s="1"/>
  <c r="R124" i="66"/>
  <c r="S124" i="66" s="1"/>
  <c r="R132" i="66"/>
  <c r="S132" i="66" s="1"/>
  <c r="R140" i="66"/>
  <c r="S140" i="66" s="1"/>
  <c r="R147" i="66"/>
  <c r="S147" i="66" s="1"/>
  <c r="R155" i="66"/>
  <c r="S155" i="66" s="1"/>
  <c r="R163" i="66"/>
  <c r="S163" i="66" s="1"/>
  <c r="R171" i="66"/>
  <c r="S171" i="66" s="1"/>
  <c r="R179" i="66"/>
  <c r="S179" i="66" s="1"/>
  <c r="R187" i="66"/>
  <c r="S187" i="66" s="1"/>
  <c r="R194" i="66"/>
  <c r="S194" i="66" s="1"/>
  <c r="R202" i="66"/>
  <c r="S202" i="66" s="1"/>
  <c r="R125" i="66"/>
  <c r="S125" i="66" s="1"/>
  <c r="R203" i="66"/>
  <c r="S203" i="66" s="1"/>
  <c r="R6" i="66"/>
  <c r="S6" i="66" s="1"/>
  <c r="R14" i="66"/>
  <c r="S14" i="66" s="1"/>
  <c r="R22" i="66"/>
  <c r="S22" i="66" s="1"/>
  <c r="R30" i="66"/>
  <c r="S30" i="66" s="1"/>
  <c r="R38" i="66"/>
  <c r="S38" i="66" s="1"/>
  <c r="R46" i="66"/>
  <c r="S46" i="66" s="1"/>
  <c r="R54" i="66"/>
  <c r="S54" i="66" s="1"/>
  <c r="R62" i="66"/>
  <c r="S62" i="66" s="1"/>
  <c r="R70" i="66"/>
  <c r="S70" i="66" s="1"/>
  <c r="R78" i="66"/>
  <c r="S78" i="66" s="1"/>
  <c r="R86" i="66"/>
  <c r="S86" i="66" s="1"/>
  <c r="R94" i="66"/>
  <c r="S94" i="66" s="1"/>
  <c r="R102" i="66"/>
  <c r="S102" i="66" s="1"/>
  <c r="R110" i="66"/>
  <c r="S110" i="66" s="1"/>
  <c r="R118" i="66"/>
  <c r="S118" i="66" s="1"/>
  <c r="R126" i="66"/>
  <c r="S126" i="66" s="1"/>
  <c r="R134" i="66"/>
  <c r="S134" i="66" s="1"/>
  <c r="R149" i="66"/>
  <c r="S149" i="66" s="1"/>
  <c r="R157" i="66"/>
  <c r="S157" i="66" s="1"/>
  <c r="R165" i="66"/>
  <c r="S165" i="66" s="1"/>
  <c r="R173" i="66"/>
  <c r="S173" i="66" s="1"/>
  <c r="R181" i="66"/>
  <c r="S181" i="66" s="1"/>
  <c r="R189" i="66"/>
  <c r="S189" i="66" s="1"/>
  <c r="R196" i="66"/>
  <c r="S196" i="66" s="1"/>
  <c r="R204" i="66"/>
  <c r="S204" i="66" s="1"/>
  <c r="R79" i="66"/>
  <c r="S79" i="66" s="1"/>
  <c r="R127" i="66"/>
  <c r="S127" i="66" s="1"/>
  <c r="R166" i="66"/>
  <c r="S166" i="66" s="1"/>
  <c r="R190" i="66"/>
  <c r="S190" i="66" s="1"/>
  <c r="E134" i="47"/>
  <c r="L84" i="16" l="1"/>
  <c r="K84" i="16"/>
  <c r="H43" i="53" l="1"/>
  <c r="I5" i="53"/>
  <c r="H67" i="53"/>
  <c r="B7" i="53"/>
  <c r="E51" i="47" l="1"/>
  <c r="E47" i="47"/>
  <c r="E57" i="47"/>
  <c r="E56" i="47"/>
  <c r="E59" i="47"/>
  <c r="E58" i="47"/>
  <c r="E60" i="47"/>
  <c r="E61" i="47"/>
  <c r="E194" i="47"/>
  <c r="E133" i="47"/>
  <c r="E135" i="47" s="1"/>
  <c r="E62" i="47" l="1"/>
  <c r="E63" i="47" s="1"/>
  <c r="E65" i="47" s="1"/>
  <c r="E66" i="47" s="1"/>
  <c r="A32" i="52"/>
  <c r="A32" i="47" l="1"/>
  <c r="N66" i="68" l="1"/>
  <c r="N3" i="68"/>
  <c r="N139" i="68"/>
  <c r="N172" i="68"/>
  <c r="N49" i="68"/>
  <c r="N22" i="67" l="1"/>
  <c r="N22" i="68"/>
  <c r="N187" i="67"/>
  <c r="N187" i="68"/>
  <c r="N205" i="67"/>
  <c r="N205" i="68"/>
  <c r="N35" i="67"/>
  <c r="N35" i="68"/>
  <c r="N31" i="67"/>
  <c r="N31" i="68"/>
  <c r="N125" i="67"/>
  <c r="N125" i="68"/>
  <c r="N103" i="67"/>
  <c r="N103" i="68"/>
  <c r="N87" i="67"/>
  <c r="N87" i="68"/>
  <c r="N97" i="67"/>
  <c r="N97" i="68"/>
  <c r="N158" i="67"/>
  <c r="N158" i="68"/>
  <c r="N19" i="67"/>
  <c r="N19" i="68"/>
  <c r="N148" i="67"/>
  <c r="N148" i="68"/>
  <c r="N75" i="67"/>
  <c r="N75" i="68"/>
  <c r="N159" i="67"/>
  <c r="N159" i="68"/>
  <c r="N161" i="67"/>
  <c r="N161" i="68"/>
  <c r="N100" i="67"/>
  <c r="N100" i="68"/>
  <c r="N83" i="67"/>
  <c r="N83" i="68"/>
  <c r="N137" i="67"/>
  <c r="N137" i="68"/>
  <c r="N34" i="67"/>
  <c r="N34" i="68"/>
  <c r="N104" i="67"/>
  <c r="N104" i="68"/>
  <c r="N82" i="67"/>
  <c r="N82" i="68"/>
  <c r="N29" i="67"/>
  <c r="N29" i="68"/>
  <c r="N119" i="67"/>
  <c r="N119" i="68"/>
  <c r="N190" i="67"/>
  <c r="N190" i="68"/>
  <c r="N110" i="67"/>
  <c r="N110" i="68"/>
  <c r="N17" i="67"/>
  <c r="N17" i="68"/>
  <c r="N184" i="67"/>
  <c r="N184" i="68"/>
  <c r="N199" i="67"/>
  <c r="N199" i="68"/>
  <c r="N21" i="67"/>
  <c r="N21" i="68"/>
  <c r="N86" i="67"/>
  <c r="N86" i="68"/>
  <c r="N81" i="67"/>
  <c r="N81" i="68"/>
  <c r="N8" i="67"/>
  <c r="N8" i="68"/>
  <c r="N68" i="67"/>
  <c r="N68" i="68"/>
  <c r="N18" i="67"/>
  <c r="N18" i="68"/>
  <c r="N200" i="67"/>
  <c r="N200" i="68"/>
  <c r="N160" i="67"/>
  <c r="N160" i="68"/>
  <c r="N76" i="67"/>
  <c r="N76" i="68"/>
  <c r="N53" i="67"/>
  <c r="N53" i="68"/>
  <c r="N99" i="67"/>
  <c r="N99" i="68"/>
  <c r="N164" i="67"/>
  <c r="N164" i="68"/>
  <c r="N7" i="67"/>
  <c r="N7" i="68"/>
  <c r="N120" i="67"/>
  <c r="N120" i="68"/>
  <c r="N88" i="67"/>
  <c r="N88" i="68"/>
  <c r="N170" i="67"/>
  <c r="N170" i="68"/>
  <c r="N163" i="67"/>
  <c r="N163" i="68"/>
  <c r="N133" i="67"/>
  <c r="N133" i="68"/>
  <c r="N123" i="67"/>
  <c r="N123" i="68"/>
  <c r="N79" i="67"/>
  <c r="N79" i="68"/>
  <c r="N47" i="67"/>
  <c r="N47" i="68"/>
  <c r="N146" i="67"/>
  <c r="N146" i="68"/>
  <c r="N25" i="67"/>
  <c r="N25" i="68"/>
  <c r="N72" i="67"/>
  <c r="N72" i="68"/>
  <c r="N33" i="67"/>
  <c r="N33" i="68"/>
  <c r="N96" i="67"/>
  <c r="N96" i="68"/>
  <c r="N65" i="67"/>
  <c r="N65" i="68"/>
  <c r="N14" i="67"/>
  <c r="N14" i="68"/>
  <c r="N32" i="67"/>
  <c r="N32" i="68"/>
  <c r="N16" i="67"/>
  <c r="N16" i="68"/>
  <c r="N142" i="67"/>
  <c r="N142" i="68"/>
  <c r="N122" i="67"/>
  <c r="N122" i="68"/>
  <c r="N95" i="67"/>
  <c r="N95" i="68"/>
  <c r="N26" i="67"/>
  <c r="N26" i="68"/>
  <c r="N13" i="67"/>
  <c r="N13" i="68"/>
  <c r="N127" i="67"/>
  <c r="N127" i="68"/>
  <c r="N173" i="67"/>
  <c r="N173" i="68"/>
  <c r="N174" i="67"/>
  <c r="N174" i="68"/>
  <c r="N27" i="67"/>
  <c r="N27" i="68"/>
  <c r="N169" i="67"/>
  <c r="N169" i="68"/>
  <c r="N10" i="67"/>
  <c r="N10" i="68"/>
  <c r="N175" i="67"/>
  <c r="N175" i="68"/>
  <c r="N5" i="67"/>
  <c r="N5" i="68"/>
  <c r="N140" i="67"/>
  <c r="N140" i="68"/>
  <c r="N188" i="67"/>
  <c r="N188" i="68"/>
  <c r="N59" i="67"/>
  <c r="N59" i="68"/>
  <c r="N189" i="67"/>
  <c r="N189" i="68"/>
  <c r="N151" i="67"/>
  <c r="N151" i="68"/>
  <c r="N196" i="67"/>
  <c r="N196" i="68"/>
  <c r="N92" i="67"/>
  <c r="N92" i="68"/>
  <c r="N78" i="67"/>
  <c r="N78" i="68"/>
  <c r="N24" i="67"/>
  <c r="N24" i="68"/>
  <c r="P214" i="67"/>
  <c r="N66" i="67"/>
  <c r="P227" i="67"/>
  <c r="N139" i="67"/>
  <c r="P228" i="67"/>
  <c r="N172" i="67"/>
  <c r="N3" i="67"/>
  <c r="N49" i="67"/>
  <c r="P212" i="67"/>
  <c r="N62" i="68"/>
  <c r="N108" i="68"/>
  <c r="N67" i="68"/>
  <c r="N107" i="68"/>
  <c r="N20" i="68"/>
  <c r="N138" i="68"/>
  <c r="N134" i="68"/>
  <c r="N136" i="68"/>
  <c r="N71" i="68"/>
  <c r="N101" i="68"/>
  <c r="N73" i="68"/>
  <c r="N112" i="68"/>
  <c r="N69" i="68"/>
  <c r="N23" i="67" l="1"/>
  <c r="N23" i="68"/>
  <c r="N58" i="67"/>
  <c r="N58" i="68"/>
  <c r="N128" i="67"/>
  <c r="N128" i="68"/>
  <c r="N152" i="67"/>
  <c r="N152" i="68"/>
  <c r="N111" i="67"/>
  <c r="N111" i="68"/>
  <c r="N167" i="67"/>
  <c r="N167" i="68"/>
  <c r="N40" i="67"/>
  <c r="N40" i="68"/>
  <c r="N43" i="67"/>
  <c r="N43" i="68"/>
  <c r="N41" i="67"/>
  <c r="N41" i="68"/>
  <c r="N9" i="67"/>
  <c r="N9" i="68"/>
  <c r="N143" i="67"/>
  <c r="N143" i="68"/>
  <c r="N181" i="67"/>
  <c r="N181" i="68"/>
  <c r="N84" i="67"/>
  <c r="N84" i="68"/>
  <c r="N115" i="67"/>
  <c r="N115" i="68"/>
  <c r="N149" i="67"/>
  <c r="N149" i="68"/>
  <c r="N130" i="67"/>
  <c r="N130" i="68"/>
  <c r="N94" i="67"/>
  <c r="N94" i="68"/>
  <c r="N11" i="67"/>
  <c r="N11" i="68"/>
  <c r="N198" i="67"/>
  <c r="N198" i="68"/>
  <c r="N37" i="67"/>
  <c r="N37" i="68"/>
  <c r="N60" i="67"/>
  <c r="N60" i="68"/>
  <c r="N206" i="67"/>
  <c r="N206" i="68"/>
  <c r="N132" i="67"/>
  <c r="N132" i="68"/>
  <c r="N39" i="67"/>
  <c r="N39" i="68"/>
  <c r="N56" i="67"/>
  <c r="N56" i="68"/>
  <c r="N135" i="67"/>
  <c r="N135" i="68"/>
  <c r="N48" i="67"/>
  <c r="N48" i="68"/>
  <c r="N98" i="67"/>
  <c r="N98" i="68"/>
  <c r="N193" i="67"/>
  <c r="N193" i="68"/>
  <c r="N91" i="67"/>
  <c r="N91" i="68"/>
  <c r="N185" i="67"/>
  <c r="N185" i="68"/>
  <c r="N93" i="67"/>
  <c r="N93" i="68"/>
  <c r="N44" i="67"/>
  <c r="N44" i="68"/>
  <c r="N186" i="67"/>
  <c r="N186" i="68"/>
  <c r="N77" i="67"/>
  <c r="N77" i="68"/>
  <c r="N121" i="67"/>
  <c r="N121" i="68"/>
  <c r="N150" i="67"/>
  <c r="N150" i="68"/>
  <c r="N64" i="67"/>
  <c r="N64" i="68"/>
  <c r="N162" i="67"/>
  <c r="N162" i="68"/>
  <c r="N168" i="67"/>
  <c r="N168" i="68"/>
  <c r="N52" i="67"/>
  <c r="N52" i="68"/>
  <c r="N126" i="67"/>
  <c r="N126" i="68"/>
  <c r="N63" i="67"/>
  <c r="N63" i="68"/>
  <c r="N117" i="67"/>
  <c r="N117" i="68"/>
  <c r="N155" i="67"/>
  <c r="N155" i="68"/>
  <c r="N194" i="67"/>
  <c r="N194" i="68"/>
  <c r="N113" i="67"/>
  <c r="N113" i="68"/>
  <c r="N203" i="67"/>
  <c r="N203" i="68"/>
  <c r="N50" i="67"/>
  <c r="N50" i="68"/>
  <c r="N114" i="67"/>
  <c r="N114" i="68"/>
  <c r="N6" i="67"/>
  <c r="N6" i="68"/>
  <c r="N116" i="67"/>
  <c r="N116" i="68"/>
  <c r="N118" i="67"/>
  <c r="N118" i="68"/>
  <c r="N102" i="67"/>
  <c r="N102" i="68"/>
  <c r="N28" i="67"/>
  <c r="N28" i="68"/>
  <c r="N57" i="67"/>
  <c r="N57" i="68"/>
  <c r="N80" i="67"/>
  <c r="N80" i="68"/>
  <c r="N141" i="67"/>
  <c r="N141" i="68"/>
  <c r="N178" i="67"/>
  <c r="N178" i="68"/>
  <c r="N4" i="67"/>
  <c r="N4" i="68"/>
  <c r="N36" i="67"/>
  <c r="N36" i="68"/>
  <c r="N70" i="67"/>
  <c r="N70" i="68"/>
  <c r="N195" i="67"/>
  <c r="N195" i="68"/>
  <c r="N176" i="67"/>
  <c r="N176" i="68"/>
  <c r="N183" i="67"/>
  <c r="N183" i="68"/>
  <c r="N191" i="67"/>
  <c r="N191" i="68"/>
  <c r="N204" i="67"/>
  <c r="N204" i="68"/>
  <c r="N153" i="67"/>
  <c r="N153" i="68"/>
  <c r="N147" i="67"/>
  <c r="N147" i="68"/>
  <c r="N30" i="67"/>
  <c r="N30" i="68"/>
  <c r="N85" i="67"/>
  <c r="N85" i="68"/>
  <c r="N154" i="67"/>
  <c r="N154" i="68"/>
  <c r="N124" i="67"/>
  <c r="N124" i="68"/>
  <c r="N38" i="67"/>
  <c r="N38" i="68"/>
  <c r="N129" i="67"/>
  <c r="N129" i="68"/>
  <c r="N51" i="67"/>
  <c r="N51" i="68"/>
  <c r="N179" i="67"/>
  <c r="N179" i="68"/>
  <c r="N144" i="67"/>
  <c r="N144" i="68"/>
  <c r="N106" i="67"/>
  <c r="N106" i="68"/>
  <c r="N192" i="67"/>
  <c r="N192" i="68"/>
  <c r="N180" i="67"/>
  <c r="N180" i="68"/>
  <c r="N171" i="67"/>
  <c r="N171" i="68"/>
  <c r="N46" i="67"/>
  <c r="N46" i="68"/>
  <c r="N109" i="67"/>
  <c r="N109" i="68"/>
  <c r="N156" i="67"/>
  <c r="N156" i="68"/>
  <c r="N42" i="67"/>
  <c r="N42" i="68"/>
  <c r="N105" i="67"/>
  <c r="N105" i="68"/>
  <c r="N89" i="67"/>
  <c r="N89" i="68"/>
  <c r="N166" i="67"/>
  <c r="N166" i="68"/>
  <c r="N201" i="67"/>
  <c r="N201" i="68"/>
  <c r="N54" i="67"/>
  <c r="N54" i="68"/>
  <c r="N182" i="67"/>
  <c r="N182" i="68"/>
  <c r="N177" i="67"/>
  <c r="N177" i="68"/>
  <c r="N45" i="67"/>
  <c r="N45" i="68"/>
  <c r="N131" i="67"/>
  <c r="N131" i="68"/>
  <c r="N15" i="67"/>
  <c r="N15" i="68"/>
  <c r="N74" i="67"/>
  <c r="N74" i="68"/>
  <c r="N145" i="67"/>
  <c r="N145" i="68"/>
  <c r="N61" i="67"/>
  <c r="N61" i="68"/>
  <c r="N157" i="67"/>
  <c r="N157" i="68"/>
  <c r="N197" i="67"/>
  <c r="N197" i="68"/>
  <c r="N165" i="67"/>
  <c r="N165" i="68"/>
  <c r="N12" i="67"/>
  <c r="N12" i="68"/>
  <c r="N202" i="67"/>
  <c r="N202" i="68"/>
  <c r="N69" i="67"/>
  <c r="P216" i="67"/>
  <c r="N112" i="67"/>
  <c r="P223" i="67"/>
  <c r="N134" i="67"/>
  <c r="P224" i="67"/>
  <c r="P226" i="67"/>
  <c r="N138" i="67"/>
  <c r="N73" i="67"/>
  <c r="P218" i="67"/>
  <c r="P215" i="67"/>
  <c r="N67" i="67"/>
  <c r="N107" i="67"/>
  <c r="P221" i="67"/>
  <c r="N108" i="67"/>
  <c r="P222" i="67"/>
  <c r="P225" i="67"/>
  <c r="N136" i="67"/>
  <c r="P213" i="67"/>
  <c r="N62" i="67"/>
  <c r="P211" i="67"/>
  <c r="N20" i="67"/>
  <c r="N71" i="67"/>
  <c r="P217" i="67"/>
  <c r="P220" i="67"/>
  <c r="N101" i="67"/>
  <c r="B3" i="53"/>
  <c r="P88" i="16" l="1"/>
  <c r="Q88" i="16" s="1"/>
  <c r="R88" i="16" s="1"/>
  <c r="P133" i="16"/>
  <c r="Q133" i="16" s="1"/>
  <c r="R133" i="16" s="1"/>
  <c r="P56" i="16"/>
  <c r="Q56" i="16" s="1"/>
  <c r="R56" i="16" s="1"/>
  <c r="P134" i="16"/>
  <c r="Q134" i="16" s="1"/>
  <c r="R134" i="16" s="1"/>
  <c r="P57" i="16"/>
  <c r="Q57" i="16" s="1"/>
  <c r="R57" i="16" s="1"/>
  <c r="P58" i="16"/>
  <c r="Q58" i="16" s="1"/>
  <c r="R58" i="16" s="1"/>
  <c r="P5" i="16"/>
  <c r="Q5" i="16" s="1"/>
  <c r="R5" i="16" s="1"/>
  <c r="P6" i="16"/>
  <c r="Q6" i="16" s="1"/>
  <c r="R6" i="16" s="1"/>
  <c r="P59" i="16"/>
  <c r="Q59" i="16" s="1"/>
  <c r="R59" i="16" s="1"/>
  <c r="P135" i="16"/>
  <c r="Q135" i="16" s="1"/>
  <c r="R135" i="16" s="1"/>
  <c r="P7" i="16"/>
  <c r="Q7" i="16" s="1"/>
  <c r="R7" i="16" s="1"/>
  <c r="P136" i="16"/>
  <c r="Q136" i="16" s="1"/>
  <c r="R136" i="16" s="1"/>
  <c r="P137" i="16"/>
  <c r="Q137" i="16" s="1"/>
  <c r="R137" i="16" s="1"/>
  <c r="P138" i="16"/>
  <c r="Q138" i="16" s="1"/>
  <c r="R138" i="16" s="1"/>
  <c r="P8" i="16"/>
  <c r="Q8" i="16" s="1"/>
  <c r="R8" i="16" s="1"/>
  <c r="P9" i="16"/>
  <c r="Q9" i="16" s="1"/>
  <c r="R9" i="16" s="1"/>
  <c r="P139" i="16"/>
  <c r="Q139" i="16" s="1"/>
  <c r="R139" i="16" s="1"/>
  <c r="P60" i="16"/>
  <c r="Q60" i="16" s="1"/>
  <c r="R60" i="16" s="1"/>
  <c r="P140" i="16"/>
  <c r="Q140" i="16" s="1"/>
  <c r="R140" i="16" s="1"/>
  <c r="P61" i="16"/>
  <c r="Q61" i="16" s="1"/>
  <c r="R61" i="16" s="1"/>
  <c r="P62" i="16"/>
  <c r="Q62" i="16" s="1"/>
  <c r="R62" i="16" s="1"/>
  <c r="P63" i="16"/>
  <c r="Q63" i="16" s="1"/>
  <c r="R63" i="16" s="1"/>
  <c r="P10" i="16"/>
  <c r="Q10" i="16" s="1"/>
  <c r="R10" i="16" s="1"/>
  <c r="P141" i="16"/>
  <c r="Q141" i="16" s="1"/>
  <c r="R141" i="16" s="1"/>
  <c r="P64" i="16"/>
  <c r="Q64" i="16" s="1"/>
  <c r="R64" i="16" s="1"/>
  <c r="P142" i="16"/>
  <c r="Q142" i="16" s="1"/>
  <c r="R142" i="16" s="1"/>
  <c r="P143" i="16"/>
  <c r="Q143" i="16" s="1"/>
  <c r="R143" i="16" s="1"/>
  <c r="P144" i="16"/>
  <c r="Q144" i="16" s="1"/>
  <c r="R144" i="16" s="1"/>
  <c r="P145" i="16"/>
  <c r="Q145" i="16" s="1"/>
  <c r="R145" i="16" s="1"/>
  <c r="P66" i="16"/>
  <c r="Q66" i="16" s="1"/>
  <c r="R66" i="16" s="1"/>
  <c r="P67" i="16"/>
  <c r="Q67" i="16" s="1"/>
  <c r="R67" i="16" s="1"/>
  <c r="P146" i="16"/>
  <c r="Q146" i="16" s="1"/>
  <c r="R146" i="16" s="1"/>
  <c r="P147" i="16"/>
  <c r="Q147" i="16" s="1"/>
  <c r="R147" i="16" s="1"/>
  <c r="P69" i="16"/>
  <c r="Q69" i="16" s="1"/>
  <c r="R69" i="16" s="1"/>
  <c r="P71" i="16"/>
  <c r="Q71" i="16" s="1"/>
  <c r="R71" i="16" s="1"/>
  <c r="P72" i="16"/>
  <c r="Q72" i="16" s="1"/>
  <c r="R72" i="16" s="1"/>
  <c r="P73" i="16"/>
  <c r="Q73" i="16" s="1"/>
  <c r="R73" i="16" s="1"/>
  <c r="P11" i="16"/>
  <c r="Q11" i="16" s="1"/>
  <c r="R11" i="16" s="1"/>
  <c r="P12" i="16"/>
  <c r="Q12" i="16" s="1"/>
  <c r="R12" i="16" s="1"/>
  <c r="P148" i="16"/>
  <c r="Q148" i="16" s="1"/>
  <c r="R148" i="16" s="1"/>
  <c r="P149" i="16"/>
  <c r="Q149" i="16" s="1"/>
  <c r="R149" i="16" s="1"/>
  <c r="P150" i="16"/>
  <c r="Q150" i="16" s="1"/>
  <c r="R150" i="16" s="1"/>
  <c r="P13" i="16"/>
  <c r="Q13" i="16" s="1"/>
  <c r="R13" i="16" s="1"/>
  <c r="P14" i="16"/>
  <c r="Q14" i="16" s="1"/>
  <c r="R14" i="16" s="1"/>
  <c r="P74" i="16"/>
  <c r="Q74" i="16" s="1"/>
  <c r="R74" i="16" s="1"/>
  <c r="P75" i="16"/>
  <c r="Q75" i="16" s="1"/>
  <c r="R75" i="16" s="1"/>
  <c r="P151" i="16"/>
  <c r="Q151" i="16" s="1"/>
  <c r="R151" i="16" s="1"/>
  <c r="P152" i="16"/>
  <c r="Q152" i="16" s="1"/>
  <c r="R152" i="16" s="1"/>
  <c r="P15" i="16"/>
  <c r="Q15" i="16" s="1"/>
  <c r="R15" i="16" s="1"/>
  <c r="P153" i="16"/>
  <c r="Q153" i="16" s="1"/>
  <c r="R153" i="16" s="1"/>
  <c r="P154" i="16"/>
  <c r="Q154" i="16" s="1"/>
  <c r="R154" i="16" s="1"/>
  <c r="P77" i="16"/>
  <c r="Q77" i="16" s="1"/>
  <c r="R77" i="16" s="1"/>
  <c r="P16" i="16"/>
  <c r="Q16" i="16" s="1"/>
  <c r="R16" i="16" s="1"/>
  <c r="P155" i="16"/>
  <c r="Q155" i="16" s="1"/>
  <c r="R155" i="16" s="1"/>
  <c r="P156" i="16"/>
  <c r="Q156" i="16" s="1"/>
  <c r="R156" i="16" s="1"/>
  <c r="P157" i="16"/>
  <c r="Q157" i="16" s="1"/>
  <c r="R157" i="16" s="1"/>
  <c r="P158" i="16"/>
  <c r="Q158" i="16" s="1"/>
  <c r="R158" i="16" s="1"/>
  <c r="P79" i="16"/>
  <c r="Q79" i="16" s="1"/>
  <c r="R79" i="16" s="1"/>
  <c r="P17" i="16"/>
  <c r="Q17" i="16" s="1"/>
  <c r="R17" i="16" s="1"/>
  <c r="P80" i="16"/>
  <c r="Q80" i="16" s="1"/>
  <c r="R80" i="16" s="1"/>
  <c r="P159" i="16"/>
  <c r="Q159" i="16" s="1"/>
  <c r="R159" i="16" s="1"/>
  <c r="P81" i="16"/>
  <c r="Q81" i="16" s="1"/>
  <c r="R81" i="16" s="1"/>
  <c r="P82" i="16"/>
  <c r="Q82" i="16" s="1"/>
  <c r="R82" i="16" s="1"/>
  <c r="P160" i="16"/>
  <c r="Q160" i="16" s="1"/>
  <c r="R160" i="16" s="1"/>
  <c r="P161" i="16"/>
  <c r="Q161" i="16" s="1"/>
  <c r="R161" i="16" s="1"/>
  <c r="P162" i="16"/>
  <c r="Q162" i="16" s="1"/>
  <c r="R162" i="16" s="1"/>
  <c r="P83" i="16"/>
  <c r="Q83" i="16" s="1"/>
  <c r="R83" i="16" s="1"/>
  <c r="P84" i="16"/>
  <c r="Q84" i="16" s="1"/>
  <c r="R84" i="16" s="1"/>
  <c r="P85" i="16"/>
  <c r="Q85" i="16" s="1"/>
  <c r="R85" i="16" s="1"/>
  <c r="P163" i="16"/>
  <c r="Q163" i="16" s="1"/>
  <c r="R163" i="16" s="1"/>
  <c r="P18" i="16"/>
  <c r="Q18" i="16" s="1"/>
  <c r="R18" i="16" s="1"/>
  <c r="P19" i="16"/>
  <c r="Q19" i="16" s="1"/>
  <c r="R19" i="16" s="1"/>
  <c r="P164" i="16"/>
  <c r="Q164" i="16" s="1"/>
  <c r="R164" i="16" s="1"/>
  <c r="P20" i="16"/>
  <c r="Q20" i="16" s="1"/>
  <c r="R20" i="16" s="1"/>
  <c r="P165" i="16"/>
  <c r="Q165" i="16" s="1"/>
  <c r="R165" i="16" s="1"/>
  <c r="P21" i="16"/>
  <c r="Q21" i="16" s="1"/>
  <c r="R21" i="16" s="1"/>
  <c r="P87" i="16"/>
  <c r="Q87" i="16" s="1"/>
  <c r="R87" i="16" s="1"/>
  <c r="P89" i="16"/>
  <c r="Q89" i="16" s="1"/>
  <c r="R89" i="16" s="1"/>
  <c r="P90" i="16"/>
  <c r="Q90" i="16" s="1"/>
  <c r="R90" i="16" s="1"/>
  <c r="P91" i="16"/>
  <c r="Q91" i="16" s="1"/>
  <c r="R91" i="16" s="1"/>
  <c r="P22" i="16"/>
  <c r="Q22" i="16" s="1"/>
  <c r="R22" i="16" s="1"/>
  <c r="P166" i="16"/>
  <c r="Q166" i="16" s="1"/>
  <c r="R166" i="16" s="1"/>
  <c r="P167" i="16"/>
  <c r="Q167" i="16" s="1"/>
  <c r="R167" i="16" s="1"/>
  <c r="P23" i="16"/>
  <c r="Q23" i="16" s="1"/>
  <c r="R23" i="16" s="1"/>
  <c r="P24" i="16"/>
  <c r="Q24" i="16" s="1"/>
  <c r="R24" i="16" s="1"/>
  <c r="P168" i="16"/>
  <c r="Q168" i="16" s="1"/>
  <c r="R168" i="16" s="1"/>
  <c r="P25" i="16"/>
  <c r="Q25" i="16" s="1"/>
  <c r="R25" i="16" s="1"/>
  <c r="P92" i="16"/>
  <c r="Q92" i="16" s="1"/>
  <c r="R92" i="16" s="1"/>
  <c r="P169" i="16"/>
  <c r="Q169" i="16" s="1"/>
  <c r="R169" i="16" s="1"/>
  <c r="P93" i="16"/>
  <c r="Q93" i="16" s="1"/>
  <c r="R93" i="16" s="1"/>
  <c r="P26" i="16"/>
  <c r="Q26" i="16" s="1"/>
  <c r="R26" i="16" s="1"/>
  <c r="P170" i="16"/>
  <c r="Q170" i="16" s="1"/>
  <c r="R170" i="16" s="1"/>
  <c r="P171" i="16"/>
  <c r="Q171" i="16" s="1"/>
  <c r="R171" i="16" s="1"/>
  <c r="P94" i="16"/>
  <c r="Q94" i="16" s="1"/>
  <c r="R94" i="16" s="1"/>
  <c r="P27" i="16"/>
  <c r="Q27" i="16" s="1"/>
  <c r="R27" i="16" s="1"/>
  <c r="P28" i="16"/>
  <c r="Q28" i="16" s="1"/>
  <c r="R28" i="16" s="1"/>
  <c r="P172" i="16"/>
  <c r="Q172" i="16" s="1"/>
  <c r="R172" i="16" s="1"/>
  <c r="P29" i="16"/>
  <c r="Q29" i="16" s="1"/>
  <c r="R29" i="16" s="1"/>
  <c r="P173" i="16"/>
  <c r="Q173" i="16" s="1"/>
  <c r="R173" i="16" s="1"/>
  <c r="P96" i="16"/>
  <c r="Q96" i="16" s="1"/>
  <c r="R96" i="16" s="1"/>
  <c r="P98" i="16"/>
  <c r="Q98" i="16" s="1"/>
  <c r="R98" i="16" s="1"/>
  <c r="P30" i="16"/>
  <c r="Q30" i="16" s="1"/>
  <c r="R30" i="16" s="1"/>
  <c r="P174" i="16"/>
  <c r="Q174" i="16" s="1"/>
  <c r="R174" i="16" s="1"/>
  <c r="P100" i="16"/>
  <c r="Q100" i="16" s="1"/>
  <c r="R100" i="16" s="1"/>
  <c r="P175" i="16"/>
  <c r="Q175" i="16" s="1"/>
  <c r="R175" i="16" s="1"/>
  <c r="P31" i="16"/>
  <c r="Q31" i="16" s="1"/>
  <c r="R31" i="16" s="1"/>
  <c r="P101" i="16"/>
  <c r="Q101" i="16" s="1"/>
  <c r="R101" i="16" s="1"/>
  <c r="P32" i="16"/>
  <c r="Q32" i="16" s="1"/>
  <c r="R32" i="16" s="1"/>
  <c r="P33" i="16"/>
  <c r="Q33" i="16" s="1"/>
  <c r="R33" i="16" s="1"/>
  <c r="P176" i="16"/>
  <c r="Q176" i="16" s="1"/>
  <c r="R176" i="16" s="1"/>
  <c r="P177" i="16"/>
  <c r="Q177" i="16" s="1"/>
  <c r="R177" i="16" s="1"/>
  <c r="P178" i="16"/>
  <c r="Q178" i="16" s="1"/>
  <c r="R178" i="16" s="1"/>
  <c r="P102" i="16"/>
  <c r="Q102" i="16" s="1"/>
  <c r="R102" i="16" s="1"/>
  <c r="P34" i="16"/>
  <c r="Q34" i="16" s="1"/>
  <c r="R34" i="16" s="1"/>
  <c r="P179" i="16"/>
  <c r="Q179" i="16" s="1"/>
  <c r="R179" i="16" s="1"/>
  <c r="P35" i="16"/>
  <c r="Q35" i="16" s="1"/>
  <c r="R35" i="16" s="1"/>
  <c r="P180" i="16"/>
  <c r="Q180" i="16" s="1"/>
  <c r="R180" i="16" s="1"/>
  <c r="P181" i="16"/>
  <c r="Q181" i="16" s="1"/>
  <c r="R181" i="16" s="1"/>
  <c r="P182" i="16"/>
  <c r="Q182" i="16" s="1"/>
  <c r="R182" i="16" s="1"/>
  <c r="P183" i="16"/>
  <c r="Q183" i="16" s="1"/>
  <c r="R183" i="16" s="1"/>
  <c r="P36" i="16"/>
  <c r="Q36" i="16" s="1"/>
  <c r="R36" i="16" s="1"/>
  <c r="P184" i="16"/>
  <c r="Q184" i="16" s="1"/>
  <c r="R184" i="16" s="1"/>
  <c r="P104" i="16"/>
  <c r="Q104" i="16" s="1"/>
  <c r="R104" i="16" s="1"/>
  <c r="P185" i="16"/>
  <c r="Q185" i="16" s="1"/>
  <c r="R185" i="16" s="1"/>
  <c r="P106" i="16"/>
  <c r="Q106" i="16" s="1"/>
  <c r="R106" i="16" s="1"/>
  <c r="P186" i="16"/>
  <c r="Q186" i="16" s="1"/>
  <c r="R186" i="16" s="1"/>
  <c r="P187" i="16"/>
  <c r="Q187" i="16" s="1"/>
  <c r="R187" i="16" s="1"/>
  <c r="P188" i="16"/>
  <c r="Q188" i="16" s="1"/>
  <c r="R188" i="16" s="1"/>
  <c r="P107" i="16"/>
  <c r="Q107" i="16" s="1"/>
  <c r="R107" i="16" s="1"/>
  <c r="P108" i="16"/>
  <c r="Q108" i="16" s="1"/>
  <c r="R108" i="16" s="1"/>
  <c r="P109" i="16"/>
  <c r="Q109" i="16" s="1"/>
  <c r="R109" i="16" s="1"/>
  <c r="P189" i="16"/>
  <c r="Q189" i="16" s="1"/>
  <c r="R189" i="16" s="1"/>
  <c r="P110" i="16"/>
  <c r="Q110" i="16" s="1"/>
  <c r="R110" i="16" s="1"/>
  <c r="P111" i="16"/>
  <c r="Q111" i="16" s="1"/>
  <c r="R111" i="16" s="1"/>
  <c r="P37" i="16"/>
  <c r="Q37" i="16" s="1"/>
  <c r="R37" i="16" s="1"/>
  <c r="P112" i="16"/>
  <c r="Q112" i="16" s="1"/>
  <c r="R112" i="16" s="1"/>
  <c r="P114" i="16"/>
  <c r="Q114" i="16" s="1"/>
  <c r="R114" i="16" s="1"/>
  <c r="P190" i="16"/>
  <c r="Q190" i="16" s="1"/>
  <c r="R190" i="16" s="1"/>
  <c r="P38" i="16"/>
  <c r="Q38" i="16" s="1"/>
  <c r="R38" i="16" s="1"/>
  <c r="P115" i="16"/>
  <c r="Q115" i="16" s="1"/>
  <c r="R115" i="16" s="1"/>
  <c r="P191" i="16"/>
  <c r="Q191" i="16" s="1"/>
  <c r="R191" i="16" s="1"/>
  <c r="P39" i="16"/>
  <c r="Q39" i="16" s="1"/>
  <c r="R39" i="16" s="1"/>
  <c r="P192" i="16"/>
  <c r="Q192" i="16" s="1"/>
  <c r="R192" i="16" s="1"/>
  <c r="P193" i="16"/>
  <c r="Q193" i="16" s="1"/>
  <c r="R193" i="16" s="1"/>
  <c r="P194" i="16"/>
  <c r="Q194" i="16" s="1"/>
  <c r="R194" i="16" s="1"/>
  <c r="P195" i="16"/>
  <c r="Q195" i="16" s="1"/>
  <c r="R195" i="16" s="1"/>
  <c r="P196" i="16"/>
  <c r="Q196" i="16" s="1"/>
  <c r="R196" i="16" s="1"/>
  <c r="P40" i="16"/>
  <c r="Q40" i="16" s="1"/>
  <c r="R40" i="16" s="1"/>
  <c r="P197" i="16"/>
  <c r="Q197" i="16" s="1"/>
  <c r="R197" i="16" s="1"/>
  <c r="P198" i="16"/>
  <c r="Q198" i="16" s="1"/>
  <c r="R198" i="16" s="1"/>
  <c r="P199" i="16"/>
  <c r="Q199" i="16" s="1"/>
  <c r="R199" i="16" s="1"/>
  <c r="P41" i="16"/>
  <c r="Q41" i="16" s="1"/>
  <c r="R41" i="16" s="1"/>
  <c r="P117" i="16"/>
  <c r="Q117" i="16" s="1"/>
  <c r="R117" i="16" s="1"/>
  <c r="P118" i="16"/>
  <c r="Q118" i="16" s="1"/>
  <c r="R118" i="16" s="1"/>
  <c r="P200" i="16"/>
  <c r="Q200" i="16" s="1"/>
  <c r="R200" i="16" s="1"/>
  <c r="P42" i="16"/>
  <c r="Q42" i="16" s="1"/>
  <c r="R42" i="16" s="1"/>
  <c r="P201" i="16"/>
  <c r="Q201" i="16" s="1"/>
  <c r="R201" i="16" s="1"/>
  <c r="P43" i="16"/>
  <c r="Q43" i="16" s="1"/>
  <c r="R43" i="16" s="1"/>
  <c r="P119" i="16"/>
  <c r="Q119" i="16" s="1"/>
  <c r="R119" i="16" s="1"/>
  <c r="P202" i="16"/>
  <c r="Q202" i="16" s="1"/>
  <c r="R202" i="16" s="1"/>
  <c r="P44" i="16"/>
  <c r="Q44" i="16" s="1"/>
  <c r="R44" i="16" s="1"/>
  <c r="P120" i="16"/>
  <c r="Q120" i="16" s="1"/>
  <c r="R120" i="16" s="1"/>
  <c r="P121" i="16"/>
  <c r="Q121" i="16" s="1"/>
  <c r="R121" i="16" s="1"/>
  <c r="P122" i="16"/>
  <c r="Q122" i="16" s="1"/>
  <c r="R122" i="16" s="1"/>
  <c r="P203" i="16"/>
  <c r="Q203" i="16" s="1"/>
  <c r="R203" i="16" s="1"/>
  <c r="P123" i="16"/>
  <c r="Q123" i="16" s="1"/>
  <c r="R123" i="16" s="1"/>
  <c r="P45" i="16"/>
  <c r="Q45" i="16" s="1"/>
  <c r="R45" i="16" s="1"/>
  <c r="P124" i="16"/>
  <c r="Q124" i="16" s="1"/>
  <c r="R124" i="16" s="1"/>
  <c r="P125" i="16"/>
  <c r="Q125" i="16" s="1"/>
  <c r="R125" i="16" s="1"/>
  <c r="P204" i="16"/>
  <c r="Q204" i="16" s="1"/>
  <c r="R204" i="16" s="1"/>
  <c r="P205" i="16"/>
  <c r="Q205" i="16" s="1"/>
  <c r="R205" i="16" s="1"/>
  <c r="P46" i="16"/>
  <c r="Q46" i="16" s="1"/>
  <c r="R46" i="16" s="1"/>
  <c r="P127" i="16"/>
  <c r="Q127" i="16" s="1"/>
  <c r="R127" i="16" s="1"/>
  <c r="P47" i="16"/>
  <c r="Q47" i="16" s="1"/>
  <c r="R47" i="16" s="1"/>
  <c r="P207" i="16"/>
  <c r="Q207" i="16" s="1"/>
  <c r="R207" i="16" s="1"/>
  <c r="P128" i="16"/>
  <c r="Q128" i="16" s="1"/>
  <c r="R128" i="16" s="1"/>
  <c r="P129" i="16"/>
  <c r="Q129" i="16" s="1"/>
  <c r="R129" i="16" s="1"/>
  <c r="P48" i="16"/>
  <c r="Q48" i="16" s="1"/>
  <c r="R48" i="16" s="1"/>
  <c r="P49" i="16"/>
  <c r="Q49" i="16" s="1"/>
  <c r="R49" i="16" s="1"/>
  <c r="P50" i="16"/>
  <c r="Q50" i="16" s="1"/>
  <c r="R50" i="16" s="1"/>
  <c r="P51" i="16"/>
  <c r="Q51" i="16" s="1"/>
  <c r="R51" i="16" s="1"/>
  <c r="P208" i="16"/>
  <c r="Q208" i="16" s="1"/>
  <c r="R208" i="16" s="1"/>
  <c r="P52" i="16"/>
  <c r="Q52" i="16" s="1"/>
  <c r="R52" i="16" s="1"/>
  <c r="P130" i="16"/>
  <c r="Q130" i="16" s="1"/>
  <c r="R130" i="16" s="1"/>
  <c r="P131" i="16"/>
  <c r="Q131" i="16" s="1"/>
  <c r="R131" i="16" s="1"/>
  <c r="P132" i="16"/>
  <c r="Q132" i="16" s="1"/>
  <c r="R132" i="16" s="1"/>
  <c r="L133" i="16"/>
  <c r="L4" i="16"/>
  <c r="L56" i="16"/>
  <c r="L134" i="16"/>
  <c r="L57" i="16"/>
  <c r="L58" i="16"/>
  <c r="L5" i="16"/>
  <c r="L6" i="16"/>
  <c r="L59" i="16"/>
  <c r="L135" i="16"/>
  <c r="L7" i="16"/>
  <c r="L136" i="16"/>
  <c r="L137" i="16"/>
  <c r="L138" i="16"/>
  <c r="L8" i="16"/>
  <c r="L9" i="16"/>
  <c r="L139" i="16"/>
  <c r="L60" i="16"/>
  <c r="L140" i="16"/>
  <c r="L61" i="16"/>
  <c r="L62" i="16"/>
  <c r="L63" i="16"/>
  <c r="L10" i="16"/>
  <c r="L141" i="16"/>
  <c r="L64" i="16"/>
  <c r="L65" i="16"/>
  <c r="L142" i="16"/>
  <c r="L143" i="16"/>
  <c r="L144" i="16"/>
  <c r="L145" i="16"/>
  <c r="L66" i="16"/>
  <c r="L67" i="16"/>
  <c r="L68" i="16"/>
  <c r="L146" i="16"/>
  <c r="L147" i="16"/>
  <c r="L69" i="16"/>
  <c r="L70" i="16"/>
  <c r="L71" i="16"/>
  <c r="L72" i="16"/>
  <c r="L73" i="16"/>
  <c r="L11" i="16"/>
  <c r="L12" i="16"/>
  <c r="L148" i="16"/>
  <c r="L149" i="16"/>
  <c r="L150" i="16"/>
  <c r="L13" i="16"/>
  <c r="L14" i="16"/>
  <c r="L74" i="16"/>
  <c r="L75" i="16"/>
  <c r="L151" i="16"/>
  <c r="L76" i="16"/>
  <c r="L152" i="16"/>
  <c r="L15" i="16"/>
  <c r="L153" i="16"/>
  <c r="L154" i="16"/>
  <c r="L77" i="16"/>
  <c r="L16" i="16"/>
  <c r="L155" i="16"/>
  <c r="L156" i="16"/>
  <c r="L78" i="16"/>
  <c r="L157" i="16"/>
  <c r="L158" i="16"/>
  <c r="L79" i="16"/>
  <c r="L17" i="16"/>
  <c r="L80" i="16"/>
  <c r="L159" i="16"/>
  <c r="L81" i="16"/>
  <c r="L82" i="16"/>
  <c r="L160" i="16"/>
  <c r="L161" i="16"/>
  <c r="L162" i="16"/>
  <c r="L83" i="16"/>
  <c r="L85" i="16"/>
  <c r="L163" i="16"/>
  <c r="L18" i="16"/>
  <c r="L19" i="16"/>
  <c r="L164" i="16"/>
  <c r="L20" i="16"/>
  <c r="L86" i="16"/>
  <c r="L165" i="16"/>
  <c r="L21" i="16"/>
  <c r="L87" i="16"/>
  <c r="L88" i="16"/>
  <c r="L89" i="16"/>
  <c r="L90" i="16"/>
  <c r="L91" i="16"/>
  <c r="L22" i="16"/>
  <c r="L166" i="16"/>
  <c r="L167" i="16"/>
  <c r="L23" i="16"/>
  <c r="L24" i="16"/>
  <c r="L168" i="16"/>
  <c r="L25" i="16"/>
  <c r="L92" i="16"/>
  <c r="L169" i="16"/>
  <c r="L93" i="16"/>
  <c r="L26" i="16"/>
  <c r="L170" i="16"/>
  <c r="L171" i="16"/>
  <c r="L94" i="16"/>
  <c r="L27" i="16"/>
  <c r="L28" i="16"/>
  <c r="L172" i="16"/>
  <c r="L29" i="16"/>
  <c r="L95" i="16"/>
  <c r="L173" i="16"/>
  <c r="L96" i="16"/>
  <c r="L97" i="16"/>
  <c r="L98" i="16"/>
  <c r="L99" i="16"/>
  <c r="L30" i="16"/>
  <c r="L174" i="16"/>
  <c r="L100" i="16"/>
  <c r="L175" i="16"/>
  <c r="L31" i="16"/>
  <c r="L101" i="16"/>
  <c r="L32" i="16"/>
  <c r="L33" i="16"/>
  <c r="L176" i="16"/>
  <c r="L177" i="16"/>
  <c r="L178" i="16"/>
  <c r="L102" i="16"/>
  <c r="L103" i="16"/>
  <c r="L34" i="16"/>
  <c r="L179" i="16"/>
  <c r="L35" i="16"/>
  <c r="L180" i="16"/>
  <c r="L181" i="16"/>
  <c r="L182" i="16"/>
  <c r="L183" i="16"/>
  <c r="L36" i="16"/>
  <c r="L184" i="16"/>
  <c r="L104" i="16"/>
  <c r="L105" i="16"/>
  <c r="L185" i="16"/>
  <c r="L106" i="16"/>
  <c r="L186" i="16"/>
  <c r="L187" i="16"/>
  <c r="L188" i="16"/>
  <c r="L107" i="16"/>
  <c r="L108" i="16"/>
  <c r="L109" i="16"/>
  <c r="L189" i="16"/>
  <c r="L110" i="16"/>
  <c r="L111" i="16"/>
  <c r="L37" i="16"/>
  <c r="L112" i="16"/>
  <c r="L113" i="16"/>
  <c r="L114" i="16"/>
  <c r="L190" i="16"/>
  <c r="L38" i="16"/>
  <c r="L115" i="16"/>
  <c r="L191" i="16"/>
  <c r="L39" i="16"/>
  <c r="L192" i="16"/>
  <c r="L193" i="16"/>
  <c r="L194" i="16"/>
  <c r="L195" i="16"/>
  <c r="L196" i="16"/>
  <c r="L40" i="16"/>
  <c r="L197" i="16"/>
  <c r="L198" i="16"/>
  <c r="L199" i="16"/>
  <c r="L116" i="16"/>
  <c r="L41" i="16"/>
  <c r="L117" i="16"/>
  <c r="L118" i="16"/>
  <c r="L200" i="16"/>
  <c r="L42" i="16"/>
  <c r="L201" i="16"/>
  <c r="L43" i="16"/>
  <c r="L119" i="16"/>
  <c r="L202" i="16"/>
  <c r="L44" i="16"/>
  <c r="L120" i="16"/>
  <c r="L121" i="16"/>
  <c r="L122" i="16"/>
  <c r="L203" i="16"/>
  <c r="L123" i="16"/>
  <c r="L45" i="16"/>
  <c r="L124" i="16"/>
  <c r="L125" i="16"/>
  <c r="L204" i="16"/>
  <c r="L126" i="16"/>
  <c r="L205" i="16"/>
  <c r="L46" i="16"/>
  <c r="L127" i="16"/>
  <c r="L47" i="16"/>
  <c r="L207" i="16"/>
  <c r="L128" i="16"/>
  <c r="L129" i="16"/>
  <c r="L48" i="16"/>
  <c r="L49" i="16"/>
  <c r="L50" i="16"/>
  <c r="L51" i="16"/>
  <c r="L208" i="16"/>
  <c r="L52" i="16"/>
  <c r="L130" i="16"/>
  <c r="L131" i="16"/>
  <c r="L132" i="16"/>
  <c r="K56" i="16"/>
  <c r="K134" i="16"/>
  <c r="K57" i="16"/>
  <c r="K58" i="16"/>
  <c r="K5" i="16"/>
  <c r="K6" i="16"/>
  <c r="K59" i="16"/>
  <c r="K135" i="16"/>
  <c r="K7" i="16"/>
  <c r="K136" i="16"/>
  <c r="K138" i="16"/>
  <c r="K8" i="16"/>
  <c r="K9" i="16"/>
  <c r="K139" i="16"/>
  <c r="K60" i="16"/>
  <c r="K140" i="16"/>
  <c r="K61" i="16"/>
  <c r="K62" i="16"/>
  <c r="K63" i="16"/>
  <c r="K10" i="16"/>
  <c r="K141" i="16"/>
  <c r="K64" i="16"/>
  <c r="K65" i="16"/>
  <c r="K142" i="16"/>
  <c r="K143" i="16"/>
  <c r="K144" i="16"/>
  <c r="K145" i="16"/>
  <c r="K66" i="16"/>
  <c r="K67" i="16"/>
  <c r="K68" i="16"/>
  <c r="K146" i="16"/>
  <c r="K147" i="16"/>
  <c r="K69" i="16"/>
  <c r="K70" i="16"/>
  <c r="K71" i="16"/>
  <c r="K72" i="16"/>
  <c r="K73" i="16"/>
  <c r="K11" i="16"/>
  <c r="K12" i="16"/>
  <c r="K148" i="16"/>
  <c r="K149" i="16"/>
  <c r="K150" i="16"/>
  <c r="K13" i="16"/>
  <c r="K14" i="16"/>
  <c r="K74" i="16"/>
  <c r="K75" i="16"/>
  <c r="K151" i="16"/>
  <c r="K76" i="16"/>
  <c r="K152" i="16"/>
  <c r="K15" i="16"/>
  <c r="K153" i="16"/>
  <c r="K154" i="16"/>
  <c r="K77" i="16"/>
  <c r="K16" i="16"/>
  <c r="K155" i="16"/>
  <c r="K156" i="16"/>
  <c r="K78" i="16"/>
  <c r="K157" i="16"/>
  <c r="K158" i="16"/>
  <c r="K79" i="16"/>
  <c r="K17" i="16"/>
  <c r="K80" i="16"/>
  <c r="K159" i="16"/>
  <c r="K81" i="16"/>
  <c r="K82" i="16"/>
  <c r="K160" i="16"/>
  <c r="K161" i="16"/>
  <c r="K162" i="16"/>
  <c r="K83" i="16"/>
  <c r="K85" i="16"/>
  <c r="K163" i="16"/>
  <c r="K18" i="16"/>
  <c r="K19" i="16"/>
  <c r="K164" i="16"/>
  <c r="K20" i="16"/>
  <c r="K86" i="16"/>
  <c r="K165" i="16"/>
  <c r="K21" i="16"/>
  <c r="K87" i="16"/>
  <c r="K88" i="16"/>
  <c r="K89" i="16"/>
  <c r="K90" i="16"/>
  <c r="K91" i="16"/>
  <c r="K22" i="16"/>
  <c r="K166" i="16"/>
  <c r="K167" i="16"/>
  <c r="K23" i="16"/>
  <c r="K24" i="16"/>
  <c r="K168" i="16"/>
  <c r="K25" i="16"/>
  <c r="K92" i="16"/>
  <c r="K169" i="16"/>
  <c r="K93" i="16"/>
  <c r="K26" i="16"/>
  <c r="K170" i="16"/>
  <c r="K171" i="16"/>
  <c r="K94" i="16"/>
  <c r="K27" i="16"/>
  <c r="K28" i="16"/>
  <c r="K172" i="16"/>
  <c r="K29" i="16"/>
  <c r="K95" i="16"/>
  <c r="K173" i="16"/>
  <c r="K96" i="16"/>
  <c r="K97" i="16"/>
  <c r="K98" i="16"/>
  <c r="K99" i="16"/>
  <c r="K30" i="16"/>
  <c r="K174" i="16"/>
  <c r="K100" i="16"/>
  <c r="K175" i="16"/>
  <c r="K31" i="16"/>
  <c r="K101" i="16"/>
  <c r="K32" i="16"/>
  <c r="K33" i="16"/>
  <c r="K176" i="16"/>
  <c r="K177" i="16"/>
  <c r="K178" i="16"/>
  <c r="K102" i="16"/>
  <c r="K103" i="16"/>
  <c r="K34" i="16"/>
  <c r="K179" i="16"/>
  <c r="K35" i="16"/>
  <c r="K180" i="16"/>
  <c r="K181" i="16"/>
  <c r="K182" i="16"/>
  <c r="K183" i="16"/>
  <c r="K36" i="16"/>
  <c r="K184" i="16"/>
  <c r="K104" i="16"/>
  <c r="K105" i="16"/>
  <c r="K185" i="16"/>
  <c r="K106" i="16"/>
  <c r="K186" i="16"/>
  <c r="K187" i="16"/>
  <c r="K188" i="16"/>
  <c r="K107" i="16"/>
  <c r="K108" i="16"/>
  <c r="K109" i="16"/>
  <c r="K189" i="16"/>
  <c r="K110" i="16"/>
  <c r="K111" i="16"/>
  <c r="K37" i="16"/>
  <c r="K112" i="16"/>
  <c r="K113" i="16"/>
  <c r="K114" i="16"/>
  <c r="K190" i="16"/>
  <c r="K38" i="16"/>
  <c r="K115" i="16"/>
  <c r="K191" i="16"/>
  <c r="K39" i="16"/>
  <c r="K192" i="16"/>
  <c r="K193" i="16"/>
  <c r="K194" i="16"/>
  <c r="K195" i="16"/>
  <c r="K196" i="16"/>
  <c r="K40" i="16"/>
  <c r="K197" i="16"/>
  <c r="K198" i="16"/>
  <c r="K199" i="16"/>
  <c r="K116" i="16"/>
  <c r="K41" i="16"/>
  <c r="K117" i="16"/>
  <c r="K118" i="16"/>
  <c r="K200" i="16"/>
  <c r="K42" i="16"/>
  <c r="K201" i="16"/>
  <c r="K43" i="16"/>
  <c r="K119" i="16"/>
  <c r="K202" i="16"/>
  <c r="K44" i="16"/>
  <c r="K120" i="16"/>
  <c r="K121" i="16"/>
  <c r="K122" i="16"/>
  <c r="K203" i="16"/>
  <c r="K123" i="16"/>
  <c r="K45" i="16"/>
  <c r="K124" i="16"/>
  <c r="K125" i="16"/>
  <c r="K204" i="16"/>
  <c r="K126" i="16"/>
  <c r="K205" i="16"/>
  <c r="K46" i="16"/>
  <c r="K127" i="16"/>
  <c r="K47" i="16"/>
  <c r="K206" i="16"/>
  <c r="K207" i="16"/>
  <c r="K128" i="16"/>
  <c r="K129" i="16"/>
  <c r="K48" i="16"/>
  <c r="K49" i="16"/>
  <c r="K50" i="16"/>
  <c r="K51" i="16"/>
  <c r="K208" i="16"/>
  <c r="K52" i="16"/>
  <c r="K130" i="16"/>
  <c r="K131" i="16"/>
  <c r="K132" i="16"/>
  <c r="E43" i="47" l="1"/>
  <c r="P99" i="16"/>
  <c r="Q99" i="16" s="1"/>
  <c r="R99" i="16" s="1"/>
  <c r="P70" i="16"/>
  <c r="Q70" i="16" s="1"/>
  <c r="R70" i="16" s="1"/>
  <c r="P126" i="16"/>
  <c r="Q126" i="16" s="1"/>
  <c r="R126" i="16" s="1"/>
  <c r="P116" i="16"/>
  <c r="Q116" i="16" s="1"/>
  <c r="R116" i="16" s="1"/>
  <c r="P105" i="16"/>
  <c r="Q105" i="16" s="1"/>
  <c r="R105" i="16" s="1"/>
  <c r="P97" i="16"/>
  <c r="Q97" i="16" s="1"/>
  <c r="R97" i="16" s="1"/>
  <c r="P78" i="16"/>
  <c r="Q78" i="16" s="1"/>
  <c r="R78" i="16" s="1"/>
  <c r="P68" i="16"/>
  <c r="Q68" i="16" s="1"/>
  <c r="R68" i="16" s="1"/>
  <c r="P113" i="16"/>
  <c r="Q113" i="16" s="1"/>
  <c r="R113" i="16" s="1"/>
  <c r="P103" i="16"/>
  <c r="Q103" i="16" s="1"/>
  <c r="R103" i="16" s="1"/>
  <c r="P95" i="16"/>
  <c r="Q95" i="16" s="1"/>
  <c r="R95" i="16" s="1"/>
  <c r="P86" i="16"/>
  <c r="Q86" i="16" s="1"/>
  <c r="R86" i="16" s="1"/>
  <c r="P76" i="16"/>
  <c r="Q76" i="16" s="1"/>
  <c r="R76" i="16" s="1"/>
  <c r="P65" i="16"/>
  <c r="Q65" i="16" s="1"/>
  <c r="R65" i="16" s="1"/>
  <c r="Q55" i="16"/>
  <c r="R55" i="16" s="1"/>
  <c r="I152" i="71" l="1"/>
  <c r="AA205" i="19"/>
  <c r="Z205" i="19"/>
  <c r="I90" i="71"/>
  <c r="AA204" i="19"/>
  <c r="Z204" i="19"/>
  <c r="I178" i="71"/>
  <c r="AA203" i="19"/>
  <c r="Z203" i="19"/>
  <c r="AA202" i="19"/>
  <c r="Z202" i="19"/>
  <c r="I142" i="71"/>
  <c r="AA201" i="19"/>
  <c r="Z201" i="19"/>
  <c r="I200" i="71"/>
  <c r="AA200" i="19"/>
  <c r="Z200" i="19"/>
  <c r="I127" i="71"/>
  <c r="AA199" i="19"/>
  <c r="Z199" i="19"/>
  <c r="I87" i="71"/>
  <c r="AA198" i="19"/>
  <c r="Z198" i="19"/>
  <c r="AA197" i="19"/>
  <c r="Z197" i="19"/>
  <c r="AA196" i="19"/>
  <c r="Z196" i="19"/>
  <c r="I190" i="71"/>
  <c r="AA195" i="19"/>
  <c r="Z195" i="19"/>
  <c r="I49" i="71"/>
  <c r="AA194" i="19"/>
  <c r="Z194" i="19"/>
  <c r="AA193" i="19"/>
  <c r="Z193" i="19"/>
  <c r="I150" i="71"/>
  <c r="AA192" i="19"/>
  <c r="Z192" i="19"/>
  <c r="I134" i="71"/>
  <c r="AA191" i="19"/>
  <c r="Z191" i="19"/>
  <c r="AA190" i="19"/>
  <c r="Z190" i="19"/>
  <c r="I86" i="71"/>
  <c r="AA189" i="19"/>
  <c r="Z189" i="19"/>
  <c r="I92" i="71"/>
  <c r="AA187" i="19"/>
  <c r="Z187" i="19"/>
  <c r="Y187" i="19"/>
  <c r="I95" i="71"/>
  <c r="AA186" i="19"/>
  <c r="Z186" i="19"/>
  <c r="Y186" i="19"/>
  <c r="X186" i="19"/>
  <c r="I17" i="71"/>
  <c r="AA185" i="19"/>
  <c r="Z185" i="19"/>
  <c r="Y185" i="19"/>
  <c r="X185" i="19"/>
  <c r="I103" i="71"/>
  <c r="AA184" i="19"/>
  <c r="Z184" i="19"/>
  <c r="Y184" i="19"/>
  <c r="X184" i="19"/>
  <c r="I160" i="71"/>
  <c r="AA183" i="19"/>
  <c r="Z183" i="19"/>
  <c r="Y183" i="19"/>
  <c r="X183" i="19"/>
  <c r="AA182" i="19"/>
  <c r="Z182" i="19"/>
  <c r="Y182" i="19"/>
  <c r="X182" i="19"/>
  <c r="I187" i="71"/>
  <c r="AA181" i="19"/>
  <c r="Z181" i="19"/>
  <c r="Y181" i="19"/>
  <c r="X181" i="19"/>
  <c r="AA180" i="19"/>
  <c r="Z180" i="19"/>
  <c r="Y180" i="19"/>
  <c r="X180" i="19"/>
  <c r="I185" i="71"/>
  <c r="AA179" i="19"/>
  <c r="Z179" i="19"/>
  <c r="Y179" i="19"/>
  <c r="X179" i="19"/>
  <c r="I202" i="71"/>
  <c r="AA178" i="19"/>
  <c r="Z178" i="19"/>
  <c r="Y178" i="19"/>
  <c r="X178" i="19"/>
  <c r="I47" i="71"/>
  <c r="AA177" i="19"/>
  <c r="Z177" i="19"/>
  <c r="Y177" i="19"/>
  <c r="X177" i="19"/>
  <c r="I51" i="71"/>
  <c r="AA176" i="19"/>
  <c r="Z176" i="19"/>
  <c r="Y176" i="19"/>
  <c r="X176" i="19"/>
  <c r="I94" i="71"/>
  <c r="AA175" i="19"/>
  <c r="Z175" i="19"/>
  <c r="Y175" i="19"/>
  <c r="X175" i="19"/>
  <c r="I38" i="71"/>
  <c r="AA174" i="19"/>
  <c r="Z174" i="19"/>
  <c r="Y174" i="19"/>
  <c r="X174" i="19"/>
  <c r="I145" i="71"/>
  <c r="AA173" i="19"/>
  <c r="Z173" i="19"/>
  <c r="Y173" i="19"/>
  <c r="X173" i="19"/>
  <c r="I15" i="71"/>
  <c r="AA172" i="19"/>
  <c r="Z172" i="19"/>
  <c r="Y172" i="19"/>
  <c r="X172" i="19"/>
  <c r="I29" i="71"/>
  <c r="AA171" i="19"/>
  <c r="Z171" i="19"/>
  <c r="Y171" i="19"/>
  <c r="X171" i="19"/>
  <c r="I157" i="71"/>
  <c r="AA170" i="19"/>
  <c r="Z170" i="19"/>
  <c r="Y170" i="19"/>
  <c r="X170" i="19"/>
  <c r="I45" i="71"/>
  <c r="AA169" i="19"/>
  <c r="Z169" i="19"/>
  <c r="Y169" i="19"/>
  <c r="X169" i="19"/>
  <c r="I61" i="71"/>
  <c r="AA168" i="19"/>
  <c r="Z168" i="19"/>
  <c r="Y168" i="19"/>
  <c r="X168" i="19"/>
  <c r="I162" i="71"/>
  <c r="AA167" i="19"/>
  <c r="Z167" i="19"/>
  <c r="Y167" i="19"/>
  <c r="X167" i="19"/>
  <c r="I12" i="71"/>
  <c r="AA166" i="19"/>
  <c r="Z166" i="19"/>
  <c r="Y166" i="19"/>
  <c r="X166" i="19"/>
  <c r="I81" i="71"/>
  <c r="AA165" i="19"/>
  <c r="Z165" i="19"/>
  <c r="Y165" i="19"/>
  <c r="X165" i="19"/>
  <c r="AA164" i="19"/>
  <c r="Z164" i="19"/>
  <c r="Y164" i="19"/>
  <c r="X164" i="19"/>
  <c r="I196" i="71"/>
  <c r="AA163" i="19"/>
  <c r="Z163" i="19"/>
  <c r="Y163" i="19"/>
  <c r="X163" i="19"/>
  <c r="I176" i="71"/>
  <c r="AA162" i="19"/>
  <c r="Z162" i="19"/>
  <c r="Y162" i="19"/>
  <c r="X162" i="19"/>
  <c r="I122" i="71"/>
  <c r="AA161" i="19"/>
  <c r="Z161" i="19"/>
  <c r="Y161" i="19"/>
  <c r="X161" i="19"/>
  <c r="I208" i="71"/>
  <c r="AA160" i="19"/>
  <c r="Z160" i="19"/>
  <c r="Y160" i="19"/>
  <c r="X160" i="19"/>
  <c r="I207" i="71"/>
  <c r="AA159" i="19"/>
  <c r="Z159" i="19"/>
  <c r="Y159" i="19"/>
  <c r="X159" i="19"/>
  <c r="I206" i="71"/>
  <c r="AA158" i="19"/>
  <c r="Z158" i="19"/>
  <c r="Y158" i="19"/>
  <c r="X158" i="19"/>
  <c r="I204" i="71"/>
  <c r="AA157" i="19"/>
  <c r="Z157" i="19"/>
  <c r="Y157" i="19"/>
  <c r="X157" i="19"/>
  <c r="I19" i="71"/>
  <c r="AA156" i="19"/>
  <c r="Z156" i="19"/>
  <c r="Y156" i="19"/>
  <c r="X156" i="19"/>
  <c r="I203" i="71"/>
  <c r="AA155" i="19"/>
  <c r="Z155" i="19"/>
  <c r="Y155" i="19"/>
  <c r="X155" i="19"/>
  <c r="I172" i="71"/>
  <c r="AA154" i="19"/>
  <c r="Z154" i="19"/>
  <c r="Y154" i="19"/>
  <c r="X154" i="19"/>
  <c r="I85" i="71"/>
  <c r="AA153" i="19"/>
  <c r="Z153" i="19"/>
  <c r="Y153" i="19"/>
  <c r="X153" i="19"/>
  <c r="I191" i="71"/>
  <c r="AA152" i="19"/>
  <c r="Z152" i="19"/>
  <c r="Y152" i="19"/>
  <c r="X152" i="19"/>
  <c r="I168" i="71"/>
  <c r="AA151" i="19"/>
  <c r="Z151" i="19"/>
  <c r="Y151" i="19"/>
  <c r="X151" i="19"/>
  <c r="I189" i="71"/>
  <c r="AA150" i="19"/>
  <c r="Z150" i="19"/>
  <c r="Y150" i="19"/>
  <c r="X150" i="19"/>
  <c r="I188" i="71"/>
  <c r="AA149" i="19"/>
  <c r="Z149" i="19"/>
  <c r="Y149" i="19"/>
  <c r="X149" i="19"/>
  <c r="I76" i="71"/>
  <c r="AA148" i="19"/>
  <c r="Z148" i="19"/>
  <c r="Y148" i="19"/>
  <c r="X148" i="19"/>
  <c r="I44" i="71"/>
  <c r="AA147" i="19"/>
  <c r="Z147" i="19"/>
  <c r="Y147" i="19"/>
  <c r="X147" i="19"/>
  <c r="I186" i="71"/>
  <c r="AA146" i="19"/>
  <c r="Z146" i="19"/>
  <c r="Y146" i="19"/>
  <c r="X146" i="19"/>
  <c r="I183" i="71"/>
  <c r="AA145" i="19"/>
  <c r="Z145" i="19"/>
  <c r="Y145" i="19"/>
  <c r="X145" i="19"/>
  <c r="I75" i="71"/>
  <c r="AA144" i="19"/>
  <c r="Z144" i="19"/>
  <c r="Y144" i="19"/>
  <c r="X144" i="19"/>
  <c r="I182" i="71"/>
  <c r="AA143" i="19"/>
  <c r="Z143" i="19"/>
  <c r="Y143" i="19"/>
  <c r="X143" i="19"/>
  <c r="I180" i="71"/>
  <c r="AA142" i="19"/>
  <c r="Z142" i="19"/>
  <c r="Y142" i="19"/>
  <c r="X142" i="19"/>
  <c r="I40" i="71"/>
  <c r="AA141" i="19"/>
  <c r="Z141" i="19"/>
  <c r="Y141" i="19"/>
  <c r="X141" i="19"/>
  <c r="I199" i="71"/>
  <c r="AA140" i="19"/>
  <c r="Z140" i="19"/>
  <c r="Y140" i="19"/>
  <c r="X140" i="19"/>
  <c r="I205" i="71"/>
  <c r="AA139" i="19"/>
  <c r="Z139" i="19"/>
  <c r="Y139" i="19"/>
  <c r="X139" i="19"/>
  <c r="I41" i="71"/>
  <c r="AA138" i="19"/>
  <c r="Z138" i="19"/>
  <c r="Y138" i="19"/>
  <c r="X138" i="19"/>
  <c r="I169" i="71"/>
  <c r="AA137" i="19"/>
  <c r="Z137" i="19"/>
  <c r="Y137" i="19"/>
  <c r="X137" i="19"/>
  <c r="I179" i="71"/>
  <c r="AA136" i="19"/>
  <c r="Z136" i="19"/>
  <c r="Y136" i="19"/>
  <c r="X136" i="19"/>
  <c r="I193" i="71"/>
  <c r="AA135" i="19"/>
  <c r="Z135" i="19"/>
  <c r="Y135" i="19"/>
  <c r="X135" i="19"/>
  <c r="I78" i="71"/>
  <c r="AA134" i="19"/>
  <c r="Z134" i="19"/>
  <c r="Y134" i="19"/>
  <c r="X134" i="19"/>
  <c r="I77" i="71"/>
  <c r="AA133" i="19"/>
  <c r="Z133" i="19"/>
  <c r="Y133" i="19"/>
  <c r="X133" i="19"/>
  <c r="I165" i="71"/>
  <c r="AA132" i="19"/>
  <c r="Z132" i="19"/>
  <c r="Y132" i="19"/>
  <c r="X132" i="19"/>
  <c r="I175" i="71"/>
  <c r="AA131" i="19"/>
  <c r="Z131" i="19"/>
  <c r="Y131" i="19"/>
  <c r="X131" i="19"/>
  <c r="I173" i="71"/>
  <c r="AA130" i="19"/>
  <c r="Z130" i="19"/>
  <c r="Y130" i="19"/>
  <c r="X130" i="19"/>
  <c r="I171" i="71"/>
  <c r="AA129" i="19"/>
  <c r="Z129" i="19"/>
  <c r="Y129" i="19"/>
  <c r="X129" i="19"/>
  <c r="I39" i="71"/>
  <c r="AA128" i="19"/>
  <c r="Z128" i="19"/>
  <c r="Y128" i="19"/>
  <c r="X128" i="19"/>
  <c r="I36" i="71"/>
  <c r="AA127" i="19"/>
  <c r="Z127" i="19"/>
  <c r="Y127" i="19"/>
  <c r="X127" i="19"/>
  <c r="I161" i="71"/>
  <c r="AA126" i="19"/>
  <c r="Z126" i="19"/>
  <c r="Y126" i="19"/>
  <c r="X126" i="19"/>
  <c r="I159" i="71"/>
  <c r="AA125" i="19"/>
  <c r="Z125" i="19"/>
  <c r="Y125" i="19"/>
  <c r="X125" i="19"/>
  <c r="I201" i="71"/>
  <c r="AA124" i="19"/>
  <c r="Z124" i="19"/>
  <c r="Y124" i="19"/>
  <c r="X124" i="19"/>
  <c r="AA123" i="19"/>
  <c r="Z123" i="19"/>
  <c r="Y123" i="19"/>
  <c r="X123" i="19"/>
  <c r="I158" i="71"/>
  <c r="AA122" i="19"/>
  <c r="Z122" i="19"/>
  <c r="Y122" i="19"/>
  <c r="X122" i="19"/>
  <c r="I131" i="71"/>
  <c r="AA121" i="19"/>
  <c r="Z121" i="19"/>
  <c r="Y121" i="19"/>
  <c r="X121" i="19"/>
  <c r="I151" i="71"/>
  <c r="AA120" i="19"/>
  <c r="Z120" i="19"/>
  <c r="Y120" i="19"/>
  <c r="X120" i="19"/>
  <c r="I153" i="71"/>
  <c r="AA118" i="19"/>
  <c r="Z118" i="19"/>
  <c r="Y118" i="19"/>
  <c r="X118" i="19"/>
  <c r="I43" i="71"/>
  <c r="AA117" i="19"/>
  <c r="Z117" i="19"/>
  <c r="Y117" i="19"/>
  <c r="X117" i="19"/>
  <c r="I148" i="71"/>
  <c r="AA116" i="19"/>
  <c r="Z116" i="19"/>
  <c r="Y116" i="19"/>
  <c r="X116" i="19"/>
  <c r="I147" i="71"/>
  <c r="AA115" i="19"/>
  <c r="Z115" i="19"/>
  <c r="Y115" i="19"/>
  <c r="X115" i="19"/>
  <c r="I164" i="71"/>
  <c r="AA114" i="19"/>
  <c r="Z114" i="19"/>
  <c r="Y114" i="19"/>
  <c r="X114" i="19"/>
  <c r="I149" i="71"/>
  <c r="AA113" i="19"/>
  <c r="Z113" i="19"/>
  <c r="Y113" i="19"/>
  <c r="X113" i="19"/>
  <c r="I42" i="71"/>
  <c r="AA112" i="19"/>
  <c r="Z112" i="19"/>
  <c r="Y112" i="19"/>
  <c r="X112" i="19"/>
  <c r="I132" i="71"/>
  <c r="AA111" i="19"/>
  <c r="Z111" i="19"/>
  <c r="Y111" i="19"/>
  <c r="X111" i="19"/>
  <c r="I26" i="71"/>
  <c r="AA110" i="19"/>
  <c r="Z110" i="19"/>
  <c r="Y110" i="19"/>
  <c r="X110" i="19"/>
  <c r="I156" i="71"/>
  <c r="AA109" i="19"/>
  <c r="Z109" i="19"/>
  <c r="Y109" i="19"/>
  <c r="X109" i="19"/>
  <c r="I155" i="71"/>
  <c r="AA108" i="19"/>
  <c r="Z108" i="19"/>
  <c r="Y108" i="19"/>
  <c r="X108" i="19"/>
  <c r="I154" i="71"/>
  <c r="AA107" i="19"/>
  <c r="Z107" i="19"/>
  <c r="Y107" i="19"/>
  <c r="X107" i="19"/>
  <c r="I146" i="71"/>
  <c r="AA106" i="19"/>
  <c r="Z106" i="19"/>
  <c r="Y106" i="19"/>
  <c r="X106" i="19"/>
  <c r="I83" i="71"/>
  <c r="AA105" i="19"/>
  <c r="Z105" i="19"/>
  <c r="Y105" i="19"/>
  <c r="X105" i="19"/>
  <c r="I143" i="71"/>
  <c r="AA104" i="19"/>
  <c r="Z104" i="19"/>
  <c r="Y104" i="19"/>
  <c r="X104" i="19"/>
  <c r="AA103" i="19"/>
  <c r="Z103" i="19"/>
  <c r="Y103" i="19"/>
  <c r="X103" i="19"/>
  <c r="I144" i="71"/>
  <c r="AA102" i="19"/>
  <c r="Z102" i="19"/>
  <c r="Y102" i="19"/>
  <c r="X102" i="19"/>
  <c r="AA101" i="19"/>
  <c r="Z101" i="19"/>
  <c r="Y101" i="19"/>
  <c r="X101" i="19"/>
  <c r="I198" i="71"/>
  <c r="AA100" i="19"/>
  <c r="Z100" i="19"/>
  <c r="Y100" i="19"/>
  <c r="X100" i="19"/>
  <c r="AA99" i="19"/>
  <c r="Z99" i="19"/>
  <c r="Y99" i="19"/>
  <c r="X99" i="19"/>
  <c r="I33" i="71"/>
  <c r="AA98" i="19"/>
  <c r="Z98" i="19"/>
  <c r="Y98" i="19"/>
  <c r="X98" i="19"/>
  <c r="I32" i="71"/>
  <c r="AA97" i="19"/>
  <c r="Z97" i="19"/>
  <c r="Y97" i="19"/>
  <c r="X97" i="19"/>
  <c r="I31" i="71"/>
  <c r="AA96" i="19"/>
  <c r="Z96" i="19"/>
  <c r="Y96" i="19"/>
  <c r="X96" i="19"/>
  <c r="I137" i="71"/>
  <c r="AA95" i="19"/>
  <c r="Z95" i="19"/>
  <c r="Y95" i="19"/>
  <c r="X95" i="19"/>
  <c r="I167" i="71"/>
  <c r="AA94" i="19"/>
  <c r="Z94" i="19"/>
  <c r="Y94" i="19"/>
  <c r="X94" i="19"/>
  <c r="AA93" i="19"/>
  <c r="Z93" i="19"/>
  <c r="Y93" i="19"/>
  <c r="X93" i="19"/>
  <c r="I135" i="71"/>
  <c r="AA92" i="19"/>
  <c r="Z92" i="19"/>
  <c r="Y92" i="19"/>
  <c r="X92" i="19"/>
  <c r="I73" i="71"/>
  <c r="AA91" i="19"/>
  <c r="Z91" i="19"/>
  <c r="Y91" i="19"/>
  <c r="X91" i="19"/>
  <c r="I46" i="71"/>
  <c r="AA90" i="19"/>
  <c r="Z90" i="19"/>
  <c r="Y90" i="19"/>
  <c r="X90" i="19"/>
  <c r="I130" i="71"/>
  <c r="AA89" i="19"/>
  <c r="Z89" i="19"/>
  <c r="Y89" i="19"/>
  <c r="X89" i="19"/>
  <c r="I129" i="71"/>
  <c r="AA88" i="19"/>
  <c r="Z88" i="19"/>
  <c r="Y88" i="19"/>
  <c r="X88" i="19"/>
  <c r="I128" i="71"/>
  <c r="AA87" i="19"/>
  <c r="Z87" i="19"/>
  <c r="Y87" i="19"/>
  <c r="X87" i="19"/>
  <c r="I107" i="71"/>
  <c r="AA86" i="19"/>
  <c r="Z86" i="19"/>
  <c r="Y86" i="19"/>
  <c r="X86" i="19"/>
  <c r="I163" i="71"/>
  <c r="AA85" i="19"/>
  <c r="Z85" i="19"/>
  <c r="Y85" i="19"/>
  <c r="X85" i="19"/>
  <c r="I30" i="71"/>
  <c r="AA84" i="19"/>
  <c r="Z84" i="19"/>
  <c r="Y84" i="19"/>
  <c r="X84" i="19"/>
  <c r="I125" i="71"/>
  <c r="AA83" i="19"/>
  <c r="Z83" i="19"/>
  <c r="Y83" i="19"/>
  <c r="X83" i="19"/>
  <c r="I124" i="71"/>
  <c r="AA82" i="19"/>
  <c r="Z82" i="19"/>
  <c r="Y82" i="19"/>
  <c r="X82" i="19"/>
  <c r="I34" i="71"/>
  <c r="AA81" i="19"/>
  <c r="Z81" i="19"/>
  <c r="Y81" i="19"/>
  <c r="X81" i="19"/>
  <c r="I123" i="71"/>
  <c r="AA80" i="19"/>
  <c r="Z80" i="19"/>
  <c r="Y80" i="19"/>
  <c r="X80" i="19"/>
  <c r="I197" i="71"/>
  <c r="AA79" i="19"/>
  <c r="Z79" i="19"/>
  <c r="Y79" i="19"/>
  <c r="X79" i="19"/>
  <c r="I71" i="71"/>
  <c r="AA78" i="19"/>
  <c r="Z78" i="19"/>
  <c r="Y78" i="19"/>
  <c r="X78" i="19"/>
  <c r="I121" i="71"/>
  <c r="AA77" i="19"/>
  <c r="Z77" i="19"/>
  <c r="Y77" i="19"/>
  <c r="X77" i="19"/>
  <c r="Z76" i="19"/>
  <c r="Y76" i="19"/>
  <c r="X76" i="19"/>
  <c r="I126" i="71"/>
  <c r="Z75" i="19"/>
  <c r="Y75" i="19"/>
  <c r="X75" i="19"/>
  <c r="I10" i="71"/>
  <c r="Z74" i="19"/>
  <c r="Y74" i="19"/>
  <c r="X74" i="19"/>
  <c r="I120" i="71"/>
  <c r="Z73" i="19"/>
  <c r="Y73" i="19"/>
  <c r="X73" i="19"/>
  <c r="I106" i="71"/>
  <c r="Z72" i="19"/>
  <c r="Y72" i="19"/>
  <c r="X72" i="19"/>
  <c r="I119" i="71"/>
  <c r="Y71" i="19"/>
  <c r="X71" i="19"/>
  <c r="I117" i="71"/>
  <c r="Y70" i="19"/>
  <c r="X70" i="19"/>
  <c r="I115" i="71"/>
  <c r="Y69" i="19"/>
  <c r="X69" i="19"/>
  <c r="I116" i="71"/>
  <c r="Y68" i="19"/>
  <c r="X68" i="19"/>
  <c r="I28" i="71"/>
  <c r="Y67" i="19"/>
  <c r="X67" i="19"/>
  <c r="I114" i="71"/>
  <c r="Y66" i="19"/>
  <c r="X66" i="19"/>
  <c r="Y65" i="19"/>
  <c r="X65" i="19"/>
  <c r="I112" i="71"/>
  <c r="Y64" i="19"/>
  <c r="X64" i="19"/>
  <c r="Y63" i="19"/>
  <c r="X63" i="19"/>
  <c r="I105" i="71"/>
  <c r="Y62" i="19"/>
  <c r="X62" i="19"/>
  <c r="I104" i="71"/>
  <c r="Y61" i="19"/>
  <c r="X61" i="19"/>
  <c r="I101" i="71"/>
  <c r="Y60" i="19"/>
  <c r="X60" i="19"/>
  <c r="I192" i="71"/>
  <c r="Y59" i="19"/>
  <c r="X59" i="19"/>
  <c r="I100" i="71"/>
  <c r="Y58" i="19"/>
  <c r="X58" i="19"/>
  <c r="I99" i="71"/>
  <c r="Y57" i="19"/>
  <c r="X57" i="19"/>
  <c r="I97" i="71"/>
  <c r="Y56" i="19"/>
  <c r="X56" i="19"/>
  <c r="I96" i="71"/>
  <c r="Y55" i="19"/>
  <c r="X55" i="19"/>
  <c r="I93" i="71"/>
  <c r="Y54" i="19"/>
  <c r="X54" i="19"/>
  <c r="I35" i="71"/>
  <c r="Y53" i="19"/>
  <c r="X53" i="19"/>
  <c r="I89" i="71"/>
  <c r="I88" i="71"/>
  <c r="Y51" i="19"/>
  <c r="X51" i="19"/>
  <c r="I84" i="71"/>
  <c r="Y50" i="19"/>
  <c r="X50" i="19"/>
  <c r="I111" i="71"/>
  <c r="Y49" i="19"/>
  <c r="X49" i="19"/>
  <c r="W49" i="19"/>
  <c r="I82" i="71"/>
  <c r="Y48" i="19"/>
  <c r="X48" i="19"/>
  <c r="W48" i="19"/>
  <c r="I166" i="71"/>
  <c r="Y47" i="19"/>
  <c r="X47" i="19"/>
  <c r="I80" i="71"/>
  <c r="Y46" i="19"/>
  <c r="X46" i="19"/>
  <c r="W46" i="19"/>
  <c r="V46" i="19"/>
  <c r="I37" i="71"/>
  <c r="Y45" i="19"/>
  <c r="X45" i="19"/>
  <c r="W45" i="19"/>
  <c r="V45" i="19"/>
  <c r="I27" i="71"/>
  <c r="Y44" i="19"/>
  <c r="X44" i="19"/>
  <c r="W44" i="19"/>
  <c r="V44" i="19"/>
  <c r="I79" i="71"/>
  <c r="Y43" i="19"/>
  <c r="X43" i="19"/>
  <c r="W43" i="19"/>
  <c r="V43" i="19"/>
  <c r="I69" i="71"/>
  <c r="Y42" i="19"/>
  <c r="X42" i="19"/>
  <c r="W42" i="19"/>
  <c r="V42" i="19"/>
  <c r="I170" i="71"/>
  <c r="Y41" i="19"/>
  <c r="X41" i="19"/>
  <c r="W41" i="19"/>
  <c r="V41" i="19"/>
  <c r="I18" i="71"/>
  <c r="Y40" i="19"/>
  <c r="X40" i="19"/>
  <c r="W40" i="19"/>
  <c r="V40" i="19"/>
  <c r="I67" i="71"/>
  <c r="Y39" i="19"/>
  <c r="X39" i="19"/>
  <c r="W39" i="19"/>
  <c r="V39" i="19"/>
  <c r="I16" i="71"/>
  <c r="Y38" i="19"/>
  <c r="X38" i="19"/>
  <c r="W38" i="19"/>
  <c r="V38" i="19"/>
  <c r="I66" i="71"/>
  <c r="Y37" i="19"/>
  <c r="X37" i="19"/>
  <c r="W37" i="19"/>
  <c r="V37" i="19"/>
  <c r="I65" i="71"/>
  <c r="Y36" i="19"/>
  <c r="X36" i="19"/>
  <c r="W36" i="19"/>
  <c r="V36" i="19"/>
  <c r="Y35" i="19"/>
  <c r="X35" i="19"/>
  <c r="W35" i="19"/>
  <c r="V35" i="19"/>
  <c r="I64" i="71"/>
  <c r="Y34" i="19"/>
  <c r="X34" i="19"/>
  <c r="W34" i="19"/>
  <c r="V34" i="19"/>
  <c r="I62" i="71"/>
  <c r="Y33" i="19"/>
  <c r="X33" i="19"/>
  <c r="W33" i="19"/>
  <c r="V33" i="19"/>
  <c r="I177" i="71"/>
  <c r="Y32" i="19"/>
  <c r="X32" i="19"/>
  <c r="W32" i="19"/>
  <c r="V32" i="19"/>
  <c r="I25" i="71"/>
  <c r="Y31" i="19"/>
  <c r="X31" i="19"/>
  <c r="W31" i="19"/>
  <c r="V31" i="19"/>
  <c r="I24" i="71"/>
  <c r="Y30" i="19"/>
  <c r="X30" i="19"/>
  <c r="W30" i="19"/>
  <c r="V30" i="19"/>
  <c r="I60" i="71"/>
  <c r="Y29" i="19"/>
  <c r="X29" i="19"/>
  <c r="W29" i="19"/>
  <c r="V29" i="19"/>
  <c r="I181" i="71"/>
  <c r="Y28" i="19"/>
  <c r="X28" i="19"/>
  <c r="W28" i="19"/>
  <c r="V28" i="19"/>
  <c r="I59" i="71"/>
  <c r="Y27" i="19"/>
  <c r="X27" i="19"/>
  <c r="W27" i="19"/>
  <c r="V27" i="19"/>
  <c r="I23" i="71"/>
  <c r="Y26" i="19"/>
  <c r="X26" i="19"/>
  <c r="W26" i="19"/>
  <c r="V26" i="19"/>
  <c r="I58" i="71"/>
  <c r="Y25" i="19"/>
  <c r="X25" i="19"/>
  <c r="W25" i="19"/>
  <c r="V25" i="19"/>
  <c r="I57" i="71"/>
  <c r="Y24" i="19"/>
  <c r="X24" i="19"/>
  <c r="W24" i="19"/>
  <c r="V24" i="19"/>
  <c r="I55" i="71"/>
  <c r="Y23" i="19"/>
  <c r="X23" i="19"/>
  <c r="W23" i="19"/>
  <c r="V23" i="19"/>
  <c r="I22" i="71"/>
  <c r="Y22" i="19"/>
  <c r="X22" i="19"/>
  <c r="W22" i="19"/>
  <c r="V22" i="19"/>
  <c r="I54" i="71"/>
  <c r="Y21" i="19"/>
  <c r="X21" i="19"/>
  <c r="W21" i="19"/>
  <c r="V21" i="19"/>
  <c r="I52" i="71"/>
  <c r="Y20" i="19"/>
  <c r="X20" i="19"/>
  <c r="W20" i="19"/>
  <c r="V20" i="19"/>
  <c r="I5" i="71"/>
  <c r="Y19" i="19"/>
  <c r="X19" i="19"/>
  <c r="W19" i="19"/>
  <c r="V19" i="19"/>
  <c r="I20" i="71"/>
  <c r="Y18" i="19"/>
  <c r="X18" i="19"/>
  <c r="W18" i="19"/>
  <c r="V18" i="19"/>
  <c r="I118" i="71"/>
  <c r="Y17" i="19"/>
  <c r="X17" i="19"/>
  <c r="W17" i="19"/>
  <c r="V17" i="19"/>
  <c r="I98" i="71"/>
  <c r="Y16" i="19"/>
  <c r="X16" i="19"/>
  <c r="W16" i="19"/>
  <c r="V16" i="19"/>
  <c r="I195" i="71"/>
  <c r="Y15" i="19"/>
  <c r="X15" i="19"/>
  <c r="W15" i="19"/>
  <c r="V15" i="19"/>
  <c r="Y14" i="19"/>
  <c r="X14" i="19"/>
  <c r="W14" i="19"/>
  <c r="V14" i="19"/>
  <c r="I194" i="71"/>
  <c r="Y13" i="19"/>
  <c r="X13" i="19"/>
  <c r="W13" i="19"/>
  <c r="V13" i="19"/>
  <c r="I48" i="71"/>
  <c r="Y12" i="19"/>
  <c r="X12" i="19"/>
  <c r="W12" i="19"/>
  <c r="V12" i="19"/>
  <c r="Y11" i="19"/>
  <c r="X11" i="19"/>
  <c r="W11" i="19"/>
  <c r="V11" i="19"/>
  <c r="I13" i="71"/>
  <c r="Y10" i="19"/>
  <c r="X10" i="19"/>
  <c r="W10" i="19"/>
  <c r="V10" i="19"/>
  <c r="I11" i="71"/>
  <c r="Y9" i="19"/>
  <c r="X9" i="19"/>
  <c r="W9" i="19"/>
  <c r="V9" i="19"/>
  <c r="I9" i="71"/>
  <c r="Y8" i="19"/>
  <c r="X8" i="19"/>
  <c r="W8" i="19"/>
  <c r="V8" i="19"/>
  <c r="I8" i="71"/>
  <c r="Y7" i="19"/>
  <c r="X7" i="19"/>
  <c r="W7" i="19"/>
  <c r="V7" i="19"/>
  <c r="I7" i="71"/>
  <c r="Y6" i="19"/>
  <c r="X6" i="19"/>
  <c r="W6" i="19"/>
  <c r="V6" i="19"/>
  <c r="I14" i="71"/>
  <c r="X5" i="19"/>
  <c r="W5" i="19"/>
  <c r="V5" i="19"/>
  <c r="I6" i="71"/>
  <c r="X4" i="19"/>
  <c r="W4" i="19"/>
  <c r="V4" i="19"/>
  <c r="U4" i="19"/>
  <c r="W3" i="19"/>
  <c r="V3" i="19"/>
  <c r="S54" i="71" l="1"/>
  <c r="O53" i="56"/>
  <c r="AX53" i="56" s="1"/>
  <c r="S129" i="71"/>
  <c r="O128" i="56"/>
  <c r="AX128" i="56" s="1"/>
  <c r="S23" i="71"/>
  <c r="O22" i="56"/>
  <c r="AX22" i="56" s="1"/>
  <c r="S47" i="71"/>
  <c r="O46" i="56"/>
  <c r="AX46" i="56" s="1"/>
  <c r="S155" i="71"/>
  <c r="O154" i="56"/>
  <c r="AX154" i="56" s="1"/>
  <c r="S33" i="71"/>
  <c r="O32" i="56"/>
  <c r="AX32" i="56" s="1"/>
  <c r="S6" i="71"/>
  <c r="O5" i="56"/>
  <c r="AX5" i="56" s="1"/>
  <c r="S114" i="71"/>
  <c r="O113" i="56"/>
  <c r="AX113" i="56" s="1"/>
  <c r="S170" i="71"/>
  <c r="O169" i="56"/>
  <c r="AX169" i="56" s="1"/>
  <c r="S171" i="71"/>
  <c r="O170" i="56"/>
  <c r="AX170" i="56" s="1"/>
  <c r="S8" i="71"/>
  <c r="O7" i="56"/>
  <c r="AX7" i="56" s="1"/>
  <c r="S48" i="71"/>
  <c r="O47" i="56"/>
  <c r="AX47" i="56" s="1"/>
  <c r="S118" i="71"/>
  <c r="O117" i="56"/>
  <c r="AX117" i="56" s="1"/>
  <c r="S60" i="71"/>
  <c r="O59" i="56"/>
  <c r="AX59" i="56" s="1"/>
  <c r="S80" i="71"/>
  <c r="O79" i="56"/>
  <c r="AX79" i="56" s="1"/>
  <c r="S93" i="71"/>
  <c r="O92" i="56"/>
  <c r="AX92" i="56" s="1"/>
  <c r="S100" i="71"/>
  <c r="O99" i="56"/>
  <c r="AX99" i="56" s="1"/>
  <c r="S105" i="71"/>
  <c r="O104" i="56"/>
  <c r="AX104" i="56" s="1"/>
  <c r="S30" i="71"/>
  <c r="O29" i="56"/>
  <c r="AX29" i="56" s="1"/>
  <c r="S143" i="71"/>
  <c r="O142" i="56"/>
  <c r="AX142" i="56" s="1"/>
  <c r="S148" i="71"/>
  <c r="O147" i="56"/>
  <c r="AX147" i="56" s="1"/>
  <c r="S78" i="71"/>
  <c r="O77" i="56"/>
  <c r="AX77" i="56" s="1"/>
  <c r="S186" i="71"/>
  <c r="O185" i="56"/>
  <c r="AX185" i="56" s="1"/>
  <c r="S206" i="71"/>
  <c r="O205" i="56"/>
  <c r="AX205" i="56" s="1"/>
  <c r="S94" i="71"/>
  <c r="O93" i="56"/>
  <c r="AX93" i="56" s="1"/>
  <c r="S17" i="71"/>
  <c r="O16" i="56"/>
  <c r="AX16" i="56" s="1"/>
  <c r="S86" i="71"/>
  <c r="O85" i="56"/>
  <c r="AX85" i="56" s="1"/>
  <c r="S185" i="71"/>
  <c r="O184" i="56"/>
  <c r="AX184" i="56" s="1"/>
  <c r="S104" i="71"/>
  <c r="O103" i="56"/>
  <c r="AX103" i="56" s="1"/>
  <c r="S182" i="71"/>
  <c r="O181" i="56"/>
  <c r="AX181" i="56" s="1"/>
  <c r="S201" i="71"/>
  <c r="O200" i="56"/>
  <c r="AX200" i="56" s="1"/>
  <c r="S157" i="71"/>
  <c r="O156" i="56"/>
  <c r="AX156" i="56" s="1"/>
  <c r="S64" i="71"/>
  <c r="O63" i="56"/>
  <c r="AX63" i="56" s="1"/>
  <c r="S28" i="71"/>
  <c r="O27" i="56"/>
  <c r="AX27" i="56" s="1"/>
  <c r="S121" i="71"/>
  <c r="O120" i="56"/>
  <c r="AX120" i="56" s="1"/>
  <c r="S130" i="71"/>
  <c r="O129" i="56"/>
  <c r="AX129" i="56" s="1"/>
  <c r="S156" i="71"/>
  <c r="O155" i="56"/>
  <c r="AX155" i="56" s="1"/>
  <c r="S158" i="71"/>
  <c r="O157" i="56"/>
  <c r="AX157" i="56" s="1"/>
  <c r="S36" i="71"/>
  <c r="O35" i="56"/>
  <c r="AX35" i="56" s="1"/>
  <c r="S205" i="71"/>
  <c r="O204" i="56"/>
  <c r="AX204" i="56" s="1"/>
  <c r="S168" i="71"/>
  <c r="O167" i="56"/>
  <c r="AX167" i="56" s="1"/>
  <c r="S196" i="71"/>
  <c r="O195" i="56"/>
  <c r="AX195" i="56" s="1"/>
  <c r="S61" i="71"/>
  <c r="O60" i="56"/>
  <c r="AX60" i="56" s="1"/>
  <c r="S49" i="71"/>
  <c r="O48" i="56"/>
  <c r="AX48" i="56" s="1"/>
  <c r="S178" i="71"/>
  <c r="O177" i="56"/>
  <c r="AX177" i="56" s="1"/>
  <c r="S161" i="71"/>
  <c r="O160" i="56"/>
  <c r="AX160" i="56" s="1"/>
  <c r="S162" i="71"/>
  <c r="O161" i="56"/>
  <c r="AX161" i="56" s="1"/>
  <c r="S34" i="71"/>
  <c r="O33" i="56"/>
  <c r="AX33" i="56" s="1"/>
  <c r="S15" i="71"/>
  <c r="O14" i="56"/>
  <c r="AX14" i="56" s="1"/>
  <c r="S25" i="71"/>
  <c r="O24" i="56"/>
  <c r="AX24" i="56" s="1"/>
  <c r="S117" i="71"/>
  <c r="O116" i="56"/>
  <c r="AX116" i="56" s="1"/>
  <c r="S81" i="71"/>
  <c r="O80" i="56"/>
  <c r="AX80" i="56" s="1"/>
  <c r="S197" i="71"/>
  <c r="O196" i="56"/>
  <c r="AX196" i="56" s="1"/>
  <c r="S85" i="71"/>
  <c r="O84" i="56"/>
  <c r="AX84" i="56" s="1"/>
  <c r="S22" i="71"/>
  <c r="O21" i="56"/>
  <c r="AX21" i="56" s="1"/>
  <c r="S67" i="71"/>
  <c r="O66" i="56"/>
  <c r="AX66" i="56" s="1"/>
  <c r="S119" i="71"/>
  <c r="O118" i="56"/>
  <c r="AX118" i="56" s="1"/>
  <c r="S10" i="71"/>
  <c r="O9" i="56"/>
  <c r="AX9" i="56" s="1"/>
  <c r="S167" i="71"/>
  <c r="O166" i="56"/>
  <c r="AX166" i="56" s="1"/>
  <c r="S14" i="71"/>
  <c r="O13" i="56"/>
  <c r="AX13" i="56" s="1"/>
  <c r="S195" i="71"/>
  <c r="O194" i="56"/>
  <c r="AX194" i="56" s="1"/>
  <c r="S59" i="71"/>
  <c r="O58" i="56"/>
  <c r="AX58" i="56" s="1"/>
  <c r="S27" i="71"/>
  <c r="O26" i="56"/>
  <c r="AX26" i="56" s="1"/>
  <c r="S84" i="71"/>
  <c r="O83" i="56"/>
  <c r="AX83" i="56" s="1"/>
  <c r="S124" i="71"/>
  <c r="O123" i="56"/>
  <c r="AX123" i="56" s="1"/>
  <c r="S164" i="71"/>
  <c r="O163" i="56"/>
  <c r="AX163" i="56" s="1"/>
  <c r="S165" i="71"/>
  <c r="O164" i="56"/>
  <c r="AX164" i="56" s="1"/>
  <c r="S75" i="71"/>
  <c r="O74" i="56"/>
  <c r="AX74" i="56" s="1"/>
  <c r="S19" i="71"/>
  <c r="O18" i="56"/>
  <c r="AX18" i="56" s="1"/>
  <c r="S145" i="71"/>
  <c r="O144" i="56"/>
  <c r="AX144" i="56" s="1"/>
  <c r="S160" i="71"/>
  <c r="O159" i="56"/>
  <c r="AX159" i="56" s="1"/>
  <c r="S127" i="71"/>
  <c r="O126" i="56"/>
  <c r="AX126" i="56" s="1"/>
  <c r="S176" i="71"/>
  <c r="O175" i="56"/>
  <c r="AX175" i="56" s="1"/>
  <c r="S79" i="71"/>
  <c r="O78" i="56"/>
  <c r="AX78" i="56" s="1"/>
  <c r="S5" i="71"/>
  <c r="O4" i="56"/>
  <c r="AX4" i="56" s="1"/>
  <c r="S107" i="71"/>
  <c r="O106" i="56"/>
  <c r="AX106" i="56" s="1"/>
  <c r="S57" i="71"/>
  <c r="O56" i="56"/>
  <c r="AX56" i="56" s="1"/>
  <c r="S73" i="71"/>
  <c r="O72" i="56"/>
  <c r="AX72" i="56" s="1"/>
  <c r="S166" i="71"/>
  <c r="O165" i="56"/>
  <c r="AX165" i="56" s="1"/>
  <c r="S96" i="71"/>
  <c r="O95" i="56"/>
  <c r="AX95" i="56" s="1"/>
  <c r="S192" i="71"/>
  <c r="O191" i="56"/>
  <c r="AX191" i="56" s="1"/>
  <c r="S128" i="71"/>
  <c r="O127" i="56"/>
  <c r="AX127" i="56" s="1"/>
  <c r="S144" i="71"/>
  <c r="O143" i="56"/>
  <c r="AX143" i="56" s="1"/>
  <c r="S154" i="71"/>
  <c r="O153" i="56"/>
  <c r="AX153" i="56" s="1"/>
  <c r="S151" i="71"/>
  <c r="O150" i="56"/>
  <c r="AX150" i="56" s="1"/>
  <c r="S159" i="71"/>
  <c r="O158" i="56"/>
  <c r="AX158" i="56" s="1"/>
  <c r="S169" i="71"/>
  <c r="O168" i="56"/>
  <c r="AX168" i="56" s="1"/>
  <c r="S188" i="71"/>
  <c r="O187" i="56"/>
  <c r="AX187" i="56" s="1"/>
  <c r="S122" i="71"/>
  <c r="O121" i="56"/>
  <c r="AX121" i="56" s="1"/>
  <c r="S12" i="71"/>
  <c r="O11" i="56"/>
  <c r="AX11" i="56" s="1"/>
  <c r="S202" i="71"/>
  <c r="O201" i="56"/>
  <c r="AX201" i="56" s="1"/>
  <c r="S41" i="71"/>
  <c r="O40" i="56"/>
  <c r="AX40" i="56" s="1"/>
  <c r="S99" i="71"/>
  <c r="O98" i="56"/>
  <c r="AX98" i="56" s="1"/>
  <c r="S92" i="71"/>
  <c r="O91" i="56"/>
  <c r="AX91" i="56" s="1"/>
  <c r="S76" i="71"/>
  <c r="O75" i="56"/>
  <c r="AX75" i="56" s="1"/>
  <c r="S40" i="71"/>
  <c r="O39" i="56"/>
  <c r="AX39" i="56" s="1"/>
  <c r="S66" i="71"/>
  <c r="O65" i="56"/>
  <c r="AX65" i="56" s="1"/>
  <c r="S58" i="71"/>
  <c r="O57" i="56"/>
  <c r="AX57" i="56" s="1"/>
  <c r="S69" i="71"/>
  <c r="O68" i="56"/>
  <c r="AX68" i="56" s="1"/>
  <c r="S116" i="71"/>
  <c r="O115" i="56"/>
  <c r="AX115" i="56" s="1"/>
  <c r="S123" i="71"/>
  <c r="O122" i="56"/>
  <c r="AX122" i="56" s="1"/>
  <c r="S135" i="71"/>
  <c r="O134" i="56"/>
  <c r="AX134" i="56" s="1"/>
  <c r="S32" i="71"/>
  <c r="O31" i="56"/>
  <c r="AX31" i="56" s="1"/>
  <c r="S42" i="71"/>
  <c r="O41" i="56"/>
  <c r="AX41" i="56" s="1"/>
  <c r="S173" i="71"/>
  <c r="O172" i="56"/>
  <c r="AX172" i="56" s="1"/>
  <c r="S180" i="71"/>
  <c r="O179" i="56"/>
  <c r="AX179" i="56" s="1"/>
  <c r="S172" i="71"/>
  <c r="O171" i="56"/>
  <c r="AX171" i="56" s="1"/>
  <c r="S29" i="71"/>
  <c r="O28" i="56"/>
  <c r="AX28" i="56" s="1"/>
  <c r="S190" i="71"/>
  <c r="O189" i="56"/>
  <c r="AX189" i="56" s="1"/>
  <c r="S90" i="71"/>
  <c r="O89" i="56"/>
  <c r="AX89" i="56" s="1"/>
  <c r="S189" i="71"/>
  <c r="O188" i="56"/>
  <c r="AX188" i="56" s="1"/>
  <c r="S120" i="71"/>
  <c r="O119" i="56"/>
  <c r="AX119" i="56" s="1"/>
  <c r="S149" i="71"/>
  <c r="O148" i="56"/>
  <c r="AX148" i="56" s="1"/>
  <c r="S146" i="71"/>
  <c r="O145" i="56"/>
  <c r="AX145" i="56" s="1"/>
  <c r="S31" i="71"/>
  <c r="O30" i="56"/>
  <c r="AX30" i="56" s="1"/>
  <c r="S177" i="71"/>
  <c r="O176" i="56"/>
  <c r="AX176" i="56" s="1"/>
  <c r="S20" i="71"/>
  <c r="O19" i="56"/>
  <c r="AX19" i="56" s="1"/>
  <c r="S88" i="71"/>
  <c r="O87" i="56"/>
  <c r="AX87" i="56" s="1"/>
  <c r="S112" i="71"/>
  <c r="O111" i="56"/>
  <c r="AX111" i="56" s="1"/>
  <c r="S106" i="71"/>
  <c r="O105" i="56"/>
  <c r="AX105" i="56" s="1"/>
  <c r="S126" i="71"/>
  <c r="O125" i="56"/>
  <c r="AX125" i="56" s="1"/>
  <c r="S163" i="71"/>
  <c r="O162" i="56"/>
  <c r="AX162" i="56" s="1"/>
  <c r="S83" i="71"/>
  <c r="O82" i="56"/>
  <c r="AX82" i="56" s="1"/>
  <c r="S43" i="71"/>
  <c r="O42" i="56"/>
  <c r="AX42" i="56" s="1"/>
  <c r="S193" i="71"/>
  <c r="O192" i="56"/>
  <c r="AX192" i="56" s="1"/>
  <c r="S44" i="71"/>
  <c r="O43" i="56"/>
  <c r="AX43" i="56" s="1"/>
  <c r="S207" i="71"/>
  <c r="O206" i="56"/>
  <c r="AX206" i="56" s="1"/>
  <c r="S51" i="71"/>
  <c r="O50" i="56"/>
  <c r="AX50" i="56" s="1"/>
  <c r="S187" i="71"/>
  <c r="O186" i="56"/>
  <c r="AX186" i="56" s="1"/>
  <c r="S95" i="71"/>
  <c r="O94" i="56"/>
  <c r="AX94" i="56" s="1"/>
  <c r="S134" i="71"/>
  <c r="O133" i="56"/>
  <c r="AX133" i="56" s="1"/>
  <c r="S200" i="71"/>
  <c r="O199" i="56"/>
  <c r="AX199" i="56" s="1"/>
  <c r="S62" i="71"/>
  <c r="O61" i="56"/>
  <c r="AX61" i="56" s="1"/>
  <c r="S150" i="71"/>
  <c r="O149" i="56"/>
  <c r="AX149" i="56" s="1"/>
  <c r="S175" i="71"/>
  <c r="O174" i="56"/>
  <c r="AX174" i="56" s="1"/>
  <c r="S179" i="71"/>
  <c r="O178" i="56"/>
  <c r="AX178" i="56" s="1"/>
  <c r="S132" i="71"/>
  <c r="O131" i="56"/>
  <c r="AX131" i="56" s="1"/>
  <c r="S52" i="71"/>
  <c r="O51" i="56"/>
  <c r="AX51" i="56" s="1"/>
  <c r="S9" i="71"/>
  <c r="O8" i="56"/>
  <c r="AX8" i="56" s="1"/>
  <c r="S55" i="71"/>
  <c r="O54" i="56"/>
  <c r="AX54" i="56" s="1"/>
  <c r="S97" i="71"/>
  <c r="O96" i="56"/>
  <c r="AX96" i="56" s="1"/>
  <c r="S71" i="71"/>
  <c r="O70" i="56"/>
  <c r="AX70" i="56" s="1"/>
  <c r="S46" i="71"/>
  <c r="O45" i="56"/>
  <c r="AX45" i="56" s="1"/>
  <c r="S137" i="71"/>
  <c r="O136" i="56"/>
  <c r="AX136" i="56" s="1"/>
  <c r="S198" i="71"/>
  <c r="O197" i="56"/>
  <c r="AX197" i="56" s="1"/>
  <c r="S26" i="71"/>
  <c r="O25" i="56"/>
  <c r="AX25" i="56" s="1"/>
  <c r="S39" i="71"/>
  <c r="O38" i="56"/>
  <c r="AX38" i="56" s="1"/>
  <c r="S199" i="71"/>
  <c r="O198" i="56"/>
  <c r="AX198" i="56" s="1"/>
  <c r="S191" i="71"/>
  <c r="O190" i="56"/>
  <c r="AX190" i="56" s="1"/>
  <c r="S45" i="71"/>
  <c r="O44" i="56"/>
  <c r="AX44" i="56" s="1"/>
  <c r="S16" i="71"/>
  <c r="O15" i="56"/>
  <c r="AX15" i="56" s="1"/>
  <c r="S131" i="71"/>
  <c r="O130" i="56"/>
  <c r="AX130" i="56" s="1"/>
  <c r="S142" i="71"/>
  <c r="O141" i="56"/>
  <c r="AX141" i="56" s="1"/>
  <c r="S35" i="71"/>
  <c r="O34" i="56"/>
  <c r="AX34" i="56" s="1"/>
  <c r="S203" i="71"/>
  <c r="O202" i="56"/>
  <c r="AX202" i="56" s="1"/>
  <c r="S11" i="71"/>
  <c r="O10" i="56"/>
  <c r="AX10" i="56" s="1"/>
  <c r="S65" i="71"/>
  <c r="O64" i="56"/>
  <c r="AX64" i="56" s="1"/>
  <c r="S153" i="71"/>
  <c r="O152" i="56"/>
  <c r="AX152" i="56" s="1"/>
  <c r="S208" i="71"/>
  <c r="O207" i="56"/>
  <c r="AX207" i="56" s="1"/>
  <c r="S111" i="71"/>
  <c r="O110" i="56"/>
  <c r="AX110" i="56" s="1"/>
  <c r="S87" i="71"/>
  <c r="O86" i="56"/>
  <c r="AX86" i="56" s="1"/>
  <c r="S13" i="71"/>
  <c r="O12" i="56"/>
  <c r="AX12" i="56" s="1"/>
  <c r="S194" i="71"/>
  <c r="O193" i="56"/>
  <c r="AX193" i="56" s="1"/>
  <c r="S24" i="71"/>
  <c r="O23" i="56"/>
  <c r="AX23" i="56" s="1"/>
  <c r="S18" i="71"/>
  <c r="O17" i="56"/>
  <c r="AX17" i="56" s="1"/>
  <c r="S89" i="71"/>
  <c r="O88" i="56"/>
  <c r="AX88" i="56" s="1"/>
  <c r="S101" i="71"/>
  <c r="O100" i="56"/>
  <c r="AX100" i="56" s="1"/>
  <c r="S7" i="71"/>
  <c r="O6" i="56"/>
  <c r="AX6" i="56" s="1"/>
  <c r="S98" i="71"/>
  <c r="O97" i="56"/>
  <c r="AX97" i="56" s="1"/>
  <c r="S181" i="71"/>
  <c r="O180" i="56"/>
  <c r="AX180" i="56" s="1"/>
  <c r="S37" i="71"/>
  <c r="O36" i="56"/>
  <c r="AX36" i="56" s="1"/>
  <c r="S82" i="71"/>
  <c r="O81" i="56"/>
  <c r="AX81" i="56" s="1"/>
  <c r="S115" i="71"/>
  <c r="O114" i="56"/>
  <c r="AX114" i="56" s="1"/>
  <c r="S125" i="71"/>
  <c r="O124" i="56"/>
  <c r="AX124" i="56" s="1"/>
  <c r="S147" i="71"/>
  <c r="O146" i="56"/>
  <c r="AX146" i="56" s="1"/>
  <c r="S77" i="71"/>
  <c r="O76" i="56"/>
  <c r="AX76" i="56" s="1"/>
  <c r="S183" i="71"/>
  <c r="O182" i="56"/>
  <c r="AX182" i="56" s="1"/>
  <c r="S204" i="71"/>
  <c r="O203" i="56"/>
  <c r="AX203" i="56" s="1"/>
  <c r="S38" i="71"/>
  <c r="O37" i="56"/>
  <c r="AX37" i="56" s="1"/>
  <c r="S103" i="71"/>
  <c r="O102" i="56"/>
  <c r="AX102" i="56" s="1"/>
  <c r="S152" i="71"/>
  <c r="O151" i="56"/>
  <c r="AX151" i="56" s="1"/>
  <c r="AW178" i="71"/>
  <c r="AW127" i="71"/>
  <c r="O126" i="66"/>
  <c r="O31" i="66"/>
  <c r="O87" i="66"/>
  <c r="O44" i="66"/>
  <c r="AW183" i="71"/>
  <c r="O102" i="66"/>
  <c r="O117" i="66"/>
  <c r="O5" i="66"/>
  <c r="O11" i="66"/>
  <c r="I50" i="71"/>
  <c r="I5" i="72"/>
  <c r="O27" i="66"/>
  <c r="O38" i="66"/>
  <c r="O41" i="66"/>
  <c r="O14" i="66"/>
  <c r="O48" i="66"/>
  <c r="O18" i="66"/>
  <c r="O52" i="66"/>
  <c r="O56" i="66"/>
  <c r="O60" i="66"/>
  <c r="O77" i="66"/>
  <c r="O82" i="66"/>
  <c r="O91" i="66"/>
  <c r="O96" i="66"/>
  <c r="O9" i="66"/>
  <c r="O72" i="66"/>
  <c r="O118" i="66"/>
  <c r="O193" i="66"/>
  <c r="O100" i="66"/>
  <c r="O154" i="66"/>
  <c r="O156" i="66"/>
  <c r="O113" i="66"/>
  <c r="I17" i="72"/>
  <c r="I136" i="71"/>
  <c r="O123" i="66"/>
  <c r="I19" i="72"/>
  <c r="I140" i="71"/>
  <c r="O59" i="66"/>
  <c r="O141" i="66"/>
  <c r="O140" i="66"/>
  <c r="O147" i="66"/>
  <c r="O153" i="66"/>
  <c r="O170" i="66"/>
  <c r="O174" i="66"/>
  <c r="O17" i="66"/>
  <c r="O181" i="66"/>
  <c r="O188" i="66"/>
  <c r="O192" i="66"/>
  <c r="O167" i="66"/>
  <c r="O206" i="66"/>
  <c r="O175" i="66"/>
  <c r="O29" i="66"/>
  <c r="O146" i="66"/>
  <c r="O160" i="66"/>
  <c r="O28" i="66"/>
  <c r="O110" i="66"/>
  <c r="O129" i="66"/>
  <c r="O177" i="66"/>
  <c r="O144" i="66"/>
  <c r="O12" i="66"/>
  <c r="O10" i="66"/>
  <c r="O21" i="66"/>
  <c r="O97" i="66"/>
  <c r="O37" i="66"/>
  <c r="O161" i="66"/>
  <c r="O43" i="66"/>
  <c r="O162" i="66"/>
  <c r="O50" i="66"/>
  <c r="O163" i="66"/>
  <c r="O55" i="66"/>
  <c r="O88" i="66"/>
  <c r="O15" i="66"/>
  <c r="O76" i="66"/>
  <c r="O81" i="66"/>
  <c r="I113" i="71"/>
  <c r="I16" i="72"/>
  <c r="O92" i="66"/>
  <c r="O165" i="66"/>
  <c r="O150" i="66"/>
  <c r="I10" i="72"/>
  <c r="I72" i="71"/>
  <c r="O22" i="66"/>
  <c r="O3" i="66"/>
  <c r="O105" i="66"/>
  <c r="O119" i="66"/>
  <c r="O122" i="66"/>
  <c r="O197" i="66"/>
  <c r="O130" i="66"/>
  <c r="O135" i="66"/>
  <c r="O114" i="66"/>
  <c r="O151" i="66"/>
  <c r="O169" i="66"/>
  <c r="O36" i="66"/>
  <c r="O179" i="66"/>
  <c r="O16" i="66"/>
  <c r="O185" i="66"/>
  <c r="O191" i="66"/>
  <c r="O61" i="66"/>
  <c r="O203" i="66"/>
  <c r="O103" i="66"/>
  <c r="O164" i="66"/>
  <c r="O198" i="66"/>
  <c r="O186" i="66"/>
  <c r="O19" i="66"/>
  <c r="O189" i="66"/>
  <c r="O4" i="66"/>
  <c r="O7" i="66"/>
  <c r="O75" i="66"/>
  <c r="O30" i="66"/>
  <c r="O40" i="66"/>
  <c r="O176" i="66"/>
  <c r="O25" i="66"/>
  <c r="O54" i="66"/>
  <c r="O58" i="66"/>
  <c r="O65" i="66"/>
  <c r="O74" i="66"/>
  <c r="O78" i="66"/>
  <c r="O89" i="66"/>
  <c r="O95" i="66"/>
  <c r="O83" i="66"/>
  <c r="O80" i="66"/>
  <c r="I21" i="71"/>
  <c r="O20" i="56" s="1"/>
  <c r="AX20" i="56" s="1"/>
  <c r="I4" i="72"/>
  <c r="O104" i="66"/>
  <c r="O111" i="66"/>
  <c r="O115" i="66"/>
  <c r="O121" i="66"/>
  <c r="I141" i="71"/>
  <c r="I20" i="72"/>
  <c r="I21" i="72"/>
  <c r="I174" i="71"/>
  <c r="O116" i="66"/>
  <c r="O133" i="66"/>
  <c r="O143" i="66"/>
  <c r="O200" i="66"/>
  <c r="O168" i="66"/>
  <c r="O159" i="66"/>
  <c r="O178" i="66"/>
  <c r="O180" i="66"/>
  <c r="O184" i="66"/>
  <c r="O35" i="66"/>
  <c r="O194" i="66"/>
  <c r="O202" i="66"/>
  <c r="I8" i="72"/>
  <c r="I68" i="71"/>
  <c r="O45" i="66"/>
  <c r="O8" i="66"/>
  <c r="O26" i="66"/>
  <c r="I15" i="72"/>
  <c r="I109" i="71"/>
  <c r="O63" i="66"/>
  <c r="O199" i="66"/>
  <c r="I18" i="72"/>
  <c r="I138" i="71"/>
  <c r="O66" i="66"/>
  <c r="I102" i="71"/>
  <c r="I13" i="72"/>
  <c r="I184" i="71"/>
  <c r="O6" i="66"/>
  <c r="I9" i="72"/>
  <c r="I70" i="71"/>
  <c r="O24" i="66"/>
  <c r="O173" i="66"/>
  <c r="O39" i="66"/>
  <c r="O42" i="66"/>
  <c r="O46" i="66"/>
  <c r="I63" i="71"/>
  <c r="I6" i="72"/>
  <c r="O51" i="66"/>
  <c r="O53" i="66"/>
  <c r="O57" i="66"/>
  <c r="O64" i="66"/>
  <c r="O195" i="66"/>
  <c r="I108" i="71"/>
  <c r="I14" i="72"/>
  <c r="O93" i="66"/>
  <c r="O98" i="66"/>
  <c r="O109" i="66"/>
  <c r="O152" i="66"/>
  <c r="O68" i="66"/>
  <c r="O142" i="66"/>
  <c r="O106" i="66"/>
  <c r="O84" i="66"/>
  <c r="O204" i="66"/>
  <c r="O99" i="66"/>
  <c r="O124" i="66"/>
  <c r="O131" i="66"/>
  <c r="O132" i="66"/>
  <c r="O137" i="66"/>
  <c r="O157" i="66"/>
  <c r="O145" i="66"/>
  <c r="I74" i="71"/>
  <c r="I11" i="72"/>
  <c r="O158" i="66"/>
  <c r="O196" i="66"/>
  <c r="O205" i="66"/>
  <c r="O183" i="66"/>
  <c r="O190" i="66"/>
  <c r="O148" i="66"/>
  <c r="O201" i="66"/>
  <c r="O70" i="66"/>
  <c r="O155" i="66"/>
  <c r="O94" i="66"/>
  <c r="O187" i="66"/>
  <c r="S10" i="72" l="1"/>
  <c r="Q217" i="56"/>
  <c r="S14" i="72"/>
  <c r="Q221" i="56"/>
  <c r="S16" i="72"/>
  <c r="Q223" i="56"/>
  <c r="S11" i="72"/>
  <c r="Q218" i="56"/>
  <c r="S13" i="72"/>
  <c r="Q220" i="56"/>
  <c r="S15" i="72"/>
  <c r="Q222" i="56"/>
  <c r="S9" i="72"/>
  <c r="Q216" i="56"/>
  <c r="S4" i="72"/>
  <c r="Q211" i="56"/>
  <c r="S6" i="72"/>
  <c r="Q213" i="56"/>
  <c r="S8" i="72"/>
  <c r="Q215" i="56"/>
  <c r="S19" i="72"/>
  <c r="Q226" i="56"/>
  <c r="S5" i="72"/>
  <c r="Q212" i="56"/>
  <c r="S21" i="72"/>
  <c r="Q228" i="56"/>
  <c r="S18" i="72"/>
  <c r="Q225" i="56"/>
  <c r="S20" i="72"/>
  <c r="Q227" i="56"/>
  <c r="S17" i="72"/>
  <c r="Q224" i="56"/>
  <c r="S108" i="71"/>
  <c r="O107" i="56"/>
  <c r="AX107" i="56" s="1"/>
  <c r="S70" i="71"/>
  <c r="O69" i="56"/>
  <c r="AX69" i="56" s="1"/>
  <c r="S113" i="71"/>
  <c r="O112" i="56"/>
  <c r="AX112" i="56" s="1"/>
  <c r="S184" i="71"/>
  <c r="O183" i="56"/>
  <c r="AX183" i="56" s="1"/>
  <c r="S68" i="71"/>
  <c r="O67" i="56"/>
  <c r="AX67" i="56" s="1"/>
  <c r="S140" i="71"/>
  <c r="O139" i="56"/>
  <c r="AX139" i="56" s="1"/>
  <c r="S109" i="71"/>
  <c r="O108" i="56"/>
  <c r="AX108" i="56" s="1"/>
  <c r="S74" i="71"/>
  <c r="O73" i="56"/>
  <c r="AX73" i="56" s="1"/>
  <c r="S102" i="71"/>
  <c r="O101" i="56"/>
  <c r="AX101" i="56" s="1"/>
  <c r="S63" i="71"/>
  <c r="O62" i="56"/>
  <c r="AX62" i="56" s="1"/>
  <c r="S174" i="71"/>
  <c r="O173" i="56"/>
  <c r="AX173" i="56" s="1"/>
  <c r="S141" i="71"/>
  <c r="O140" i="56"/>
  <c r="AX140" i="56" s="1"/>
  <c r="S138" i="71"/>
  <c r="O137" i="56"/>
  <c r="AX137" i="56" s="1"/>
  <c r="S136" i="71"/>
  <c r="O135" i="56"/>
  <c r="AX135" i="56" s="1"/>
  <c r="S50" i="71"/>
  <c r="O49" i="56"/>
  <c r="AX49" i="56" s="1"/>
  <c r="S72" i="71"/>
  <c r="O71" i="56"/>
  <c r="AX71" i="56" s="1"/>
  <c r="S21" i="71"/>
  <c r="E37" i="52"/>
  <c r="O172" i="66"/>
  <c r="O138" i="66"/>
  <c r="O73" i="66"/>
  <c r="O136" i="66"/>
  <c r="O49" i="66"/>
  <c r="O71" i="66"/>
  <c r="O69" i="66"/>
  <c r="T90" i="68"/>
  <c r="T219" i="67"/>
  <c r="T90" i="67"/>
  <c r="BN20" i="72"/>
  <c r="CE20" i="72"/>
  <c r="BN16" i="72"/>
  <c r="CE16" i="72"/>
  <c r="BN10" i="72"/>
  <c r="CE10" i="72"/>
  <c r="BN17" i="72"/>
  <c r="CE17" i="72"/>
  <c r="BN13" i="72"/>
  <c r="CE13" i="72"/>
  <c r="BN11" i="72"/>
  <c r="CE11" i="72"/>
  <c r="BN6" i="72"/>
  <c r="CE6" i="72"/>
  <c r="BN8" i="72"/>
  <c r="CE8" i="72"/>
  <c r="CE4" i="72"/>
  <c r="BN4" i="72"/>
  <c r="O134" i="66"/>
  <c r="O62" i="66"/>
  <c r="BN21" i="72"/>
  <c r="CE21" i="72"/>
  <c r="BN15" i="72"/>
  <c r="CE15" i="72"/>
  <c r="BN14" i="72"/>
  <c r="CE14" i="72"/>
  <c r="BN18" i="72"/>
  <c r="CE18" i="72"/>
  <c r="BN19" i="72"/>
  <c r="CE19" i="72"/>
  <c r="BN5" i="72"/>
  <c r="CE5" i="72"/>
  <c r="BN9" i="72"/>
  <c r="CE9" i="72"/>
  <c r="O139" i="66"/>
  <c r="AW102" i="71"/>
  <c r="O101" i="66"/>
  <c r="AW21" i="72"/>
  <c r="O20" i="66"/>
  <c r="O108" i="66"/>
  <c r="AW14" i="72"/>
  <c r="AW15" i="72"/>
  <c r="AW20" i="72"/>
  <c r="Q216" i="66"/>
  <c r="AW5" i="72"/>
  <c r="AW9" i="72"/>
  <c r="O67" i="66"/>
  <c r="AW10" i="72"/>
  <c r="AW19" i="72"/>
  <c r="AW11" i="72"/>
  <c r="AW6" i="72"/>
  <c r="AW18" i="72"/>
  <c r="AW8" i="72"/>
  <c r="AW16" i="72"/>
  <c r="O107" i="66"/>
  <c r="AW13" i="72"/>
  <c r="O182" i="66"/>
  <c r="O112" i="66"/>
  <c r="AW17" i="72"/>
  <c r="Q227" i="66"/>
  <c r="AW4" i="72"/>
  <c r="L5" i="77"/>
  <c r="M5" i="77" s="1"/>
  <c r="R226" i="66"/>
  <c r="E193" i="47"/>
  <c r="E182" i="52"/>
  <c r="E236" i="52"/>
  <c r="R212" i="66"/>
  <c r="R221" i="66"/>
  <c r="P5" i="66"/>
  <c r="P13" i="66"/>
  <c r="P21" i="66"/>
  <c r="P29" i="66"/>
  <c r="P37" i="66"/>
  <c r="P45" i="66"/>
  <c r="P53" i="66"/>
  <c r="P61" i="66"/>
  <c r="P69" i="66"/>
  <c r="P77" i="66"/>
  <c r="P85" i="66"/>
  <c r="P93" i="66"/>
  <c r="P101" i="66"/>
  <c r="P109" i="66"/>
  <c r="P117" i="66"/>
  <c r="P125" i="66"/>
  <c r="P133" i="66"/>
  <c r="P141" i="66"/>
  <c r="P149" i="66"/>
  <c r="P157" i="66"/>
  <c r="P165" i="66"/>
  <c r="P173" i="66"/>
  <c r="P181" i="66"/>
  <c r="P189" i="66"/>
  <c r="P197" i="66"/>
  <c r="P205" i="66"/>
  <c r="R213" i="66"/>
  <c r="R222" i="66"/>
  <c r="P6" i="66"/>
  <c r="P14" i="66"/>
  <c r="P22" i="66"/>
  <c r="P30" i="66"/>
  <c r="P38" i="66"/>
  <c r="P46" i="66"/>
  <c r="P54" i="66"/>
  <c r="P62" i="66"/>
  <c r="P70" i="66"/>
  <c r="P78" i="66"/>
  <c r="P86" i="66"/>
  <c r="P94" i="66"/>
  <c r="P102" i="66"/>
  <c r="P110" i="66"/>
  <c r="P118" i="66"/>
  <c r="P126" i="66"/>
  <c r="P134" i="66"/>
  <c r="P142" i="66"/>
  <c r="P150" i="66"/>
  <c r="P158" i="66"/>
  <c r="P166" i="66"/>
  <c r="P174" i="66"/>
  <c r="P182" i="66"/>
  <c r="P190" i="66"/>
  <c r="P198" i="66"/>
  <c r="P206" i="66"/>
  <c r="R215" i="66"/>
  <c r="R223" i="66"/>
  <c r="P7" i="66"/>
  <c r="P15" i="66"/>
  <c r="P23" i="66"/>
  <c r="P31" i="66"/>
  <c r="P39" i="66"/>
  <c r="P47" i="66"/>
  <c r="P55" i="66"/>
  <c r="P63" i="66"/>
  <c r="P71" i="66"/>
  <c r="P79" i="66"/>
  <c r="P87" i="66"/>
  <c r="P95" i="66"/>
  <c r="P103" i="66"/>
  <c r="P111" i="66"/>
  <c r="P119" i="66"/>
  <c r="P127" i="66"/>
  <c r="P135" i="66"/>
  <c r="P143" i="66"/>
  <c r="P151" i="66"/>
  <c r="P159" i="66"/>
  <c r="P167" i="66"/>
  <c r="P175" i="66"/>
  <c r="P183" i="66"/>
  <c r="P191" i="66"/>
  <c r="P199" i="66"/>
  <c r="R216" i="66"/>
  <c r="R224" i="66"/>
  <c r="P8" i="66"/>
  <c r="P16" i="66"/>
  <c r="P24" i="66"/>
  <c r="P32" i="66"/>
  <c r="P40" i="66"/>
  <c r="P48" i="66"/>
  <c r="P56" i="66"/>
  <c r="P64" i="66"/>
  <c r="P72" i="66"/>
  <c r="P80" i="66"/>
  <c r="P88" i="66"/>
  <c r="P96" i="66"/>
  <c r="P104" i="66"/>
  <c r="P112" i="66"/>
  <c r="P120" i="66"/>
  <c r="P128" i="66"/>
  <c r="P136" i="66"/>
  <c r="P144" i="66"/>
  <c r="P152" i="66"/>
  <c r="P160" i="66"/>
  <c r="P168" i="66"/>
  <c r="P176" i="66"/>
  <c r="P184" i="66"/>
  <c r="P192" i="66"/>
  <c r="P200" i="66"/>
  <c r="R217" i="66"/>
  <c r="R225" i="66"/>
  <c r="P9" i="66"/>
  <c r="P17" i="66"/>
  <c r="P25" i="66"/>
  <c r="P33" i="66"/>
  <c r="P41" i="66"/>
  <c r="P49" i="66"/>
  <c r="P57" i="66"/>
  <c r="P65" i="66"/>
  <c r="P73" i="66"/>
  <c r="P81" i="66"/>
  <c r="P89" i="66"/>
  <c r="P97" i="66"/>
  <c r="P105" i="66"/>
  <c r="P113" i="66"/>
  <c r="P121" i="66"/>
  <c r="P129" i="66"/>
  <c r="P137" i="66"/>
  <c r="P145" i="66"/>
  <c r="P153" i="66"/>
  <c r="P161" i="66"/>
  <c r="P169" i="66"/>
  <c r="P177" i="66"/>
  <c r="P185" i="66"/>
  <c r="P193" i="66"/>
  <c r="P201" i="66"/>
  <c r="P3" i="66"/>
  <c r="R218" i="66"/>
  <c r="R214" i="66"/>
  <c r="P10" i="66"/>
  <c r="P18" i="66"/>
  <c r="P26" i="66"/>
  <c r="P34" i="66"/>
  <c r="P42" i="66"/>
  <c r="P50" i="66"/>
  <c r="P58" i="66"/>
  <c r="P66" i="66"/>
  <c r="P74" i="66"/>
  <c r="P82" i="66"/>
  <c r="P90" i="66"/>
  <c r="P98" i="66"/>
  <c r="P106" i="66"/>
  <c r="P114" i="66"/>
  <c r="P122" i="66"/>
  <c r="P130" i="66"/>
  <c r="P138" i="66"/>
  <c r="P146" i="66"/>
  <c r="P154" i="66"/>
  <c r="P162" i="66"/>
  <c r="P170" i="66"/>
  <c r="P178" i="66"/>
  <c r="P186" i="66"/>
  <c r="P194" i="66"/>
  <c r="P202" i="66"/>
  <c r="R219" i="66"/>
  <c r="R210" i="66"/>
  <c r="P11" i="66"/>
  <c r="P19" i="66"/>
  <c r="P27" i="66"/>
  <c r="P35" i="66"/>
  <c r="P43" i="66"/>
  <c r="P51" i="66"/>
  <c r="P59" i="66"/>
  <c r="P67" i="66"/>
  <c r="P75" i="66"/>
  <c r="P83" i="66"/>
  <c r="P91" i="66"/>
  <c r="P99" i="66"/>
  <c r="P107" i="66"/>
  <c r="P115" i="66"/>
  <c r="P123" i="66"/>
  <c r="P131" i="66"/>
  <c r="P139" i="66"/>
  <c r="P147" i="66"/>
  <c r="P155" i="66"/>
  <c r="P163" i="66"/>
  <c r="P171" i="66"/>
  <c r="P179" i="66"/>
  <c r="P187" i="66"/>
  <c r="P195" i="66"/>
  <c r="P203" i="66"/>
  <c r="R211" i="66"/>
  <c r="R220" i="66"/>
  <c r="P4" i="66"/>
  <c r="P12" i="66"/>
  <c r="P20" i="66"/>
  <c r="P28" i="66"/>
  <c r="P36" i="66"/>
  <c r="P44" i="66"/>
  <c r="P52" i="66"/>
  <c r="P60" i="66"/>
  <c r="P68" i="66"/>
  <c r="P76" i="66"/>
  <c r="P84" i="66"/>
  <c r="P92" i="66"/>
  <c r="P100" i="66"/>
  <c r="P108" i="66"/>
  <c r="P116" i="66"/>
  <c r="P124" i="66"/>
  <c r="P132" i="66"/>
  <c r="P140" i="66"/>
  <c r="P148" i="66"/>
  <c r="P156" i="66"/>
  <c r="P164" i="66"/>
  <c r="P172" i="66"/>
  <c r="P180" i="66"/>
  <c r="P188" i="66"/>
  <c r="P196" i="66"/>
  <c r="P204" i="66"/>
  <c r="Q217" i="66"/>
  <c r="O79" i="66"/>
  <c r="O166" i="66"/>
  <c r="O149" i="66"/>
  <c r="Q224" i="66"/>
  <c r="Q215" i="66"/>
  <c r="O47" i="66"/>
  <c r="Q213" i="66"/>
  <c r="O33" i="66"/>
  <c r="O171" i="66"/>
  <c r="Q225" i="66"/>
  <c r="O125" i="66"/>
  <c r="Q226" i="66"/>
  <c r="Q219" i="66"/>
  <c r="O86" i="66"/>
  <c r="U54" i="16"/>
  <c r="AF18" i="72"/>
  <c r="AP225" i="56" s="1"/>
  <c r="AQ225" i="56" s="1"/>
  <c r="H225" i="56" s="1"/>
  <c r="BC18" i="72"/>
  <c r="BT18" i="72"/>
  <c r="CK18" i="72"/>
  <c r="BC5" i="72"/>
  <c r="BC4" i="72"/>
  <c r="BC13" i="72"/>
  <c r="BC9" i="72"/>
  <c r="BC11" i="72"/>
  <c r="AF8" i="72"/>
  <c r="AP215" i="56" s="1"/>
  <c r="AQ215" i="56" s="1"/>
  <c r="H215" i="56" s="1"/>
  <c r="BT51" i="71"/>
  <c r="BT179" i="71"/>
  <c r="BT132" i="71"/>
  <c r="BC25" i="71"/>
  <c r="BC142" i="71"/>
  <c r="BC96" i="71"/>
  <c r="BC57" i="71"/>
  <c r="AF15" i="72"/>
  <c r="AP222" i="56" s="1"/>
  <c r="AQ222" i="56" s="1"/>
  <c r="H222" i="56" s="1"/>
  <c r="BC208" i="71"/>
  <c r="BT39" i="71"/>
  <c r="BC166" i="71"/>
  <c r="AF16" i="72"/>
  <c r="AP223" i="56" s="1"/>
  <c r="AQ223" i="56" s="1"/>
  <c r="H223" i="56" s="1"/>
  <c r="BC21" i="71"/>
  <c r="BC191" i="71"/>
  <c r="BC151" i="71"/>
  <c r="BC137" i="71"/>
  <c r="BT166" i="71"/>
  <c r="BT5" i="72"/>
  <c r="BC207" i="71"/>
  <c r="BT144" i="71"/>
  <c r="BC169" i="71"/>
  <c r="BT103" i="71"/>
  <c r="BT191" i="71"/>
  <c r="BT151" i="71"/>
  <c r="BT123" i="71"/>
  <c r="BC94" i="71"/>
  <c r="BC107" i="71"/>
  <c r="BT50" i="71"/>
  <c r="BC38" i="71"/>
  <c r="BT115" i="71"/>
  <c r="BC37" i="71"/>
  <c r="BC194" i="71"/>
  <c r="BT98" i="71"/>
  <c r="BC198" i="71"/>
  <c r="BC116" i="71"/>
  <c r="AF21" i="72"/>
  <c r="AP228" i="56" s="1"/>
  <c r="AQ228" i="56" s="1"/>
  <c r="H228" i="56" s="1"/>
  <c r="BT31" i="71"/>
  <c r="BC86" i="71"/>
  <c r="BT19" i="71"/>
  <c r="BC59" i="71"/>
  <c r="BT138" i="71"/>
  <c r="BC185" i="71"/>
  <c r="BT146" i="71"/>
  <c r="AF19" i="72"/>
  <c r="AP226" i="56" s="1"/>
  <c r="AQ226" i="56" s="1"/>
  <c r="H226" i="56" s="1"/>
  <c r="BC202" i="71"/>
  <c r="BC32" i="71"/>
  <c r="BT113" i="71"/>
  <c r="BC118" i="71"/>
  <c r="BC179" i="71"/>
  <c r="BC67" i="71"/>
  <c r="BT168" i="71"/>
  <c r="BT7" i="71"/>
  <c r="BC143" i="71"/>
  <c r="CK8" i="72"/>
  <c r="BT12" i="71"/>
  <c r="BC180" i="71"/>
  <c r="BC115" i="71"/>
  <c r="BC66" i="71"/>
  <c r="BT14" i="71"/>
  <c r="BC40" i="71"/>
  <c r="BT198" i="71"/>
  <c r="BC101" i="71"/>
  <c r="BT48" i="71"/>
  <c r="BC9" i="71"/>
  <c r="BT86" i="71"/>
  <c r="BC199" i="71"/>
  <c r="BC147" i="71"/>
  <c r="AF6" i="72"/>
  <c r="AP213" i="56" s="1"/>
  <c r="AQ213" i="56" s="1"/>
  <c r="H213" i="56" s="1"/>
  <c r="BT202" i="71"/>
  <c r="BC130" i="71"/>
  <c r="BC111" i="71"/>
  <c r="BT118" i="71"/>
  <c r="BC39" i="71"/>
  <c r="BT67" i="71"/>
  <c r="BC182" i="71"/>
  <c r="BT71" i="71"/>
  <c r="BT13" i="72"/>
  <c r="BT143" i="71"/>
  <c r="BT127" i="71"/>
  <c r="BC12" i="71"/>
  <c r="BC78" i="71"/>
  <c r="BT104" i="71"/>
  <c r="BT60" i="71"/>
  <c r="BC14" i="71"/>
  <c r="BT102" i="71"/>
  <c r="BT40" i="71"/>
  <c r="BT101" i="71"/>
  <c r="BC91" i="71"/>
  <c r="BT9" i="71"/>
  <c r="BT109" i="71"/>
  <c r="BT147" i="71"/>
  <c r="BC126" i="71"/>
  <c r="BT171" i="71"/>
  <c r="BT124" i="71"/>
  <c r="BT20" i="71"/>
  <c r="BT45" i="71"/>
  <c r="BC172" i="71"/>
  <c r="BT130" i="71"/>
  <c r="BT111" i="71"/>
  <c r="BC11" i="71"/>
  <c r="BC193" i="71"/>
  <c r="CK13" i="72"/>
  <c r="BC156" i="71"/>
  <c r="BT35" i="71"/>
  <c r="AF5" i="72"/>
  <c r="AP212" i="56" s="1"/>
  <c r="AQ212" i="56" s="1"/>
  <c r="H212" i="56" s="1"/>
  <c r="BC87" i="71"/>
  <c r="BC135" i="71"/>
  <c r="BC6" i="71"/>
  <c r="BT91" i="71"/>
  <c r="BT152" i="71"/>
  <c r="BC15" i="71"/>
  <c r="BC165" i="71"/>
  <c r="BT126" i="71"/>
  <c r="BC203" i="71"/>
  <c r="BT10" i="71"/>
  <c r="BT131" i="71"/>
  <c r="BT178" i="71"/>
  <c r="BT172" i="71"/>
  <c r="BT170" i="71"/>
  <c r="BT11" i="71"/>
  <c r="BT142" i="71"/>
  <c r="BC132" i="71"/>
  <c r="BT36" i="71"/>
  <c r="BC112" i="71"/>
  <c r="BC127" i="71"/>
  <c r="BT189" i="71"/>
  <c r="BC140" i="71"/>
  <c r="BC60" i="71"/>
  <c r="AF13" i="72"/>
  <c r="AP220" i="56" s="1"/>
  <c r="AQ220" i="56" s="1"/>
  <c r="H220" i="56" s="1"/>
  <c r="BT87" i="71"/>
  <c r="BT159" i="71"/>
  <c r="BT135" i="71"/>
  <c r="BC27" i="71"/>
  <c r="BT6" i="71"/>
  <c r="BT15" i="71"/>
  <c r="BT165" i="71"/>
  <c r="BC154" i="71"/>
  <c r="BC192" i="71"/>
  <c r="BT19" i="72"/>
  <c r="BC129" i="71"/>
  <c r="AF9" i="72"/>
  <c r="AP216" i="56" s="1"/>
  <c r="AQ216" i="56" s="1"/>
  <c r="H216" i="56" s="1"/>
  <c r="BT13" i="71"/>
  <c r="BT17" i="72"/>
  <c r="BC106" i="71"/>
  <c r="BC62" i="71"/>
  <c r="BC174" i="71"/>
  <c r="BT14" i="72"/>
  <c r="BC153" i="71"/>
  <c r="BT105" i="71"/>
  <c r="AF14" i="72"/>
  <c r="AP221" i="56" s="1"/>
  <c r="AQ221" i="56" s="1"/>
  <c r="H221" i="56" s="1"/>
  <c r="BT112" i="71"/>
  <c r="BC134" i="71"/>
  <c r="BC35" i="71"/>
  <c r="BT54" i="71"/>
  <c r="BC72" i="71"/>
  <c r="BT148" i="71"/>
  <c r="BT27" i="71"/>
  <c r="CK20" i="72"/>
  <c r="BC122" i="71"/>
  <c r="BC139" i="71"/>
  <c r="BC68" i="71"/>
  <c r="BC88" i="71"/>
  <c r="AF20" i="72"/>
  <c r="AP227" i="56" s="1"/>
  <c r="AQ227" i="56" s="1"/>
  <c r="H227" i="56" s="1"/>
  <c r="BT129" i="71"/>
  <c r="BT90" i="71"/>
  <c r="BT100" i="71"/>
  <c r="CK17" i="72"/>
  <c r="BC18" i="71"/>
  <c r="BC190" i="71"/>
  <c r="BT186" i="71"/>
  <c r="BT120" i="71"/>
  <c r="BT62" i="71"/>
  <c r="AF17" i="72"/>
  <c r="AP224" i="56" s="1"/>
  <c r="AQ224" i="56" s="1"/>
  <c r="H224" i="56" s="1"/>
  <c r="BC51" i="71"/>
  <c r="BC85" i="71"/>
  <c r="BT26" i="71"/>
  <c r="BC49" i="71"/>
  <c r="BC110" i="71"/>
  <c r="BC189" i="71"/>
  <c r="BT37" i="71"/>
  <c r="BT42" i="71"/>
  <c r="BT72" i="71"/>
  <c r="BC30" i="71"/>
  <c r="BC65" i="71"/>
  <c r="CK11" i="72"/>
  <c r="BT122" i="71"/>
  <c r="BT15" i="72"/>
  <c r="BT139" i="71"/>
  <c r="BT68" i="71"/>
  <c r="BC201" i="71"/>
  <c r="BC73" i="71"/>
  <c r="BC79" i="71"/>
  <c r="AF11" i="72"/>
  <c r="AP218" i="56" s="1"/>
  <c r="AQ218" i="56" s="1"/>
  <c r="H218" i="56" s="1"/>
  <c r="BT53" i="71"/>
  <c r="BT74" i="71"/>
  <c r="BT10" i="72"/>
  <c r="BT18" i="71"/>
  <c r="BC95" i="71"/>
  <c r="BT41" i="71"/>
  <c r="AF10" i="72"/>
  <c r="AP217" i="56" s="1"/>
  <c r="AQ217" i="56" s="1"/>
  <c r="H217" i="56" s="1"/>
  <c r="BT61" i="71"/>
  <c r="BC119" i="71"/>
  <c r="BC123" i="71"/>
  <c r="BC160" i="71"/>
  <c r="BC167" i="71"/>
  <c r="BT16" i="71"/>
  <c r="BC183" i="71"/>
  <c r="BT180" i="71"/>
  <c r="BT121" i="71"/>
  <c r="BC54" i="71"/>
  <c r="BC98" i="71"/>
  <c r="BC4" i="71"/>
  <c r="BC52" i="71"/>
  <c r="BT11" i="72"/>
  <c r="BC19" i="71"/>
  <c r="BT201" i="71"/>
  <c r="BT73" i="71"/>
  <c r="BT63" i="71"/>
  <c r="BC138" i="71"/>
  <c r="BT97" i="71"/>
  <c r="BC92" i="71"/>
  <c r="BT164" i="71"/>
  <c r="BC69" i="71"/>
  <c r="CK10" i="72"/>
  <c r="BT149" i="71"/>
  <c r="BC113" i="71"/>
  <c r="BT58" i="71"/>
  <c r="BC53" i="71"/>
  <c r="BT188" i="71"/>
  <c r="BC187" i="71"/>
  <c r="BT77" i="71"/>
  <c r="BC81" i="71"/>
  <c r="BT187" i="71"/>
  <c r="BT169" i="71"/>
  <c r="BC144" i="71"/>
  <c r="BC84" i="71"/>
  <c r="BT23" i="71"/>
  <c r="BC124" i="71"/>
  <c r="CK12" i="72"/>
  <c r="BC24" i="71"/>
  <c r="BT158" i="71"/>
  <c r="CK6" i="72"/>
  <c r="BC186" i="71"/>
  <c r="BC42" i="71"/>
  <c r="BC108" i="71"/>
  <c r="BC141" i="71"/>
  <c r="BC5" i="71"/>
  <c r="BT150" i="71"/>
  <c r="BC146" i="71"/>
  <c r="BC99" i="71"/>
  <c r="BC19" i="72"/>
  <c r="BC173" i="71"/>
  <c r="BT88" i="71"/>
  <c r="BT70" i="71"/>
  <c r="BC36" i="71"/>
  <c r="BC206" i="71"/>
  <c r="BT66" i="71"/>
  <c r="BT125" i="71"/>
  <c r="CK9" i="72"/>
  <c r="BT145" i="71"/>
  <c r="BT44" i="71"/>
  <c r="BT176" i="71"/>
  <c r="BC148" i="71"/>
  <c r="BC145" i="71"/>
  <c r="BT32" i="71"/>
  <c r="BT93" i="71"/>
  <c r="BT8" i="71"/>
  <c r="BC33" i="71"/>
  <c r="BC89" i="71"/>
  <c r="BT21" i="72"/>
  <c r="BT46" i="71"/>
  <c r="BT24" i="71"/>
  <c r="BC6" i="72"/>
  <c r="BT110" i="71"/>
  <c r="BT140" i="71"/>
  <c r="BT33" i="71"/>
  <c r="BC163" i="71"/>
  <c r="BC158" i="71"/>
  <c r="BT5" i="71"/>
  <c r="BT163" i="71"/>
  <c r="BC21" i="72"/>
  <c r="BC136" i="71"/>
  <c r="BT82" i="71"/>
  <c r="BT6" i="72"/>
  <c r="BT174" i="71"/>
  <c r="BC97" i="71"/>
  <c r="BC16" i="72"/>
  <c r="BT167" i="71"/>
  <c r="BC10" i="71"/>
  <c r="BT153" i="71"/>
  <c r="BT95" i="71"/>
  <c r="BC171" i="71"/>
  <c r="BT157" i="71"/>
  <c r="BT190" i="71"/>
  <c r="BT83" i="71"/>
  <c r="BC170" i="71"/>
  <c r="CK14" i="72"/>
  <c r="BC83" i="71"/>
  <c r="BC80" i="71"/>
  <c r="BT4" i="72"/>
  <c r="BT177" i="71"/>
  <c r="BT203" i="71"/>
  <c r="BC20" i="72"/>
  <c r="BT141" i="71"/>
  <c r="BC63" i="71"/>
  <c r="BC12" i="72"/>
  <c r="BT205" i="71"/>
  <c r="BT197" i="71"/>
  <c r="BT25" i="71"/>
  <c r="CK21" i="72"/>
  <c r="BC205" i="71"/>
  <c r="CK4" i="71"/>
  <c r="BT59" i="71"/>
  <c r="BC20" i="71"/>
  <c r="BC28" i="71"/>
  <c r="CK16" i="72"/>
  <c r="BT65" i="71"/>
  <c r="BT20" i="72"/>
  <c r="BT78" i="71"/>
  <c r="BT8" i="72"/>
  <c r="BT9" i="72"/>
  <c r="BT43" i="71"/>
  <c r="BC150" i="71"/>
  <c r="BC109" i="71"/>
  <c r="BT134" i="71"/>
  <c r="BC45" i="71"/>
  <c r="BC161" i="71"/>
  <c r="BC204" i="71"/>
  <c r="BC34" i="71"/>
  <c r="BT89" i="71"/>
  <c r="BC14" i="72"/>
  <c r="BT199" i="71"/>
  <c r="BT196" i="71"/>
  <c r="BC197" i="71"/>
  <c r="BC29" i="71"/>
  <c r="BT49" i="71"/>
  <c r="BC46" i="71"/>
  <c r="BC64" i="71"/>
  <c r="BT183" i="71"/>
  <c r="BT136" i="71"/>
  <c r="BC16" i="71"/>
  <c r="BC159" i="71"/>
  <c r="CK4" i="72"/>
  <c r="BC131" i="71"/>
  <c r="BT4" i="71"/>
  <c r="BC55" i="71"/>
  <c r="BC175" i="71"/>
  <c r="BT99" i="71"/>
  <c r="BC10" i="72"/>
  <c r="BT155" i="71"/>
  <c r="BC120" i="71"/>
  <c r="BT194" i="71"/>
  <c r="BT156" i="71"/>
  <c r="BC149" i="71"/>
  <c r="BT182" i="71"/>
  <c r="BT47" i="71"/>
  <c r="BT92" i="71"/>
  <c r="BT81" i="71"/>
  <c r="BC17" i="71"/>
  <c r="BC125" i="71"/>
  <c r="BT80" i="71"/>
  <c r="CK5" i="72"/>
  <c r="BC76" i="71"/>
  <c r="BT106" i="71"/>
  <c r="BC90" i="71"/>
  <c r="BC184" i="71"/>
  <c r="BT114" i="71"/>
  <c r="BT30" i="71"/>
  <c r="BT116" i="71"/>
  <c r="BC177" i="71"/>
  <c r="BC50" i="71"/>
  <c r="BT192" i="71"/>
  <c r="BT79" i="71"/>
  <c r="BT119" i="71"/>
  <c r="BT55" i="71"/>
  <c r="BT175" i="71"/>
  <c r="BC117" i="71"/>
  <c r="BT52" i="71"/>
  <c r="BT34" i="71"/>
  <c r="BC82" i="71"/>
  <c r="BC13" i="71"/>
  <c r="BC31" i="71"/>
  <c r="BC48" i="71"/>
  <c r="BT193" i="71"/>
  <c r="BC58" i="71"/>
  <c r="CK15" i="72"/>
  <c r="BT38" i="71"/>
  <c r="BC176" i="71"/>
  <c r="BT128" i="71"/>
  <c r="BT64" i="71"/>
  <c r="BC41" i="71"/>
  <c r="BC128" i="71"/>
  <c r="BT57" i="71"/>
  <c r="BC74" i="71"/>
  <c r="BC100" i="71"/>
  <c r="BT22" i="71"/>
  <c r="BT107" i="71"/>
  <c r="BC121" i="71"/>
  <c r="BC188" i="71"/>
  <c r="BT185" i="71"/>
  <c r="BT96" i="71"/>
  <c r="BC44" i="71"/>
  <c r="BC93" i="71"/>
  <c r="BC70" i="71"/>
  <c r="BT200" i="71"/>
  <c r="BC164" i="71"/>
  <c r="BC178" i="71"/>
  <c r="BC61" i="71"/>
  <c r="BC104" i="71"/>
  <c r="BC17" i="72"/>
  <c r="BT208" i="71"/>
  <c r="BC75" i="71"/>
  <c r="BC157" i="71"/>
  <c r="BC47" i="71"/>
  <c r="BT204" i="71"/>
  <c r="BC114" i="71"/>
  <c r="BC26" i="71"/>
  <c r="BT181" i="71"/>
  <c r="BC43" i="71"/>
  <c r="BC22" i="71"/>
  <c r="BT94" i="71"/>
  <c r="BT75" i="71"/>
  <c r="BC181" i="71"/>
  <c r="BC7" i="71"/>
  <c r="BT161" i="71"/>
  <c r="BT195" i="71"/>
  <c r="BT207" i="71"/>
  <c r="BC8" i="72"/>
  <c r="BT137" i="71"/>
  <c r="BT21" i="71"/>
  <c r="BC102" i="71"/>
  <c r="BC155" i="71"/>
  <c r="BT162" i="71"/>
  <c r="BC103" i="71"/>
  <c r="BT17" i="71"/>
  <c r="BT85" i="71"/>
  <c r="BT76" i="71"/>
  <c r="BT29" i="71"/>
  <c r="BT173" i="71"/>
  <c r="BC8" i="71"/>
  <c r="BC196" i="71"/>
  <c r="BT69" i="71"/>
  <c r="BC23" i="71"/>
  <c r="BC168" i="71"/>
  <c r="BT84" i="71"/>
  <c r="BT16" i="72"/>
  <c r="BC200" i="71"/>
  <c r="BT108" i="71"/>
  <c r="BT12" i="72"/>
  <c r="BC77" i="71"/>
  <c r="BC195" i="71"/>
  <c r="BC71" i="71"/>
  <c r="BT154" i="71"/>
  <c r="BT184" i="71"/>
  <c r="BT117" i="71"/>
  <c r="BT28" i="71"/>
  <c r="CK19" i="72"/>
  <c r="BC105" i="71"/>
  <c r="BC162" i="71"/>
  <c r="BT206" i="71"/>
  <c r="BC15" i="72"/>
  <c r="BT160" i="71"/>
  <c r="BC152" i="71"/>
  <c r="T66" i="16"/>
  <c r="T201" i="16"/>
  <c r="T188" i="16"/>
  <c r="T94" i="16"/>
  <c r="T15" i="16"/>
  <c r="T63" i="16"/>
  <c r="T126" i="16"/>
  <c r="T9" i="16"/>
  <c r="T134" i="16"/>
  <c r="T208" i="16"/>
  <c r="T117" i="16"/>
  <c r="T185" i="16"/>
  <c r="T159" i="16"/>
  <c r="T146" i="16"/>
  <c r="T56" i="16"/>
  <c r="T154" i="16"/>
  <c r="T194" i="16"/>
  <c r="T172" i="16"/>
  <c r="T84" i="16"/>
  <c r="T11" i="16"/>
  <c r="T114" i="16"/>
  <c r="T127" i="16"/>
  <c r="T193" i="16"/>
  <c r="T179" i="16"/>
  <c r="T92" i="16"/>
  <c r="T17" i="16"/>
  <c r="T67" i="16"/>
  <c r="T64" i="16"/>
  <c r="T168" i="16"/>
  <c r="T158" i="16"/>
  <c r="T145" i="16"/>
  <c r="T43" i="16"/>
  <c r="T6" i="16"/>
  <c r="T191" i="16"/>
  <c r="T102" i="16"/>
  <c r="T89" i="16"/>
  <c r="T178" i="16"/>
  <c r="T18" i="16"/>
  <c r="T149" i="16"/>
  <c r="T137" i="16"/>
  <c r="T115" i="16"/>
  <c r="T207" i="16"/>
  <c r="T196" i="16"/>
  <c r="T181" i="16"/>
  <c r="T26" i="16"/>
  <c r="T81" i="16"/>
  <c r="T147" i="16"/>
  <c r="T93" i="16"/>
  <c r="T4" i="16"/>
  <c r="T72" i="16"/>
  <c r="T57" i="16"/>
  <c r="T32" i="16"/>
  <c r="T22" i="16"/>
  <c r="T123" i="16"/>
  <c r="T132" i="16"/>
  <c r="T198" i="16"/>
  <c r="T36" i="16"/>
  <c r="T150" i="16"/>
  <c r="T138" i="16"/>
  <c r="T130" i="16"/>
  <c r="T122" i="16"/>
  <c r="T192" i="16"/>
  <c r="T195" i="16"/>
  <c r="T180" i="16"/>
  <c r="T155" i="16"/>
  <c r="T142" i="16"/>
  <c r="T49" i="16"/>
  <c r="T141" i="16"/>
  <c r="T109" i="16"/>
  <c r="T169" i="16"/>
  <c r="T80" i="16"/>
  <c r="T68" i="16"/>
  <c r="T105" i="16"/>
  <c r="T113" i="16"/>
  <c r="T77" i="16"/>
  <c r="T48" i="16"/>
  <c r="T90" i="16"/>
  <c r="T153" i="16"/>
  <c r="T10" i="16"/>
  <c r="T34" i="16"/>
  <c r="T131" i="16"/>
  <c r="T111" i="16"/>
  <c r="T31" i="16"/>
  <c r="T19" i="16"/>
  <c r="T173" i="16"/>
  <c r="T82" i="16"/>
  <c r="T69" i="16"/>
  <c r="T199" i="16"/>
  <c r="T186" i="16"/>
  <c r="T125" i="16"/>
  <c r="T38" i="16"/>
  <c r="T177" i="16"/>
  <c r="T167" i="16"/>
  <c r="T156" i="16"/>
  <c r="T65" i="16"/>
  <c r="T46" i="16"/>
  <c r="T47" i="16"/>
  <c r="T86" i="16"/>
  <c r="T139" i="16"/>
  <c r="T59" i="16"/>
  <c r="T101" i="16"/>
  <c r="T39" i="16"/>
  <c r="T103" i="16"/>
  <c r="T70" i="16"/>
  <c r="T58" i="16"/>
  <c r="T204" i="16"/>
  <c r="T128" i="16"/>
  <c r="T25" i="16"/>
  <c r="T124" i="16"/>
  <c r="T190" i="16"/>
  <c r="T176" i="16"/>
  <c r="T21" i="16"/>
  <c r="T151" i="16"/>
  <c r="T140" i="16"/>
  <c r="T107" i="16"/>
  <c r="T51" i="16"/>
  <c r="T35" i="16"/>
  <c r="T166" i="16"/>
  <c r="T16" i="16"/>
  <c r="T202" i="16"/>
  <c r="T33" i="16"/>
  <c r="T119" i="16"/>
  <c r="T108" i="16"/>
  <c r="T99" i="16"/>
  <c r="T74" i="16"/>
  <c r="T73" i="16"/>
  <c r="T205" i="16"/>
  <c r="T164" i="16"/>
  <c r="T13" i="16"/>
  <c r="T8" i="16"/>
  <c r="T20" i="16"/>
  <c r="T42" i="16"/>
  <c r="T187" i="16"/>
  <c r="T96" i="16"/>
  <c r="T160" i="16"/>
  <c r="T170" i="16"/>
  <c r="T78" i="16"/>
  <c r="T143" i="16"/>
  <c r="T98" i="16"/>
  <c r="T175" i="16"/>
  <c r="T120" i="16"/>
  <c r="T110" i="16"/>
  <c r="T100" i="16"/>
  <c r="T87" i="16"/>
  <c r="T76" i="16"/>
  <c r="T61" i="16"/>
  <c r="T174" i="16"/>
  <c r="T60" i="16"/>
  <c r="T184" i="16"/>
  <c r="T162" i="16"/>
  <c r="T203" i="16"/>
  <c r="T37" i="16"/>
  <c r="T97" i="16"/>
  <c r="T144" i="16"/>
  <c r="T112" i="16"/>
  <c r="T40" i="16"/>
  <c r="T23" i="16"/>
  <c r="T121" i="16"/>
  <c r="T129" i="16"/>
  <c r="T44" i="16"/>
  <c r="T189" i="16"/>
  <c r="T85" i="16"/>
  <c r="T12" i="16"/>
  <c r="T7" i="16"/>
  <c r="T27" i="16"/>
  <c r="T45" i="16"/>
  <c r="T30" i="16"/>
  <c r="T165" i="16"/>
  <c r="T75" i="16"/>
  <c r="T41" i="16"/>
  <c r="T50" i="16"/>
  <c r="T116" i="16"/>
  <c r="T104" i="16"/>
  <c r="T28" i="16"/>
  <c r="T83" i="16"/>
  <c r="T171" i="16"/>
  <c r="T161" i="16"/>
  <c r="T71" i="16"/>
  <c r="T5" i="16"/>
  <c r="T14" i="16"/>
  <c r="T197" i="16"/>
  <c r="T183" i="16"/>
  <c r="T24" i="16"/>
  <c r="T157" i="16"/>
  <c r="T182" i="16"/>
  <c r="T88" i="16"/>
  <c r="T152" i="16"/>
  <c r="T62" i="16"/>
  <c r="T79" i="16"/>
  <c r="T200" i="16"/>
  <c r="T52" i="16"/>
  <c r="T118" i="16"/>
  <c r="T106" i="16"/>
  <c r="T95" i="16"/>
  <c r="T163" i="16"/>
  <c r="T148" i="16"/>
  <c r="T136" i="16"/>
  <c r="T29" i="16"/>
  <c r="T135" i="16"/>
  <c r="T91" i="16"/>
  <c r="T133" i="16"/>
  <c r="O128" i="66"/>
  <c r="Q223" i="66"/>
  <c r="Q218" i="66"/>
  <c r="O85" i="66"/>
  <c r="O32" i="66"/>
  <c r="Q212" i="66"/>
  <c r="Q210" i="66"/>
  <c r="O13" i="66"/>
  <c r="O23" i="66"/>
  <c r="Q211" i="66"/>
  <c r="Q220" i="66"/>
  <c r="O90" i="66"/>
  <c r="O120" i="66"/>
  <c r="Q221" i="66"/>
  <c r="O34" i="66"/>
  <c r="Q214" i="66"/>
  <c r="Q222" i="66"/>
  <c r="O127" i="66"/>
  <c r="Z133" i="71" l="1"/>
  <c r="AO133" i="71" s="1"/>
  <c r="L145" i="74" s="1"/>
  <c r="K225" i="78"/>
  <c r="L225" i="78" s="1"/>
  <c r="AV222" i="56"/>
  <c r="AW222" i="56" s="1"/>
  <c r="BA222" i="56" s="1"/>
  <c r="AZ222" i="56"/>
  <c r="AV220" i="56"/>
  <c r="AW220" i="56" s="1"/>
  <c r="BA220" i="56" s="1"/>
  <c r="AZ220" i="56"/>
  <c r="AV224" i="56"/>
  <c r="AW224" i="56" s="1"/>
  <c r="BA224" i="56" s="1"/>
  <c r="AZ224" i="56"/>
  <c r="AZ215" i="56"/>
  <c r="AV215" i="56"/>
  <c r="AW215" i="56" s="1"/>
  <c r="BA215" i="56" s="1"/>
  <c r="AV212" i="56"/>
  <c r="AW212" i="56" s="1"/>
  <c r="BA212" i="56" s="1"/>
  <c r="AZ212" i="56"/>
  <c r="AZ218" i="56"/>
  <c r="AV218" i="56"/>
  <c r="AW218" i="56" s="1"/>
  <c r="BA218" i="56" s="1"/>
  <c r="AV227" i="56"/>
  <c r="AW227" i="56" s="1"/>
  <c r="BA227" i="56" s="1"/>
  <c r="AZ227" i="56"/>
  <c r="AV213" i="56"/>
  <c r="AW213" i="56" s="1"/>
  <c r="BA213" i="56" s="1"/>
  <c r="AZ213" i="56"/>
  <c r="AV223" i="56"/>
  <c r="AW223" i="56" s="1"/>
  <c r="BA223" i="56" s="1"/>
  <c r="AZ223" i="56"/>
  <c r="AV226" i="56"/>
  <c r="AW226" i="56" s="1"/>
  <c r="BA226" i="56" s="1"/>
  <c r="AZ226" i="56"/>
  <c r="AV225" i="56"/>
  <c r="AW225" i="56" s="1"/>
  <c r="BA225" i="56" s="1"/>
  <c r="AZ225" i="56"/>
  <c r="AV211" i="56"/>
  <c r="AW211" i="56" s="1"/>
  <c r="BA211" i="56" s="1"/>
  <c r="AZ211" i="56"/>
  <c r="AV221" i="56"/>
  <c r="AW221" i="56" s="1"/>
  <c r="BA221" i="56" s="1"/>
  <c r="AZ221" i="56"/>
  <c r="AZ228" i="56"/>
  <c r="AV228" i="56"/>
  <c r="AW228" i="56" s="1"/>
  <c r="BA228" i="56" s="1"/>
  <c r="AV216" i="56"/>
  <c r="AW216" i="56" s="1"/>
  <c r="BA216" i="56" s="1"/>
  <c r="AZ216" i="56"/>
  <c r="AZ217" i="56"/>
  <c r="AV217" i="56"/>
  <c r="AW217" i="56" s="1"/>
  <c r="BA217" i="56" s="1"/>
  <c r="E80" i="52"/>
  <c r="E81" i="52" s="1"/>
  <c r="E87" i="52" s="1"/>
  <c r="E86" i="52"/>
  <c r="V7" i="72"/>
  <c r="V56" i="71"/>
  <c r="V10" i="72"/>
  <c r="V13" i="72"/>
  <c r="V16" i="72"/>
  <c r="V12" i="72"/>
  <c r="V178" i="71"/>
  <c r="V157" i="71"/>
  <c r="V83" i="71"/>
  <c r="V129" i="71"/>
  <c r="V179" i="71"/>
  <c r="V67" i="71"/>
  <c r="V8" i="71"/>
  <c r="V52" i="71"/>
  <c r="V201" i="71"/>
  <c r="V73" i="71"/>
  <c r="V175" i="71"/>
  <c r="V127" i="71"/>
  <c r="V35" i="71"/>
  <c r="V176" i="71"/>
  <c r="V113" i="71"/>
  <c r="V91" i="71"/>
  <c r="V183" i="71"/>
  <c r="V102" i="71"/>
  <c r="V155" i="71"/>
  <c r="V4" i="71"/>
  <c r="V48" i="71"/>
  <c r="V76" i="71"/>
  <c r="V203" i="71"/>
  <c r="V100" i="71"/>
  <c r="V94" i="71"/>
  <c r="V26" i="71"/>
  <c r="V95" i="71"/>
  <c r="V96" i="71"/>
  <c r="V77" i="71"/>
  <c r="V65" i="71"/>
  <c r="V15" i="71"/>
  <c r="V199" i="71"/>
  <c r="V154" i="71"/>
  <c r="V126" i="71"/>
  <c r="V79" i="71"/>
  <c r="V20" i="71"/>
  <c r="V202" i="71"/>
  <c r="V34" i="71"/>
  <c r="V49" i="71"/>
  <c r="V122" i="71"/>
  <c r="V184" i="71"/>
  <c r="V132" i="71"/>
  <c r="V197" i="71"/>
  <c r="V195" i="71"/>
  <c r="V72" i="71"/>
  <c r="V204" i="71"/>
  <c r="V135" i="71"/>
  <c r="V181" i="71"/>
  <c r="V24" i="71"/>
  <c r="V38" i="71"/>
  <c r="V180" i="71"/>
  <c r="V156" i="71"/>
  <c r="V121" i="71"/>
  <c r="V43" i="71"/>
  <c r="T5" i="77"/>
  <c r="U5" i="77" s="1"/>
  <c r="B1" i="52"/>
  <c r="AN133" i="71" l="1"/>
  <c r="I145" i="74" s="1"/>
  <c r="AM133" i="71"/>
  <c r="E145" i="74" s="1"/>
  <c r="F145" i="74" s="1"/>
  <c r="G145" i="74" s="1"/>
  <c r="H145" i="74" s="1"/>
  <c r="G225" i="78" s="1"/>
  <c r="H225" i="78" s="1"/>
  <c r="I225" i="78" s="1"/>
  <c r="BB224" i="56"/>
  <c r="BB212" i="56"/>
  <c r="BB211" i="56"/>
  <c r="AX211" i="56" s="1"/>
  <c r="AY211" i="56" s="1"/>
  <c r="I211" i="56" s="1"/>
  <c r="K211" i="56" s="1"/>
  <c r="BB226" i="56"/>
  <c r="BB213" i="56"/>
  <c r="BB221" i="56"/>
  <c r="BB227" i="56"/>
  <c r="BB222" i="56"/>
  <c r="BB218" i="56"/>
  <c r="BB225" i="56"/>
  <c r="BB217" i="56"/>
  <c r="BB215" i="56"/>
  <c r="BB223" i="56"/>
  <c r="BB220" i="56"/>
  <c r="BB228" i="56"/>
  <c r="BB216" i="56"/>
  <c r="W4" i="71"/>
  <c r="X3" i="56"/>
  <c r="Y3" i="56" s="1"/>
  <c r="G3" i="56" s="1"/>
  <c r="E52" i="47"/>
  <c r="E53" i="47" s="1"/>
  <c r="E27" i="47" s="1"/>
  <c r="W52" i="71"/>
  <c r="X51" i="56"/>
  <c r="Y51" i="56" s="1"/>
  <c r="G51" i="56" s="1"/>
  <c r="W56" i="71"/>
  <c r="X55" i="56"/>
  <c r="Y55" i="56" s="1"/>
  <c r="G55" i="56" s="1"/>
  <c r="W195" i="71"/>
  <c r="X194" i="56"/>
  <c r="Y194" i="56" s="1"/>
  <c r="G194" i="56" s="1"/>
  <c r="W15" i="71"/>
  <c r="X14" i="56"/>
  <c r="Y14" i="56" s="1"/>
  <c r="G14" i="56" s="1"/>
  <c r="W155" i="71"/>
  <c r="X154" i="56"/>
  <c r="Y154" i="56" s="1"/>
  <c r="G154" i="56" s="1"/>
  <c r="W8" i="71"/>
  <c r="X7" i="56"/>
  <c r="Y7" i="56" s="1"/>
  <c r="G7" i="56" s="1"/>
  <c r="W181" i="71"/>
  <c r="X180" i="56"/>
  <c r="Y180" i="56" s="1"/>
  <c r="G180" i="56" s="1"/>
  <c r="W79" i="71"/>
  <c r="X78" i="56"/>
  <c r="Y78" i="56" s="1"/>
  <c r="G78" i="56" s="1"/>
  <c r="W76" i="71"/>
  <c r="X75" i="56"/>
  <c r="Y75" i="56" s="1"/>
  <c r="G75" i="56" s="1"/>
  <c r="W154" i="71"/>
  <c r="X153" i="56"/>
  <c r="Y153" i="56" s="1"/>
  <c r="G153" i="56" s="1"/>
  <c r="W199" i="71"/>
  <c r="X198" i="56"/>
  <c r="Y198" i="56" s="1"/>
  <c r="G198" i="56" s="1"/>
  <c r="W197" i="71"/>
  <c r="X196" i="56"/>
  <c r="Y196" i="56" s="1"/>
  <c r="G196" i="56" s="1"/>
  <c r="W43" i="71"/>
  <c r="X42" i="56"/>
  <c r="Y42" i="56" s="1"/>
  <c r="G42" i="56" s="1"/>
  <c r="W132" i="71"/>
  <c r="X131" i="56"/>
  <c r="Y131" i="56" s="1"/>
  <c r="G131" i="56" s="1"/>
  <c r="W65" i="71"/>
  <c r="X64" i="56"/>
  <c r="Y64" i="56" s="1"/>
  <c r="G64" i="56" s="1"/>
  <c r="W102" i="71"/>
  <c r="X101" i="56"/>
  <c r="Y101" i="56" s="1"/>
  <c r="G101" i="56" s="1"/>
  <c r="W67" i="71"/>
  <c r="X66" i="56"/>
  <c r="Y66" i="56" s="1"/>
  <c r="G66" i="56" s="1"/>
  <c r="W127" i="71"/>
  <c r="X126" i="56"/>
  <c r="Y126" i="56" s="1"/>
  <c r="G126" i="56" s="1"/>
  <c r="W126" i="71"/>
  <c r="X125" i="56"/>
  <c r="Y125" i="56" s="1"/>
  <c r="G125" i="56" s="1"/>
  <c r="W179" i="71"/>
  <c r="X178" i="56"/>
  <c r="Y178" i="56" s="1"/>
  <c r="G178" i="56" s="1"/>
  <c r="W100" i="71"/>
  <c r="X99" i="56"/>
  <c r="Y99" i="56" s="1"/>
  <c r="G99" i="56" s="1"/>
  <c r="W204" i="71"/>
  <c r="X203" i="56"/>
  <c r="Y203" i="56" s="1"/>
  <c r="G203" i="56" s="1"/>
  <c r="W72" i="71"/>
  <c r="X71" i="56"/>
  <c r="Y71" i="56" s="1"/>
  <c r="G71" i="56" s="1"/>
  <c r="W77" i="71"/>
  <c r="X76" i="56"/>
  <c r="Y76" i="56" s="1"/>
  <c r="G76" i="56" s="1"/>
  <c r="W96" i="71"/>
  <c r="X95" i="56"/>
  <c r="Y95" i="56" s="1"/>
  <c r="G95" i="56" s="1"/>
  <c r="W91" i="71"/>
  <c r="X90" i="56"/>
  <c r="Y90" i="56" s="1"/>
  <c r="G90" i="56" s="1"/>
  <c r="W129" i="71"/>
  <c r="X128" i="56"/>
  <c r="Y128" i="56" s="1"/>
  <c r="G128" i="56" s="1"/>
  <c r="W203" i="71"/>
  <c r="X202" i="56"/>
  <c r="Y202" i="56" s="1"/>
  <c r="G202" i="56" s="1"/>
  <c r="W180" i="71"/>
  <c r="X179" i="56"/>
  <c r="Y179" i="56" s="1"/>
  <c r="G179" i="56" s="1"/>
  <c r="W83" i="71"/>
  <c r="X82" i="56"/>
  <c r="Y82" i="56" s="1"/>
  <c r="G82" i="56" s="1"/>
  <c r="W135" i="71"/>
  <c r="X134" i="56"/>
  <c r="Y134" i="56" s="1"/>
  <c r="G134" i="56" s="1"/>
  <c r="W201" i="71"/>
  <c r="X200" i="56"/>
  <c r="Y200" i="56" s="1"/>
  <c r="G200" i="56" s="1"/>
  <c r="W184" i="71"/>
  <c r="X183" i="56"/>
  <c r="Y183" i="56" s="1"/>
  <c r="G183" i="56" s="1"/>
  <c r="W156" i="71"/>
  <c r="X155" i="56"/>
  <c r="Y155" i="56" s="1"/>
  <c r="G155" i="56" s="1"/>
  <c r="W95" i="71"/>
  <c r="X94" i="56"/>
  <c r="Y94" i="56" s="1"/>
  <c r="G94" i="56" s="1"/>
  <c r="W34" i="71"/>
  <c r="X33" i="56"/>
  <c r="Y33" i="56" s="1"/>
  <c r="G33" i="56" s="1"/>
  <c r="W176" i="71"/>
  <c r="X175" i="56"/>
  <c r="Y175" i="56" s="1"/>
  <c r="G175" i="56" s="1"/>
  <c r="W157" i="71"/>
  <c r="X156" i="56"/>
  <c r="Y156" i="56" s="1"/>
  <c r="G156" i="56" s="1"/>
  <c r="W20" i="71"/>
  <c r="X19" i="56"/>
  <c r="Y19" i="56" s="1"/>
  <c r="G19" i="56" s="1"/>
  <c r="W175" i="71"/>
  <c r="X174" i="56"/>
  <c r="Y174" i="56" s="1"/>
  <c r="G174" i="56" s="1"/>
  <c r="W73" i="71"/>
  <c r="X72" i="56"/>
  <c r="Y72" i="56" s="1"/>
  <c r="G72" i="56" s="1"/>
  <c r="W48" i="71"/>
  <c r="X47" i="56"/>
  <c r="Y47" i="56" s="1"/>
  <c r="G47" i="56" s="1"/>
  <c r="W121" i="71"/>
  <c r="X120" i="56"/>
  <c r="Y120" i="56" s="1"/>
  <c r="G120" i="56" s="1"/>
  <c r="W183" i="71"/>
  <c r="X182" i="56"/>
  <c r="Y182" i="56" s="1"/>
  <c r="G182" i="56" s="1"/>
  <c r="W122" i="71"/>
  <c r="X121" i="56"/>
  <c r="Y121" i="56" s="1"/>
  <c r="G121" i="56" s="1"/>
  <c r="W49" i="71"/>
  <c r="X48" i="56"/>
  <c r="Y48" i="56" s="1"/>
  <c r="G48" i="56" s="1"/>
  <c r="W113" i="71"/>
  <c r="X112" i="56"/>
  <c r="Y112" i="56" s="1"/>
  <c r="G112" i="56" s="1"/>
  <c r="W38" i="71"/>
  <c r="X37" i="56"/>
  <c r="Y37" i="56" s="1"/>
  <c r="G37" i="56" s="1"/>
  <c r="W26" i="71"/>
  <c r="X25" i="56"/>
  <c r="Y25" i="56" s="1"/>
  <c r="G25" i="56" s="1"/>
  <c r="W24" i="71"/>
  <c r="X23" i="56"/>
  <c r="Y23" i="56" s="1"/>
  <c r="G23" i="56" s="1"/>
  <c r="W202" i="71"/>
  <c r="X201" i="56"/>
  <c r="Y201" i="56" s="1"/>
  <c r="G201" i="56" s="1"/>
  <c r="W94" i="71"/>
  <c r="X93" i="56"/>
  <c r="Y93" i="56" s="1"/>
  <c r="G93" i="56" s="1"/>
  <c r="W35" i="71"/>
  <c r="X34" i="56"/>
  <c r="Y34" i="56" s="1"/>
  <c r="G34" i="56" s="1"/>
  <c r="W178" i="71"/>
  <c r="X177" i="56"/>
  <c r="Y177" i="56" s="1"/>
  <c r="G177" i="56" s="1"/>
  <c r="E88" i="52"/>
  <c r="E82" i="52" s="1"/>
  <c r="E83" i="52" s="1"/>
  <c r="C29" i="52" s="1"/>
  <c r="W7" i="72"/>
  <c r="W12" i="72"/>
  <c r="W16" i="72"/>
  <c r="W13" i="72"/>
  <c r="W10" i="72"/>
  <c r="X7" i="72"/>
  <c r="Y7" i="72" s="1"/>
  <c r="X56" i="71"/>
  <c r="V55" i="56" s="1"/>
  <c r="W55" i="56" s="1"/>
  <c r="F55" i="56" s="1"/>
  <c r="X12" i="72"/>
  <c r="Y12" i="72" s="1"/>
  <c r="X10" i="72"/>
  <c r="Y10" i="72" s="1"/>
  <c r="X13" i="72"/>
  <c r="Y13" i="72" s="1"/>
  <c r="X16" i="72"/>
  <c r="Y16" i="72" s="1"/>
  <c r="X100" i="71"/>
  <c r="X129" i="71"/>
  <c r="X156" i="71"/>
  <c r="X20" i="71"/>
  <c r="V19" i="56" s="1"/>
  <c r="W19" i="56" s="1"/>
  <c r="F19" i="56" s="1"/>
  <c r="X127" i="71"/>
  <c r="X102" i="71"/>
  <c r="X65" i="71"/>
  <c r="V64" i="56" s="1"/>
  <c r="W64" i="56" s="1"/>
  <c r="F64" i="56" s="1"/>
  <c r="X154" i="71"/>
  <c r="X178" i="71"/>
  <c r="X83" i="71"/>
  <c r="X91" i="71"/>
  <c r="X197" i="71"/>
  <c r="X121" i="71"/>
  <c r="X155" i="71"/>
  <c r="X73" i="71"/>
  <c r="V72" i="56" s="1"/>
  <c r="W72" i="56" s="1"/>
  <c r="F72" i="56" s="1"/>
  <c r="X203" i="71"/>
  <c r="V202" i="56" s="1"/>
  <c r="W202" i="56" s="1"/>
  <c r="F202" i="56" s="1"/>
  <c r="X26" i="71"/>
  <c r="V25" i="56" s="1"/>
  <c r="W25" i="56" s="1"/>
  <c r="F25" i="56" s="1"/>
  <c r="X38" i="71"/>
  <c r="X135" i="71"/>
  <c r="X181" i="71"/>
  <c r="X126" i="71"/>
  <c r="X95" i="71"/>
  <c r="V94" i="56" s="1"/>
  <c r="W94" i="56" s="1"/>
  <c r="F94" i="56" s="1"/>
  <c r="BB94" i="56" s="1"/>
  <c r="BE94" i="56" s="1"/>
  <c r="X179" i="71"/>
  <c r="X96" i="71"/>
  <c r="V95" i="56" s="1"/>
  <c r="W95" i="56" s="1"/>
  <c r="F95" i="56" s="1"/>
  <c r="X24" i="71"/>
  <c r="V23" i="56" s="1"/>
  <c r="W23" i="56" s="1"/>
  <c r="F23" i="56" s="1"/>
  <c r="X180" i="71"/>
  <c r="X35" i="71"/>
  <c r="X72" i="71"/>
  <c r="X52" i="71"/>
  <c r="X15" i="71"/>
  <c r="X79" i="71"/>
  <c r="V78" i="56" s="1"/>
  <c r="W78" i="56" s="1"/>
  <c r="F78" i="56" s="1"/>
  <c r="X175" i="71"/>
  <c r="X202" i="71"/>
  <c r="V201" i="56" s="1"/>
  <c r="W201" i="56" s="1"/>
  <c r="F201" i="56" s="1"/>
  <c r="X34" i="71"/>
  <c r="V33" i="56" s="1"/>
  <c r="W33" i="56" s="1"/>
  <c r="F33" i="56" s="1"/>
  <c r="X49" i="71"/>
  <c r="X67" i="71"/>
  <c r="X204" i="71"/>
  <c r="X4" i="71"/>
  <c r="X48" i="71"/>
  <c r="X76" i="71"/>
  <c r="V75" i="56" s="1"/>
  <c r="W75" i="56" s="1"/>
  <c r="F75" i="56" s="1"/>
  <c r="X157" i="71"/>
  <c r="X113" i="71"/>
  <c r="X122" i="71"/>
  <c r="X184" i="71"/>
  <c r="X132" i="71"/>
  <c r="X195" i="71"/>
  <c r="V194" i="56" s="1"/>
  <c r="W194" i="56" s="1"/>
  <c r="F194" i="56" s="1"/>
  <c r="X94" i="71"/>
  <c r="X199" i="71"/>
  <c r="X176" i="71"/>
  <c r="X183" i="71"/>
  <c r="X8" i="71"/>
  <c r="X43" i="71"/>
  <c r="X77" i="71"/>
  <c r="X201" i="71"/>
  <c r="V200" i="56" s="1"/>
  <c r="W200" i="56" s="1"/>
  <c r="F200" i="56" s="1"/>
  <c r="C92" i="36"/>
  <c r="C91" i="36"/>
  <c r="U133" i="16"/>
  <c r="K238" i="78" s="1"/>
  <c r="L238" i="78" s="1"/>
  <c r="U56" i="16"/>
  <c r="U134" i="16"/>
  <c r="U57" i="16"/>
  <c r="K191" i="78" s="1"/>
  <c r="L191" i="78" s="1"/>
  <c r="U58" i="16"/>
  <c r="U5" i="16"/>
  <c r="U6" i="16"/>
  <c r="U59" i="16"/>
  <c r="K248" i="78" s="1"/>
  <c r="L248" i="78" s="1"/>
  <c r="U135" i="16"/>
  <c r="K200" i="78" s="1"/>
  <c r="L200" i="78" s="1"/>
  <c r="U7" i="16"/>
  <c r="U136" i="16"/>
  <c r="K164" i="78" s="1"/>
  <c r="L164" i="78" s="1"/>
  <c r="U137" i="16"/>
  <c r="U138" i="16"/>
  <c r="U8" i="16"/>
  <c r="U9" i="16"/>
  <c r="U139" i="16"/>
  <c r="U60" i="16"/>
  <c r="U140" i="16"/>
  <c r="U61" i="16"/>
  <c r="U62" i="16"/>
  <c r="U63" i="16"/>
  <c r="U10" i="16"/>
  <c r="U141" i="16"/>
  <c r="U64" i="16"/>
  <c r="U142" i="16"/>
  <c r="U143" i="16"/>
  <c r="U144" i="16"/>
  <c r="U145" i="16"/>
  <c r="U66" i="16"/>
  <c r="U67" i="16"/>
  <c r="U68" i="16"/>
  <c r="K184" i="78" s="1"/>
  <c r="L184" i="78" s="1"/>
  <c r="U146" i="16"/>
  <c r="U147" i="16"/>
  <c r="U69" i="16"/>
  <c r="U70" i="16"/>
  <c r="K205" i="78" s="1"/>
  <c r="L205" i="78" s="1"/>
  <c r="U71" i="16"/>
  <c r="U72" i="16"/>
  <c r="U73" i="16"/>
  <c r="U11" i="16"/>
  <c r="U12" i="16"/>
  <c r="U148" i="16"/>
  <c r="U149" i="16"/>
  <c r="U150" i="16"/>
  <c r="U13" i="16"/>
  <c r="U14" i="16"/>
  <c r="U74" i="16"/>
  <c r="U75" i="16"/>
  <c r="U151" i="16"/>
  <c r="U76" i="16"/>
  <c r="K197" i="78" s="1"/>
  <c r="L197" i="78" s="1"/>
  <c r="U152" i="16"/>
  <c r="U15" i="16"/>
  <c r="U153" i="16"/>
  <c r="U154" i="16"/>
  <c r="U77" i="16"/>
  <c r="K216" i="78" s="1"/>
  <c r="L216" i="78" s="1"/>
  <c r="U16" i="16"/>
  <c r="U155" i="16"/>
  <c r="U156" i="16"/>
  <c r="U78" i="16"/>
  <c r="U157" i="16"/>
  <c r="K73" i="78" s="1"/>
  <c r="L73" i="78" s="1"/>
  <c r="U158" i="16"/>
  <c r="U79" i="16"/>
  <c r="K218" i="78" s="1"/>
  <c r="L218" i="78" s="1"/>
  <c r="U17" i="16"/>
  <c r="U80" i="16"/>
  <c r="U159" i="16"/>
  <c r="U81" i="16"/>
  <c r="U82" i="16"/>
  <c r="U160" i="16"/>
  <c r="U161" i="16"/>
  <c r="U162" i="16"/>
  <c r="U83" i="16"/>
  <c r="U84" i="16"/>
  <c r="K221" i="78" s="1"/>
  <c r="L221" i="78" s="1"/>
  <c r="U163" i="16"/>
  <c r="U18" i="16"/>
  <c r="U19" i="16"/>
  <c r="K240" i="78" s="1"/>
  <c r="L240" i="78" s="1"/>
  <c r="U164" i="16"/>
  <c r="U20" i="16"/>
  <c r="U86" i="16"/>
  <c r="U165" i="16"/>
  <c r="U21" i="16"/>
  <c r="U87" i="16"/>
  <c r="U88" i="16"/>
  <c r="U89" i="16"/>
  <c r="U90" i="16"/>
  <c r="K223" i="78" s="1"/>
  <c r="L223" i="78" s="1"/>
  <c r="U91" i="16"/>
  <c r="U22" i="16"/>
  <c r="U166" i="16"/>
  <c r="U167" i="16"/>
  <c r="U23" i="16"/>
  <c r="K79" i="78" s="1"/>
  <c r="L79" i="78" s="1"/>
  <c r="U24" i="16"/>
  <c r="U168" i="16"/>
  <c r="U25" i="16"/>
  <c r="U92" i="16"/>
  <c r="U169" i="16"/>
  <c r="U93" i="16"/>
  <c r="K133" i="78" s="1"/>
  <c r="L133" i="78" s="1"/>
  <c r="U26" i="16"/>
  <c r="U170" i="16"/>
  <c r="K132" i="78" s="1"/>
  <c r="L132" i="78" s="1"/>
  <c r="U171" i="16"/>
  <c r="U94" i="16"/>
  <c r="K83" i="78" s="1"/>
  <c r="L83" i="78" s="1"/>
  <c r="U27" i="16"/>
  <c r="U28" i="16"/>
  <c r="K211" i="78" s="1"/>
  <c r="L211" i="78" s="1"/>
  <c r="U172" i="16"/>
  <c r="U29" i="16"/>
  <c r="K227" i="78" s="1"/>
  <c r="L227" i="78" s="1"/>
  <c r="U95" i="16"/>
  <c r="K228" i="78" s="1"/>
  <c r="L228" i="78" s="1"/>
  <c r="U173" i="16"/>
  <c r="K229" i="78" s="1"/>
  <c r="L229" i="78" s="1"/>
  <c r="U96" i="16"/>
  <c r="U97" i="16"/>
  <c r="K224" i="78" s="1"/>
  <c r="L224" i="78" s="1"/>
  <c r="U98" i="16"/>
  <c r="U99" i="16"/>
  <c r="U30" i="16"/>
  <c r="U174" i="16"/>
  <c r="U100" i="16"/>
  <c r="U175" i="16"/>
  <c r="K199" i="78" s="1"/>
  <c r="L199" i="78" s="1"/>
  <c r="U31" i="16"/>
  <c r="U101" i="16"/>
  <c r="U32" i="16"/>
  <c r="U33" i="16"/>
  <c r="U176" i="16"/>
  <c r="K111" i="78" s="1"/>
  <c r="L111" i="78" s="1"/>
  <c r="U177" i="16"/>
  <c r="U178" i="16"/>
  <c r="U102" i="16"/>
  <c r="U103" i="16"/>
  <c r="U34" i="16"/>
  <c r="U179" i="16"/>
  <c r="U35" i="16"/>
  <c r="U180" i="16"/>
  <c r="K231" i="78" s="1"/>
  <c r="L231" i="78" s="1"/>
  <c r="U181" i="16"/>
  <c r="U182" i="16"/>
  <c r="U183" i="16"/>
  <c r="U36" i="16"/>
  <c r="U184" i="16"/>
  <c r="K234" i="78" s="1"/>
  <c r="L234" i="78" s="1"/>
  <c r="U104" i="16"/>
  <c r="U105" i="16"/>
  <c r="U185" i="16"/>
  <c r="U106" i="16"/>
  <c r="K241" i="78" s="1"/>
  <c r="L241" i="78" s="1"/>
  <c r="U186" i="16"/>
  <c r="U187" i="16"/>
  <c r="K235" i="78" s="1"/>
  <c r="L235" i="78" s="1"/>
  <c r="U188" i="16"/>
  <c r="U107" i="16"/>
  <c r="U108" i="16"/>
  <c r="K237" i="78" s="1"/>
  <c r="L237" i="78" s="1"/>
  <c r="U109" i="16"/>
  <c r="U189" i="16"/>
  <c r="U110" i="16"/>
  <c r="U111" i="16"/>
  <c r="U37" i="16"/>
  <c r="U112" i="16"/>
  <c r="U114" i="16"/>
  <c r="U190" i="16"/>
  <c r="U38" i="16"/>
  <c r="U115" i="16"/>
  <c r="U191" i="16"/>
  <c r="K245" i="78" s="1"/>
  <c r="L245" i="78" s="1"/>
  <c r="U39" i="16"/>
  <c r="U192" i="16"/>
  <c r="U193" i="16"/>
  <c r="U194" i="16"/>
  <c r="U195" i="16"/>
  <c r="K232" i="78" s="1"/>
  <c r="L232" i="78" s="1"/>
  <c r="U196" i="16"/>
  <c r="U40" i="16"/>
  <c r="K109" i="78" s="1"/>
  <c r="L109" i="78" s="1"/>
  <c r="U197" i="16"/>
  <c r="U198" i="16"/>
  <c r="U199" i="16"/>
  <c r="U116" i="16"/>
  <c r="U41" i="16"/>
  <c r="U117" i="16"/>
  <c r="U118" i="16"/>
  <c r="U200" i="16"/>
  <c r="U42" i="16"/>
  <c r="U201" i="16"/>
  <c r="U43" i="16"/>
  <c r="K213" i="78" s="1"/>
  <c r="L213" i="78" s="1"/>
  <c r="U119" i="16"/>
  <c r="U202" i="16"/>
  <c r="U44" i="16"/>
  <c r="U120" i="16"/>
  <c r="U121" i="16"/>
  <c r="K74" i="78" s="1"/>
  <c r="L74" i="78" s="1"/>
  <c r="U122" i="16"/>
  <c r="U203" i="16"/>
  <c r="U123" i="16"/>
  <c r="U45" i="16"/>
  <c r="U124" i="16"/>
  <c r="U125" i="16"/>
  <c r="U204" i="16"/>
  <c r="U126" i="16"/>
  <c r="U127" i="16"/>
  <c r="U47" i="16"/>
  <c r="K63" i="78" s="1"/>
  <c r="L63" i="78" s="1"/>
  <c r="U207" i="16"/>
  <c r="U129" i="16"/>
  <c r="U48" i="16"/>
  <c r="U49" i="16"/>
  <c r="U50" i="16"/>
  <c r="U51" i="16"/>
  <c r="U208" i="16"/>
  <c r="K130" i="78" s="1"/>
  <c r="L130" i="78" s="1"/>
  <c r="U52" i="16"/>
  <c r="K233" i="78" s="1"/>
  <c r="L233" i="78" s="1"/>
  <c r="U130" i="16"/>
  <c r="U131" i="16"/>
  <c r="U132" i="16"/>
  <c r="K217" i="78" s="1"/>
  <c r="L217" i="78" s="1"/>
  <c r="Z30" i="71" l="1"/>
  <c r="K64" i="78"/>
  <c r="L64" i="78" s="1"/>
  <c r="Z192" i="71"/>
  <c r="AO192" i="71" s="1"/>
  <c r="L204" i="74" s="1"/>
  <c r="K263" i="78"/>
  <c r="L263" i="78" s="1"/>
  <c r="Z13" i="71"/>
  <c r="AO13" i="71" s="1"/>
  <c r="L25" i="74" s="1"/>
  <c r="K89" i="78"/>
  <c r="L89" i="78" s="1"/>
  <c r="Z87" i="71"/>
  <c r="AO87" i="71" s="1"/>
  <c r="L99" i="74" s="1"/>
  <c r="K114" i="78"/>
  <c r="L114" i="78" s="1"/>
  <c r="Z75" i="71"/>
  <c r="AO75" i="71" s="1"/>
  <c r="L87" i="74" s="1"/>
  <c r="K112" i="78"/>
  <c r="L112" i="78" s="1"/>
  <c r="Z137" i="71"/>
  <c r="AO137" i="71" s="1"/>
  <c r="L149" i="74" s="1"/>
  <c r="K129" i="78"/>
  <c r="L129" i="78" s="1"/>
  <c r="Z139" i="71"/>
  <c r="AO139" i="71" s="1"/>
  <c r="L151" i="74" s="1"/>
  <c r="K131" i="78"/>
  <c r="L131" i="78" s="1"/>
  <c r="Z95" i="71"/>
  <c r="K214" i="78"/>
  <c r="L214" i="78" s="1"/>
  <c r="Z169" i="71"/>
  <c r="AO169" i="71" s="1"/>
  <c r="L181" i="74" s="1"/>
  <c r="K146" i="78"/>
  <c r="L146" i="78" s="1"/>
  <c r="Z17" i="71"/>
  <c r="AO17" i="71" s="1"/>
  <c r="L29" i="74" s="1"/>
  <c r="K90" i="78"/>
  <c r="L90" i="78" s="1"/>
  <c r="Z76" i="71"/>
  <c r="BF76" i="71" s="1"/>
  <c r="K208" i="78"/>
  <c r="L208" i="78" s="1"/>
  <c r="Z200" i="71"/>
  <c r="K85" i="78"/>
  <c r="L85" i="78" s="1"/>
  <c r="Z160" i="71"/>
  <c r="K82" i="78"/>
  <c r="L82" i="78" s="1"/>
  <c r="Z29" i="71"/>
  <c r="AO29" i="71" s="1"/>
  <c r="L41" i="74" s="1"/>
  <c r="K94" i="78"/>
  <c r="L94" i="78" s="1"/>
  <c r="Z207" i="71"/>
  <c r="AO207" i="71" s="1"/>
  <c r="L219" i="74" s="1"/>
  <c r="K176" i="78"/>
  <c r="L176" i="78" s="1"/>
  <c r="Z186" i="71"/>
  <c r="AO186" i="71" s="1"/>
  <c r="L198" i="74" s="1"/>
  <c r="K188" i="78"/>
  <c r="L188" i="78" s="1"/>
  <c r="Z78" i="71"/>
  <c r="AO78" i="71" s="1"/>
  <c r="L90" i="74" s="1"/>
  <c r="K249" i="78"/>
  <c r="L249" i="78" s="1"/>
  <c r="Z158" i="71"/>
  <c r="AO158" i="71" s="1"/>
  <c r="L170" i="74" s="1"/>
  <c r="K258" i="78"/>
  <c r="L258" i="78" s="1"/>
  <c r="Z32" i="71"/>
  <c r="K65" i="78"/>
  <c r="L65" i="78" s="1"/>
  <c r="Z163" i="71"/>
  <c r="AO163" i="71" s="1"/>
  <c r="L175" i="74" s="1"/>
  <c r="K143" i="78"/>
  <c r="L143" i="78" s="1"/>
  <c r="Z106" i="71"/>
  <c r="K72" i="78"/>
  <c r="L72" i="78" s="1"/>
  <c r="Z101" i="71"/>
  <c r="K70" i="78"/>
  <c r="L70" i="78" s="1"/>
  <c r="Z82" i="71"/>
  <c r="AO82" i="71" s="1"/>
  <c r="L94" i="74" s="1"/>
  <c r="K251" i="78"/>
  <c r="L251" i="78" s="1"/>
  <c r="Z65" i="71"/>
  <c r="BF65" i="71" s="1"/>
  <c r="K204" i="78"/>
  <c r="L204" i="78" s="1"/>
  <c r="Z55" i="71"/>
  <c r="AO55" i="71" s="1"/>
  <c r="L67" i="74" s="1"/>
  <c r="K165" i="78"/>
  <c r="L165" i="78" s="1"/>
  <c r="Z167" i="71"/>
  <c r="AO167" i="71" s="1"/>
  <c r="L179" i="74" s="1"/>
  <c r="K261" i="78"/>
  <c r="L261" i="78" s="1"/>
  <c r="Z177" i="71"/>
  <c r="AO177" i="71" s="1"/>
  <c r="L189" i="74" s="1"/>
  <c r="K173" i="78"/>
  <c r="L173" i="78" s="1"/>
  <c r="Z22" i="71"/>
  <c r="AO22" i="71" s="1"/>
  <c r="L34" i="74" s="1"/>
  <c r="K157" i="78"/>
  <c r="L157" i="78" s="1"/>
  <c r="Z153" i="71"/>
  <c r="AO153" i="71" s="1"/>
  <c r="L165" i="74" s="1"/>
  <c r="K141" i="78"/>
  <c r="L141" i="78" s="1"/>
  <c r="Z115" i="71"/>
  <c r="K77" i="78"/>
  <c r="L77" i="78" s="1"/>
  <c r="Z52" i="71"/>
  <c r="K202" i="78"/>
  <c r="L202" i="78" s="1"/>
  <c r="Z173" i="71"/>
  <c r="AO173" i="71" s="1"/>
  <c r="L185" i="74" s="1"/>
  <c r="K149" i="78"/>
  <c r="L149" i="78" s="1"/>
  <c r="Z34" i="71"/>
  <c r="CN34" i="71" s="1"/>
  <c r="AF46" i="74" s="1"/>
  <c r="K196" i="78"/>
  <c r="L196" i="78" s="1"/>
  <c r="Z116" i="71"/>
  <c r="AO116" i="71" s="1"/>
  <c r="L128" i="74" s="1"/>
  <c r="K125" i="78"/>
  <c r="L125" i="78" s="1"/>
  <c r="Z97" i="71"/>
  <c r="AO97" i="71" s="1"/>
  <c r="L109" i="74" s="1"/>
  <c r="K118" i="78"/>
  <c r="L118" i="78" s="1"/>
  <c r="Z27" i="71"/>
  <c r="AO27" i="71" s="1"/>
  <c r="L39" i="74" s="1"/>
  <c r="K93" i="78"/>
  <c r="L93" i="78" s="1"/>
  <c r="Z5" i="71"/>
  <c r="AO5" i="71" s="1"/>
  <c r="L17" i="74" s="1"/>
  <c r="K87" i="78"/>
  <c r="L87" i="78" s="1"/>
  <c r="Z202" i="71"/>
  <c r="BF202" i="71" s="1"/>
  <c r="K243" i="78"/>
  <c r="L243" i="78" s="1"/>
  <c r="Z12" i="71"/>
  <c r="AO12" i="71" s="1"/>
  <c r="L24" i="74" s="1"/>
  <c r="K88" i="78"/>
  <c r="L88" i="78" s="1"/>
  <c r="Z172" i="71"/>
  <c r="AO172" i="71" s="1"/>
  <c r="L184" i="74" s="1"/>
  <c r="K172" i="78"/>
  <c r="L172" i="78" s="1"/>
  <c r="Z40" i="71"/>
  <c r="AO40" i="71" s="1"/>
  <c r="L52" i="74" s="1"/>
  <c r="K99" i="78"/>
  <c r="L99" i="78" s="1"/>
  <c r="Z171" i="71"/>
  <c r="AO171" i="71" s="1"/>
  <c r="L183" i="74" s="1"/>
  <c r="K148" i="78"/>
  <c r="L148" i="78" s="1"/>
  <c r="Z148" i="71"/>
  <c r="AO148" i="71" s="1"/>
  <c r="L160" i="74" s="1"/>
  <c r="K137" i="78"/>
  <c r="L137" i="78" s="1"/>
  <c r="Z143" i="71"/>
  <c r="AO143" i="71" s="1"/>
  <c r="L155" i="74" s="1"/>
  <c r="K135" i="78"/>
  <c r="L135" i="78" s="1"/>
  <c r="Z135" i="71"/>
  <c r="BW135" i="71" s="1"/>
  <c r="K226" i="78"/>
  <c r="L226" i="78" s="1"/>
  <c r="Z123" i="71"/>
  <c r="AO123" i="71" s="1"/>
  <c r="L135" i="74" s="1"/>
  <c r="K127" i="78"/>
  <c r="L127" i="78" s="1"/>
  <c r="Z28" i="71"/>
  <c r="AO28" i="71" s="1"/>
  <c r="L40" i="74" s="1"/>
  <c r="K180" i="78"/>
  <c r="L180" i="78" s="1"/>
  <c r="Z96" i="71"/>
  <c r="CN96" i="71" s="1"/>
  <c r="K215" i="78"/>
  <c r="L215" i="78" s="1"/>
  <c r="Z79" i="71"/>
  <c r="K210" i="78"/>
  <c r="L210" i="78" s="1"/>
  <c r="Z25" i="71"/>
  <c r="AO25" i="71" s="1"/>
  <c r="L37" i="74" s="1"/>
  <c r="K162" i="78"/>
  <c r="L162" i="78" s="1"/>
  <c r="Z20" i="71"/>
  <c r="CN20" i="71" s="1"/>
  <c r="AF32" i="74" s="1"/>
  <c r="K193" i="78"/>
  <c r="L193" i="78" s="1"/>
  <c r="Z7" i="71"/>
  <c r="AO7" i="71" s="1"/>
  <c r="L19" i="74" s="1"/>
  <c r="K246" i="78"/>
  <c r="L246" i="78" s="1"/>
  <c r="Z127" i="71"/>
  <c r="BW127" i="71" s="1"/>
  <c r="K222" i="78"/>
  <c r="L222" i="78" s="1"/>
  <c r="Z206" i="71"/>
  <c r="AO206" i="71" s="1"/>
  <c r="L218" i="74" s="1"/>
  <c r="K156" i="78"/>
  <c r="L156" i="78" s="1"/>
  <c r="Z119" i="71"/>
  <c r="AO119" i="71" s="1"/>
  <c r="L131" i="74" s="1"/>
  <c r="K126" i="78"/>
  <c r="L126" i="78" s="1"/>
  <c r="Z45" i="71"/>
  <c r="AO45" i="71" s="1"/>
  <c r="L57" i="74" s="1"/>
  <c r="K103" i="78"/>
  <c r="L103" i="78" s="1"/>
  <c r="Z80" i="71"/>
  <c r="AO80" i="71" s="1"/>
  <c r="L92" i="74" s="1"/>
  <c r="K250" i="78"/>
  <c r="L250" i="78" s="1"/>
  <c r="Z182" i="71"/>
  <c r="AO182" i="71" s="1"/>
  <c r="L194" i="74" s="1"/>
  <c r="K174" i="78"/>
  <c r="L174" i="78" s="1"/>
  <c r="Z150" i="71"/>
  <c r="AO150" i="71" s="1"/>
  <c r="L162" i="74" s="1"/>
  <c r="K139" i="78"/>
  <c r="L139" i="78" s="1"/>
  <c r="Z47" i="71"/>
  <c r="AO47" i="71" s="1"/>
  <c r="L59" i="74" s="1"/>
  <c r="K163" i="78"/>
  <c r="L163" i="78" s="1"/>
  <c r="Z81" i="71"/>
  <c r="AO81" i="71" s="1"/>
  <c r="L93" i="74" s="1"/>
  <c r="K168" i="78"/>
  <c r="L168" i="78" s="1"/>
  <c r="Z85" i="71"/>
  <c r="AO85" i="71" s="1"/>
  <c r="L97" i="74" s="1"/>
  <c r="K158" i="78"/>
  <c r="L158" i="78" s="1"/>
  <c r="Z39" i="71"/>
  <c r="AO39" i="71" s="1"/>
  <c r="L51" i="74" s="1"/>
  <c r="K98" i="78"/>
  <c r="L98" i="78" s="1"/>
  <c r="Z69" i="71"/>
  <c r="AO69" i="71" s="1"/>
  <c r="L81" i="74" s="1"/>
  <c r="K167" i="78"/>
  <c r="L167" i="78" s="1"/>
  <c r="Z14" i="71"/>
  <c r="K62" i="78"/>
  <c r="L62" i="78" s="1"/>
  <c r="Z31" i="71"/>
  <c r="AO31" i="71" s="1"/>
  <c r="L43" i="74" s="1"/>
  <c r="K95" i="78"/>
  <c r="L95" i="78" s="1"/>
  <c r="Z99" i="71"/>
  <c r="AO99" i="71" s="1"/>
  <c r="L111" i="74" s="1"/>
  <c r="K119" i="78"/>
  <c r="L119" i="78" s="1"/>
  <c r="Z162" i="71"/>
  <c r="AO162" i="71" s="1"/>
  <c r="L174" i="74" s="1"/>
  <c r="K259" i="78"/>
  <c r="L259" i="78" s="1"/>
  <c r="Z147" i="71"/>
  <c r="K80" i="78"/>
  <c r="L80" i="78" s="1"/>
  <c r="Z73" i="71"/>
  <c r="BW73" i="71" s="1"/>
  <c r="K207" i="78"/>
  <c r="L207" i="78" s="1"/>
  <c r="Z114" i="71"/>
  <c r="K76" i="78"/>
  <c r="L76" i="78" s="1"/>
  <c r="Z93" i="71"/>
  <c r="AO93" i="71" s="1"/>
  <c r="L105" i="74" s="1"/>
  <c r="K117" i="78"/>
  <c r="L117" i="78" s="1"/>
  <c r="Z24" i="71"/>
  <c r="K194" i="78"/>
  <c r="L194" i="78" s="1"/>
  <c r="Z118" i="71"/>
  <c r="AO118" i="71" s="1"/>
  <c r="L130" i="74" s="1"/>
  <c r="K255" i="78"/>
  <c r="L255" i="78" s="1"/>
  <c r="Z152" i="71"/>
  <c r="AO152" i="71" s="1"/>
  <c r="L164" i="74" s="1"/>
  <c r="K140" i="78"/>
  <c r="L140" i="78" s="1"/>
  <c r="Z86" i="71"/>
  <c r="AO86" i="71" s="1"/>
  <c r="L98" i="74" s="1"/>
  <c r="K113" i="78"/>
  <c r="L113" i="78" s="1"/>
  <c r="Z51" i="71"/>
  <c r="K67" i="78"/>
  <c r="L67" i="78" s="1"/>
  <c r="Z168" i="71"/>
  <c r="AO168" i="71" s="1"/>
  <c r="L180" i="74" s="1"/>
  <c r="K262" i="78"/>
  <c r="L262" i="78" s="1"/>
  <c r="Z205" i="71"/>
  <c r="K86" i="78"/>
  <c r="L86" i="78" s="1"/>
  <c r="Z36" i="71"/>
  <c r="K66" i="78"/>
  <c r="L66" i="78" s="1"/>
  <c r="Z164" i="71"/>
  <c r="AO164" i="71" s="1"/>
  <c r="L176" i="74" s="1"/>
  <c r="K144" i="78"/>
  <c r="L144" i="78" s="1"/>
  <c r="Z144" i="71"/>
  <c r="AO144" i="71" s="1"/>
  <c r="L156" i="74" s="1"/>
  <c r="K136" i="78"/>
  <c r="L136" i="78" s="1"/>
  <c r="Z46" i="71"/>
  <c r="AO46" i="71" s="1"/>
  <c r="L58" i="74" s="1"/>
  <c r="K104" i="78"/>
  <c r="L104" i="78" s="1"/>
  <c r="Z71" i="71"/>
  <c r="AO71" i="71" s="1"/>
  <c r="L83" i="74" s="1"/>
  <c r="K110" i="78"/>
  <c r="L110" i="78" s="1"/>
  <c r="Z170" i="71"/>
  <c r="AO170" i="71" s="1"/>
  <c r="L182" i="74" s="1"/>
  <c r="K147" i="78"/>
  <c r="L147" i="78" s="1"/>
  <c r="Z60" i="71"/>
  <c r="AO60" i="71" s="1"/>
  <c r="L72" i="74" s="1"/>
  <c r="K107" i="78"/>
  <c r="L107" i="78" s="1"/>
  <c r="Z98" i="71"/>
  <c r="AO98" i="71" s="1"/>
  <c r="L110" i="74" s="1"/>
  <c r="K185" i="78"/>
  <c r="L185" i="78" s="1"/>
  <c r="Z77" i="71"/>
  <c r="AO77" i="71" s="1"/>
  <c r="L89" i="74" s="1"/>
  <c r="K209" i="78"/>
  <c r="L209" i="78" s="1"/>
  <c r="Z11" i="71"/>
  <c r="AO11" i="71" s="1"/>
  <c r="L23" i="74" s="1"/>
  <c r="K177" i="78"/>
  <c r="L177" i="78" s="1"/>
  <c r="Z19" i="71"/>
  <c r="AO19" i="71" s="1"/>
  <c r="L31" i="74" s="1"/>
  <c r="K179" i="78"/>
  <c r="L179" i="78" s="1"/>
  <c r="Z146" i="71"/>
  <c r="AO146" i="71" s="1"/>
  <c r="L158" i="74" s="1"/>
  <c r="K171" i="78"/>
  <c r="L171" i="78" s="1"/>
  <c r="Z62" i="71"/>
  <c r="AO62" i="71" s="1"/>
  <c r="L74" i="74" s="1"/>
  <c r="K166" i="78"/>
  <c r="L166" i="78" s="1"/>
  <c r="Z9" i="71"/>
  <c r="AO9" i="71" s="1"/>
  <c r="L21" i="74" s="1"/>
  <c r="K161" i="78"/>
  <c r="L161" i="78" s="1"/>
  <c r="Z185" i="71"/>
  <c r="AO185" i="71" s="1"/>
  <c r="L197" i="74" s="1"/>
  <c r="K175" i="78"/>
  <c r="L175" i="78" s="1"/>
  <c r="Z189" i="71"/>
  <c r="AO189" i="71" s="1"/>
  <c r="L201" i="74" s="1"/>
  <c r="K151" i="78"/>
  <c r="L151" i="78" s="1"/>
  <c r="Z130" i="71"/>
  <c r="K78" i="78"/>
  <c r="L78" i="78" s="1"/>
  <c r="Z121" i="71"/>
  <c r="K219" i="78"/>
  <c r="L219" i="78" s="1"/>
  <c r="Z112" i="71"/>
  <c r="AO112" i="71" s="1"/>
  <c r="L124" i="74" s="1"/>
  <c r="K124" i="78"/>
  <c r="L124" i="78" s="1"/>
  <c r="Z89" i="71"/>
  <c r="AO89" i="71" s="1"/>
  <c r="L101" i="74" s="1"/>
  <c r="K115" i="78"/>
  <c r="L115" i="78" s="1"/>
  <c r="Z18" i="71"/>
  <c r="AO18" i="71" s="1"/>
  <c r="L30" i="74" s="1"/>
  <c r="K91" i="78"/>
  <c r="L91" i="78" s="1"/>
  <c r="Z59" i="71"/>
  <c r="AO59" i="71" s="1"/>
  <c r="L71" i="74" s="1"/>
  <c r="K106" i="78"/>
  <c r="L106" i="78" s="1"/>
  <c r="Z195" i="71"/>
  <c r="BF195" i="71" s="1"/>
  <c r="K239" i="78"/>
  <c r="L239" i="78" s="1"/>
  <c r="Z165" i="71"/>
  <c r="AO165" i="71" s="1"/>
  <c r="L177" i="74" s="1"/>
  <c r="K145" i="78"/>
  <c r="L145" i="78" s="1"/>
  <c r="Z64" i="71"/>
  <c r="AO64" i="71" s="1"/>
  <c r="L76" i="74" s="1"/>
  <c r="K108" i="78"/>
  <c r="L108" i="78" s="1"/>
  <c r="Z37" i="71"/>
  <c r="AO37" i="71" s="1"/>
  <c r="L49" i="74" s="1"/>
  <c r="K97" i="78"/>
  <c r="L97" i="78" s="1"/>
  <c r="Z161" i="71"/>
  <c r="AO161" i="71" s="1"/>
  <c r="L173" i="74" s="1"/>
  <c r="K142" i="78"/>
  <c r="L142" i="78" s="1"/>
  <c r="Z38" i="71"/>
  <c r="CN38" i="71" s="1"/>
  <c r="AF50" i="74" s="1"/>
  <c r="K198" i="78"/>
  <c r="L198" i="78" s="1"/>
  <c r="Z110" i="71"/>
  <c r="K75" i="78"/>
  <c r="L75" i="78" s="1"/>
  <c r="Z131" i="71"/>
  <c r="AO131" i="71" s="1"/>
  <c r="L143" i="74" s="1"/>
  <c r="K128" i="78"/>
  <c r="L128" i="78" s="1"/>
  <c r="Z166" i="71"/>
  <c r="AO166" i="71" s="1"/>
  <c r="L178" i="74" s="1"/>
  <c r="K260" i="78"/>
  <c r="L260" i="78" s="1"/>
  <c r="Z187" i="71"/>
  <c r="AO187" i="71" s="1"/>
  <c r="L199" i="74" s="1"/>
  <c r="K150" i="78"/>
  <c r="L150" i="78" s="1"/>
  <c r="Z125" i="71"/>
  <c r="AO125" i="71" s="1"/>
  <c r="L137" i="74" s="1"/>
  <c r="K256" i="78"/>
  <c r="L256" i="78" s="1"/>
  <c r="Z190" i="71"/>
  <c r="AO190" i="71" s="1"/>
  <c r="L202" i="74" s="1"/>
  <c r="K189" i="78"/>
  <c r="L189" i="78" s="1"/>
  <c r="Z203" i="71"/>
  <c r="CN203" i="71" s="1"/>
  <c r="K244" i="78"/>
  <c r="L244" i="78" s="1"/>
  <c r="Z90" i="71"/>
  <c r="AO90" i="71" s="1"/>
  <c r="L102" i="74" s="1"/>
  <c r="K116" i="78"/>
  <c r="L116" i="78" s="1"/>
  <c r="Z196" i="71"/>
  <c r="AO196" i="71" s="1"/>
  <c r="L208" i="74" s="1"/>
  <c r="K154" i="78"/>
  <c r="L154" i="78" s="1"/>
  <c r="Z149" i="71"/>
  <c r="AO149" i="71" s="1"/>
  <c r="L161" i="74" s="1"/>
  <c r="K138" i="78"/>
  <c r="L138" i="78" s="1"/>
  <c r="Z145" i="71"/>
  <c r="AO145" i="71" s="1"/>
  <c r="L157" i="74" s="1"/>
  <c r="K170" i="78"/>
  <c r="L170" i="78" s="1"/>
  <c r="Z122" i="71"/>
  <c r="BF122" i="71" s="1"/>
  <c r="K220" i="78"/>
  <c r="L220" i="78" s="1"/>
  <c r="Z201" i="71"/>
  <c r="BW201" i="71" s="1"/>
  <c r="K242" i="78"/>
  <c r="L242" i="78" s="1"/>
  <c r="Z128" i="71"/>
  <c r="AO128" i="71" s="1"/>
  <c r="L140" i="74" s="1"/>
  <c r="K257" i="78"/>
  <c r="L257" i="78" s="1"/>
  <c r="Z105" i="71"/>
  <c r="AO105" i="71" s="1"/>
  <c r="L117" i="74" s="1"/>
  <c r="K121" i="78"/>
  <c r="L121" i="78" s="1"/>
  <c r="Z84" i="71"/>
  <c r="AO84" i="71" s="1"/>
  <c r="L96" i="74" s="1"/>
  <c r="K252" i="78"/>
  <c r="L252" i="78" s="1"/>
  <c r="Z16" i="71"/>
  <c r="AO16" i="71" s="1"/>
  <c r="L28" i="74" s="1"/>
  <c r="K178" i="78"/>
  <c r="L178" i="78" s="1"/>
  <c r="Z58" i="71"/>
  <c r="K68" i="78"/>
  <c r="L68" i="78" s="1"/>
  <c r="Z194" i="71"/>
  <c r="AO194" i="71" s="1"/>
  <c r="L206" i="74" s="1"/>
  <c r="K153" i="78"/>
  <c r="L153" i="78" s="1"/>
  <c r="Z157" i="71"/>
  <c r="K230" i="78"/>
  <c r="L230" i="78" s="1"/>
  <c r="Z151" i="71"/>
  <c r="K81" i="78"/>
  <c r="L81" i="78" s="1"/>
  <c r="Z117" i="71"/>
  <c r="AO117" i="71" s="1"/>
  <c r="L129" i="74" s="1"/>
  <c r="K254" i="78"/>
  <c r="L254" i="78" s="1"/>
  <c r="Z54" i="71"/>
  <c r="AO54" i="71" s="1"/>
  <c r="L66" i="74" s="1"/>
  <c r="K182" i="78"/>
  <c r="L182" i="78" s="1"/>
  <c r="Z61" i="71"/>
  <c r="AO61" i="71" s="1"/>
  <c r="L73" i="74" s="1"/>
  <c r="K183" i="78"/>
  <c r="L183" i="78" s="1"/>
  <c r="Z124" i="71"/>
  <c r="AO124" i="71" s="1"/>
  <c r="L136" i="74" s="1"/>
  <c r="K186" i="78"/>
  <c r="L186" i="78" s="1"/>
  <c r="Z92" i="71"/>
  <c r="K69" i="78"/>
  <c r="L69" i="78" s="1"/>
  <c r="Z41" i="71"/>
  <c r="AO41" i="71" s="1"/>
  <c r="L53" i="74" s="1"/>
  <c r="K100" i="78"/>
  <c r="L100" i="78" s="1"/>
  <c r="Z188" i="71"/>
  <c r="K84" i="78"/>
  <c r="L84" i="78" s="1"/>
  <c r="Z159" i="71"/>
  <c r="AO159" i="71" s="1"/>
  <c r="L171" i="74" s="1"/>
  <c r="K187" i="78"/>
  <c r="L187" i="78" s="1"/>
  <c r="Z42" i="71"/>
  <c r="AO42" i="71" s="1"/>
  <c r="L54" i="74" s="1"/>
  <c r="K101" i="78"/>
  <c r="L101" i="78" s="1"/>
  <c r="Z198" i="71"/>
  <c r="AO198" i="71" s="1"/>
  <c r="L210" i="74" s="1"/>
  <c r="K155" i="78"/>
  <c r="L155" i="78" s="1"/>
  <c r="Z88" i="71"/>
  <c r="AO88" i="71" s="1"/>
  <c r="L100" i="74" s="1"/>
  <c r="K253" i="78"/>
  <c r="L253" i="78" s="1"/>
  <c r="Z23" i="71"/>
  <c r="AO23" i="71" s="1"/>
  <c r="L35" i="74" s="1"/>
  <c r="K92" i="78"/>
  <c r="L92" i="78" s="1"/>
  <c r="Z10" i="71"/>
  <c r="K61" i="78"/>
  <c r="L61" i="78" s="1"/>
  <c r="Z142" i="71"/>
  <c r="AO142" i="71" s="1"/>
  <c r="L154" i="74" s="1"/>
  <c r="K134" i="78"/>
  <c r="L134" i="78" s="1"/>
  <c r="Z103" i="71"/>
  <c r="K71" i="78"/>
  <c r="L71" i="78" s="1"/>
  <c r="Z15" i="71"/>
  <c r="AO15" i="71" s="1"/>
  <c r="L27" i="74" s="1"/>
  <c r="K192" i="78"/>
  <c r="L192" i="78" s="1"/>
  <c r="Z208" i="71"/>
  <c r="AO208" i="71" s="1"/>
  <c r="L220" i="74" s="1"/>
  <c r="K265" i="78"/>
  <c r="L265" i="78" s="1"/>
  <c r="Z44" i="71"/>
  <c r="AO44" i="71" s="1"/>
  <c r="L56" i="74" s="1"/>
  <c r="K102" i="78"/>
  <c r="L102" i="78" s="1"/>
  <c r="Z193" i="71"/>
  <c r="AO193" i="71" s="1"/>
  <c r="L205" i="74" s="1"/>
  <c r="K264" i="78"/>
  <c r="L264" i="78" s="1"/>
  <c r="Z26" i="71"/>
  <c r="CN26" i="71" s="1"/>
  <c r="AF38" i="74" s="1"/>
  <c r="K195" i="78"/>
  <c r="L195" i="78" s="1"/>
  <c r="Z33" i="71"/>
  <c r="AO33" i="71" s="1"/>
  <c r="L45" i="74" s="1"/>
  <c r="K96" i="78"/>
  <c r="L96" i="78" s="1"/>
  <c r="Z107" i="71"/>
  <c r="AO107" i="71" s="1"/>
  <c r="L119" i="74" s="1"/>
  <c r="K122" i="78"/>
  <c r="L122" i="78" s="1"/>
  <c r="Z120" i="71"/>
  <c r="AO120" i="71" s="1"/>
  <c r="L132" i="74" s="1"/>
  <c r="K169" i="78"/>
  <c r="L169" i="78" s="1"/>
  <c r="Z104" i="71"/>
  <c r="AO104" i="71" s="1"/>
  <c r="L116" i="74" s="1"/>
  <c r="K120" i="78"/>
  <c r="L120" i="78" s="1"/>
  <c r="Z111" i="71"/>
  <c r="AO111" i="71" s="1"/>
  <c r="L123" i="74" s="1"/>
  <c r="K123" i="78"/>
  <c r="L123" i="78" s="1"/>
  <c r="Z66" i="71"/>
  <c r="AO66" i="71" s="1"/>
  <c r="L78" i="74" s="1"/>
  <c r="K247" i="78"/>
  <c r="L247" i="78" s="1"/>
  <c r="Z57" i="71"/>
  <c r="AO57" i="71" s="1"/>
  <c r="L69" i="74" s="1"/>
  <c r="K105" i="78"/>
  <c r="L105" i="78" s="1"/>
  <c r="BB95" i="56"/>
  <c r="BE95" i="56" s="1"/>
  <c r="BB200" i="56"/>
  <c r="BE200" i="56" s="1"/>
  <c r="BB201" i="56"/>
  <c r="BE201" i="56" s="1"/>
  <c r="BB55" i="56"/>
  <c r="BE55" i="56" s="1"/>
  <c r="BB78" i="56"/>
  <c r="BE78" i="56" s="1"/>
  <c r="BB64" i="56"/>
  <c r="BE64" i="56" s="1"/>
  <c r="BB72" i="56"/>
  <c r="BE72" i="56" s="1"/>
  <c r="BB23" i="56"/>
  <c r="BE23" i="56" s="1"/>
  <c r="Y113" i="71"/>
  <c r="V112" i="56"/>
  <c r="W112" i="56" s="1"/>
  <c r="F112" i="56" s="1"/>
  <c r="BB112" i="56" s="1"/>
  <c r="BE112" i="56" s="1"/>
  <c r="Y154" i="71"/>
  <c r="V153" i="56"/>
  <c r="W153" i="56" s="1"/>
  <c r="F153" i="56" s="1"/>
  <c r="BB153" i="56" s="1"/>
  <c r="BE153" i="56" s="1"/>
  <c r="Y77" i="71"/>
  <c r="V76" i="56"/>
  <c r="W76" i="56" s="1"/>
  <c r="F76" i="56" s="1"/>
  <c r="BB76" i="56" s="1"/>
  <c r="BE76" i="56" s="1"/>
  <c r="Y157" i="71"/>
  <c r="V156" i="56"/>
  <c r="W156" i="56" s="1"/>
  <c r="F156" i="56" s="1"/>
  <c r="BB156" i="56" s="1"/>
  <c r="BE156" i="56" s="1"/>
  <c r="Y52" i="71"/>
  <c r="V51" i="56"/>
  <c r="W51" i="56" s="1"/>
  <c r="F51" i="56" s="1"/>
  <c r="BB51" i="56" s="1"/>
  <c r="BE51" i="56" s="1"/>
  <c r="BB25" i="56"/>
  <c r="BE25" i="56" s="1"/>
  <c r="Y127" i="71"/>
  <c r="V126" i="56"/>
  <c r="W126" i="56" s="1"/>
  <c r="F126" i="56" s="1"/>
  <c r="BB126" i="56" s="1"/>
  <c r="BE126" i="56" s="1"/>
  <c r="Y184" i="71"/>
  <c r="V183" i="56"/>
  <c r="W183" i="56" s="1"/>
  <c r="F183" i="56" s="1"/>
  <c r="BB183" i="56" s="1"/>
  <c r="BE183" i="56" s="1"/>
  <c r="Y43" i="71"/>
  <c r="V42" i="56"/>
  <c r="W42" i="56" s="1"/>
  <c r="F42" i="56" s="1"/>
  <c r="BB42" i="56" s="1"/>
  <c r="BE42" i="56" s="1"/>
  <c r="BB75" i="56"/>
  <c r="BE75" i="56" s="1"/>
  <c r="Y72" i="71"/>
  <c r="V71" i="56"/>
  <c r="W71" i="56" s="1"/>
  <c r="F71" i="56" s="1"/>
  <c r="BB71" i="56" s="1"/>
  <c r="BE71" i="56" s="1"/>
  <c r="BB202" i="56"/>
  <c r="BE202" i="56" s="1"/>
  <c r="BB19" i="56"/>
  <c r="BE19" i="56" s="1"/>
  <c r="Y126" i="71"/>
  <c r="V125" i="56"/>
  <c r="W125" i="56" s="1"/>
  <c r="F125" i="56" s="1"/>
  <c r="BB125" i="56" s="1"/>
  <c r="BE125" i="56" s="1"/>
  <c r="Y175" i="71"/>
  <c r="V174" i="56"/>
  <c r="W174" i="56" s="1"/>
  <c r="F174" i="56" s="1"/>
  <c r="BB174" i="56" s="1"/>
  <c r="BE174" i="56" s="1"/>
  <c r="Y122" i="71"/>
  <c r="V121" i="56"/>
  <c r="W121" i="56" s="1"/>
  <c r="F121" i="56" s="1"/>
  <c r="BB121" i="56" s="1"/>
  <c r="BE121" i="56" s="1"/>
  <c r="Y135" i="71"/>
  <c r="V134" i="56"/>
  <c r="W134" i="56" s="1"/>
  <c r="F134" i="56" s="1"/>
  <c r="BB134" i="56" s="1"/>
  <c r="BE134" i="56" s="1"/>
  <c r="Y102" i="71"/>
  <c r="V101" i="56"/>
  <c r="W101" i="56" s="1"/>
  <c r="F101" i="56" s="1"/>
  <c r="BB101" i="56" s="1"/>
  <c r="BE101" i="56" s="1"/>
  <c r="Y8" i="71"/>
  <c r="V7" i="56"/>
  <c r="W7" i="56" s="1"/>
  <c r="F7" i="56" s="1"/>
  <c r="BB7" i="56" s="1"/>
  <c r="BE7" i="56" s="1"/>
  <c r="Y48" i="71"/>
  <c r="V47" i="56"/>
  <c r="W47" i="56" s="1"/>
  <c r="F47" i="56" s="1"/>
  <c r="BB47" i="56" s="1"/>
  <c r="BE47" i="56" s="1"/>
  <c r="Y35" i="71"/>
  <c r="V34" i="56"/>
  <c r="W34" i="56" s="1"/>
  <c r="F34" i="56" s="1"/>
  <c r="BB34" i="56" s="1"/>
  <c r="BE34" i="56" s="1"/>
  <c r="Y156" i="71"/>
  <c r="V155" i="56"/>
  <c r="W155" i="56" s="1"/>
  <c r="F155" i="56" s="1"/>
  <c r="BB155" i="56" s="1"/>
  <c r="BE155" i="56" s="1"/>
  <c r="Y183" i="71"/>
  <c r="V182" i="56"/>
  <c r="W182" i="56" s="1"/>
  <c r="F182" i="56" s="1"/>
  <c r="BB182" i="56" s="1"/>
  <c r="BE182" i="56" s="1"/>
  <c r="Y4" i="71"/>
  <c r="V3" i="56"/>
  <c r="W3" i="56" s="1"/>
  <c r="F3" i="56" s="1"/>
  <c r="E48" i="47"/>
  <c r="E49" i="47" s="1"/>
  <c r="E26" i="47" s="1"/>
  <c r="Y180" i="71"/>
  <c r="V179" i="56"/>
  <c r="W179" i="56" s="1"/>
  <c r="F179" i="56" s="1"/>
  <c r="BB179" i="56" s="1"/>
  <c r="BE179" i="56" s="1"/>
  <c r="Y155" i="71"/>
  <c r="V154" i="56"/>
  <c r="W154" i="56" s="1"/>
  <c r="F154" i="56" s="1"/>
  <c r="BB154" i="56" s="1"/>
  <c r="BE154" i="56" s="1"/>
  <c r="Y129" i="71"/>
  <c r="V128" i="56"/>
  <c r="W128" i="56" s="1"/>
  <c r="F128" i="56" s="1"/>
  <c r="BB128" i="56" s="1"/>
  <c r="BE128" i="56" s="1"/>
  <c r="Y181" i="71"/>
  <c r="V180" i="56"/>
  <c r="W180" i="56" s="1"/>
  <c r="F180" i="56" s="1"/>
  <c r="BB180" i="56" s="1"/>
  <c r="BE180" i="56" s="1"/>
  <c r="Y176" i="71"/>
  <c r="V175" i="56"/>
  <c r="W175" i="56" s="1"/>
  <c r="F175" i="56" s="1"/>
  <c r="BB175" i="56" s="1"/>
  <c r="BE175" i="56" s="1"/>
  <c r="Y204" i="71"/>
  <c r="V203" i="56"/>
  <c r="W203" i="56" s="1"/>
  <c r="F203" i="56" s="1"/>
  <c r="BB203" i="56" s="1"/>
  <c r="BE203" i="56" s="1"/>
  <c r="Y121" i="71"/>
  <c r="V120" i="56"/>
  <c r="W120" i="56" s="1"/>
  <c r="F120" i="56" s="1"/>
  <c r="BB120" i="56" s="1"/>
  <c r="BE120" i="56" s="1"/>
  <c r="Y100" i="71"/>
  <c r="V99" i="56"/>
  <c r="W99" i="56" s="1"/>
  <c r="F99" i="56" s="1"/>
  <c r="BB99" i="56" s="1"/>
  <c r="BE99" i="56" s="1"/>
  <c r="Y199" i="71"/>
  <c r="V198" i="56"/>
  <c r="W198" i="56" s="1"/>
  <c r="F198" i="56" s="1"/>
  <c r="BB198" i="56" s="1"/>
  <c r="BE198" i="56" s="1"/>
  <c r="Y67" i="71"/>
  <c r="V66" i="56"/>
  <c r="W66" i="56" s="1"/>
  <c r="F66" i="56" s="1"/>
  <c r="BB66" i="56" s="1"/>
  <c r="BE66" i="56" s="1"/>
  <c r="Y197" i="71"/>
  <c r="V196" i="56"/>
  <c r="W196" i="56" s="1"/>
  <c r="F196" i="56" s="1"/>
  <c r="BB196" i="56" s="1"/>
  <c r="BE196" i="56" s="1"/>
  <c r="Y94" i="71"/>
  <c r="V93" i="56"/>
  <c r="W93" i="56" s="1"/>
  <c r="F93" i="56" s="1"/>
  <c r="BB93" i="56" s="1"/>
  <c r="BE93" i="56" s="1"/>
  <c r="Y49" i="71"/>
  <c r="V48" i="56"/>
  <c r="W48" i="56" s="1"/>
  <c r="F48" i="56" s="1"/>
  <c r="BB48" i="56" s="1"/>
  <c r="BE48" i="56" s="1"/>
  <c r="Y179" i="71"/>
  <c r="V178" i="56"/>
  <c r="W178" i="56" s="1"/>
  <c r="F178" i="56" s="1"/>
  <c r="BB178" i="56" s="1"/>
  <c r="BE178" i="56" s="1"/>
  <c r="Y91" i="71"/>
  <c r="V90" i="56"/>
  <c r="W90" i="56" s="1"/>
  <c r="F90" i="56" s="1"/>
  <c r="BB90" i="56" s="1"/>
  <c r="BE90" i="56" s="1"/>
  <c r="Y132" i="71"/>
  <c r="V131" i="56"/>
  <c r="W131" i="56" s="1"/>
  <c r="F131" i="56" s="1"/>
  <c r="BB131" i="56" s="1"/>
  <c r="BE131" i="56" s="1"/>
  <c r="Y178" i="71"/>
  <c r="V177" i="56"/>
  <c r="W177" i="56" s="1"/>
  <c r="F177" i="56" s="1"/>
  <c r="BB177" i="56" s="1"/>
  <c r="BE177" i="56" s="1"/>
  <c r="Y15" i="71"/>
  <c r="V14" i="56"/>
  <c r="W14" i="56" s="1"/>
  <c r="F14" i="56" s="1"/>
  <c r="BB14" i="56" s="1"/>
  <c r="BE14" i="56" s="1"/>
  <c r="Y38" i="71"/>
  <c r="V37" i="56"/>
  <c r="W37" i="56" s="1"/>
  <c r="F37" i="56" s="1"/>
  <c r="BB37" i="56" s="1"/>
  <c r="BE37" i="56" s="1"/>
  <c r="BB194" i="56"/>
  <c r="BE194" i="56" s="1"/>
  <c r="BB33" i="56"/>
  <c r="BE33" i="56" s="1"/>
  <c r="Y83" i="71"/>
  <c r="V82" i="56"/>
  <c r="W82" i="56" s="1"/>
  <c r="F82" i="56" s="1"/>
  <c r="BB82" i="56" s="1"/>
  <c r="BE82" i="56" s="1"/>
  <c r="Z113" i="71"/>
  <c r="AO113" i="71" s="1"/>
  <c r="L125" i="74" s="1"/>
  <c r="Z16" i="72"/>
  <c r="AO16" i="72" s="1"/>
  <c r="Z21" i="71"/>
  <c r="Z4" i="72"/>
  <c r="Z140" i="71"/>
  <c r="AO140" i="71" s="1"/>
  <c r="L152" i="74" s="1"/>
  <c r="Z19" i="72"/>
  <c r="AO19" i="72" s="1"/>
  <c r="Z138" i="71"/>
  <c r="AO138" i="71" s="1"/>
  <c r="L150" i="74" s="1"/>
  <c r="Z18" i="72"/>
  <c r="AO18" i="72" s="1"/>
  <c r="Z108" i="71"/>
  <c r="Z14" i="72"/>
  <c r="Z67" i="71"/>
  <c r="AO67" i="71" s="1"/>
  <c r="L79" i="74" s="1"/>
  <c r="Z7" i="72"/>
  <c r="BW7" i="72" s="1"/>
  <c r="Z50" i="71"/>
  <c r="AO50" i="71" s="1"/>
  <c r="L62" i="74" s="1"/>
  <c r="Z5" i="72"/>
  <c r="AO5" i="72" s="1"/>
  <c r="Z141" i="71"/>
  <c r="AO141" i="71" s="1"/>
  <c r="L153" i="74" s="1"/>
  <c r="Z20" i="72"/>
  <c r="AO20" i="72" s="1"/>
  <c r="Z102" i="71"/>
  <c r="AO102" i="71" s="1"/>
  <c r="L114" i="74" s="1"/>
  <c r="Z13" i="72"/>
  <c r="CN13" i="72" s="1"/>
  <c r="Z74" i="71"/>
  <c r="AO74" i="71" s="1"/>
  <c r="L86" i="74" s="1"/>
  <c r="Z11" i="72"/>
  <c r="AO11" i="72" s="1"/>
  <c r="Z174" i="71"/>
  <c r="Z21" i="72"/>
  <c r="Z70" i="71"/>
  <c r="AO70" i="71" s="1"/>
  <c r="L82" i="74" s="1"/>
  <c r="Z9" i="72"/>
  <c r="AO9" i="72" s="1"/>
  <c r="Z63" i="71"/>
  <c r="AO63" i="71" s="1"/>
  <c r="L75" i="74" s="1"/>
  <c r="Z6" i="72"/>
  <c r="AO6" i="72" s="1"/>
  <c r="Z68" i="71"/>
  <c r="AO68" i="71" s="1"/>
  <c r="L80" i="74" s="1"/>
  <c r="Z8" i="72"/>
  <c r="AO8" i="72" s="1"/>
  <c r="Z109" i="71"/>
  <c r="Z15" i="72"/>
  <c r="Z136" i="71"/>
  <c r="Z17" i="72"/>
  <c r="AO135" i="71"/>
  <c r="L147" i="74" s="1"/>
  <c r="AO157" i="71"/>
  <c r="L169" i="74" s="1"/>
  <c r="AO52" i="71"/>
  <c r="L64" i="74" s="1"/>
  <c r="AO121" i="71"/>
  <c r="L133" i="74" s="1"/>
  <c r="G78" i="66"/>
  <c r="Y79" i="71"/>
  <c r="G64" i="66"/>
  <c r="Y65" i="71"/>
  <c r="G200" i="66"/>
  <c r="Y202" i="71"/>
  <c r="G199" i="66"/>
  <c r="Y201" i="71"/>
  <c r="G94" i="66"/>
  <c r="Y95" i="71"/>
  <c r="G25" i="66"/>
  <c r="Y26" i="71"/>
  <c r="G193" i="66"/>
  <c r="Y195" i="71"/>
  <c r="G75" i="66"/>
  <c r="Y76" i="71"/>
  <c r="G201" i="66"/>
  <c r="Y203" i="71"/>
  <c r="G19" i="66"/>
  <c r="Y20" i="71"/>
  <c r="G55" i="66"/>
  <c r="Y56" i="71"/>
  <c r="G33" i="66"/>
  <c r="Y34" i="71"/>
  <c r="G72" i="66"/>
  <c r="Y73" i="71"/>
  <c r="G23" i="66"/>
  <c r="Y24" i="71"/>
  <c r="G95" i="66"/>
  <c r="Y96" i="71"/>
  <c r="G202" i="66"/>
  <c r="Z204" i="71"/>
  <c r="AO204" i="71" s="1"/>
  <c r="L216" i="74" s="1"/>
  <c r="G152" i="66"/>
  <c r="Z154" i="71"/>
  <c r="BW154" i="71" s="1"/>
  <c r="G99" i="66"/>
  <c r="Z100" i="71"/>
  <c r="G173" i="66"/>
  <c r="Z175" i="71"/>
  <c r="AO175" i="71" s="1"/>
  <c r="L187" i="74" s="1"/>
  <c r="G178" i="66"/>
  <c r="Z180" i="71"/>
  <c r="G42" i="66"/>
  <c r="Z43" i="71"/>
  <c r="BW43" i="71" s="1"/>
  <c r="G82" i="66"/>
  <c r="Z83" i="71"/>
  <c r="AO83" i="71" s="1"/>
  <c r="L95" i="74" s="1"/>
  <c r="G7" i="66"/>
  <c r="Z8" i="71"/>
  <c r="BF8" i="71" s="1"/>
  <c r="G153" i="66"/>
  <c r="Z155" i="71"/>
  <c r="G197" i="66"/>
  <c r="Z199" i="71"/>
  <c r="AO199" i="71" s="1"/>
  <c r="L211" i="74" s="1"/>
  <c r="G195" i="66"/>
  <c r="Z197" i="71"/>
  <c r="AO197" i="71" s="1"/>
  <c r="L209" i="74" s="1"/>
  <c r="G34" i="66"/>
  <c r="Z35" i="71"/>
  <c r="CN35" i="71" s="1"/>
  <c r="AF47" i="74" s="1"/>
  <c r="G176" i="66"/>
  <c r="Z178" i="71"/>
  <c r="AO178" i="71" s="1"/>
  <c r="L190" i="74" s="1"/>
  <c r="G182" i="66"/>
  <c r="Z184" i="71"/>
  <c r="BW184" i="71" s="1"/>
  <c r="G174" i="66"/>
  <c r="Z176" i="71"/>
  <c r="CN176" i="71" s="1"/>
  <c r="G128" i="66"/>
  <c r="Z129" i="71"/>
  <c r="AO129" i="71" s="1"/>
  <c r="L141" i="74" s="1"/>
  <c r="G125" i="66"/>
  <c r="Z126" i="71"/>
  <c r="G181" i="66"/>
  <c r="Z183" i="71"/>
  <c r="AO183" i="71" s="1"/>
  <c r="L195" i="74" s="1"/>
  <c r="G93" i="66"/>
  <c r="Z94" i="71"/>
  <c r="AO94" i="71" s="1"/>
  <c r="L106" i="74" s="1"/>
  <c r="G177" i="66"/>
  <c r="Z179" i="71"/>
  <c r="CN179" i="71" s="1"/>
  <c r="G131" i="66"/>
  <c r="Z132" i="71"/>
  <c r="BF132" i="71" s="1"/>
  <c r="G47" i="66"/>
  <c r="Z48" i="71"/>
  <c r="CN48" i="71" s="1"/>
  <c r="AF60" i="74" s="1"/>
  <c r="G154" i="66"/>
  <c r="Z156" i="71"/>
  <c r="AO156" i="71" s="1"/>
  <c r="L168" i="74" s="1"/>
  <c r="G133" i="66"/>
  <c r="G120" i="66"/>
  <c r="G37" i="66"/>
  <c r="G121" i="66"/>
  <c r="G14" i="66"/>
  <c r="G126" i="66"/>
  <c r="G155" i="66"/>
  <c r="G76" i="66"/>
  <c r="G51" i="66"/>
  <c r="F185" i="66"/>
  <c r="G185" i="66"/>
  <c r="F180" i="66"/>
  <c r="G180" i="66"/>
  <c r="F130" i="66"/>
  <c r="G130" i="66"/>
  <c r="F118" i="66"/>
  <c r="G118" i="66"/>
  <c r="F74" i="66"/>
  <c r="G74" i="66"/>
  <c r="F124" i="66"/>
  <c r="G124" i="66"/>
  <c r="F53" i="66"/>
  <c r="G53" i="66"/>
  <c r="F165" i="66"/>
  <c r="G165" i="66"/>
  <c r="F11" i="66"/>
  <c r="G11" i="66"/>
  <c r="F170" i="66"/>
  <c r="G170" i="66"/>
  <c r="F39" i="66"/>
  <c r="G39" i="66"/>
  <c r="F169" i="66"/>
  <c r="G169" i="66"/>
  <c r="F146" i="66"/>
  <c r="G146" i="66"/>
  <c r="F141" i="66"/>
  <c r="G141" i="66"/>
  <c r="F122" i="66"/>
  <c r="G122" i="66"/>
  <c r="F27" i="66"/>
  <c r="G27" i="66"/>
  <c r="F24" i="66"/>
  <c r="G24" i="66"/>
  <c r="F6" i="66"/>
  <c r="G6" i="66"/>
  <c r="F30" i="66"/>
  <c r="G30" i="66"/>
  <c r="F137" i="66"/>
  <c r="G137" i="66"/>
  <c r="F79" i="66"/>
  <c r="G79" i="66"/>
  <c r="F60" i="66"/>
  <c r="G60" i="66"/>
  <c r="F123" i="66"/>
  <c r="G123" i="66"/>
  <c r="F8" i="66"/>
  <c r="G8" i="66"/>
  <c r="F175" i="66"/>
  <c r="G175" i="66"/>
  <c r="F38" i="66"/>
  <c r="G38" i="66"/>
  <c r="F92" i="66"/>
  <c r="G92" i="66"/>
  <c r="F68" i="66"/>
  <c r="G68" i="66"/>
  <c r="F117" i="66"/>
  <c r="G117" i="66"/>
  <c r="F21" i="66"/>
  <c r="G21" i="66"/>
  <c r="F135" i="66"/>
  <c r="G135" i="66"/>
  <c r="F188" i="66"/>
  <c r="G188" i="66"/>
  <c r="F36" i="66"/>
  <c r="G36" i="66"/>
  <c r="F160" i="66"/>
  <c r="G160" i="66"/>
  <c r="F80" i="66"/>
  <c r="G80" i="66"/>
  <c r="F162" i="66"/>
  <c r="G162" i="66"/>
  <c r="F142" i="66"/>
  <c r="G142" i="66"/>
  <c r="F45" i="66"/>
  <c r="G45" i="66"/>
  <c r="F70" i="66"/>
  <c r="G70" i="66"/>
  <c r="F168" i="66"/>
  <c r="G168" i="66"/>
  <c r="F59" i="66"/>
  <c r="G59" i="66"/>
  <c r="F97" i="66"/>
  <c r="G97" i="66"/>
  <c r="F10" i="66"/>
  <c r="G10" i="66"/>
  <c r="F151" i="66"/>
  <c r="G151" i="66"/>
  <c r="F183" i="66"/>
  <c r="G183" i="66"/>
  <c r="F89" i="66"/>
  <c r="G89" i="66"/>
  <c r="F194" i="66"/>
  <c r="G194" i="66"/>
  <c r="F40" i="66"/>
  <c r="G40" i="66"/>
  <c r="F147" i="66"/>
  <c r="G147" i="66"/>
  <c r="F111" i="66"/>
  <c r="G111" i="66"/>
  <c r="F88" i="66"/>
  <c r="G88" i="66"/>
  <c r="F17" i="66"/>
  <c r="G17" i="66"/>
  <c r="F58" i="66"/>
  <c r="G58" i="66"/>
  <c r="F12" i="66"/>
  <c r="G12" i="66"/>
  <c r="F98" i="66"/>
  <c r="G98" i="66"/>
  <c r="F4" i="66"/>
  <c r="G4" i="66"/>
  <c r="F84" i="66"/>
  <c r="G84" i="66"/>
  <c r="F166" i="66"/>
  <c r="G166" i="66"/>
  <c r="F187" i="66"/>
  <c r="G187" i="66"/>
  <c r="F159" i="66"/>
  <c r="G159" i="66"/>
  <c r="F167" i="66"/>
  <c r="G167" i="66"/>
  <c r="F157" i="66"/>
  <c r="G157" i="66"/>
  <c r="F41" i="66"/>
  <c r="G41" i="66"/>
  <c r="F196" i="66"/>
  <c r="G196" i="66"/>
  <c r="F87" i="66"/>
  <c r="G87" i="66"/>
  <c r="F22" i="66"/>
  <c r="G22" i="66"/>
  <c r="F26" i="66"/>
  <c r="G26" i="66"/>
  <c r="F150" i="66"/>
  <c r="G150" i="66"/>
  <c r="F16" i="66"/>
  <c r="G16" i="66"/>
  <c r="F143" i="66"/>
  <c r="G143" i="66"/>
  <c r="F127" i="66"/>
  <c r="G127" i="66"/>
  <c r="F104" i="66"/>
  <c r="G104" i="66"/>
  <c r="F83" i="66"/>
  <c r="G83" i="66"/>
  <c r="F15" i="66"/>
  <c r="G15" i="66"/>
  <c r="F192" i="66"/>
  <c r="G192" i="66"/>
  <c r="F204" i="66"/>
  <c r="G204" i="66"/>
  <c r="F164" i="66"/>
  <c r="G164" i="66"/>
  <c r="F163" i="66"/>
  <c r="G163" i="66"/>
  <c r="F63" i="66"/>
  <c r="G63" i="66"/>
  <c r="F144" i="66"/>
  <c r="G144" i="66"/>
  <c r="F96" i="66"/>
  <c r="G96" i="66"/>
  <c r="F46" i="66"/>
  <c r="G46" i="66"/>
  <c r="F43" i="66"/>
  <c r="G43" i="66"/>
  <c r="F191" i="66"/>
  <c r="G191" i="66"/>
  <c r="F32" i="66"/>
  <c r="G32" i="66"/>
  <c r="F106" i="66"/>
  <c r="G106" i="66"/>
  <c r="F119" i="66"/>
  <c r="G119" i="66"/>
  <c r="F103" i="66"/>
  <c r="G103" i="66"/>
  <c r="F110" i="66"/>
  <c r="G110" i="66"/>
  <c r="F65" i="66"/>
  <c r="G65" i="66"/>
  <c r="F56" i="66"/>
  <c r="G56" i="66"/>
  <c r="F86" i="66"/>
  <c r="G86" i="66"/>
  <c r="F190" i="66"/>
  <c r="G190" i="66"/>
  <c r="F44" i="66"/>
  <c r="G44" i="66"/>
  <c r="F116" i="66"/>
  <c r="G116" i="66"/>
  <c r="F18" i="66"/>
  <c r="G18" i="66"/>
  <c r="F61" i="66"/>
  <c r="G61" i="66"/>
  <c r="F171" i="66"/>
  <c r="G171" i="66"/>
  <c r="F115" i="66"/>
  <c r="G115" i="66"/>
  <c r="F148" i="66"/>
  <c r="G148" i="66"/>
  <c r="F85" i="66"/>
  <c r="G85" i="66"/>
  <c r="F140" i="66"/>
  <c r="G140" i="66"/>
  <c r="F28" i="66"/>
  <c r="G28" i="66"/>
  <c r="F184" i="66"/>
  <c r="G184" i="66"/>
  <c r="F77" i="66"/>
  <c r="G77" i="66"/>
  <c r="F156" i="66"/>
  <c r="G156" i="66"/>
  <c r="F161" i="66"/>
  <c r="G161" i="66"/>
  <c r="F81" i="66"/>
  <c r="G81" i="66"/>
  <c r="F54" i="66"/>
  <c r="G54" i="66"/>
  <c r="G48" i="66"/>
  <c r="U206" i="16"/>
  <c r="CN56" i="71"/>
  <c r="AF68" i="74" s="1"/>
  <c r="CN146" i="71"/>
  <c r="BW146" i="71"/>
  <c r="BW167" i="71"/>
  <c r="CN99" i="71"/>
  <c r="BW99" i="71"/>
  <c r="CN52" i="71"/>
  <c r="AF64" i="74" s="1"/>
  <c r="CN5" i="71"/>
  <c r="AF17" i="74" s="1"/>
  <c r="BW5" i="71"/>
  <c r="CN139" i="71"/>
  <c r="BW139" i="71"/>
  <c r="CN81" i="71"/>
  <c r="BW81" i="71"/>
  <c r="CN39" i="71"/>
  <c r="AF51" i="74" s="1"/>
  <c r="BW39" i="71"/>
  <c r="CN24" i="71"/>
  <c r="AF36" i="74" s="1"/>
  <c r="CN165" i="71"/>
  <c r="BW165" i="71"/>
  <c r="CN79" i="71"/>
  <c r="CN90" i="71"/>
  <c r="BW90" i="71"/>
  <c r="CN170" i="71"/>
  <c r="BW170" i="71"/>
  <c r="CN148" i="71"/>
  <c r="BW148" i="71"/>
  <c r="CN121" i="71"/>
  <c r="BW89" i="71"/>
  <c r="BW162" i="71"/>
  <c r="CN202" i="71"/>
  <c r="CN25" i="71"/>
  <c r="AF37" i="74" s="1"/>
  <c r="BW25" i="71"/>
  <c r="CN95" i="71"/>
  <c r="CN88" i="71"/>
  <c r="BW88" i="71"/>
  <c r="CN143" i="71"/>
  <c r="CN152" i="71"/>
  <c r="CN128" i="71"/>
  <c r="BW120" i="71"/>
  <c r="CN173" i="71"/>
  <c r="BW173" i="71"/>
  <c r="CN29" i="71"/>
  <c r="AF41" i="74" s="1"/>
  <c r="BW163" i="71"/>
  <c r="CN55" i="71"/>
  <c r="AF67" i="74" s="1"/>
  <c r="BW55" i="71"/>
  <c r="CN157" i="71"/>
  <c r="CN131" i="71"/>
  <c r="BW131" i="71"/>
  <c r="CN119" i="71"/>
  <c r="BW119" i="71"/>
  <c r="CN192" i="71"/>
  <c r="BW192" i="71"/>
  <c r="F76" i="66"/>
  <c r="F155" i="66"/>
  <c r="BW157" i="71"/>
  <c r="F51" i="66"/>
  <c r="BW52" i="71"/>
  <c r="F25" i="66"/>
  <c r="F126" i="66"/>
  <c r="F201" i="66"/>
  <c r="F19" i="66"/>
  <c r="BW20" i="71"/>
  <c r="F7" i="66"/>
  <c r="F202" i="66"/>
  <c r="F120" i="66"/>
  <c r="BW121" i="71"/>
  <c r="F197" i="66"/>
  <c r="F55" i="66"/>
  <c r="BW56" i="71"/>
  <c r="F93" i="66"/>
  <c r="F48" i="66"/>
  <c r="F177" i="66"/>
  <c r="F193" i="66"/>
  <c r="F33" i="66"/>
  <c r="F94" i="66"/>
  <c r="BW95" i="71"/>
  <c r="F82" i="66"/>
  <c r="F181" i="66"/>
  <c r="F174" i="66"/>
  <c r="F99" i="66"/>
  <c r="F131" i="66"/>
  <c r="F200" i="66"/>
  <c r="BW202" i="71"/>
  <c r="F125" i="66"/>
  <c r="F176" i="66"/>
  <c r="F47" i="66"/>
  <c r="F154" i="66"/>
  <c r="F23" i="66"/>
  <c r="BW24" i="71"/>
  <c r="F182" i="66"/>
  <c r="F173" i="66"/>
  <c r="F152" i="66"/>
  <c r="F42" i="66"/>
  <c r="F75" i="66"/>
  <c r="F34" i="66"/>
  <c r="F72" i="66"/>
  <c r="F178" i="66"/>
  <c r="F153" i="66"/>
  <c r="F128" i="66"/>
  <c r="F95" i="66"/>
  <c r="F195" i="66"/>
  <c r="F121" i="66"/>
  <c r="F78" i="66"/>
  <c r="BW79" i="71"/>
  <c r="F133" i="66"/>
  <c r="F64" i="66"/>
  <c r="F199" i="66"/>
  <c r="F14" i="66"/>
  <c r="F37" i="66"/>
  <c r="BF29" i="71"/>
  <c r="BF131" i="71"/>
  <c r="BF143" i="71"/>
  <c r="BF119" i="71"/>
  <c r="BF25" i="71"/>
  <c r="BF90" i="71"/>
  <c r="BF196" i="71"/>
  <c r="BF139" i="71"/>
  <c r="BF39" i="71"/>
  <c r="BF128" i="71"/>
  <c r="BF163" i="71"/>
  <c r="BF167" i="71"/>
  <c r="BF162" i="71"/>
  <c r="BF5" i="71"/>
  <c r="BF148" i="71"/>
  <c r="BF88" i="71"/>
  <c r="BF81" i="71"/>
  <c r="BF165" i="71"/>
  <c r="BF64" i="71"/>
  <c r="BF146" i="71"/>
  <c r="BF99" i="71"/>
  <c r="BF170" i="71"/>
  <c r="BF173" i="71"/>
  <c r="BF112" i="71"/>
  <c r="BF55" i="71"/>
  <c r="BF20" i="71"/>
  <c r="BF135" i="71"/>
  <c r="BF34" i="71"/>
  <c r="BF157" i="71"/>
  <c r="BF24" i="71"/>
  <c r="BF56" i="71"/>
  <c r="BF79" i="71"/>
  <c r="BF95" i="71"/>
  <c r="BF52" i="71"/>
  <c r="BF121" i="71"/>
  <c r="H214" i="68"/>
  <c r="H228" i="68"/>
  <c r="H213" i="68"/>
  <c r="H226" i="68"/>
  <c r="H225" i="68"/>
  <c r="H211" i="68"/>
  <c r="H224" i="68"/>
  <c r="H216" i="68"/>
  <c r="H222" i="68"/>
  <c r="H215" i="68"/>
  <c r="H218" i="68"/>
  <c r="H223" i="68"/>
  <c r="H227" i="68"/>
  <c r="H220" i="68"/>
  <c r="H221" i="68"/>
  <c r="H212" i="68"/>
  <c r="X14" i="72"/>
  <c r="Y14" i="72" s="1"/>
  <c r="X17" i="72"/>
  <c r="Y17" i="72" s="1"/>
  <c r="X15" i="72"/>
  <c r="Y15" i="72" s="1"/>
  <c r="X21" i="72"/>
  <c r="Y21" i="72" s="1"/>
  <c r="X4" i="72"/>
  <c r="Y4" i="72" s="1"/>
  <c r="X14" i="71"/>
  <c r="X101" i="71"/>
  <c r="X147" i="71"/>
  <c r="X58" i="71"/>
  <c r="X106" i="71"/>
  <c r="X21" i="71"/>
  <c r="X36" i="71"/>
  <c r="X136" i="71"/>
  <c r="X92" i="71"/>
  <c r="X103" i="71"/>
  <c r="X200" i="71"/>
  <c r="X110" i="71"/>
  <c r="X32" i="71"/>
  <c r="X51" i="71"/>
  <c r="X108" i="71"/>
  <c r="X115" i="71"/>
  <c r="X109" i="71"/>
  <c r="X205" i="71"/>
  <c r="X130" i="71"/>
  <c r="X30" i="71"/>
  <c r="X151" i="71"/>
  <c r="X160" i="71"/>
  <c r="X10" i="71"/>
  <c r="X188" i="71"/>
  <c r="X114" i="71"/>
  <c r="X174" i="71"/>
  <c r="U205" i="16"/>
  <c r="K206" i="78" s="1"/>
  <c r="L206" i="78" s="1"/>
  <c r="U46" i="16"/>
  <c r="E67" i="47"/>
  <c r="E68" i="47" s="1"/>
  <c r="U4" i="16"/>
  <c r="U128" i="16"/>
  <c r="U85" i="16"/>
  <c r="K190" i="78" s="1"/>
  <c r="L190" i="78" s="1"/>
  <c r="U65" i="16"/>
  <c r="U113" i="16"/>
  <c r="BW118" i="71" l="1"/>
  <c r="BF62" i="71"/>
  <c r="CN167" i="71"/>
  <c r="BW143" i="71"/>
  <c r="BF118" i="71"/>
  <c r="CN64" i="71"/>
  <c r="BF169" i="71"/>
  <c r="CN169" i="71"/>
  <c r="BF164" i="71"/>
  <c r="BF80" i="71"/>
  <c r="BF12" i="71"/>
  <c r="BW34" i="71"/>
  <c r="CN13" i="71"/>
  <c r="AF25" i="74" s="1"/>
  <c r="BF37" i="71"/>
  <c r="BW13" i="71"/>
  <c r="BF60" i="71"/>
  <c r="CN163" i="71"/>
  <c r="BW29" i="71"/>
  <c r="BF177" i="71"/>
  <c r="CN164" i="71"/>
  <c r="CN135" i="71"/>
  <c r="BW152" i="71"/>
  <c r="BW164" i="71"/>
  <c r="BW80" i="71"/>
  <c r="BW177" i="71"/>
  <c r="BF98" i="71"/>
  <c r="BW12" i="71"/>
  <c r="BW149" i="71"/>
  <c r="CN177" i="71"/>
  <c r="L16" i="78"/>
  <c r="K16" i="78"/>
  <c r="CN80" i="71"/>
  <c r="BF9" i="71"/>
  <c r="BF13" i="71"/>
  <c r="BF152" i="71"/>
  <c r="BW187" i="71"/>
  <c r="CN12" i="71"/>
  <c r="AF24" i="74" s="1"/>
  <c r="BW9" i="71"/>
  <c r="BW169" i="71"/>
  <c r="CN9" i="71"/>
  <c r="AF21" i="74" s="1"/>
  <c r="BF120" i="71"/>
  <c r="BF89" i="71"/>
  <c r="BW98" i="71"/>
  <c r="CN120" i="71"/>
  <c r="BW128" i="71"/>
  <c r="BW193" i="71"/>
  <c r="BF105" i="71"/>
  <c r="BF187" i="71"/>
  <c r="CN60" i="71"/>
  <c r="CN62" i="71"/>
  <c r="CN166" i="71"/>
  <c r="P16" i="78"/>
  <c r="O16" i="78"/>
  <c r="H16" i="78"/>
  <c r="N16" i="78"/>
  <c r="M16" i="78"/>
  <c r="J16" i="78"/>
  <c r="I16" i="78"/>
  <c r="BW60" i="71"/>
  <c r="CN118" i="71"/>
  <c r="BW64" i="71"/>
  <c r="CN162" i="71"/>
  <c r="BF192" i="71"/>
  <c r="BF85" i="71"/>
  <c r="BW45" i="71"/>
  <c r="CN104" i="71"/>
  <c r="BW112" i="71"/>
  <c r="BW85" i="71"/>
  <c r="BF45" i="71"/>
  <c r="CN45" i="71"/>
  <c r="AF57" i="74" s="1"/>
  <c r="CN112" i="71"/>
  <c r="CN85" i="71"/>
  <c r="BW62" i="71"/>
  <c r="CN105" i="71"/>
  <c r="BF193" i="71"/>
  <c r="CN149" i="71"/>
  <c r="BW37" i="71"/>
  <c r="BF116" i="71"/>
  <c r="CN73" i="71"/>
  <c r="CN41" i="71"/>
  <c r="AF53" i="74" s="1"/>
  <c r="BF111" i="71"/>
  <c r="BW117" i="71"/>
  <c r="BF125" i="71"/>
  <c r="BF84" i="71"/>
  <c r="BW166" i="71"/>
  <c r="CN187" i="71"/>
  <c r="CN98" i="71"/>
  <c r="CN86" i="71"/>
  <c r="BF75" i="71"/>
  <c r="BF44" i="71"/>
  <c r="CN193" i="71"/>
  <c r="BF149" i="71"/>
  <c r="BW84" i="71"/>
  <c r="CN37" i="71"/>
  <c r="AF49" i="74" s="1"/>
  <c r="CN77" i="71"/>
  <c r="CN84" i="71"/>
  <c r="CN89" i="71"/>
  <c r="BW137" i="71"/>
  <c r="BF206" i="71"/>
  <c r="CN27" i="71"/>
  <c r="AF39" i="74" s="1"/>
  <c r="CN124" i="71"/>
  <c r="BF117" i="71"/>
  <c r="BW158" i="71"/>
  <c r="BW82" i="71"/>
  <c r="BF38" i="71"/>
  <c r="BF104" i="71"/>
  <c r="BF42" i="71"/>
  <c r="BW41" i="71"/>
  <c r="BW123" i="71"/>
  <c r="CN123" i="71"/>
  <c r="BW40" i="71"/>
  <c r="CN61" i="71"/>
  <c r="BF86" i="71"/>
  <c r="BW7" i="71"/>
  <c r="BF127" i="71"/>
  <c r="BF17" i="71"/>
  <c r="BF144" i="71"/>
  <c r="BF186" i="71"/>
  <c r="BW86" i="71"/>
  <c r="BF97" i="71"/>
  <c r="BW38" i="71"/>
  <c r="CN57" i="71"/>
  <c r="CN28" i="71"/>
  <c r="AF40" i="74" s="1"/>
  <c r="CN59" i="71"/>
  <c r="BW150" i="71"/>
  <c r="CN153" i="71"/>
  <c r="BF46" i="71"/>
  <c r="BF69" i="71"/>
  <c r="BF40" i="71"/>
  <c r="BF161" i="71"/>
  <c r="BF123" i="71"/>
  <c r="BW18" i="71"/>
  <c r="BW189" i="71"/>
  <c r="CN150" i="71"/>
  <c r="CN7" i="71"/>
  <c r="AF19" i="74" s="1"/>
  <c r="BW182" i="71"/>
  <c r="BF189" i="71"/>
  <c r="BW77" i="71"/>
  <c r="CN127" i="71"/>
  <c r="CN196" i="71"/>
  <c r="CN18" i="71"/>
  <c r="AF30" i="74" s="1"/>
  <c r="CN189" i="71"/>
  <c r="CN182" i="71"/>
  <c r="CN122" i="71"/>
  <c r="AO122" i="71"/>
  <c r="L134" i="74" s="1"/>
  <c r="BF145" i="71"/>
  <c r="BF16" i="71"/>
  <c r="BW145" i="71"/>
  <c r="CN22" i="71"/>
  <c r="AF34" i="74" s="1"/>
  <c r="CN97" i="71"/>
  <c r="BW172" i="71"/>
  <c r="CN116" i="71"/>
  <c r="BW17" i="71"/>
  <c r="BF73" i="71"/>
  <c r="BF78" i="71"/>
  <c r="BF150" i="71"/>
  <c r="BF61" i="71"/>
  <c r="BW78" i="71"/>
  <c r="CN15" i="71"/>
  <c r="AF27" i="74" s="1"/>
  <c r="CN17" i="71"/>
  <c r="AF29" i="74" s="1"/>
  <c r="BW42" i="71"/>
  <c r="BW75" i="71"/>
  <c r="CN172" i="71"/>
  <c r="CN82" i="71"/>
  <c r="BF59" i="71"/>
  <c r="BF185" i="71"/>
  <c r="BF87" i="71"/>
  <c r="BW122" i="71"/>
  <c r="CN40" i="71"/>
  <c r="AF52" i="74" s="1"/>
  <c r="CN33" i="71"/>
  <c r="AF45" i="74" s="1"/>
  <c r="CN46" i="71"/>
  <c r="AF58" i="74" s="1"/>
  <c r="CN190" i="71"/>
  <c r="BF28" i="71"/>
  <c r="BF172" i="71"/>
  <c r="BW76" i="71"/>
  <c r="BW11" i="71"/>
  <c r="CN75" i="71"/>
  <c r="CN161" i="71"/>
  <c r="BW33" i="71"/>
  <c r="CN76" i="71"/>
  <c r="BW46" i="71"/>
  <c r="BW190" i="71"/>
  <c r="BF153" i="71"/>
  <c r="BF77" i="71"/>
  <c r="BW22" i="71"/>
  <c r="BW87" i="71"/>
  <c r="BW97" i="71"/>
  <c r="BW144" i="71"/>
  <c r="BW116" i="71"/>
  <c r="AO127" i="71"/>
  <c r="L139" i="74" s="1"/>
  <c r="BF57" i="71"/>
  <c r="CN87" i="71"/>
  <c r="CN144" i="71"/>
  <c r="BF190" i="71"/>
  <c r="BF7" i="71"/>
  <c r="CN78" i="71"/>
  <c r="BW125" i="71"/>
  <c r="CN42" i="71"/>
  <c r="AF54" i="74" s="1"/>
  <c r="BF18" i="71"/>
  <c r="BF11" i="71"/>
  <c r="BF22" i="71"/>
  <c r="BF66" i="71"/>
  <c r="BW186" i="71"/>
  <c r="CN125" i="71"/>
  <c r="CN11" i="71"/>
  <c r="AF23" i="74" s="1"/>
  <c r="BW69" i="71"/>
  <c r="BF82" i="71"/>
  <c r="BF182" i="71"/>
  <c r="CN186" i="71"/>
  <c r="BW57" i="71"/>
  <c r="BW28" i="71"/>
  <c r="BW59" i="71"/>
  <c r="CN69" i="71"/>
  <c r="BW153" i="71"/>
  <c r="CN83" i="71"/>
  <c r="BW54" i="71"/>
  <c r="CN159" i="71"/>
  <c r="BW111" i="71"/>
  <c r="Z134" i="71"/>
  <c r="AO134" i="71" s="1"/>
  <c r="L146" i="74" s="1"/>
  <c r="K159" i="78"/>
  <c r="L159" i="78" s="1"/>
  <c r="BF107" i="71"/>
  <c r="BF137" i="71"/>
  <c r="BW96" i="71"/>
  <c r="CN66" i="71"/>
  <c r="CN16" i="71"/>
  <c r="AF28" i="74" s="1"/>
  <c r="BW71" i="71"/>
  <c r="BW93" i="71"/>
  <c r="BF201" i="71"/>
  <c r="BF158" i="71"/>
  <c r="BF124" i="71"/>
  <c r="BF168" i="71"/>
  <c r="BW65" i="71"/>
  <c r="BW23" i="71"/>
  <c r="CN71" i="71"/>
  <c r="Z53" i="71"/>
  <c r="AO53" i="71" s="1"/>
  <c r="L65" i="74" s="1"/>
  <c r="K181" i="78"/>
  <c r="L181" i="78" s="1"/>
  <c r="BF166" i="71"/>
  <c r="CN111" i="71"/>
  <c r="BW44" i="71"/>
  <c r="BW142" i="71"/>
  <c r="BW185" i="71"/>
  <c r="CN117" i="71"/>
  <c r="CN19" i="71"/>
  <c r="AF31" i="74" s="1"/>
  <c r="Z6" i="71"/>
  <c r="AO6" i="71" s="1"/>
  <c r="L18" i="74" s="1"/>
  <c r="K160" i="78"/>
  <c r="L160" i="78" s="1"/>
  <c r="BF41" i="71"/>
  <c r="BF33" i="71"/>
  <c r="BF23" i="71"/>
  <c r="BF54" i="71"/>
  <c r="BF47" i="71"/>
  <c r="BW27" i="71"/>
  <c r="BW104" i="71"/>
  <c r="CN44" i="71"/>
  <c r="AF56" i="74" s="1"/>
  <c r="BW105" i="71"/>
  <c r="CN142" i="71"/>
  <c r="BW196" i="71"/>
  <c r="CN195" i="71"/>
  <c r="BW161" i="71"/>
  <c r="CN185" i="71"/>
  <c r="BW124" i="71"/>
  <c r="BW61" i="71"/>
  <c r="BF31" i="71"/>
  <c r="CN158" i="71"/>
  <c r="BF203" i="71"/>
  <c r="BF93" i="71"/>
  <c r="CN198" i="71"/>
  <c r="CN31" i="71"/>
  <c r="AF43" i="74" s="1"/>
  <c r="CN171" i="71"/>
  <c r="BF96" i="71"/>
  <c r="BF19" i="71"/>
  <c r="BW203" i="71"/>
  <c r="BW107" i="71"/>
  <c r="CN201" i="71"/>
  <c r="BW47" i="71"/>
  <c r="BF26" i="71"/>
  <c r="BF142" i="71"/>
  <c r="BF198" i="71"/>
  <c r="BF171" i="71"/>
  <c r="BW15" i="71"/>
  <c r="BW194" i="71"/>
  <c r="BW159" i="71"/>
  <c r="CN168" i="71"/>
  <c r="CN54" i="71"/>
  <c r="AF66" i="74" s="1"/>
  <c r="CN137" i="71"/>
  <c r="CN107" i="71"/>
  <c r="Z49" i="71"/>
  <c r="AO49" i="71" s="1"/>
  <c r="L61" i="74" s="1"/>
  <c r="K201" i="78"/>
  <c r="L201" i="78" s="1"/>
  <c r="BF71" i="71"/>
  <c r="BW198" i="71"/>
  <c r="CN47" i="71"/>
  <c r="AF59" i="74" s="1"/>
  <c r="Z191" i="71"/>
  <c r="AO191" i="71" s="1"/>
  <c r="L203" i="74" s="1"/>
  <c r="K152" i="78"/>
  <c r="BF15" i="71"/>
  <c r="BW26" i="71"/>
  <c r="CN206" i="71"/>
  <c r="CN65" i="71"/>
  <c r="BW66" i="71"/>
  <c r="BW16" i="71"/>
  <c r="CN145" i="71"/>
  <c r="AO38" i="71"/>
  <c r="L50" i="74" s="1"/>
  <c r="BW171" i="71"/>
  <c r="BW206" i="71"/>
  <c r="BF27" i="71"/>
  <c r="BW195" i="71"/>
  <c r="BW168" i="71"/>
  <c r="Z181" i="71"/>
  <c r="AO181" i="71" s="1"/>
  <c r="L193" i="74" s="1"/>
  <c r="K236" i="78"/>
  <c r="L236" i="78" s="1"/>
  <c r="BW31" i="71"/>
  <c r="CN194" i="71"/>
  <c r="CN93" i="71"/>
  <c r="BW19" i="71"/>
  <c r="BF194" i="71"/>
  <c r="BF159" i="71"/>
  <c r="CN23" i="71"/>
  <c r="AF35" i="74" s="1"/>
  <c r="CN94" i="71"/>
  <c r="CN178" i="71"/>
  <c r="CN204" i="71"/>
  <c r="BF94" i="71"/>
  <c r="BW178" i="71"/>
  <c r="BW16" i="72"/>
  <c r="BW94" i="71"/>
  <c r="BF204" i="71"/>
  <c r="BW204" i="71"/>
  <c r="BF83" i="71"/>
  <c r="CN154" i="71"/>
  <c r="BW83" i="71"/>
  <c r="BF178" i="71"/>
  <c r="BW199" i="71"/>
  <c r="CN199" i="71"/>
  <c r="BF48" i="71"/>
  <c r="BW175" i="71"/>
  <c r="BW129" i="71"/>
  <c r="BF175" i="71"/>
  <c r="CN129" i="71"/>
  <c r="CN175" i="71"/>
  <c r="BF129" i="71"/>
  <c r="BF199" i="71"/>
  <c r="BW48" i="71"/>
  <c r="AO13" i="72"/>
  <c r="E69" i="47"/>
  <c r="E71" i="47" s="1"/>
  <c r="E28" i="47" s="1"/>
  <c r="E92" i="47" s="1"/>
  <c r="Y147" i="71"/>
  <c r="V146" i="56"/>
  <c r="W146" i="56" s="1"/>
  <c r="F146" i="56" s="1"/>
  <c r="Y101" i="71"/>
  <c r="V100" i="56"/>
  <c r="W100" i="56" s="1"/>
  <c r="F100" i="56" s="1"/>
  <c r="Y114" i="71"/>
  <c r="V113" i="56"/>
  <c r="W113" i="56" s="1"/>
  <c r="F113" i="56" s="1"/>
  <c r="Y188" i="71"/>
  <c r="V187" i="56"/>
  <c r="W187" i="56" s="1"/>
  <c r="F187" i="56" s="1"/>
  <c r="Y110" i="71"/>
  <c r="V109" i="56"/>
  <c r="W109" i="56" s="1"/>
  <c r="F109" i="56" s="1"/>
  <c r="AO179" i="71"/>
  <c r="L191" i="74" s="1"/>
  <c r="Y10" i="71"/>
  <c r="V9" i="56"/>
  <c r="W9" i="56" s="1"/>
  <c r="F9" i="56" s="1"/>
  <c r="BB3" i="56"/>
  <c r="BE3" i="56" s="1"/>
  <c r="Y174" i="71"/>
  <c r="V173" i="56"/>
  <c r="W173" i="56" s="1"/>
  <c r="F173" i="56" s="1"/>
  <c r="Y32" i="71"/>
  <c r="V31" i="56"/>
  <c r="W31" i="56" s="1"/>
  <c r="F31" i="56" s="1"/>
  <c r="Y160" i="71"/>
  <c r="V159" i="56"/>
  <c r="W159" i="56" s="1"/>
  <c r="F159" i="56" s="1"/>
  <c r="Y51" i="71"/>
  <c r="V50" i="56"/>
  <c r="W50" i="56" s="1"/>
  <c r="F50" i="56" s="1"/>
  <c r="AO100" i="71"/>
  <c r="L112" i="74" s="1"/>
  <c r="Y200" i="71"/>
  <c r="V199" i="56"/>
  <c r="W199" i="56" s="1"/>
  <c r="F199" i="56" s="1"/>
  <c r="Y103" i="71"/>
  <c r="V102" i="56"/>
  <c r="W102" i="56" s="1"/>
  <c r="F102" i="56" s="1"/>
  <c r="Y151" i="71"/>
  <c r="V150" i="56"/>
  <c r="W150" i="56" s="1"/>
  <c r="F150" i="56" s="1"/>
  <c r="Y92" i="71"/>
  <c r="V91" i="56"/>
  <c r="W91" i="56" s="1"/>
  <c r="F91" i="56" s="1"/>
  <c r="Y30" i="71"/>
  <c r="V29" i="56"/>
  <c r="W29" i="56" s="1"/>
  <c r="F29" i="56" s="1"/>
  <c r="Y136" i="71"/>
  <c r="V135" i="56"/>
  <c r="W135" i="56" s="1"/>
  <c r="F135" i="56" s="1"/>
  <c r="Y36" i="71"/>
  <c r="V35" i="56"/>
  <c r="W35" i="56" s="1"/>
  <c r="F35" i="56" s="1"/>
  <c r="CN132" i="71"/>
  <c r="Y108" i="71"/>
  <c r="V107" i="56"/>
  <c r="W107" i="56" s="1"/>
  <c r="F107" i="56" s="1"/>
  <c r="Y205" i="71"/>
  <c r="V204" i="56"/>
  <c r="W204" i="56" s="1"/>
  <c r="F204" i="56" s="1"/>
  <c r="Y21" i="71"/>
  <c r="V20" i="56"/>
  <c r="W20" i="56" s="1"/>
  <c r="F20" i="56" s="1"/>
  <c r="AO126" i="71"/>
  <c r="L138" i="74" s="1"/>
  <c r="AO180" i="71"/>
  <c r="L192" i="74" s="1"/>
  <c r="AO155" i="71"/>
  <c r="L167" i="74" s="1"/>
  <c r="Y109" i="71"/>
  <c r="V108" i="56"/>
  <c r="W108" i="56" s="1"/>
  <c r="F108" i="56" s="1"/>
  <c r="Y106" i="71"/>
  <c r="V105" i="56"/>
  <c r="W105" i="56" s="1"/>
  <c r="F105" i="56" s="1"/>
  <c r="Y14" i="71"/>
  <c r="V13" i="56"/>
  <c r="W13" i="56" s="1"/>
  <c r="F13" i="56" s="1"/>
  <c r="Y130" i="71"/>
  <c r="V129" i="56"/>
  <c r="W129" i="56" s="1"/>
  <c r="F129" i="56" s="1"/>
  <c r="Y115" i="71"/>
  <c r="V114" i="56"/>
  <c r="W114" i="56" s="1"/>
  <c r="F114" i="56" s="1"/>
  <c r="Y58" i="71"/>
  <c r="V57" i="56"/>
  <c r="W57" i="56" s="1"/>
  <c r="F57" i="56" s="1"/>
  <c r="AO48" i="71"/>
  <c r="L60" i="74" s="1"/>
  <c r="BF156" i="71"/>
  <c r="BW180" i="71"/>
  <c r="CN156" i="71"/>
  <c r="BW156" i="71"/>
  <c r="CN180" i="71"/>
  <c r="BF180" i="71"/>
  <c r="BF197" i="71"/>
  <c r="BW197" i="71"/>
  <c r="CN126" i="71"/>
  <c r="BF126" i="71"/>
  <c r="BW126" i="71"/>
  <c r="CN197" i="71"/>
  <c r="AO8" i="71"/>
  <c r="L20" i="74" s="1"/>
  <c r="AO154" i="71"/>
  <c r="L166" i="74" s="1"/>
  <c r="AO132" i="71"/>
  <c r="L144" i="74" s="1"/>
  <c r="Z72" i="71"/>
  <c r="AO72" i="71" s="1"/>
  <c r="L84" i="74" s="1"/>
  <c r="Z10" i="72"/>
  <c r="AO10" i="72" s="1"/>
  <c r="AO184" i="71"/>
  <c r="L196" i="74" s="1"/>
  <c r="AO7" i="72"/>
  <c r="AO35" i="71"/>
  <c r="L47" i="74" s="1"/>
  <c r="AO176" i="71"/>
  <c r="L188" i="74" s="1"/>
  <c r="AO43" i="71"/>
  <c r="L55" i="74" s="1"/>
  <c r="AO20" i="71"/>
  <c r="L32" i="74" s="1"/>
  <c r="AO201" i="71"/>
  <c r="L213" i="74" s="1"/>
  <c r="AO34" i="71"/>
  <c r="L46" i="74" s="1"/>
  <c r="AO26" i="71"/>
  <c r="L38" i="74" s="1"/>
  <c r="AO56" i="71"/>
  <c r="L68" i="74" s="1"/>
  <c r="AO95" i="71"/>
  <c r="L107" i="74" s="1"/>
  <c r="AO96" i="71"/>
  <c r="L108" i="74" s="1"/>
  <c r="AO203" i="71"/>
  <c r="L215" i="74" s="1"/>
  <c r="AO202" i="71"/>
  <c r="L214" i="74" s="1"/>
  <c r="AO24" i="71"/>
  <c r="L36" i="74" s="1"/>
  <c r="AO76" i="71"/>
  <c r="L88" i="74" s="1"/>
  <c r="AO65" i="71"/>
  <c r="L77" i="74" s="1"/>
  <c r="AO73" i="71"/>
  <c r="L85" i="74" s="1"/>
  <c r="AO195" i="71"/>
  <c r="L207" i="74" s="1"/>
  <c r="AO79" i="71"/>
  <c r="L91" i="74" s="1"/>
  <c r="BF184" i="71"/>
  <c r="BW100" i="71"/>
  <c r="CN184" i="71"/>
  <c r="BF155" i="71"/>
  <c r="BF154" i="71"/>
  <c r="BW179" i="71"/>
  <c r="CN8" i="71"/>
  <c r="AF20" i="74" s="1"/>
  <c r="BW132" i="71"/>
  <c r="BW176" i="71"/>
  <c r="BW8" i="71"/>
  <c r="BF179" i="71"/>
  <c r="CN100" i="71"/>
  <c r="BF100" i="71"/>
  <c r="BF176" i="71"/>
  <c r="BW155" i="71"/>
  <c r="CN155" i="71"/>
  <c r="BF43" i="71"/>
  <c r="BW35" i="71"/>
  <c r="CN183" i="71"/>
  <c r="CN43" i="71"/>
  <c r="AF55" i="74" s="1"/>
  <c r="BF35" i="71"/>
  <c r="BF183" i="71"/>
  <c r="BW183" i="71"/>
  <c r="Z4" i="71"/>
  <c r="BF4" i="71" s="1"/>
  <c r="G138" i="66"/>
  <c r="G225" i="66"/>
  <c r="F206" i="66"/>
  <c r="G206" i="66"/>
  <c r="F132" i="66"/>
  <c r="G132" i="66"/>
  <c r="G211" i="66"/>
  <c r="G49" i="66"/>
  <c r="BW113" i="71"/>
  <c r="G112" i="66"/>
  <c r="G222" i="66"/>
  <c r="G215" i="66"/>
  <c r="G69" i="66"/>
  <c r="F205" i="66"/>
  <c r="G205" i="66"/>
  <c r="G212" i="66"/>
  <c r="G62" i="66"/>
  <c r="F189" i="66"/>
  <c r="G189" i="66"/>
  <c r="G73" i="66"/>
  <c r="G217" i="66"/>
  <c r="G226" i="66"/>
  <c r="G139" i="66"/>
  <c r="F5" i="66"/>
  <c r="G5" i="66"/>
  <c r="G179" i="66"/>
  <c r="F3" i="66"/>
  <c r="G3" i="66"/>
  <c r="F219" i="66"/>
  <c r="G219" i="66"/>
  <c r="G101" i="66"/>
  <c r="F66" i="66"/>
  <c r="G213" i="66"/>
  <c r="G66" i="66"/>
  <c r="F52" i="66"/>
  <c r="G52" i="66"/>
  <c r="G224" i="66"/>
  <c r="G136" i="66"/>
  <c r="G67" i="66"/>
  <c r="G214" i="66"/>
  <c r="F213" i="66"/>
  <c r="F73" i="66"/>
  <c r="F217" i="66"/>
  <c r="F136" i="66"/>
  <c r="F224" i="66"/>
  <c r="F214" i="66"/>
  <c r="F67" i="66"/>
  <c r="F101" i="66"/>
  <c r="F179" i="66"/>
  <c r="F139" i="66"/>
  <c r="F226" i="66"/>
  <c r="F222" i="66"/>
  <c r="F212" i="66"/>
  <c r="F62" i="66"/>
  <c r="F112" i="66"/>
  <c r="F138" i="66"/>
  <c r="F225" i="66"/>
  <c r="F211" i="66"/>
  <c r="F49" i="66"/>
  <c r="F215" i="66"/>
  <c r="F69" i="66"/>
  <c r="CN11" i="72"/>
  <c r="BW11" i="72"/>
  <c r="CN63" i="71"/>
  <c r="BW63" i="71"/>
  <c r="CN67" i="71"/>
  <c r="CN74" i="71"/>
  <c r="BW74" i="71"/>
  <c r="CN138" i="71"/>
  <c r="BW138" i="71"/>
  <c r="CN8" i="72"/>
  <c r="BW8" i="72"/>
  <c r="CN102" i="71"/>
  <c r="BW13" i="72"/>
  <c r="CN207" i="71"/>
  <c r="BW207" i="71"/>
  <c r="BW20" i="72"/>
  <c r="CN20" i="72"/>
  <c r="CN68" i="71"/>
  <c r="BW68" i="71"/>
  <c r="BW18" i="72"/>
  <c r="CN18" i="72"/>
  <c r="CN16" i="72"/>
  <c r="CN141" i="71"/>
  <c r="BW141" i="71"/>
  <c r="BW19" i="72"/>
  <c r="CN19" i="72"/>
  <c r="CN7" i="72"/>
  <c r="BW102" i="71"/>
  <c r="CN70" i="71"/>
  <c r="BW70" i="71"/>
  <c r="CN208" i="71"/>
  <c r="BW208" i="71"/>
  <c r="CN5" i="72"/>
  <c r="BW5" i="72"/>
  <c r="BW9" i="72"/>
  <c r="CN9" i="72"/>
  <c r="CN140" i="71"/>
  <c r="BW140" i="71"/>
  <c r="BW67" i="71"/>
  <c r="CN50" i="71"/>
  <c r="AF62" i="74" s="1"/>
  <c r="BW50" i="71"/>
  <c r="CN113" i="71"/>
  <c r="CN6" i="72"/>
  <c r="BW6" i="72"/>
  <c r="F50" i="66"/>
  <c r="F100" i="66"/>
  <c r="F13" i="66"/>
  <c r="F109" i="66"/>
  <c r="F145" i="66"/>
  <c r="F113" i="66"/>
  <c r="F102" i="66"/>
  <c r="F149" i="66"/>
  <c r="F91" i="66"/>
  <c r="F29" i="66"/>
  <c r="F31" i="66"/>
  <c r="F158" i="66"/>
  <c r="F198" i="66"/>
  <c r="F35" i="66"/>
  <c r="F105" i="66"/>
  <c r="F186" i="66"/>
  <c r="F9" i="66"/>
  <c r="F129" i="66"/>
  <c r="F203" i="66"/>
  <c r="F114" i="66"/>
  <c r="F57" i="66"/>
  <c r="F227" i="66"/>
  <c r="F172" i="66"/>
  <c r="F134" i="66"/>
  <c r="F223" i="66"/>
  <c r="F210" i="66"/>
  <c r="F20" i="66"/>
  <c r="F108" i="66"/>
  <c r="F221" i="66"/>
  <c r="F107" i="66"/>
  <c r="F220" i="66"/>
  <c r="BF16" i="72"/>
  <c r="BF9" i="72"/>
  <c r="BF50" i="71"/>
  <c r="BF74" i="71"/>
  <c r="BF102" i="71"/>
  <c r="BF7" i="72"/>
  <c r="BF138" i="71"/>
  <c r="BF141" i="71"/>
  <c r="BF8" i="72"/>
  <c r="BF70" i="71"/>
  <c r="BF19" i="72"/>
  <c r="BF113" i="71"/>
  <c r="BF11" i="72"/>
  <c r="BF13" i="72"/>
  <c r="BF5" i="72"/>
  <c r="BF63" i="71"/>
  <c r="BF207" i="71"/>
  <c r="BF68" i="71"/>
  <c r="BF140" i="71"/>
  <c r="BF18" i="72"/>
  <c r="BF208" i="71"/>
  <c r="BF6" i="72"/>
  <c r="BF20" i="72"/>
  <c r="BF67" i="71"/>
  <c r="H217" i="68"/>
  <c r="H144" i="67"/>
  <c r="K14" i="78" l="1"/>
  <c r="L14" i="78"/>
  <c r="L152" i="78"/>
  <c r="N13" i="78" s="1"/>
  <c r="J14" i="78"/>
  <c r="I14" i="78"/>
  <c r="O14" i="78"/>
  <c r="M14" i="78"/>
  <c r="P14" i="78"/>
  <c r="N14" i="78"/>
  <c r="H14" i="78"/>
  <c r="BF181" i="71"/>
  <c r="BF191" i="71"/>
  <c r="BF134" i="71"/>
  <c r="BW181" i="71"/>
  <c r="CN6" i="71"/>
  <c r="AF18" i="74" s="1"/>
  <c r="BF6" i="71"/>
  <c r="BW6" i="71"/>
  <c r="BW134" i="71"/>
  <c r="CN191" i="71"/>
  <c r="CN134" i="71"/>
  <c r="CN53" i="71"/>
  <c r="AF65" i="74" s="1"/>
  <c r="CN181" i="71"/>
  <c r="BF53" i="71"/>
  <c r="BW53" i="71"/>
  <c r="BW191" i="71"/>
  <c r="BF49" i="71"/>
  <c r="BW49" i="71"/>
  <c r="CN49" i="71"/>
  <c r="AF61" i="74" s="1"/>
  <c r="CN4" i="71"/>
  <c r="AF16" i="74" s="1"/>
  <c r="BW4" i="71"/>
  <c r="AO4" i="71"/>
  <c r="G216" i="66"/>
  <c r="G71" i="66"/>
  <c r="F71" i="66"/>
  <c r="F216" i="66"/>
  <c r="D144" i="67"/>
  <c r="E144" i="67"/>
  <c r="CN72" i="71"/>
  <c r="BW72" i="71"/>
  <c r="CN10" i="72"/>
  <c r="BW10" i="72"/>
  <c r="BF10" i="72"/>
  <c r="BF72" i="71"/>
  <c r="D4" i="77"/>
  <c r="D5" i="77"/>
  <c r="E5" i="77" s="1"/>
  <c r="D2" i="77"/>
  <c r="E2" i="77" s="1"/>
  <c r="D3" i="77"/>
  <c r="E3" i="77" s="1"/>
  <c r="H144" i="68"/>
  <c r="P13" i="78" l="1"/>
  <c r="I13" i="78"/>
  <c r="H13" i="78"/>
  <c r="M13" i="78"/>
  <c r="J13" i="78"/>
  <c r="O13" i="78"/>
  <c r="L13" i="78"/>
  <c r="K13" i="78"/>
  <c r="L16" i="74"/>
  <c r="I12" i="47"/>
  <c r="E4" i="77"/>
  <c r="K4" i="71"/>
  <c r="K19" i="72"/>
  <c r="K193" i="71"/>
  <c r="K7" i="72"/>
  <c r="CB7" i="72" s="1"/>
  <c r="CC7" i="72" s="1"/>
  <c r="CD7" i="72" s="1"/>
  <c r="CF7" i="72" s="1"/>
  <c r="CG7" i="72" s="1"/>
  <c r="K124" i="71"/>
  <c r="AR123" i="56" s="1"/>
  <c r="AS123" i="56" s="1"/>
  <c r="AT123" i="56" s="1"/>
  <c r="AU123" i="56" s="1"/>
  <c r="AY123" i="56" s="1"/>
  <c r="AZ123" i="56" s="1"/>
  <c r="K118" i="71"/>
  <c r="AR117" i="56" s="1"/>
  <c r="AS117" i="56" s="1"/>
  <c r="AT117" i="56" s="1"/>
  <c r="AU117" i="56" s="1"/>
  <c r="AY117" i="56" s="1"/>
  <c r="AZ117" i="56" s="1"/>
  <c r="K167" i="71"/>
  <c r="AR166" i="56" s="1"/>
  <c r="AS166" i="56" s="1"/>
  <c r="AT166" i="56" s="1"/>
  <c r="AU166" i="56" s="1"/>
  <c r="AY166" i="56" s="1"/>
  <c r="AZ166" i="56" s="1"/>
  <c r="K77" i="71"/>
  <c r="AR76" i="56" s="1"/>
  <c r="AS76" i="56" s="1"/>
  <c r="AT76" i="56" s="1"/>
  <c r="AU76" i="56" s="1"/>
  <c r="AY76" i="56" s="1"/>
  <c r="AZ76" i="56" s="1"/>
  <c r="K94" i="71"/>
  <c r="AR93" i="56" s="1"/>
  <c r="AS93" i="56" s="1"/>
  <c r="AT93" i="56" s="1"/>
  <c r="AU93" i="56" s="1"/>
  <c r="AY93" i="56" s="1"/>
  <c r="AZ93" i="56" s="1"/>
  <c r="K83" i="71"/>
  <c r="AR82" i="56" s="1"/>
  <c r="AS82" i="56" s="1"/>
  <c r="AT82" i="56" s="1"/>
  <c r="AU82" i="56" s="1"/>
  <c r="AY82" i="56" s="1"/>
  <c r="AZ82" i="56" s="1"/>
  <c r="K20" i="71"/>
  <c r="AR19" i="56" s="1"/>
  <c r="AS19" i="56" s="1"/>
  <c r="AT19" i="56" s="1"/>
  <c r="AU19" i="56" s="1"/>
  <c r="AY19" i="56" s="1"/>
  <c r="AZ19" i="56" s="1"/>
  <c r="K15" i="71"/>
  <c r="AR14" i="56" s="1"/>
  <c r="AS14" i="56" s="1"/>
  <c r="AT14" i="56" s="1"/>
  <c r="AU14" i="56" s="1"/>
  <c r="AY14" i="56" s="1"/>
  <c r="AZ14" i="56" s="1"/>
  <c r="K162" i="71"/>
  <c r="AR161" i="56" s="1"/>
  <c r="AS161" i="56" s="1"/>
  <c r="AT161" i="56" s="1"/>
  <c r="AU161" i="56" s="1"/>
  <c r="AY161" i="56" s="1"/>
  <c r="AZ161" i="56" s="1"/>
  <c r="K8" i="71"/>
  <c r="AR7" i="56" s="1"/>
  <c r="AS7" i="56" s="1"/>
  <c r="AT7" i="56" s="1"/>
  <c r="AU7" i="56" s="1"/>
  <c r="AY7" i="56" s="1"/>
  <c r="AZ7" i="56" s="1"/>
  <c r="K180" i="71"/>
  <c r="AR179" i="56" s="1"/>
  <c r="AS179" i="56" s="1"/>
  <c r="AT179" i="56" s="1"/>
  <c r="AU179" i="56" s="1"/>
  <c r="AY179" i="56" s="1"/>
  <c r="AZ179" i="56" s="1"/>
  <c r="K197" i="71"/>
  <c r="K16" i="72"/>
  <c r="K7" i="71"/>
  <c r="AR6" i="56" s="1"/>
  <c r="AS6" i="56" s="1"/>
  <c r="AT6" i="56" s="1"/>
  <c r="AU6" i="56" s="1"/>
  <c r="AY6" i="56" s="1"/>
  <c r="AZ6" i="56" s="1"/>
  <c r="K117" i="71"/>
  <c r="AR116" i="56" s="1"/>
  <c r="AS116" i="56" s="1"/>
  <c r="AT116" i="56" s="1"/>
  <c r="AU116" i="56" s="1"/>
  <c r="AY116" i="56" s="1"/>
  <c r="AZ116" i="56" s="1"/>
  <c r="K88" i="71"/>
  <c r="AR87" i="56" s="1"/>
  <c r="AS87" i="56" s="1"/>
  <c r="AT87" i="56" s="1"/>
  <c r="AU87" i="56" s="1"/>
  <c r="AY87" i="56" s="1"/>
  <c r="AZ87" i="56" s="1"/>
  <c r="K38" i="71"/>
  <c r="AR37" i="56" s="1"/>
  <c r="AS37" i="56" s="1"/>
  <c r="AT37" i="56" s="1"/>
  <c r="AU37" i="56" s="1"/>
  <c r="AY37" i="56" s="1"/>
  <c r="AZ37" i="56" s="1"/>
  <c r="K168" i="71"/>
  <c r="AR167" i="56" s="1"/>
  <c r="AS167" i="56" s="1"/>
  <c r="AT167" i="56" s="1"/>
  <c r="AU167" i="56" s="1"/>
  <c r="AY167" i="56" s="1"/>
  <c r="AZ167" i="56" s="1"/>
  <c r="K82" i="71"/>
  <c r="AR81" i="56" s="1"/>
  <c r="AS81" i="56" s="1"/>
  <c r="AT81" i="56" s="1"/>
  <c r="AU81" i="56" s="1"/>
  <c r="AY81" i="56" s="1"/>
  <c r="AZ81" i="56" s="1"/>
  <c r="K78" i="71"/>
  <c r="AR77" i="56" s="1"/>
  <c r="AS77" i="56" s="1"/>
  <c r="AT77" i="56" s="1"/>
  <c r="AU77" i="56" s="1"/>
  <c r="AY77" i="56" s="1"/>
  <c r="AZ77" i="56" s="1"/>
  <c r="K132" i="71"/>
  <c r="AR131" i="56" s="1"/>
  <c r="AS131" i="56" s="1"/>
  <c r="AT131" i="56" s="1"/>
  <c r="AU131" i="56" s="1"/>
  <c r="AY131" i="56" s="1"/>
  <c r="AZ131" i="56" s="1"/>
  <c r="K96" i="71"/>
  <c r="AR95" i="56" s="1"/>
  <c r="AS95" i="56" s="1"/>
  <c r="AT95" i="56" s="1"/>
  <c r="AU95" i="56" s="1"/>
  <c r="AY95" i="56" s="1"/>
  <c r="AZ95" i="56" s="1"/>
  <c r="K53" i="71"/>
  <c r="AR52" i="56" s="1"/>
  <c r="AS52" i="56" s="1"/>
  <c r="AT52" i="56" s="1"/>
  <c r="AU52" i="56" s="1"/>
  <c r="AY52" i="56" s="1"/>
  <c r="AZ52" i="56" s="1"/>
  <c r="K121" i="71"/>
  <c r="AR120" i="56" s="1"/>
  <c r="AS120" i="56" s="1"/>
  <c r="AT120" i="56" s="1"/>
  <c r="AU120" i="56" s="1"/>
  <c r="AY120" i="56" s="1"/>
  <c r="AZ120" i="56" s="1"/>
  <c r="K72" i="71"/>
  <c r="AR71" i="56" s="1"/>
  <c r="AS71" i="56" s="1"/>
  <c r="AT71" i="56" s="1"/>
  <c r="AU71" i="56" s="1"/>
  <c r="AY71" i="56" s="1"/>
  <c r="AZ71" i="56" s="1"/>
  <c r="K189" i="71"/>
  <c r="AR188" i="56" s="1"/>
  <c r="AS188" i="56" s="1"/>
  <c r="AT188" i="56" s="1"/>
  <c r="AU188" i="56" s="1"/>
  <c r="AY188" i="56" s="1"/>
  <c r="AZ188" i="56" s="1"/>
  <c r="K63" i="71"/>
  <c r="AR62" i="56" s="1"/>
  <c r="AS62" i="56" s="1"/>
  <c r="AT62" i="56" s="1"/>
  <c r="AU62" i="56" s="1"/>
  <c r="AY62" i="56" s="1"/>
  <c r="AZ62" i="56" s="1"/>
  <c r="K195" i="71"/>
  <c r="AR194" i="56" s="1"/>
  <c r="AS194" i="56" s="1"/>
  <c r="AT194" i="56" s="1"/>
  <c r="AU194" i="56" s="1"/>
  <c r="AY194" i="56" s="1"/>
  <c r="AZ194" i="56" s="1"/>
  <c r="K54" i="71"/>
  <c r="AR53" i="56" s="1"/>
  <c r="AS53" i="56" s="1"/>
  <c r="AT53" i="56" s="1"/>
  <c r="AU53" i="56" s="1"/>
  <c r="AY53" i="56" s="1"/>
  <c r="AZ53" i="56" s="1"/>
  <c r="K186" i="71"/>
  <c r="AR185" i="56" s="1"/>
  <c r="AS185" i="56" s="1"/>
  <c r="AT185" i="56" s="1"/>
  <c r="AU185" i="56" s="1"/>
  <c r="AY185" i="56" s="1"/>
  <c r="AZ185" i="56" s="1"/>
  <c r="K79" i="71"/>
  <c r="AR78" i="56" s="1"/>
  <c r="AS78" i="56" s="1"/>
  <c r="AT78" i="56" s="1"/>
  <c r="AU78" i="56" s="1"/>
  <c r="AY78" i="56" s="1"/>
  <c r="AZ78" i="56" s="1"/>
  <c r="K10" i="72"/>
  <c r="K11" i="71"/>
  <c r="AR10" i="56" s="1"/>
  <c r="AS10" i="56" s="1"/>
  <c r="AT10" i="56" s="1"/>
  <c r="AU10" i="56" s="1"/>
  <c r="AY10" i="56" s="1"/>
  <c r="AZ10" i="56" s="1"/>
  <c r="K136" i="71"/>
  <c r="AR135" i="56" s="1"/>
  <c r="AS135" i="56" s="1"/>
  <c r="AT135" i="56" s="1"/>
  <c r="AU135" i="56" s="1"/>
  <c r="AY135" i="56" s="1"/>
  <c r="AZ135" i="56" s="1"/>
  <c r="K135" i="71"/>
  <c r="AR134" i="56" s="1"/>
  <c r="AS134" i="56" s="1"/>
  <c r="AT134" i="56" s="1"/>
  <c r="AU134" i="56" s="1"/>
  <c r="AY134" i="56" s="1"/>
  <c r="AZ134" i="56" s="1"/>
  <c r="K171" i="71"/>
  <c r="AR170" i="56" s="1"/>
  <c r="AS170" i="56" s="1"/>
  <c r="AT170" i="56" s="1"/>
  <c r="AU170" i="56" s="1"/>
  <c r="AY170" i="56" s="1"/>
  <c r="AZ170" i="56" s="1"/>
  <c r="K187" i="71"/>
  <c r="AR186" i="56" s="1"/>
  <c r="AS186" i="56" s="1"/>
  <c r="AT186" i="56" s="1"/>
  <c r="AU186" i="56" s="1"/>
  <c r="AY186" i="56" s="1"/>
  <c r="AZ186" i="56" s="1"/>
  <c r="K108" i="71"/>
  <c r="K109" i="71"/>
  <c r="K70" i="71"/>
  <c r="AR69" i="56" s="1"/>
  <c r="AS69" i="56" s="1"/>
  <c r="AT69" i="56" s="1"/>
  <c r="AU69" i="56" s="1"/>
  <c r="AY69" i="56" s="1"/>
  <c r="AZ69" i="56" s="1"/>
  <c r="K12" i="72"/>
  <c r="K71" i="71"/>
  <c r="AR70" i="56" s="1"/>
  <c r="AS70" i="56" s="1"/>
  <c r="AT70" i="56" s="1"/>
  <c r="AU70" i="56" s="1"/>
  <c r="AY70" i="56" s="1"/>
  <c r="AZ70" i="56" s="1"/>
  <c r="K203" i="71"/>
  <c r="AR202" i="56" s="1"/>
  <c r="AS202" i="56" s="1"/>
  <c r="AT202" i="56" s="1"/>
  <c r="AU202" i="56" s="1"/>
  <c r="AY202" i="56" s="1"/>
  <c r="AZ202" i="56" s="1"/>
  <c r="K125" i="71"/>
  <c r="AR124" i="56" s="1"/>
  <c r="AS124" i="56" s="1"/>
  <c r="AT124" i="56" s="1"/>
  <c r="AU124" i="56" s="1"/>
  <c r="AY124" i="56" s="1"/>
  <c r="AZ124" i="56" s="1"/>
  <c r="K84" i="71"/>
  <c r="AR83" i="56" s="1"/>
  <c r="AS83" i="56" s="1"/>
  <c r="AT83" i="56" s="1"/>
  <c r="AU83" i="56" s="1"/>
  <c r="AY83" i="56" s="1"/>
  <c r="AZ83" i="56" s="1"/>
  <c r="K114" i="71"/>
  <c r="AR113" i="56" s="1"/>
  <c r="AS113" i="56" s="1"/>
  <c r="AT113" i="56" s="1"/>
  <c r="AU113" i="56" s="1"/>
  <c r="AY113" i="56" s="1"/>
  <c r="AZ113" i="56" s="1"/>
  <c r="K169" i="71"/>
  <c r="AR168" i="56" s="1"/>
  <c r="AS168" i="56" s="1"/>
  <c r="AT168" i="56" s="1"/>
  <c r="AU168" i="56" s="1"/>
  <c r="AY168" i="56" s="1"/>
  <c r="AZ168" i="56" s="1"/>
  <c r="K173" i="71"/>
  <c r="AR172" i="56" s="1"/>
  <c r="AS172" i="56" s="1"/>
  <c r="AT172" i="56" s="1"/>
  <c r="AU172" i="56" s="1"/>
  <c r="AY172" i="56" s="1"/>
  <c r="AZ172" i="56" s="1"/>
  <c r="K115" i="71"/>
  <c r="K14" i="72"/>
  <c r="K18" i="71"/>
  <c r="K161" i="71"/>
  <c r="K97" i="71"/>
  <c r="K13" i="71"/>
  <c r="AR12" i="56" s="1"/>
  <c r="AS12" i="56" s="1"/>
  <c r="AT12" i="56" s="1"/>
  <c r="AU12" i="56" s="1"/>
  <c r="AY12" i="56" s="1"/>
  <c r="AZ12" i="56" s="1"/>
  <c r="K107" i="71"/>
  <c r="K11" i="72"/>
  <c r="K58" i="71"/>
  <c r="K30" i="71"/>
  <c r="AR29" i="56" s="1"/>
  <c r="AS29" i="56" s="1"/>
  <c r="AT29" i="56" s="1"/>
  <c r="AU29" i="56" s="1"/>
  <c r="AY29" i="56" s="1"/>
  <c r="AZ29" i="56" s="1"/>
  <c r="K150" i="71"/>
  <c r="AR149" i="56" s="1"/>
  <c r="AS149" i="56" s="1"/>
  <c r="AT149" i="56" s="1"/>
  <c r="AU149" i="56" s="1"/>
  <c r="AY149" i="56" s="1"/>
  <c r="AZ149" i="56" s="1"/>
  <c r="K44" i="71"/>
  <c r="AR43" i="56" s="1"/>
  <c r="AS43" i="56" s="1"/>
  <c r="AT43" i="56" s="1"/>
  <c r="AU43" i="56" s="1"/>
  <c r="AY43" i="56" s="1"/>
  <c r="AZ43" i="56" s="1"/>
  <c r="K21" i="72"/>
  <c r="K22" i="71"/>
  <c r="AR21" i="56" s="1"/>
  <c r="AS21" i="56" s="1"/>
  <c r="AT21" i="56" s="1"/>
  <c r="AU21" i="56" s="1"/>
  <c r="AY21" i="56" s="1"/>
  <c r="AZ21" i="56" s="1"/>
  <c r="K111" i="71"/>
  <c r="K93" i="71"/>
  <c r="K51" i="71"/>
  <c r="K147" i="71"/>
  <c r="AR146" i="56" s="1"/>
  <c r="AS146" i="56" s="1"/>
  <c r="AT146" i="56" s="1"/>
  <c r="AU146" i="56" s="1"/>
  <c r="AY146" i="56" s="1"/>
  <c r="AZ146" i="56" s="1"/>
  <c r="K92" i="71"/>
  <c r="K144" i="71"/>
  <c r="K206" i="71"/>
  <c r="K200" i="71"/>
  <c r="AR199" i="56" s="1"/>
  <c r="AS199" i="56" s="1"/>
  <c r="AT199" i="56" s="1"/>
  <c r="AU199" i="56" s="1"/>
  <c r="AY199" i="56" s="1"/>
  <c r="AZ199" i="56" s="1"/>
  <c r="K10" i="71"/>
  <c r="AR9" i="56" s="1"/>
  <c r="AS9" i="56" s="1"/>
  <c r="AT9" i="56" s="1"/>
  <c r="AU9" i="56" s="1"/>
  <c r="AY9" i="56" s="1"/>
  <c r="AZ9" i="56" s="1"/>
  <c r="K196" i="71"/>
  <c r="K8" i="72"/>
  <c r="K105" i="71"/>
  <c r="AR104" i="56" s="1"/>
  <c r="AS104" i="56" s="1"/>
  <c r="AT104" i="56" s="1"/>
  <c r="AU104" i="56" s="1"/>
  <c r="AY104" i="56" s="1"/>
  <c r="AZ104" i="56" s="1"/>
  <c r="K112" i="71"/>
  <c r="K23" i="71"/>
  <c r="K90" i="71"/>
  <c r="K134" i="71"/>
  <c r="AR133" i="56" s="1"/>
  <c r="AS133" i="56" s="1"/>
  <c r="AT133" i="56" s="1"/>
  <c r="AU133" i="56" s="1"/>
  <c r="AY133" i="56" s="1"/>
  <c r="AZ133" i="56" s="1"/>
  <c r="K194" i="71"/>
  <c r="K36" i="71"/>
  <c r="AR35" i="56" s="1"/>
  <c r="AS35" i="56" s="1"/>
  <c r="AT35" i="56" s="1"/>
  <c r="AU35" i="56" s="1"/>
  <c r="AY35" i="56" s="1"/>
  <c r="AZ35" i="56" s="1"/>
  <c r="K68" i="71"/>
  <c r="K41" i="71"/>
  <c r="AR40" i="56" s="1"/>
  <c r="AS40" i="56" s="1"/>
  <c r="AT40" i="56" s="1"/>
  <c r="AU40" i="56" s="1"/>
  <c r="AY40" i="56" s="1"/>
  <c r="AZ40" i="56" s="1"/>
  <c r="K119" i="71"/>
  <c r="K164" i="71"/>
  <c r="AR163" i="56" s="1"/>
  <c r="AS163" i="56" s="1"/>
  <c r="AT163" i="56" s="1"/>
  <c r="AU163" i="56" s="1"/>
  <c r="AY163" i="56" s="1"/>
  <c r="AZ163" i="56" s="1"/>
  <c r="K5" i="71"/>
  <c r="AR4" i="56" s="1"/>
  <c r="AS4" i="56" s="1"/>
  <c r="AT4" i="56" s="1"/>
  <c r="AU4" i="56" s="1"/>
  <c r="AY4" i="56" s="1"/>
  <c r="AZ4" i="56" s="1"/>
  <c r="K198" i="71"/>
  <c r="AR197" i="56" s="1"/>
  <c r="AS197" i="56" s="1"/>
  <c r="AT197" i="56" s="1"/>
  <c r="AU197" i="56" s="1"/>
  <c r="AY197" i="56" s="1"/>
  <c r="AZ197" i="56" s="1"/>
  <c r="K4" i="72"/>
  <c r="K86" i="71"/>
  <c r="K142" i="71"/>
  <c r="K123" i="71"/>
  <c r="AR122" i="56" s="1"/>
  <c r="AS122" i="56" s="1"/>
  <c r="AT122" i="56" s="1"/>
  <c r="AU122" i="56" s="1"/>
  <c r="AY122" i="56" s="1"/>
  <c r="AZ122" i="56" s="1"/>
  <c r="K45" i="71"/>
  <c r="AR44" i="56" s="1"/>
  <c r="AS44" i="56" s="1"/>
  <c r="AT44" i="56" s="1"/>
  <c r="AU44" i="56" s="1"/>
  <c r="AY44" i="56" s="1"/>
  <c r="AZ44" i="56" s="1"/>
  <c r="K141" i="71"/>
  <c r="K21" i="71"/>
  <c r="K85" i="71"/>
  <c r="K152" i="71"/>
  <c r="K40" i="71"/>
  <c r="K37" i="71"/>
  <c r="K102" i="71"/>
  <c r="K179" i="71"/>
  <c r="K80" i="71"/>
  <c r="K39" i="71"/>
  <c r="AR38" i="56" s="1"/>
  <c r="AS38" i="56" s="1"/>
  <c r="AT38" i="56" s="1"/>
  <c r="AU38" i="56" s="1"/>
  <c r="AY38" i="56" s="1"/>
  <c r="AZ38" i="56" s="1"/>
  <c r="K154" i="71"/>
  <c r="K192" i="71"/>
  <c r="AR191" i="56" s="1"/>
  <c r="AS191" i="56" s="1"/>
  <c r="AT191" i="56" s="1"/>
  <c r="AU191" i="56" s="1"/>
  <c r="AY191" i="56" s="1"/>
  <c r="AZ191" i="56" s="1"/>
  <c r="K137" i="71"/>
  <c r="K202" i="71"/>
  <c r="K191" i="71"/>
  <c r="AR190" i="56" s="1"/>
  <c r="AS190" i="56" s="1"/>
  <c r="AT190" i="56" s="1"/>
  <c r="AU190" i="56" s="1"/>
  <c r="AY190" i="56" s="1"/>
  <c r="AZ190" i="56" s="1"/>
  <c r="K27" i="71"/>
  <c r="K148" i="71"/>
  <c r="K31" i="71"/>
  <c r="K17" i="71"/>
  <c r="K32" i="71"/>
  <c r="K89" i="71"/>
  <c r="K157" i="71"/>
  <c r="K34" i="71"/>
  <c r="K66" i="71"/>
  <c r="AR65" i="56" s="1"/>
  <c r="AS65" i="56" s="1"/>
  <c r="AT65" i="56" s="1"/>
  <c r="AU65" i="56" s="1"/>
  <c r="AY65" i="56" s="1"/>
  <c r="AZ65" i="56" s="1"/>
  <c r="K163" i="71"/>
  <c r="K190" i="71"/>
  <c r="K143" i="71"/>
  <c r="K131" i="71"/>
  <c r="K204" i="71"/>
  <c r="K18" i="72"/>
  <c r="K15" i="72"/>
  <c r="K188" i="71"/>
  <c r="K130" i="71"/>
  <c r="K138" i="71"/>
  <c r="AR137" i="56" s="1"/>
  <c r="AS137" i="56" s="1"/>
  <c r="AT137" i="56" s="1"/>
  <c r="AU137" i="56" s="1"/>
  <c r="AY137" i="56" s="1"/>
  <c r="AZ137" i="56" s="1"/>
  <c r="K149" i="71"/>
  <c r="K64" i="71"/>
  <c r="K29" i="71"/>
  <c r="AR28" i="56" s="1"/>
  <c r="AS28" i="56" s="1"/>
  <c r="AT28" i="56" s="1"/>
  <c r="AU28" i="56" s="1"/>
  <c r="AY28" i="56" s="1"/>
  <c r="AZ28" i="56" s="1"/>
  <c r="K16" i="71"/>
  <c r="K28" i="71"/>
  <c r="AR27" i="56" s="1"/>
  <c r="AS27" i="56" s="1"/>
  <c r="AT27" i="56" s="1"/>
  <c r="AU27" i="56" s="1"/>
  <c r="AY27" i="56" s="1"/>
  <c r="AZ27" i="56" s="1"/>
  <c r="K208" i="71"/>
  <c r="AR207" i="56" s="1"/>
  <c r="AS207" i="56" s="1"/>
  <c r="AT207" i="56" s="1"/>
  <c r="AU207" i="56" s="1"/>
  <c r="AY207" i="56" s="1"/>
  <c r="AZ207" i="56" s="1"/>
  <c r="K46" i="71"/>
  <c r="AR45" i="56" s="1"/>
  <c r="AS45" i="56" s="1"/>
  <c r="AT45" i="56" s="1"/>
  <c r="AU45" i="56" s="1"/>
  <c r="AY45" i="56" s="1"/>
  <c r="AZ45" i="56" s="1"/>
  <c r="K67" i="71"/>
  <c r="K99" i="71"/>
  <c r="K170" i="71"/>
  <c r="K156" i="71"/>
  <c r="AR155" i="56" s="1"/>
  <c r="AS155" i="56" s="1"/>
  <c r="AT155" i="56" s="1"/>
  <c r="AU155" i="56" s="1"/>
  <c r="AY155" i="56" s="1"/>
  <c r="AZ155" i="56" s="1"/>
  <c r="BK19" i="72"/>
  <c r="BL19" i="72" s="1"/>
  <c r="BM19" i="72" s="1"/>
  <c r="BO19" i="72" s="1"/>
  <c r="BP19" i="72" s="1"/>
  <c r="K140" i="71"/>
  <c r="AR139" i="56" s="1"/>
  <c r="AS139" i="56" s="1"/>
  <c r="AT139" i="56" s="1"/>
  <c r="AU139" i="56" s="1"/>
  <c r="AY139" i="56" s="1"/>
  <c r="AZ139" i="56" s="1"/>
  <c r="K160" i="71"/>
  <c r="K33" i="71"/>
  <c r="K174" i="71"/>
  <c r="K14" i="71"/>
  <c r="AR13" i="56" s="1"/>
  <c r="AS13" i="56" s="1"/>
  <c r="AT13" i="56" s="1"/>
  <c r="AU13" i="56" s="1"/>
  <c r="AY13" i="56" s="1"/>
  <c r="AZ13" i="56" s="1"/>
  <c r="K17" i="72"/>
  <c r="K104" i="71"/>
  <c r="K151" i="71"/>
  <c r="K110" i="71"/>
  <c r="AR109" i="56" s="1"/>
  <c r="AS109" i="56" s="1"/>
  <c r="AT109" i="56" s="1"/>
  <c r="AU109" i="56" s="1"/>
  <c r="AY109" i="56" s="1"/>
  <c r="AZ109" i="56" s="1"/>
  <c r="K75" i="71"/>
  <c r="K57" i="71"/>
  <c r="K103" i="71"/>
  <c r="K129" i="71"/>
  <c r="K175" i="71"/>
  <c r="K176" i="71"/>
  <c r="AR175" i="56" s="1"/>
  <c r="AS175" i="56" s="1"/>
  <c r="AT175" i="56" s="1"/>
  <c r="AU175" i="56" s="1"/>
  <c r="AY175" i="56" s="1"/>
  <c r="AZ175" i="56" s="1"/>
  <c r="K106" i="71"/>
  <c r="K98" i="71"/>
  <c r="K158" i="71"/>
  <c r="K139" i="71"/>
  <c r="AR138" i="56" s="1"/>
  <c r="AS138" i="56" s="1"/>
  <c r="AT138" i="56" s="1"/>
  <c r="AU138" i="56" s="1"/>
  <c r="AY138" i="56" s="1"/>
  <c r="AZ138" i="56" s="1"/>
  <c r="K166" i="71"/>
  <c r="K59" i="71"/>
  <c r="AR58" i="56" s="1"/>
  <c r="AS58" i="56" s="1"/>
  <c r="AT58" i="56" s="1"/>
  <c r="AU58" i="56" s="1"/>
  <c r="AY58" i="56" s="1"/>
  <c r="AZ58" i="56" s="1"/>
  <c r="K20" i="72"/>
  <c r="K12" i="71"/>
  <c r="K153" i="71"/>
  <c r="K165" i="71"/>
  <c r="K101" i="71"/>
  <c r="K87" i="71"/>
  <c r="K60" i="71"/>
  <c r="K42" i="71"/>
  <c r="K155" i="71"/>
  <c r="AR154" i="56" s="1"/>
  <c r="AS154" i="56" s="1"/>
  <c r="AT154" i="56" s="1"/>
  <c r="AU154" i="56" s="1"/>
  <c r="AY154" i="56" s="1"/>
  <c r="AZ154" i="56" s="1"/>
  <c r="K127" i="71"/>
  <c r="AR126" i="56" s="1"/>
  <c r="AS126" i="56" s="1"/>
  <c r="AT126" i="56" s="1"/>
  <c r="AU126" i="56" s="1"/>
  <c r="AY126" i="56" s="1"/>
  <c r="AZ126" i="56" s="1"/>
  <c r="K74" i="71"/>
  <c r="K116" i="71"/>
  <c r="K13" i="72"/>
  <c r="K50" i="71"/>
  <c r="K185" i="71"/>
  <c r="K25" i="71"/>
  <c r="K69" i="71"/>
  <c r="K9" i="71"/>
  <c r="AR8" i="56" s="1"/>
  <c r="AS8" i="56" s="1"/>
  <c r="AT8" i="56" s="1"/>
  <c r="AU8" i="56" s="1"/>
  <c r="AY8" i="56" s="1"/>
  <c r="AZ8" i="56" s="1"/>
  <c r="AT124" i="71"/>
  <c r="K62" i="71"/>
  <c r="K120" i="71"/>
  <c r="AR119" i="56" s="1"/>
  <c r="AS119" i="56" s="1"/>
  <c r="AT119" i="56" s="1"/>
  <c r="AU119" i="56" s="1"/>
  <c r="AY119" i="56" s="1"/>
  <c r="AZ119" i="56" s="1"/>
  <c r="K182" i="71"/>
  <c r="AR181" i="56" s="1"/>
  <c r="AS181" i="56" s="1"/>
  <c r="AT181" i="56" s="1"/>
  <c r="AU181" i="56" s="1"/>
  <c r="AY181" i="56" s="1"/>
  <c r="AZ181" i="56" s="1"/>
  <c r="AT193" i="71"/>
  <c r="K159" i="71"/>
  <c r="K172" i="71"/>
  <c r="K178" i="71"/>
  <c r="K207" i="71"/>
  <c r="AR206" i="56" s="1"/>
  <c r="AS206" i="56" s="1"/>
  <c r="AT206" i="56" s="1"/>
  <c r="AU206" i="56" s="1"/>
  <c r="AY206" i="56" s="1"/>
  <c r="AZ206" i="56" s="1"/>
  <c r="K81" i="71"/>
  <c r="K19" i="71"/>
  <c r="K6" i="71"/>
  <c r="K184" i="71"/>
  <c r="AR183" i="56" s="1"/>
  <c r="AS183" i="56" s="1"/>
  <c r="AT183" i="56" s="1"/>
  <c r="AU183" i="56" s="1"/>
  <c r="AY183" i="56" s="1"/>
  <c r="AZ183" i="56" s="1"/>
  <c r="K201" i="71"/>
  <c r="K47" i="71"/>
  <c r="K128" i="71"/>
  <c r="K177" i="71"/>
  <c r="K145" i="71"/>
  <c r="K183" i="71"/>
  <c r="K6" i="72"/>
  <c r="L6" i="72" s="1"/>
  <c r="N6" i="72" s="1"/>
  <c r="O6" i="72" s="1"/>
  <c r="P6" i="72" s="1"/>
  <c r="T6" i="72" s="1"/>
  <c r="U6" i="72" s="1"/>
  <c r="K61" i="71"/>
  <c r="K122" i="71"/>
  <c r="K126" i="71"/>
  <c r="K43" i="71"/>
  <c r="AR42" i="56" s="1"/>
  <c r="AS42" i="56" s="1"/>
  <c r="AT42" i="56" s="1"/>
  <c r="AU42" i="56" s="1"/>
  <c r="AY42" i="56" s="1"/>
  <c r="AZ42" i="56" s="1"/>
  <c r="K76" i="71"/>
  <c r="K181" i="71"/>
  <c r="K35" i="71"/>
  <c r="AR34" i="56" s="1"/>
  <c r="AS34" i="56" s="1"/>
  <c r="AT34" i="56" s="1"/>
  <c r="AU34" i="56" s="1"/>
  <c r="AY34" i="56" s="1"/>
  <c r="AZ34" i="56" s="1"/>
  <c r="K146" i="71"/>
  <c r="K65" i="71"/>
  <c r="K95" i="71"/>
  <c r="K199" i="71"/>
  <c r="K91" i="71"/>
  <c r="K49" i="71"/>
  <c r="K24" i="71"/>
  <c r="K48" i="71"/>
  <c r="AR47" i="56" s="1"/>
  <c r="AS47" i="56" s="1"/>
  <c r="AT47" i="56" s="1"/>
  <c r="AU47" i="56" s="1"/>
  <c r="AY47" i="56" s="1"/>
  <c r="AZ47" i="56" s="1"/>
  <c r="K26" i="71"/>
  <c r="AR25" i="56" s="1"/>
  <c r="AS25" i="56" s="1"/>
  <c r="AT25" i="56" s="1"/>
  <c r="AU25" i="56" s="1"/>
  <c r="AY25" i="56" s="1"/>
  <c r="AZ25" i="56" s="1"/>
  <c r="K205" i="71"/>
  <c r="K55" i="71"/>
  <c r="K52" i="71"/>
  <c r="K56" i="71"/>
  <c r="K100" i="71"/>
  <c r="K73" i="71"/>
  <c r="K113" i="71"/>
  <c r="K9" i="72"/>
  <c r="L9" i="72" s="1"/>
  <c r="N9" i="72" s="1"/>
  <c r="O9" i="72" s="1"/>
  <c r="P9" i="72" s="1"/>
  <c r="T9" i="72" s="1"/>
  <c r="U9" i="72" s="1"/>
  <c r="K5" i="72"/>
  <c r="L5" i="72" s="1"/>
  <c r="N5" i="72" s="1"/>
  <c r="O5" i="72" s="1"/>
  <c r="P5" i="72" s="1"/>
  <c r="T5" i="72" s="1"/>
  <c r="U5" i="72" s="1"/>
  <c r="Z227" i="67"/>
  <c r="H72" i="67"/>
  <c r="H60" i="67"/>
  <c r="H182" i="67"/>
  <c r="H5" i="67"/>
  <c r="H13" i="67"/>
  <c r="H6" i="67"/>
  <c r="H8" i="67"/>
  <c r="H12" i="67"/>
  <c r="H164" i="67"/>
  <c r="H15" i="67"/>
  <c r="H52" i="67"/>
  <c r="H17" i="67"/>
  <c r="H137" i="67"/>
  <c r="H128" i="67"/>
  <c r="H152" i="67"/>
  <c r="H193" i="67"/>
  <c r="H37" i="67"/>
  <c r="H26" i="67"/>
  <c r="H87" i="67"/>
  <c r="H88" i="67"/>
  <c r="H34" i="67"/>
  <c r="H92" i="67"/>
  <c r="H174" i="67"/>
  <c r="H117" i="67"/>
  <c r="H95" i="67"/>
  <c r="H109" i="67"/>
  <c r="H96" i="67"/>
  <c r="H98" i="67"/>
  <c r="H19" i="67"/>
  <c r="H4" i="67"/>
  <c r="H46" i="67"/>
  <c r="H194" i="67"/>
  <c r="H100" i="67"/>
  <c r="H190" i="67"/>
  <c r="H103" i="67"/>
  <c r="H104" i="67"/>
  <c r="H192" i="67"/>
  <c r="H168" i="67"/>
  <c r="H111" i="67"/>
  <c r="H114" i="67"/>
  <c r="H51" i="67"/>
  <c r="H179" i="67"/>
  <c r="H116" i="67"/>
  <c r="H118" i="67"/>
  <c r="H105" i="67"/>
  <c r="H196" i="67"/>
  <c r="H9" i="67"/>
  <c r="H70" i="67"/>
  <c r="H195" i="67"/>
  <c r="H22" i="67"/>
  <c r="H124" i="67"/>
  <c r="H106" i="67"/>
  <c r="H127" i="67"/>
  <c r="H11" i="67"/>
  <c r="H129" i="67"/>
  <c r="H48" i="67"/>
  <c r="H45" i="67"/>
  <c r="H165" i="67"/>
  <c r="H31" i="67"/>
  <c r="H142" i="67"/>
  <c r="H53" i="67"/>
  <c r="H82" i="67"/>
  <c r="H141" i="67"/>
  <c r="H153" i="67"/>
  <c r="H135" i="67"/>
  <c r="H160" i="67"/>
  <c r="H7" i="67"/>
  <c r="H145" i="67"/>
  <c r="H154" i="67"/>
  <c r="H131" i="67"/>
  <c r="H41" i="67"/>
  <c r="H18" i="67"/>
  <c r="H147" i="67"/>
  <c r="H162" i="67"/>
  <c r="H54" i="67"/>
  <c r="H204" i="67"/>
  <c r="H30" i="67"/>
  <c r="H42" i="67"/>
  <c r="H151" i="67"/>
  <c r="H149" i="67"/>
  <c r="H64" i="67"/>
  <c r="H113" i="67"/>
  <c r="H157" i="67"/>
  <c r="H159" i="67"/>
  <c r="H121" i="67"/>
  <c r="H35" i="67"/>
  <c r="H56" i="67"/>
  <c r="H57" i="67"/>
  <c r="H38" i="67"/>
  <c r="H163" i="67"/>
  <c r="H126" i="67"/>
  <c r="H173" i="67"/>
  <c r="H191" i="67"/>
  <c r="H14" i="67"/>
  <c r="H77" i="67"/>
  <c r="H119" i="67"/>
  <c r="H177" i="67"/>
  <c r="H197" i="67"/>
  <c r="H178" i="67"/>
  <c r="H181" i="67"/>
  <c r="H39" i="67"/>
  <c r="H156" i="67"/>
  <c r="H203" i="67"/>
  <c r="H74" i="67"/>
  <c r="H205" i="67"/>
  <c r="H167" i="67"/>
  <c r="H40" i="67"/>
  <c r="H180" i="67"/>
  <c r="H186" i="67"/>
  <c r="H43" i="67"/>
  <c r="H130" i="67"/>
  <c r="H166" i="67"/>
  <c r="H27" i="67"/>
  <c r="H84" i="67"/>
  <c r="H201" i="67"/>
  <c r="H58" i="67"/>
  <c r="H23" i="67"/>
  <c r="H155" i="67"/>
  <c r="H28" i="67"/>
  <c r="H143" i="67"/>
  <c r="H206" i="67"/>
  <c r="H83" i="67"/>
  <c r="H93" i="67"/>
  <c r="H188" i="67"/>
  <c r="H183" i="67"/>
  <c r="H175" i="67"/>
  <c r="H198" i="67"/>
  <c r="H24" i="67"/>
  <c r="H185" i="67"/>
  <c r="H158" i="67"/>
  <c r="H115" i="67"/>
  <c r="H102" i="67"/>
  <c r="H91" i="67"/>
  <c r="H63" i="67"/>
  <c r="H110" i="67"/>
  <c r="H132" i="67"/>
  <c r="H189" i="67"/>
  <c r="H125" i="67"/>
  <c r="H44" i="67"/>
  <c r="H176" i="67"/>
  <c r="H89" i="67"/>
  <c r="H150" i="67"/>
  <c r="H25" i="67"/>
  <c r="H50" i="67"/>
  <c r="H86" i="67"/>
  <c r="H79" i="67"/>
  <c r="H80" i="67"/>
  <c r="H10" i="67"/>
  <c r="H202" i="67"/>
  <c r="H99" i="67"/>
  <c r="H187" i="67"/>
  <c r="H21" i="67"/>
  <c r="H47" i="67"/>
  <c r="H16" i="67"/>
  <c r="H59" i="67"/>
  <c r="H29" i="67"/>
  <c r="H68" i="67"/>
  <c r="H65" i="67"/>
  <c r="H78" i="67"/>
  <c r="H94" i="67"/>
  <c r="H32" i="67"/>
  <c r="H85" i="67"/>
  <c r="H170" i="67"/>
  <c r="H61" i="67"/>
  <c r="H133" i="67"/>
  <c r="H161" i="67"/>
  <c r="H123" i="67"/>
  <c r="H81" i="67"/>
  <c r="H199" i="67"/>
  <c r="H184" i="67"/>
  <c r="H97" i="67"/>
  <c r="H148" i="67"/>
  <c r="H36" i="67"/>
  <c r="H171" i="67"/>
  <c r="H120" i="67"/>
  <c r="H146" i="67"/>
  <c r="H140" i="67"/>
  <c r="H76" i="67"/>
  <c r="H169" i="67"/>
  <c r="H200" i="67"/>
  <c r="H122" i="67"/>
  <c r="H75" i="67"/>
  <c r="L80" i="71" l="1"/>
  <c r="N80" i="71" s="1"/>
  <c r="O80" i="71" s="1"/>
  <c r="AR79" i="56"/>
  <c r="AS79" i="56" s="1"/>
  <c r="AT79" i="56" s="1"/>
  <c r="AU79" i="56" s="1"/>
  <c r="AY79" i="56" s="1"/>
  <c r="AZ79" i="56" s="1"/>
  <c r="L170" i="71"/>
  <c r="N170" i="71" s="1"/>
  <c r="O170" i="71" s="1"/>
  <c r="AR169" i="56"/>
  <c r="AS169" i="56" s="1"/>
  <c r="AT169" i="56" s="1"/>
  <c r="AU169" i="56" s="1"/>
  <c r="AY169" i="56" s="1"/>
  <c r="AZ169" i="56" s="1"/>
  <c r="L90" i="71"/>
  <c r="N90" i="71" s="1"/>
  <c r="O90" i="71" s="1"/>
  <c r="AR89" i="56"/>
  <c r="AS89" i="56" s="1"/>
  <c r="AT89" i="56" s="1"/>
  <c r="AU89" i="56" s="1"/>
  <c r="AY89" i="56" s="1"/>
  <c r="AZ89" i="56" s="1"/>
  <c r="L100" i="71"/>
  <c r="N100" i="71" s="1"/>
  <c r="O100" i="71" s="1"/>
  <c r="P100" i="71" s="1"/>
  <c r="AR99" i="56"/>
  <c r="AS99" i="56" s="1"/>
  <c r="AT99" i="56" s="1"/>
  <c r="AU99" i="56" s="1"/>
  <c r="AY99" i="56" s="1"/>
  <c r="AZ99" i="56" s="1"/>
  <c r="L52" i="71"/>
  <c r="N52" i="71" s="1"/>
  <c r="O52" i="71" s="1"/>
  <c r="P52" i="71" s="1"/>
  <c r="AR51" i="56"/>
  <c r="AS51" i="56" s="1"/>
  <c r="AT51" i="56" s="1"/>
  <c r="AU51" i="56" s="1"/>
  <c r="AY51" i="56" s="1"/>
  <c r="AZ51" i="56" s="1"/>
  <c r="L47" i="71"/>
  <c r="N47" i="71" s="1"/>
  <c r="O47" i="71" s="1"/>
  <c r="P47" i="71" s="1"/>
  <c r="AR46" i="56"/>
  <c r="AS46" i="56" s="1"/>
  <c r="AT46" i="56" s="1"/>
  <c r="AU46" i="56" s="1"/>
  <c r="AY46" i="56" s="1"/>
  <c r="AZ46" i="56" s="1"/>
  <c r="L102" i="71"/>
  <c r="N102" i="71" s="1"/>
  <c r="O102" i="71" s="1"/>
  <c r="AR101" i="56"/>
  <c r="AS101" i="56" s="1"/>
  <c r="AT101" i="56" s="1"/>
  <c r="AU101" i="56" s="1"/>
  <c r="AY101" i="56" s="1"/>
  <c r="AZ101" i="56" s="1"/>
  <c r="L55" i="71"/>
  <c r="N55" i="71" s="1"/>
  <c r="O55" i="71" s="1"/>
  <c r="AR54" i="56"/>
  <c r="AS54" i="56" s="1"/>
  <c r="AT54" i="56" s="1"/>
  <c r="AU54" i="56" s="1"/>
  <c r="AY54" i="56" s="1"/>
  <c r="AZ54" i="56" s="1"/>
  <c r="L181" i="71"/>
  <c r="N181" i="71" s="1"/>
  <c r="O181" i="71" s="1"/>
  <c r="AR180" i="56"/>
  <c r="AS180" i="56" s="1"/>
  <c r="AT180" i="56" s="1"/>
  <c r="AU180" i="56" s="1"/>
  <c r="AY180" i="56" s="1"/>
  <c r="AZ180" i="56" s="1"/>
  <c r="L201" i="71"/>
  <c r="N201" i="71" s="1"/>
  <c r="O201" i="71" s="1"/>
  <c r="P201" i="71" s="1"/>
  <c r="AR200" i="56"/>
  <c r="AS200" i="56" s="1"/>
  <c r="AT200" i="56" s="1"/>
  <c r="AU200" i="56" s="1"/>
  <c r="AY200" i="56" s="1"/>
  <c r="AZ200" i="56" s="1"/>
  <c r="L74" i="71"/>
  <c r="N74" i="71" s="1"/>
  <c r="O74" i="71" s="1"/>
  <c r="P74" i="71" s="1"/>
  <c r="AR73" i="56"/>
  <c r="AS73" i="56" s="1"/>
  <c r="AT73" i="56" s="1"/>
  <c r="AU73" i="56" s="1"/>
  <c r="AY73" i="56" s="1"/>
  <c r="AZ73" i="56" s="1"/>
  <c r="L166" i="71"/>
  <c r="N166" i="71" s="1"/>
  <c r="O166" i="71" s="1"/>
  <c r="P166" i="71" s="1"/>
  <c r="AR165" i="56"/>
  <c r="AS165" i="56" s="1"/>
  <c r="AT165" i="56" s="1"/>
  <c r="AU165" i="56" s="1"/>
  <c r="AY165" i="56" s="1"/>
  <c r="AZ165" i="56" s="1"/>
  <c r="L151" i="71"/>
  <c r="N151" i="71" s="1"/>
  <c r="O151" i="71" s="1"/>
  <c r="AR150" i="56"/>
  <c r="AS150" i="56" s="1"/>
  <c r="AT150" i="56" s="1"/>
  <c r="AU150" i="56" s="1"/>
  <c r="AY150" i="56" s="1"/>
  <c r="AZ150" i="56" s="1"/>
  <c r="L67" i="71"/>
  <c r="N67" i="71" s="1"/>
  <c r="O67" i="71" s="1"/>
  <c r="AR66" i="56"/>
  <c r="AS66" i="56" s="1"/>
  <c r="AT66" i="56" s="1"/>
  <c r="AU66" i="56" s="1"/>
  <c r="AY66" i="56" s="1"/>
  <c r="AZ66" i="56" s="1"/>
  <c r="L31" i="71"/>
  <c r="N31" i="71" s="1"/>
  <c r="O31" i="71" s="1"/>
  <c r="AR30" i="56"/>
  <c r="AS30" i="56" s="1"/>
  <c r="AT30" i="56" s="1"/>
  <c r="AU30" i="56" s="1"/>
  <c r="AY30" i="56" s="1"/>
  <c r="AZ30" i="56" s="1"/>
  <c r="L37" i="71"/>
  <c r="N37" i="71" s="1"/>
  <c r="O37" i="71" s="1"/>
  <c r="P37" i="71" s="1"/>
  <c r="AR36" i="56"/>
  <c r="AS36" i="56" s="1"/>
  <c r="AT36" i="56" s="1"/>
  <c r="AU36" i="56" s="1"/>
  <c r="AY36" i="56" s="1"/>
  <c r="AZ36" i="56" s="1"/>
  <c r="L115" i="71"/>
  <c r="N115" i="71" s="1"/>
  <c r="O115" i="71" s="1"/>
  <c r="P115" i="71" s="1"/>
  <c r="AR114" i="56"/>
  <c r="AS114" i="56" s="1"/>
  <c r="AT114" i="56" s="1"/>
  <c r="AU114" i="56" s="1"/>
  <c r="AY114" i="56" s="1"/>
  <c r="AZ114" i="56" s="1"/>
  <c r="L185" i="71"/>
  <c r="N185" i="71" s="1"/>
  <c r="O185" i="71" s="1"/>
  <c r="P185" i="71" s="1"/>
  <c r="AR184" i="56"/>
  <c r="AS184" i="56" s="1"/>
  <c r="AT184" i="56" s="1"/>
  <c r="AU184" i="56" s="1"/>
  <c r="AY184" i="56" s="1"/>
  <c r="AZ184" i="56" s="1"/>
  <c r="L93" i="71"/>
  <c r="N93" i="71" s="1"/>
  <c r="O93" i="71" s="1"/>
  <c r="AR92" i="56"/>
  <c r="AS92" i="56" s="1"/>
  <c r="AT92" i="56" s="1"/>
  <c r="AU92" i="56" s="1"/>
  <c r="AY92" i="56" s="1"/>
  <c r="AZ92" i="56" s="1"/>
  <c r="L146" i="71"/>
  <c r="N146" i="71" s="1"/>
  <c r="O146" i="71" s="1"/>
  <c r="AR145" i="56"/>
  <c r="AS145" i="56" s="1"/>
  <c r="AT145" i="56" s="1"/>
  <c r="AU145" i="56" s="1"/>
  <c r="AY145" i="56" s="1"/>
  <c r="AZ145" i="56" s="1"/>
  <c r="L188" i="71"/>
  <c r="N188" i="71" s="1"/>
  <c r="O188" i="71" s="1"/>
  <c r="AR187" i="56"/>
  <c r="AS187" i="56" s="1"/>
  <c r="AT187" i="56" s="1"/>
  <c r="AU187" i="56" s="1"/>
  <c r="AY187" i="56" s="1"/>
  <c r="AZ187" i="56" s="1"/>
  <c r="L18" i="71"/>
  <c r="N18" i="71" s="1"/>
  <c r="O18" i="71" s="1"/>
  <c r="P18" i="71" s="1"/>
  <c r="AR17" i="56"/>
  <c r="AS17" i="56" s="1"/>
  <c r="AT17" i="56" s="1"/>
  <c r="AU17" i="56" s="1"/>
  <c r="AY17" i="56" s="1"/>
  <c r="AZ17" i="56" s="1"/>
  <c r="L62" i="71"/>
  <c r="N62" i="71" s="1"/>
  <c r="O62" i="71" s="1"/>
  <c r="P62" i="71" s="1"/>
  <c r="AR61" i="56"/>
  <c r="AS61" i="56" s="1"/>
  <c r="AT61" i="56" s="1"/>
  <c r="AU61" i="56" s="1"/>
  <c r="AY61" i="56" s="1"/>
  <c r="AZ61" i="56" s="1"/>
  <c r="L104" i="71"/>
  <c r="N104" i="71" s="1"/>
  <c r="O104" i="71" s="1"/>
  <c r="P104" i="71" s="1"/>
  <c r="AR103" i="56"/>
  <c r="AS103" i="56" s="1"/>
  <c r="AT103" i="56" s="1"/>
  <c r="AU103" i="56" s="1"/>
  <c r="AY103" i="56" s="1"/>
  <c r="AZ103" i="56" s="1"/>
  <c r="L204" i="71"/>
  <c r="N204" i="71" s="1"/>
  <c r="O204" i="71" s="1"/>
  <c r="AR203" i="56"/>
  <c r="AS203" i="56" s="1"/>
  <c r="AT203" i="56" s="1"/>
  <c r="AU203" i="56" s="1"/>
  <c r="AY203" i="56" s="1"/>
  <c r="AZ203" i="56" s="1"/>
  <c r="L148" i="71"/>
  <c r="N148" i="71" s="1"/>
  <c r="O148" i="71" s="1"/>
  <c r="AR147" i="56"/>
  <c r="AS147" i="56" s="1"/>
  <c r="AT147" i="56" s="1"/>
  <c r="AU147" i="56" s="1"/>
  <c r="AY147" i="56" s="1"/>
  <c r="AZ147" i="56" s="1"/>
  <c r="L40" i="71"/>
  <c r="N40" i="71" s="1"/>
  <c r="O40" i="71" s="1"/>
  <c r="AR39" i="56"/>
  <c r="AS39" i="56" s="1"/>
  <c r="AT39" i="56" s="1"/>
  <c r="AU39" i="56" s="1"/>
  <c r="AY39" i="56" s="1"/>
  <c r="AZ39" i="56" s="1"/>
  <c r="L196" i="71"/>
  <c r="N196" i="71" s="1"/>
  <c r="O196" i="71" s="1"/>
  <c r="P196" i="71" s="1"/>
  <c r="AR195" i="56"/>
  <c r="AS195" i="56" s="1"/>
  <c r="AT195" i="56" s="1"/>
  <c r="AU195" i="56" s="1"/>
  <c r="AY195" i="56" s="1"/>
  <c r="AZ195" i="56" s="1"/>
  <c r="L197" i="71"/>
  <c r="N197" i="71" s="1"/>
  <c r="O197" i="71" s="1"/>
  <c r="P197" i="71" s="1"/>
  <c r="AR196" i="56"/>
  <c r="AS196" i="56" s="1"/>
  <c r="AT196" i="56" s="1"/>
  <c r="AU196" i="56" s="1"/>
  <c r="AY196" i="56" s="1"/>
  <c r="AZ196" i="56" s="1"/>
  <c r="L145" i="71"/>
  <c r="N145" i="71" s="1"/>
  <c r="O145" i="71" s="1"/>
  <c r="P145" i="71" s="1"/>
  <c r="AR144" i="56"/>
  <c r="AS144" i="56" s="1"/>
  <c r="AT144" i="56" s="1"/>
  <c r="AU144" i="56" s="1"/>
  <c r="AY144" i="56" s="1"/>
  <c r="AZ144" i="56" s="1"/>
  <c r="L142" i="71"/>
  <c r="N142" i="71" s="1"/>
  <c r="O142" i="71" s="1"/>
  <c r="AR141" i="56"/>
  <c r="AS141" i="56" s="1"/>
  <c r="AT141" i="56" s="1"/>
  <c r="AU141" i="56" s="1"/>
  <c r="AY141" i="56" s="1"/>
  <c r="AZ141" i="56" s="1"/>
  <c r="L51" i="71"/>
  <c r="N51" i="71" s="1"/>
  <c r="O51" i="71" s="1"/>
  <c r="AR50" i="56"/>
  <c r="AS50" i="56" s="1"/>
  <c r="AT50" i="56" s="1"/>
  <c r="AU50" i="56" s="1"/>
  <c r="AY50" i="56" s="1"/>
  <c r="AZ50" i="56" s="1"/>
  <c r="L97" i="71"/>
  <c r="N97" i="71" s="1"/>
  <c r="O97" i="71" s="1"/>
  <c r="AR96" i="56"/>
  <c r="AS96" i="56" s="1"/>
  <c r="AT96" i="56" s="1"/>
  <c r="AU96" i="56" s="1"/>
  <c r="AY96" i="56" s="1"/>
  <c r="AZ96" i="56" s="1"/>
  <c r="L159" i="71"/>
  <c r="N159" i="71" s="1"/>
  <c r="O159" i="71" s="1"/>
  <c r="P159" i="71" s="1"/>
  <c r="AR158" i="56"/>
  <c r="AS158" i="56" s="1"/>
  <c r="AT158" i="56" s="1"/>
  <c r="AU158" i="56" s="1"/>
  <c r="AY158" i="56" s="1"/>
  <c r="AZ158" i="56" s="1"/>
  <c r="L128" i="71"/>
  <c r="N128" i="71" s="1"/>
  <c r="O128" i="71" s="1"/>
  <c r="P128" i="71" s="1"/>
  <c r="AR127" i="56"/>
  <c r="AS127" i="56" s="1"/>
  <c r="AT127" i="56" s="1"/>
  <c r="AU127" i="56" s="1"/>
  <c r="AY127" i="56" s="1"/>
  <c r="AZ127" i="56" s="1"/>
  <c r="L76" i="71"/>
  <c r="N76" i="71" s="1"/>
  <c r="O76" i="71" s="1"/>
  <c r="P76" i="71" s="1"/>
  <c r="AR75" i="56"/>
  <c r="AS75" i="56" s="1"/>
  <c r="AT75" i="56" s="1"/>
  <c r="AU75" i="56" s="1"/>
  <c r="AY75" i="56" s="1"/>
  <c r="AZ75" i="56" s="1"/>
  <c r="L6" i="71"/>
  <c r="N6" i="71" s="1"/>
  <c r="O6" i="71" s="1"/>
  <c r="AR5" i="56"/>
  <c r="AS5" i="56" s="1"/>
  <c r="AT5" i="56" s="1"/>
  <c r="AU5" i="56" s="1"/>
  <c r="AY5" i="56" s="1"/>
  <c r="AZ5" i="56" s="1"/>
  <c r="AT117" i="71"/>
  <c r="L158" i="71"/>
  <c r="N158" i="71" s="1"/>
  <c r="O158" i="71" s="1"/>
  <c r="AR157" i="56"/>
  <c r="AS157" i="56" s="1"/>
  <c r="AT157" i="56" s="1"/>
  <c r="AU157" i="56" s="1"/>
  <c r="AY157" i="56" s="1"/>
  <c r="AZ157" i="56" s="1"/>
  <c r="L131" i="71"/>
  <c r="N131" i="71" s="1"/>
  <c r="O131" i="71" s="1"/>
  <c r="P131" i="71" s="1"/>
  <c r="AR130" i="56"/>
  <c r="AS130" i="56" s="1"/>
  <c r="AT130" i="56" s="1"/>
  <c r="AU130" i="56" s="1"/>
  <c r="AY130" i="56" s="1"/>
  <c r="AZ130" i="56" s="1"/>
  <c r="L27" i="71"/>
  <c r="N27" i="71" s="1"/>
  <c r="O27" i="71" s="1"/>
  <c r="P27" i="71" s="1"/>
  <c r="AR26" i="56"/>
  <c r="AS26" i="56" s="1"/>
  <c r="AT26" i="56" s="1"/>
  <c r="AU26" i="56" s="1"/>
  <c r="AY26" i="56" s="1"/>
  <c r="AZ26" i="56" s="1"/>
  <c r="L152" i="71"/>
  <c r="N152" i="71" s="1"/>
  <c r="O152" i="71" s="1"/>
  <c r="P152" i="71" s="1"/>
  <c r="AR151" i="56"/>
  <c r="AS151" i="56" s="1"/>
  <c r="AT151" i="56" s="1"/>
  <c r="AU151" i="56" s="1"/>
  <c r="AY151" i="56" s="1"/>
  <c r="AZ151" i="56" s="1"/>
  <c r="L119" i="71"/>
  <c r="N119" i="71" s="1"/>
  <c r="O119" i="71" s="1"/>
  <c r="P119" i="71" s="1"/>
  <c r="AR118" i="56"/>
  <c r="AS118" i="56" s="1"/>
  <c r="AT118" i="56" s="1"/>
  <c r="AU118" i="56" s="1"/>
  <c r="AY118" i="56" s="1"/>
  <c r="AZ118" i="56" s="1"/>
  <c r="BK193" i="71"/>
  <c r="AR192" i="56"/>
  <c r="AS192" i="56" s="1"/>
  <c r="AT192" i="56" s="1"/>
  <c r="AU192" i="56" s="1"/>
  <c r="AY192" i="56" s="1"/>
  <c r="AZ192" i="56" s="1"/>
  <c r="L95" i="71"/>
  <c r="N95" i="71" s="1"/>
  <c r="O95" i="71" s="1"/>
  <c r="AR94" i="56"/>
  <c r="AS94" i="56" s="1"/>
  <c r="AT94" i="56" s="1"/>
  <c r="AU94" i="56" s="1"/>
  <c r="AY94" i="56" s="1"/>
  <c r="AZ94" i="56" s="1"/>
  <c r="L153" i="71"/>
  <c r="N153" i="71" s="1"/>
  <c r="O153" i="71" s="1"/>
  <c r="AR152" i="56"/>
  <c r="AS152" i="56" s="1"/>
  <c r="AT152" i="56" s="1"/>
  <c r="AU152" i="56" s="1"/>
  <c r="AY152" i="56" s="1"/>
  <c r="AZ152" i="56" s="1"/>
  <c r="L32" i="71"/>
  <c r="N32" i="71" s="1"/>
  <c r="O32" i="71" s="1"/>
  <c r="P32" i="71" s="1"/>
  <c r="AR31" i="56"/>
  <c r="AS31" i="56" s="1"/>
  <c r="AT31" i="56" s="1"/>
  <c r="AU31" i="56" s="1"/>
  <c r="AY31" i="56" s="1"/>
  <c r="AZ31" i="56" s="1"/>
  <c r="L116" i="71"/>
  <c r="N116" i="71" s="1"/>
  <c r="O116" i="71" s="1"/>
  <c r="P116" i="71" s="1"/>
  <c r="AR115" i="56"/>
  <c r="AS115" i="56" s="1"/>
  <c r="AT115" i="56" s="1"/>
  <c r="AU115" i="56" s="1"/>
  <c r="AY115" i="56" s="1"/>
  <c r="AZ115" i="56" s="1"/>
  <c r="L99" i="71"/>
  <c r="N99" i="71" s="1"/>
  <c r="O99" i="71" s="1"/>
  <c r="P99" i="71" s="1"/>
  <c r="AR98" i="56"/>
  <c r="AS98" i="56" s="1"/>
  <c r="AT98" i="56" s="1"/>
  <c r="AU98" i="56" s="1"/>
  <c r="AY98" i="56" s="1"/>
  <c r="AZ98" i="56" s="1"/>
  <c r="L17" i="71"/>
  <c r="N17" i="71" s="1"/>
  <c r="O17" i="71" s="1"/>
  <c r="AR16" i="56"/>
  <c r="AS16" i="56" s="1"/>
  <c r="AT16" i="56" s="1"/>
  <c r="AU16" i="56" s="1"/>
  <c r="AY16" i="56" s="1"/>
  <c r="AZ16" i="56" s="1"/>
  <c r="L108" i="71"/>
  <c r="N108" i="71" s="1"/>
  <c r="O108" i="71" s="1"/>
  <c r="AR107" i="56"/>
  <c r="AS107" i="56" s="1"/>
  <c r="AT107" i="56" s="1"/>
  <c r="AU107" i="56" s="1"/>
  <c r="AY107" i="56" s="1"/>
  <c r="AZ107" i="56" s="1"/>
  <c r="L126" i="71"/>
  <c r="N126" i="71" s="1"/>
  <c r="O126" i="71" s="1"/>
  <c r="P126" i="71" s="1"/>
  <c r="AR125" i="56"/>
  <c r="AS125" i="56" s="1"/>
  <c r="AT125" i="56" s="1"/>
  <c r="AU125" i="56" s="1"/>
  <c r="AY125" i="56" s="1"/>
  <c r="AZ125" i="56" s="1"/>
  <c r="L143" i="71"/>
  <c r="N143" i="71" s="1"/>
  <c r="O143" i="71" s="1"/>
  <c r="P143" i="71" s="1"/>
  <c r="AR142" i="56"/>
  <c r="AS142" i="56" s="1"/>
  <c r="AT142" i="56" s="1"/>
  <c r="AU142" i="56" s="1"/>
  <c r="AY142" i="56" s="1"/>
  <c r="AZ142" i="56" s="1"/>
  <c r="L85" i="71"/>
  <c r="N85" i="71" s="1"/>
  <c r="O85" i="71" s="1"/>
  <c r="P85" i="71" s="1"/>
  <c r="AR84" i="56"/>
  <c r="AS84" i="56" s="1"/>
  <c r="AT84" i="56" s="1"/>
  <c r="AU84" i="56" s="1"/>
  <c r="AY84" i="56" s="1"/>
  <c r="AZ84" i="56" s="1"/>
  <c r="L50" i="71"/>
  <c r="N50" i="71" s="1"/>
  <c r="O50" i="71" s="1"/>
  <c r="P50" i="71" s="1"/>
  <c r="AR49" i="56"/>
  <c r="AS49" i="56" s="1"/>
  <c r="AT49" i="56" s="1"/>
  <c r="AU49" i="56" s="1"/>
  <c r="AY49" i="56" s="1"/>
  <c r="AZ49" i="56" s="1"/>
  <c r="L130" i="71"/>
  <c r="N130" i="71" s="1"/>
  <c r="O130" i="71" s="1"/>
  <c r="AR129" i="56"/>
  <c r="AS129" i="56" s="1"/>
  <c r="AT129" i="56" s="1"/>
  <c r="AU129" i="56" s="1"/>
  <c r="AY129" i="56" s="1"/>
  <c r="AZ129" i="56" s="1"/>
  <c r="L23" i="71"/>
  <c r="N23" i="71" s="1"/>
  <c r="O23" i="71" s="1"/>
  <c r="AR22" i="56"/>
  <c r="AS22" i="56" s="1"/>
  <c r="AT22" i="56" s="1"/>
  <c r="AU22" i="56" s="1"/>
  <c r="AY22" i="56" s="1"/>
  <c r="AZ22" i="56" s="1"/>
  <c r="L112" i="71"/>
  <c r="N112" i="71" s="1"/>
  <c r="O112" i="71" s="1"/>
  <c r="P112" i="71" s="1"/>
  <c r="AR111" i="56"/>
  <c r="AS111" i="56" s="1"/>
  <c r="AT111" i="56" s="1"/>
  <c r="AU111" i="56" s="1"/>
  <c r="AY111" i="56" s="1"/>
  <c r="AZ111" i="56" s="1"/>
  <c r="L24" i="71"/>
  <c r="N24" i="71" s="1"/>
  <c r="O24" i="71" s="1"/>
  <c r="P24" i="71" s="1"/>
  <c r="AR23" i="56"/>
  <c r="AS23" i="56" s="1"/>
  <c r="AT23" i="56" s="1"/>
  <c r="AU23" i="56" s="1"/>
  <c r="AY23" i="56" s="1"/>
  <c r="AZ23" i="56" s="1"/>
  <c r="L122" i="71"/>
  <c r="N122" i="71" s="1"/>
  <c r="O122" i="71" s="1"/>
  <c r="P122" i="71" s="1"/>
  <c r="AR121" i="56"/>
  <c r="AS121" i="56" s="1"/>
  <c r="AT121" i="56" s="1"/>
  <c r="AU121" i="56" s="1"/>
  <c r="AY121" i="56" s="1"/>
  <c r="AZ121" i="56" s="1"/>
  <c r="L81" i="71"/>
  <c r="N81" i="71" s="1"/>
  <c r="O81" i="71" s="1"/>
  <c r="P81" i="71" s="1"/>
  <c r="AR80" i="56"/>
  <c r="AS80" i="56" s="1"/>
  <c r="AT80" i="56" s="1"/>
  <c r="AU80" i="56" s="1"/>
  <c r="AY80" i="56" s="1"/>
  <c r="AZ80" i="56" s="1"/>
  <c r="L60" i="71"/>
  <c r="N60" i="71" s="1"/>
  <c r="O60" i="71" s="1"/>
  <c r="AR59" i="56"/>
  <c r="AS59" i="56" s="1"/>
  <c r="AT59" i="56" s="1"/>
  <c r="AU59" i="56" s="1"/>
  <c r="AY59" i="56" s="1"/>
  <c r="AZ59" i="56" s="1"/>
  <c r="L106" i="71"/>
  <c r="N106" i="71" s="1"/>
  <c r="O106" i="71" s="1"/>
  <c r="AR105" i="56"/>
  <c r="AS105" i="56" s="1"/>
  <c r="AT105" i="56" s="1"/>
  <c r="AU105" i="56" s="1"/>
  <c r="AY105" i="56" s="1"/>
  <c r="AZ105" i="56" s="1"/>
  <c r="L174" i="71"/>
  <c r="N174" i="71" s="1"/>
  <c r="O174" i="71" s="1"/>
  <c r="AR173" i="56"/>
  <c r="AS173" i="56" s="1"/>
  <c r="AT173" i="56" s="1"/>
  <c r="AU173" i="56" s="1"/>
  <c r="AY173" i="56" s="1"/>
  <c r="AZ173" i="56" s="1"/>
  <c r="L16" i="71"/>
  <c r="N16" i="71" s="1"/>
  <c r="O16" i="71" s="1"/>
  <c r="AR15" i="56"/>
  <c r="AS15" i="56" s="1"/>
  <c r="AT15" i="56" s="1"/>
  <c r="AU15" i="56" s="1"/>
  <c r="AY15" i="56" s="1"/>
  <c r="AZ15" i="56" s="1"/>
  <c r="L190" i="71"/>
  <c r="N190" i="71" s="1"/>
  <c r="O190" i="71" s="1"/>
  <c r="P190" i="71" s="1"/>
  <c r="AR189" i="56"/>
  <c r="AS189" i="56" s="1"/>
  <c r="AT189" i="56" s="1"/>
  <c r="AU189" i="56" s="1"/>
  <c r="AY189" i="56" s="1"/>
  <c r="AZ189" i="56" s="1"/>
  <c r="L202" i="71"/>
  <c r="N202" i="71" s="1"/>
  <c r="O202" i="71" s="1"/>
  <c r="P202" i="71" s="1"/>
  <c r="AR201" i="56"/>
  <c r="AS201" i="56" s="1"/>
  <c r="AT201" i="56" s="1"/>
  <c r="AU201" i="56" s="1"/>
  <c r="AY201" i="56" s="1"/>
  <c r="AZ201" i="56" s="1"/>
  <c r="L21" i="71"/>
  <c r="N21" i="71" s="1"/>
  <c r="O21" i="71" s="1"/>
  <c r="AR20" i="56"/>
  <c r="AS20" i="56" s="1"/>
  <c r="AT20" i="56" s="1"/>
  <c r="AU20" i="56" s="1"/>
  <c r="AY20" i="56" s="1"/>
  <c r="AZ20" i="56" s="1"/>
  <c r="L68" i="71"/>
  <c r="N68" i="71" s="1"/>
  <c r="O68" i="71" s="1"/>
  <c r="AR67" i="56"/>
  <c r="AS67" i="56" s="1"/>
  <c r="AT67" i="56" s="1"/>
  <c r="AU67" i="56" s="1"/>
  <c r="AY67" i="56" s="1"/>
  <c r="AZ67" i="56" s="1"/>
  <c r="L206" i="71"/>
  <c r="N206" i="71" s="1"/>
  <c r="O206" i="71" s="1"/>
  <c r="AR205" i="56"/>
  <c r="AS205" i="56" s="1"/>
  <c r="AT205" i="56" s="1"/>
  <c r="AU205" i="56" s="1"/>
  <c r="AY205" i="56" s="1"/>
  <c r="AZ205" i="56" s="1"/>
  <c r="L58" i="71"/>
  <c r="N58" i="71" s="1"/>
  <c r="O58" i="71" s="1"/>
  <c r="P58" i="71" s="1"/>
  <c r="AR57" i="56"/>
  <c r="AS57" i="56" s="1"/>
  <c r="AT57" i="56" s="1"/>
  <c r="AU57" i="56" s="1"/>
  <c r="AY57" i="56" s="1"/>
  <c r="AZ57" i="56" s="1"/>
  <c r="L4" i="71"/>
  <c r="N4" i="71" s="1"/>
  <c r="O4" i="71" s="1"/>
  <c r="P4" i="71" s="1"/>
  <c r="T4" i="71" s="1"/>
  <c r="U4" i="71" s="1"/>
  <c r="AN4" i="71" s="1"/>
  <c r="AR3" i="56"/>
  <c r="AS3" i="56" s="1"/>
  <c r="AT3" i="56" s="1"/>
  <c r="AU3" i="56" s="1"/>
  <c r="AY3" i="56" s="1"/>
  <c r="AZ3" i="56" s="1"/>
  <c r="AV3" i="56" s="1"/>
  <c r="AW3" i="56" s="1"/>
  <c r="I3" i="56" s="1"/>
  <c r="E78" i="47"/>
  <c r="E79" i="47" s="1"/>
  <c r="L73" i="71"/>
  <c r="N73" i="71" s="1"/>
  <c r="O73" i="71" s="1"/>
  <c r="AR72" i="56"/>
  <c r="AS72" i="56" s="1"/>
  <c r="AT72" i="56" s="1"/>
  <c r="AU72" i="56" s="1"/>
  <c r="AY72" i="56" s="1"/>
  <c r="AZ72" i="56" s="1"/>
  <c r="L157" i="71"/>
  <c r="N157" i="71" s="1"/>
  <c r="O157" i="71" s="1"/>
  <c r="AR156" i="56"/>
  <c r="AS156" i="56" s="1"/>
  <c r="AT156" i="56" s="1"/>
  <c r="AU156" i="56" s="1"/>
  <c r="AY156" i="56" s="1"/>
  <c r="AZ156" i="56" s="1"/>
  <c r="L111" i="71"/>
  <c r="N111" i="71" s="1"/>
  <c r="O111" i="71" s="1"/>
  <c r="AR110" i="56"/>
  <c r="AS110" i="56" s="1"/>
  <c r="AT110" i="56" s="1"/>
  <c r="AU110" i="56" s="1"/>
  <c r="AY110" i="56" s="1"/>
  <c r="AZ110" i="56" s="1"/>
  <c r="L205" i="71"/>
  <c r="N205" i="71" s="1"/>
  <c r="O205" i="71" s="1"/>
  <c r="P205" i="71" s="1"/>
  <c r="AR204" i="56"/>
  <c r="AS204" i="56" s="1"/>
  <c r="AT204" i="56" s="1"/>
  <c r="AU204" i="56" s="1"/>
  <c r="AY204" i="56" s="1"/>
  <c r="AZ204" i="56" s="1"/>
  <c r="L98" i="71"/>
  <c r="N98" i="71" s="1"/>
  <c r="O98" i="71" s="1"/>
  <c r="P98" i="71" s="1"/>
  <c r="AR97" i="56"/>
  <c r="AS97" i="56" s="1"/>
  <c r="AT97" i="56" s="1"/>
  <c r="AU97" i="56" s="1"/>
  <c r="AY97" i="56" s="1"/>
  <c r="AZ97" i="56" s="1"/>
  <c r="L49" i="71"/>
  <c r="N49" i="71" s="1"/>
  <c r="O49" i="71" s="1"/>
  <c r="P49" i="71" s="1"/>
  <c r="AR48" i="56"/>
  <c r="AS48" i="56" s="1"/>
  <c r="AT48" i="56" s="1"/>
  <c r="AU48" i="56" s="1"/>
  <c r="AY48" i="56" s="1"/>
  <c r="AZ48" i="56" s="1"/>
  <c r="L61" i="71"/>
  <c r="N61" i="71" s="1"/>
  <c r="O61" i="71" s="1"/>
  <c r="AR60" i="56"/>
  <c r="AS60" i="56" s="1"/>
  <c r="AT60" i="56" s="1"/>
  <c r="AU60" i="56" s="1"/>
  <c r="AY60" i="56" s="1"/>
  <c r="AZ60" i="56" s="1"/>
  <c r="AT63" i="71"/>
  <c r="AT167" i="71"/>
  <c r="L87" i="71"/>
  <c r="N87" i="71" s="1"/>
  <c r="O87" i="71" s="1"/>
  <c r="AR86" i="56"/>
  <c r="AS86" i="56" s="1"/>
  <c r="AT86" i="56" s="1"/>
  <c r="AU86" i="56" s="1"/>
  <c r="AY86" i="56" s="1"/>
  <c r="AZ86" i="56" s="1"/>
  <c r="L33" i="71"/>
  <c r="N33" i="71" s="1"/>
  <c r="O33" i="71" s="1"/>
  <c r="P33" i="71" s="1"/>
  <c r="AR32" i="56"/>
  <c r="AS32" i="56" s="1"/>
  <c r="AT32" i="56" s="1"/>
  <c r="AU32" i="56" s="1"/>
  <c r="AY32" i="56" s="1"/>
  <c r="AZ32" i="56" s="1"/>
  <c r="L163" i="71"/>
  <c r="N163" i="71" s="1"/>
  <c r="O163" i="71" s="1"/>
  <c r="P163" i="71" s="1"/>
  <c r="AR162" i="56"/>
  <c r="AS162" i="56" s="1"/>
  <c r="AT162" i="56" s="1"/>
  <c r="AU162" i="56" s="1"/>
  <c r="AY162" i="56" s="1"/>
  <c r="AZ162" i="56" s="1"/>
  <c r="L137" i="71"/>
  <c r="N137" i="71" s="1"/>
  <c r="O137" i="71" s="1"/>
  <c r="P137" i="71" s="1"/>
  <c r="AR136" i="56"/>
  <c r="AS136" i="56" s="1"/>
  <c r="AT136" i="56" s="1"/>
  <c r="AU136" i="56" s="1"/>
  <c r="AY136" i="56" s="1"/>
  <c r="AZ136" i="56" s="1"/>
  <c r="L141" i="71"/>
  <c r="N141" i="71" s="1"/>
  <c r="O141" i="71" s="1"/>
  <c r="AR140" i="56"/>
  <c r="AS140" i="56" s="1"/>
  <c r="AT140" i="56" s="1"/>
  <c r="AU140" i="56" s="1"/>
  <c r="AY140" i="56" s="1"/>
  <c r="AZ140" i="56" s="1"/>
  <c r="L144" i="71"/>
  <c r="N144" i="71" s="1"/>
  <c r="O144" i="71" s="1"/>
  <c r="AR143" i="56"/>
  <c r="AS143" i="56" s="1"/>
  <c r="AT143" i="56" s="1"/>
  <c r="AU143" i="56" s="1"/>
  <c r="AY143" i="56" s="1"/>
  <c r="AZ143" i="56" s="1"/>
  <c r="L172" i="71"/>
  <c r="N172" i="71" s="1"/>
  <c r="O172" i="71" s="1"/>
  <c r="AR171" i="56"/>
  <c r="AS171" i="56" s="1"/>
  <c r="AT171" i="56" s="1"/>
  <c r="AU171" i="56" s="1"/>
  <c r="AY171" i="56" s="1"/>
  <c r="AZ171" i="56" s="1"/>
  <c r="L75" i="71"/>
  <c r="N75" i="71" s="1"/>
  <c r="O75" i="71" s="1"/>
  <c r="P75" i="71" s="1"/>
  <c r="AR74" i="56"/>
  <c r="AS74" i="56" s="1"/>
  <c r="AT74" i="56" s="1"/>
  <c r="AU74" i="56" s="1"/>
  <c r="AY74" i="56" s="1"/>
  <c r="AZ74" i="56" s="1"/>
  <c r="L179" i="71"/>
  <c r="N179" i="71" s="1"/>
  <c r="O179" i="71" s="1"/>
  <c r="P179" i="71" s="1"/>
  <c r="AR178" i="56"/>
  <c r="AS178" i="56" s="1"/>
  <c r="AT178" i="56" s="1"/>
  <c r="AU178" i="56" s="1"/>
  <c r="AY178" i="56" s="1"/>
  <c r="AZ178" i="56" s="1"/>
  <c r="L109" i="71"/>
  <c r="N109" i="71" s="1"/>
  <c r="O109" i="71" s="1"/>
  <c r="P109" i="71" s="1"/>
  <c r="AR108" i="56"/>
  <c r="AS108" i="56" s="1"/>
  <c r="AT108" i="56" s="1"/>
  <c r="AU108" i="56" s="1"/>
  <c r="AY108" i="56" s="1"/>
  <c r="AZ108" i="56" s="1"/>
  <c r="L69" i="71"/>
  <c r="N69" i="71" s="1"/>
  <c r="O69" i="71" s="1"/>
  <c r="AR68" i="56"/>
  <c r="AS68" i="56" s="1"/>
  <c r="AT68" i="56" s="1"/>
  <c r="AU68" i="56" s="1"/>
  <c r="AY68" i="56" s="1"/>
  <c r="AZ68" i="56" s="1"/>
  <c r="L101" i="71"/>
  <c r="N101" i="71" s="1"/>
  <c r="O101" i="71" s="1"/>
  <c r="AR100" i="56"/>
  <c r="AS100" i="56" s="1"/>
  <c r="AT100" i="56" s="1"/>
  <c r="AU100" i="56" s="1"/>
  <c r="AY100" i="56" s="1"/>
  <c r="AZ100" i="56" s="1"/>
  <c r="L175" i="71"/>
  <c r="N175" i="71" s="1"/>
  <c r="O175" i="71" s="1"/>
  <c r="AR174" i="56"/>
  <c r="AS174" i="56" s="1"/>
  <c r="AT174" i="56" s="1"/>
  <c r="AU174" i="56" s="1"/>
  <c r="AY174" i="56" s="1"/>
  <c r="AZ174" i="56" s="1"/>
  <c r="L160" i="71"/>
  <c r="N160" i="71" s="1"/>
  <c r="O160" i="71" s="1"/>
  <c r="P160" i="71" s="1"/>
  <c r="AR159" i="56"/>
  <c r="AS159" i="56" s="1"/>
  <c r="AT159" i="56" s="1"/>
  <c r="AU159" i="56" s="1"/>
  <c r="AY159" i="56" s="1"/>
  <c r="AZ159" i="56" s="1"/>
  <c r="L64" i="71"/>
  <c r="N64" i="71" s="1"/>
  <c r="O64" i="71" s="1"/>
  <c r="P64" i="71" s="1"/>
  <c r="AR63" i="56"/>
  <c r="AS63" i="56" s="1"/>
  <c r="AT63" i="56" s="1"/>
  <c r="AU63" i="56" s="1"/>
  <c r="AY63" i="56" s="1"/>
  <c r="AZ63" i="56" s="1"/>
  <c r="L194" i="71"/>
  <c r="N194" i="71" s="1"/>
  <c r="O194" i="71" s="1"/>
  <c r="P194" i="71" s="1"/>
  <c r="AR193" i="56"/>
  <c r="AS193" i="56" s="1"/>
  <c r="AT193" i="56" s="1"/>
  <c r="AU193" i="56" s="1"/>
  <c r="AY193" i="56" s="1"/>
  <c r="AZ193" i="56" s="1"/>
  <c r="L92" i="71"/>
  <c r="N92" i="71" s="1"/>
  <c r="O92" i="71" s="1"/>
  <c r="AR91" i="56"/>
  <c r="AS91" i="56" s="1"/>
  <c r="AT91" i="56" s="1"/>
  <c r="AU91" i="56" s="1"/>
  <c r="AY91" i="56" s="1"/>
  <c r="AZ91" i="56" s="1"/>
  <c r="L107" i="71"/>
  <c r="N107" i="71" s="1"/>
  <c r="O107" i="71" s="1"/>
  <c r="AR106" i="56"/>
  <c r="AS106" i="56" s="1"/>
  <c r="AT106" i="56" s="1"/>
  <c r="AU106" i="56" s="1"/>
  <c r="AY106" i="56" s="1"/>
  <c r="AZ106" i="56" s="1"/>
  <c r="L103" i="71"/>
  <c r="N103" i="71" s="1"/>
  <c r="O103" i="71" s="1"/>
  <c r="AR102" i="56"/>
  <c r="AS102" i="56" s="1"/>
  <c r="AT102" i="56" s="1"/>
  <c r="AU102" i="56" s="1"/>
  <c r="AY102" i="56" s="1"/>
  <c r="AZ102" i="56" s="1"/>
  <c r="L65" i="71"/>
  <c r="N65" i="71" s="1"/>
  <c r="O65" i="71" s="1"/>
  <c r="P65" i="71" s="1"/>
  <c r="AR64" i="56"/>
  <c r="AS64" i="56" s="1"/>
  <c r="AT64" i="56" s="1"/>
  <c r="AU64" i="56" s="1"/>
  <c r="AY64" i="56" s="1"/>
  <c r="AZ64" i="56" s="1"/>
  <c r="L177" i="71"/>
  <c r="N177" i="71" s="1"/>
  <c r="O177" i="71" s="1"/>
  <c r="P177" i="71" s="1"/>
  <c r="AR176" i="56"/>
  <c r="AS176" i="56" s="1"/>
  <c r="AT176" i="56" s="1"/>
  <c r="AU176" i="56" s="1"/>
  <c r="AY176" i="56" s="1"/>
  <c r="AZ176" i="56" s="1"/>
  <c r="L12" i="71"/>
  <c r="N12" i="71" s="1"/>
  <c r="O12" i="71" s="1"/>
  <c r="P12" i="71" s="1"/>
  <c r="AR11" i="56"/>
  <c r="AS11" i="56" s="1"/>
  <c r="AT11" i="56" s="1"/>
  <c r="AU11" i="56" s="1"/>
  <c r="AY11" i="56" s="1"/>
  <c r="AZ11" i="56" s="1"/>
  <c r="L57" i="71"/>
  <c r="N57" i="71" s="1"/>
  <c r="O57" i="71" s="1"/>
  <c r="AR56" i="56"/>
  <c r="AS56" i="56" s="1"/>
  <c r="AT56" i="56" s="1"/>
  <c r="AU56" i="56" s="1"/>
  <c r="AY56" i="56" s="1"/>
  <c r="AZ56" i="56" s="1"/>
  <c r="L89" i="71"/>
  <c r="N89" i="71" s="1"/>
  <c r="O89" i="71" s="1"/>
  <c r="AR88" i="56"/>
  <c r="AS88" i="56" s="1"/>
  <c r="AT88" i="56" s="1"/>
  <c r="AU88" i="56" s="1"/>
  <c r="AY88" i="56" s="1"/>
  <c r="AZ88" i="56" s="1"/>
  <c r="L86" i="71"/>
  <c r="N86" i="71" s="1"/>
  <c r="O86" i="71" s="1"/>
  <c r="AR85" i="56"/>
  <c r="AS85" i="56" s="1"/>
  <c r="AT85" i="56" s="1"/>
  <c r="AU85" i="56" s="1"/>
  <c r="AY85" i="56" s="1"/>
  <c r="AZ85" i="56" s="1"/>
  <c r="L161" i="71"/>
  <c r="N161" i="71" s="1"/>
  <c r="O161" i="71" s="1"/>
  <c r="P161" i="71" s="1"/>
  <c r="AR160" i="56"/>
  <c r="AS160" i="56" s="1"/>
  <c r="AT160" i="56" s="1"/>
  <c r="AU160" i="56" s="1"/>
  <c r="AY160" i="56" s="1"/>
  <c r="AZ160" i="56" s="1"/>
  <c r="L56" i="71"/>
  <c r="N56" i="71" s="1"/>
  <c r="O56" i="71" s="1"/>
  <c r="P56" i="71" s="1"/>
  <c r="AR55" i="56"/>
  <c r="AS55" i="56" s="1"/>
  <c r="AT55" i="56" s="1"/>
  <c r="AU55" i="56" s="1"/>
  <c r="AY55" i="56" s="1"/>
  <c r="AZ55" i="56" s="1"/>
  <c r="L19" i="71"/>
  <c r="N19" i="71" s="1"/>
  <c r="O19" i="71" s="1"/>
  <c r="P19" i="71" s="1"/>
  <c r="AR18" i="56"/>
  <c r="AS18" i="56" s="1"/>
  <c r="AT18" i="56" s="1"/>
  <c r="AU18" i="56" s="1"/>
  <c r="AY18" i="56" s="1"/>
  <c r="AZ18" i="56" s="1"/>
  <c r="L42" i="71"/>
  <c r="N42" i="71" s="1"/>
  <c r="O42" i="71" s="1"/>
  <c r="AR41" i="56"/>
  <c r="AS41" i="56" s="1"/>
  <c r="AT41" i="56" s="1"/>
  <c r="AU41" i="56" s="1"/>
  <c r="AY41" i="56" s="1"/>
  <c r="AZ41" i="56" s="1"/>
  <c r="L91" i="71"/>
  <c r="N91" i="71" s="1"/>
  <c r="O91" i="71" s="1"/>
  <c r="AR90" i="56"/>
  <c r="AS90" i="56" s="1"/>
  <c r="AT90" i="56" s="1"/>
  <c r="AU90" i="56" s="1"/>
  <c r="AY90" i="56" s="1"/>
  <c r="AZ90" i="56" s="1"/>
  <c r="L113" i="71"/>
  <c r="N113" i="71" s="1"/>
  <c r="O113" i="71" s="1"/>
  <c r="AR112" i="56"/>
  <c r="AS112" i="56" s="1"/>
  <c r="AT112" i="56" s="1"/>
  <c r="AU112" i="56" s="1"/>
  <c r="AY112" i="56" s="1"/>
  <c r="AZ112" i="56" s="1"/>
  <c r="L199" i="71"/>
  <c r="N199" i="71" s="1"/>
  <c r="O199" i="71" s="1"/>
  <c r="P199" i="71" s="1"/>
  <c r="AR198" i="56"/>
  <c r="AS198" i="56" s="1"/>
  <c r="AT198" i="56" s="1"/>
  <c r="AU198" i="56" s="1"/>
  <c r="AY198" i="56" s="1"/>
  <c r="AZ198" i="56" s="1"/>
  <c r="L183" i="71"/>
  <c r="N183" i="71" s="1"/>
  <c r="O183" i="71" s="1"/>
  <c r="P183" i="71" s="1"/>
  <c r="AR182" i="56"/>
  <c r="AS182" i="56" s="1"/>
  <c r="AT182" i="56" s="1"/>
  <c r="AU182" i="56" s="1"/>
  <c r="AY182" i="56" s="1"/>
  <c r="AZ182" i="56" s="1"/>
  <c r="L178" i="71"/>
  <c r="N178" i="71" s="1"/>
  <c r="O178" i="71" s="1"/>
  <c r="P178" i="71" s="1"/>
  <c r="AR177" i="56"/>
  <c r="AS177" i="56" s="1"/>
  <c r="AT177" i="56" s="1"/>
  <c r="AU177" i="56" s="1"/>
  <c r="AY177" i="56" s="1"/>
  <c r="AZ177" i="56" s="1"/>
  <c r="L25" i="71"/>
  <c r="N25" i="71" s="1"/>
  <c r="O25" i="71" s="1"/>
  <c r="AR24" i="56"/>
  <c r="AS24" i="56" s="1"/>
  <c r="AT24" i="56" s="1"/>
  <c r="AU24" i="56" s="1"/>
  <c r="AY24" i="56" s="1"/>
  <c r="AZ24" i="56" s="1"/>
  <c r="L165" i="71"/>
  <c r="N165" i="71" s="1"/>
  <c r="O165" i="71" s="1"/>
  <c r="AR164" i="56"/>
  <c r="AS164" i="56" s="1"/>
  <c r="AT164" i="56" s="1"/>
  <c r="AU164" i="56" s="1"/>
  <c r="AY164" i="56" s="1"/>
  <c r="AZ164" i="56" s="1"/>
  <c r="L129" i="71"/>
  <c r="N129" i="71" s="1"/>
  <c r="O129" i="71" s="1"/>
  <c r="AR128" i="56"/>
  <c r="AS128" i="56" s="1"/>
  <c r="AT128" i="56" s="1"/>
  <c r="AU128" i="56" s="1"/>
  <c r="AY128" i="56" s="1"/>
  <c r="AZ128" i="56" s="1"/>
  <c r="L149" i="71"/>
  <c r="N149" i="71" s="1"/>
  <c r="O149" i="71" s="1"/>
  <c r="P149" i="71" s="1"/>
  <c r="AR148" i="56"/>
  <c r="AS148" i="56" s="1"/>
  <c r="AT148" i="56" s="1"/>
  <c r="AU148" i="56" s="1"/>
  <c r="AY148" i="56" s="1"/>
  <c r="AZ148" i="56" s="1"/>
  <c r="L34" i="71"/>
  <c r="N34" i="71" s="1"/>
  <c r="O34" i="71" s="1"/>
  <c r="P34" i="71" s="1"/>
  <c r="AR33" i="56"/>
  <c r="AS33" i="56" s="1"/>
  <c r="AT33" i="56" s="1"/>
  <c r="AU33" i="56" s="1"/>
  <c r="AY33" i="56" s="1"/>
  <c r="AZ33" i="56" s="1"/>
  <c r="L154" i="71"/>
  <c r="N154" i="71" s="1"/>
  <c r="O154" i="71" s="1"/>
  <c r="P154" i="71" s="1"/>
  <c r="AR153" i="56"/>
  <c r="AS153" i="56" s="1"/>
  <c r="AT153" i="56" s="1"/>
  <c r="AU153" i="56" s="1"/>
  <c r="AY153" i="56" s="1"/>
  <c r="AZ153" i="56" s="1"/>
  <c r="AM5" i="72"/>
  <c r="E225" i="74" s="1"/>
  <c r="AN5" i="72"/>
  <c r="AN9" i="72"/>
  <c r="AM9" i="72"/>
  <c r="E229" i="74" s="1"/>
  <c r="AM6" i="72"/>
  <c r="E226" i="74" s="1"/>
  <c r="AN6" i="72"/>
  <c r="L13" i="72"/>
  <c r="N13" i="72" s="1"/>
  <c r="O13" i="72" s="1"/>
  <c r="P13" i="72" s="1"/>
  <c r="T13" i="72" s="1"/>
  <c r="U13" i="72" s="1"/>
  <c r="L20" i="72"/>
  <c r="N20" i="72" s="1"/>
  <c r="O20" i="72" s="1"/>
  <c r="P20" i="72" s="1"/>
  <c r="T20" i="72" s="1"/>
  <c r="U20" i="72" s="1"/>
  <c r="L4" i="72"/>
  <c r="N4" i="72" s="1"/>
  <c r="O4" i="72" s="1"/>
  <c r="P4" i="72" s="1"/>
  <c r="T4" i="72" s="1"/>
  <c r="U4" i="72" s="1"/>
  <c r="L15" i="72"/>
  <c r="N15" i="72" s="1"/>
  <c r="O15" i="72" s="1"/>
  <c r="P15" i="72" s="1"/>
  <c r="T15" i="72" s="1"/>
  <c r="U15" i="72" s="1"/>
  <c r="L18" i="72"/>
  <c r="N18" i="72" s="1"/>
  <c r="O18" i="72" s="1"/>
  <c r="P18" i="72" s="1"/>
  <c r="T18" i="72" s="1"/>
  <c r="U18" i="72" s="1"/>
  <c r="BK8" i="72"/>
  <c r="BL8" i="72" s="1"/>
  <c r="BM8" i="72" s="1"/>
  <c r="BO8" i="72" s="1"/>
  <c r="BP8" i="72" s="1"/>
  <c r="B214" i="66" s="1"/>
  <c r="L8" i="72"/>
  <c r="N8" i="72" s="1"/>
  <c r="O8" i="72" s="1"/>
  <c r="P8" i="72" s="1"/>
  <c r="T8" i="72" s="1"/>
  <c r="U8" i="72" s="1"/>
  <c r="L21" i="72"/>
  <c r="N21" i="72" s="1"/>
  <c r="O21" i="72" s="1"/>
  <c r="P21" i="72" s="1"/>
  <c r="T21" i="72" s="1"/>
  <c r="U21" i="72" s="1"/>
  <c r="AT16" i="72"/>
  <c r="AU16" i="72" s="1"/>
  <c r="AV16" i="72" s="1"/>
  <c r="AX16" i="72" s="1"/>
  <c r="AY16" i="72" s="1"/>
  <c r="BE16" i="72" s="1"/>
  <c r="L16" i="72"/>
  <c r="N16" i="72" s="1"/>
  <c r="O16" i="72" s="1"/>
  <c r="P16" i="72" s="1"/>
  <c r="T16" i="72" s="1"/>
  <c r="U16" i="72" s="1"/>
  <c r="AT14" i="72"/>
  <c r="AU14" i="72" s="1"/>
  <c r="AV14" i="72" s="1"/>
  <c r="AX14" i="72" s="1"/>
  <c r="AY14" i="72" s="1"/>
  <c r="L14" i="72"/>
  <c r="N14" i="72" s="1"/>
  <c r="O14" i="72" s="1"/>
  <c r="P14" i="72" s="1"/>
  <c r="T14" i="72" s="1"/>
  <c r="U14" i="72" s="1"/>
  <c r="L17" i="72"/>
  <c r="N17" i="72" s="1"/>
  <c r="O17" i="72" s="1"/>
  <c r="P17" i="72" s="1"/>
  <c r="T17" i="72" s="1"/>
  <c r="U17" i="72" s="1"/>
  <c r="AT7" i="72"/>
  <c r="AU7" i="72" s="1"/>
  <c r="AV7" i="72" s="1"/>
  <c r="AX7" i="72" s="1"/>
  <c r="AY7" i="72" s="1"/>
  <c r="BD7" i="72" s="1"/>
  <c r="L7" i="72"/>
  <c r="N7" i="72" s="1"/>
  <c r="O7" i="72" s="1"/>
  <c r="P7" i="72" s="1"/>
  <c r="T7" i="72" s="1"/>
  <c r="U7" i="72" s="1"/>
  <c r="AT19" i="72"/>
  <c r="AU19" i="72" s="1"/>
  <c r="AV19" i="72" s="1"/>
  <c r="AX19" i="72" s="1"/>
  <c r="AY19" i="72" s="1"/>
  <c r="BE19" i="72" s="1"/>
  <c r="L19" i="72"/>
  <c r="N19" i="72" s="1"/>
  <c r="O19" i="72" s="1"/>
  <c r="P19" i="72" s="1"/>
  <c r="T19" i="72" s="1"/>
  <c r="U19" i="72" s="1"/>
  <c r="BK11" i="72"/>
  <c r="BL11" i="72" s="1"/>
  <c r="BM11" i="72" s="1"/>
  <c r="BO11" i="72" s="1"/>
  <c r="BP11" i="72" s="1"/>
  <c r="BU11" i="72" s="1"/>
  <c r="L11" i="72"/>
  <c r="N11" i="72" s="1"/>
  <c r="O11" i="72" s="1"/>
  <c r="P11" i="72" s="1"/>
  <c r="T11" i="72" s="1"/>
  <c r="U11" i="72" s="1"/>
  <c r="CB10" i="72"/>
  <c r="CC10" i="72" s="1"/>
  <c r="CD10" i="72" s="1"/>
  <c r="CF10" i="72" s="1"/>
  <c r="CG10" i="72" s="1"/>
  <c r="CM10" i="72" s="1"/>
  <c r="L10" i="72"/>
  <c r="N10" i="72" s="1"/>
  <c r="O10" i="72" s="1"/>
  <c r="P10" i="72" s="1"/>
  <c r="T10" i="72" s="1"/>
  <c r="U10" i="72" s="1"/>
  <c r="L12" i="72"/>
  <c r="N12" i="72" s="1"/>
  <c r="O12" i="72" s="1"/>
  <c r="P12" i="72" s="1"/>
  <c r="T12" i="72" s="1"/>
  <c r="U12" i="72" s="1"/>
  <c r="BK7" i="72"/>
  <c r="BL7" i="72" s="1"/>
  <c r="BM7" i="72" s="1"/>
  <c r="BO7" i="72" s="1"/>
  <c r="BP7" i="72" s="1"/>
  <c r="BU7" i="72" s="1"/>
  <c r="CB19" i="72"/>
  <c r="CC19" i="72" s="1"/>
  <c r="CD19" i="72" s="1"/>
  <c r="CF19" i="72" s="1"/>
  <c r="CG19" i="72" s="1"/>
  <c r="CM19" i="72" s="1"/>
  <c r="B225" i="66"/>
  <c r="C225" i="66"/>
  <c r="L70" i="71"/>
  <c r="N70" i="71" s="1"/>
  <c r="O70" i="71" s="1"/>
  <c r="P70" i="71" s="1"/>
  <c r="L46" i="71"/>
  <c r="N46" i="71" s="1"/>
  <c r="O46" i="71" s="1"/>
  <c r="P46" i="71" s="1"/>
  <c r="BK195" i="71"/>
  <c r="L195" i="71"/>
  <c r="N195" i="71" s="1"/>
  <c r="O195" i="71" s="1"/>
  <c r="P195" i="71" s="1"/>
  <c r="L207" i="71"/>
  <c r="N207" i="71" s="1"/>
  <c r="O207" i="71" s="1"/>
  <c r="P207" i="71" s="1"/>
  <c r="CB9" i="71"/>
  <c r="L9" i="71"/>
  <c r="N9" i="71" s="1"/>
  <c r="O9" i="71" s="1"/>
  <c r="P9" i="71" s="1"/>
  <c r="L208" i="71"/>
  <c r="N208" i="71" s="1"/>
  <c r="O208" i="71" s="1"/>
  <c r="P208" i="71" s="1"/>
  <c r="L105" i="71"/>
  <c r="N105" i="71" s="1"/>
  <c r="O105" i="71" s="1"/>
  <c r="P105" i="71" s="1"/>
  <c r="CB22" i="71"/>
  <c r="L22" i="71"/>
  <c r="N22" i="71" s="1"/>
  <c r="O22" i="71" s="1"/>
  <c r="P22" i="71" s="1"/>
  <c r="BK63" i="71"/>
  <c r="L63" i="71"/>
  <c r="N63" i="71" s="1"/>
  <c r="O63" i="71" s="1"/>
  <c r="P63" i="71" s="1"/>
  <c r="T63" i="71" s="1"/>
  <c r="CB117" i="71"/>
  <c r="L117" i="71"/>
  <c r="N117" i="71" s="1"/>
  <c r="O117" i="71" s="1"/>
  <c r="P117" i="71" s="1"/>
  <c r="CB167" i="71"/>
  <c r="L167" i="71"/>
  <c r="N167" i="71" s="1"/>
  <c r="O167" i="71" s="1"/>
  <c r="CB94" i="71"/>
  <c r="L94" i="71"/>
  <c r="N94" i="71" s="1"/>
  <c r="O94" i="71" s="1"/>
  <c r="BK77" i="71"/>
  <c r="L77" i="71"/>
  <c r="N77" i="71" s="1"/>
  <c r="O77" i="71" s="1"/>
  <c r="P77" i="71" s="1"/>
  <c r="L176" i="71"/>
  <c r="N176" i="71" s="1"/>
  <c r="O176" i="71" s="1"/>
  <c r="P176" i="71" s="1"/>
  <c r="L28" i="71"/>
  <c r="N28" i="71" s="1"/>
  <c r="O28" i="71" s="1"/>
  <c r="P28" i="71" s="1"/>
  <c r="L191" i="71"/>
  <c r="N191" i="71" s="1"/>
  <c r="O191" i="71" s="1"/>
  <c r="P191" i="71" s="1"/>
  <c r="AT187" i="71"/>
  <c r="L187" i="71"/>
  <c r="N187" i="71" s="1"/>
  <c r="O187" i="71" s="1"/>
  <c r="P187" i="71" s="1"/>
  <c r="CB189" i="71"/>
  <c r="L189" i="71"/>
  <c r="N189" i="71" s="1"/>
  <c r="O189" i="71" s="1"/>
  <c r="P189" i="71" s="1"/>
  <c r="CB7" i="71"/>
  <c r="L7" i="71"/>
  <c r="N7" i="71" s="1"/>
  <c r="O7" i="71" s="1"/>
  <c r="CB118" i="71"/>
  <c r="L118" i="71"/>
  <c r="N118" i="71" s="1"/>
  <c r="O118" i="71" s="1"/>
  <c r="P118" i="71" s="1"/>
  <c r="AT155" i="71"/>
  <c r="L155" i="71"/>
  <c r="N155" i="71" s="1"/>
  <c r="O155" i="71" s="1"/>
  <c r="P155" i="71" s="1"/>
  <c r="CB38" i="71"/>
  <c r="L38" i="71"/>
  <c r="N38" i="71" s="1"/>
  <c r="O38" i="71" s="1"/>
  <c r="P38" i="71" s="1"/>
  <c r="AT14" i="71"/>
  <c r="L14" i="71"/>
  <c r="N14" i="71" s="1"/>
  <c r="O14" i="71" s="1"/>
  <c r="P14" i="71" s="1"/>
  <c r="CB88" i="71"/>
  <c r="L88" i="71"/>
  <c r="N88" i="71" s="1"/>
  <c r="O88" i="71" s="1"/>
  <c r="P88" i="71" s="1"/>
  <c r="CB44" i="71"/>
  <c r="L44" i="71"/>
  <c r="N44" i="71" s="1"/>
  <c r="O44" i="71" s="1"/>
  <c r="P44" i="71" s="1"/>
  <c r="L173" i="71"/>
  <c r="N173" i="71" s="1"/>
  <c r="O173" i="71" s="1"/>
  <c r="P173" i="71" s="1"/>
  <c r="CB72" i="71"/>
  <c r="L72" i="71"/>
  <c r="N72" i="71" s="1"/>
  <c r="O72" i="71" s="1"/>
  <c r="P72" i="71" s="1"/>
  <c r="T71" i="66" s="1"/>
  <c r="L124" i="71"/>
  <c r="N124" i="71" s="1"/>
  <c r="O124" i="71" s="1"/>
  <c r="P124" i="71" s="1"/>
  <c r="BK186" i="71"/>
  <c r="L186" i="71"/>
  <c r="N186" i="71" s="1"/>
  <c r="O186" i="71" s="1"/>
  <c r="P186" i="71" s="1"/>
  <c r="L140" i="71"/>
  <c r="N140" i="71" s="1"/>
  <c r="O140" i="71" s="1"/>
  <c r="P140" i="71" s="1"/>
  <c r="CB29" i="71"/>
  <c r="L29" i="71"/>
  <c r="N29" i="71" s="1"/>
  <c r="O29" i="71" s="1"/>
  <c r="P29" i="71" s="1"/>
  <c r="CB10" i="71"/>
  <c r="L10" i="71"/>
  <c r="N10" i="71" s="1"/>
  <c r="O10" i="71" s="1"/>
  <c r="L150" i="71"/>
  <c r="N150" i="71" s="1"/>
  <c r="O150" i="71" s="1"/>
  <c r="P150" i="71" s="1"/>
  <c r="AT169" i="71"/>
  <c r="L169" i="71"/>
  <c r="N169" i="71" s="1"/>
  <c r="O169" i="71" s="1"/>
  <c r="P169" i="71" s="1"/>
  <c r="AT171" i="71"/>
  <c r="L171" i="71"/>
  <c r="N171" i="71" s="1"/>
  <c r="O171" i="71" s="1"/>
  <c r="P171" i="71" s="1"/>
  <c r="CB121" i="71"/>
  <c r="L121" i="71"/>
  <c r="N121" i="71" s="1"/>
  <c r="O121" i="71" s="1"/>
  <c r="P121" i="71" s="1"/>
  <c r="AT127" i="71"/>
  <c r="AU127" i="71" s="1"/>
  <c r="AV127" i="71" s="1"/>
  <c r="AX127" i="71" s="1"/>
  <c r="L127" i="71"/>
  <c r="N127" i="71" s="1"/>
  <c r="O127" i="71" s="1"/>
  <c r="P127" i="71" s="1"/>
  <c r="BK168" i="71"/>
  <c r="L168" i="71"/>
  <c r="N168" i="71" s="1"/>
  <c r="O168" i="71" s="1"/>
  <c r="P168" i="71" s="1"/>
  <c r="L66" i="71"/>
  <c r="N66" i="71" s="1"/>
  <c r="O66" i="71" s="1"/>
  <c r="P66" i="71" s="1"/>
  <c r="L192" i="71"/>
  <c r="N192" i="71" s="1"/>
  <c r="O192" i="71" s="1"/>
  <c r="P192" i="71" s="1"/>
  <c r="CB45" i="71"/>
  <c r="L45" i="71"/>
  <c r="N45" i="71" s="1"/>
  <c r="O45" i="71" s="1"/>
  <c r="P45" i="71" s="1"/>
  <c r="CB41" i="71"/>
  <c r="L41" i="71"/>
  <c r="N41" i="71" s="1"/>
  <c r="O41" i="71" s="1"/>
  <c r="P41" i="71" s="1"/>
  <c r="L200" i="71"/>
  <c r="N200" i="71" s="1"/>
  <c r="O200" i="71" s="1"/>
  <c r="P200" i="71" s="1"/>
  <c r="CB30" i="71"/>
  <c r="L30" i="71"/>
  <c r="N30" i="71" s="1"/>
  <c r="O30" i="71" s="1"/>
  <c r="P30" i="71" s="1"/>
  <c r="L114" i="71"/>
  <c r="N114" i="71" s="1"/>
  <c r="O114" i="71" s="1"/>
  <c r="P114" i="71" s="1"/>
  <c r="BK135" i="71"/>
  <c r="L135" i="71"/>
  <c r="N135" i="71" s="1"/>
  <c r="O135" i="71" s="1"/>
  <c r="P135" i="71" s="1"/>
  <c r="CB53" i="71"/>
  <c r="L53" i="71"/>
  <c r="N53" i="71" s="1"/>
  <c r="O53" i="71" s="1"/>
  <c r="P53" i="71" s="1"/>
  <c r="CB180" i="71"/>
  <c r="L180" i="71"/>
  <c r="N180" i="71" s="1"/>
  <c r="O180" i="71" s="1"/>
  <c r="P180" i="71" s="1"/>
  <c r="CB193" i="71"/>
  <c r="L193" i="71"/>
  <c r="N193" i="71" s="1"/>
  <c r="O193" i="71" s="1"/>
  <c r="P193" i="71" s="1"/>
  <c r="T191" i="66" s="1"/>
  <c r="CB48" i="71"/>
  <c r="L48" i="71"/>
  <c r="N48" i="71" s="1"/>
  <c r="O48" i="71" s="1"/>
  <c r="P48" i="71" s="1"/>
  <c r="L164" i="71"/>
  <c r="N164" i="71" s="1"/>
  <c r="O164" i="71" s="1"/>
  <c r="P164" i="71" s="1"/>
  <c r="CB35" i="71"/>
  <c r="L35" i="71"/>
  <c r="N35" i="71" s="1"/>
  <c r="O35" i="71" s="1"/>
  <c r="P35" i="71" s="1"/>
  <c r="AT123" i="71"/>
  <c r="L123" i="71"/>
  <c r="N123" i="71" s="1"/>
  <c r="O123" i="71" s="1"/>
  <c r="P123" i="71" s="1"/>
  <c r="L84" i="71"/>
  <c r="N84" i="71" s="1"/>
  <c r="O84" i="71" s="1"/>
  <c r="P84" i="71" s="1"/>
  <c r="BK136" i="71"/>
  <c r="L136" i="71"/>
  <c r="N136" i="71" s="1"/>
  <c r="O136" i="71" s="1"/>
  <c r="P136" i="71" s="1"/>
  <c r="BK96" i="71"/>
  <c r="L96" i="71"/>
  <c r="N96" i="71" s="1"/>
  <c r="O96" i="71" s="1"/>
  <c r="P96" i="71" s="1"/>
  <c r="CB8" i="71"/>
  <c r="L8" i="71"/>
  <c r="N8" i="71" s="1"/>
  <c r="O8" i="71" s="1"/>
  <c r="P8" i="71" s="1"/>
  <c r="L139" i="71"/>
  <c r="N139" i="71" s="1"/>
  <c r="O139" i="71" s="1"/>
  <c r="P139" i="71" s="1"/>
  <c r="CB83" i="71"/>
  <c r="L83" i="71"/>
  <c r="N83" i="71" s="1"/>
  <c r="O83" i="71" s="1"/>
  <c r="P83" i="71" s="1"/>
  <c r="L182" i="71"/>
  <c r="N182" i="71" s="1"/>
  <c r="O182" i="71" s="1"/>
  <c r="P182" i="71" s="1"/>
  <c r="L138" i="71"/>
  <c r="N138" i="71" s="1"/>
  <c r="O138" i="71" s="1"/>
  <c r="P138" i="71" s="1"/>
  <c r="CB39" i="71"/>
  <c r="L39" i="71"/>
  <c r="N39" i="71" s="1"/>
  <c r="O39" i="71" s="1"/>
  <c r="P39" i="71" s="1"/>
  <c r="CB36" i="71"/>
  <c r="L36" i="71"/>
  <c r="N36" i="71" s="1"/>
  <c r="O36" i="71" s="1"/>
  <c r="AT125" i="71"/>
  <c r="L125" i="71"/>
  <c r="N125" i="71" s="1"/>
  <c r="O125" i="71" s="1"/>
  <c r="P125" i="71" s="1"/>
  <c r="CB11" i="71"/>
  <c r="L11" i="71"/>
  <c r="N11" i="71" s="1"/>
  <c r="O11" i="71" s="1"/>
  <c r="P11" i="71" s="1"/>
  <c r="BK132" i="71"/>
  <c r="L132" i="71"/>
  <c r="N132" i="71" s="1"/>
  <c r="O132" i="71" s="1"/>
  <c r="CB162" i="71"/>
  <c r="L162" i="71"/>
  <c r="N162" i="71" s="1"/>
  <c r="O162" i="71" s="1"/>
  <c r="CB5" i="71"/>
  <c r="L5" i="71"/>
  <c r="N5" i="71" s="1"/>
  <c r="O5" i="71" s="1"/>
  <c r="P5" i="71" s="1"/>
  <c r="L184" i="71"/>
  <c r="N184" i="71" s="1"/>
  <c r="O184" i="71" s="1"/>
  <c r="P184" i="71" s="1"/>
  <c r="L120" i="71"/>
  <c r="N120" i="71" s="1"/>
  <c r="O120" i="71" s="1"/>
  <c r="P120" i="71" s="1"/>
  <c r="L59" i="71"/>
  <c r="N59" i="71" s="1"/>
  <c r="O59" i="71" s="1"/>
  <c r="P59" i="71" s="1"/>
  <c r="AT110" i="71"/>
  <c r="L110" i="71"/>
  <c r="N110" i="71" s="1"/>
  <c r="O110" i="71" s="1"/>
  <c r="P110" i="71" s="1"/>
  <c r="L156" i="71"/>
  <c r="N156" i="71" s="1"/>
  <c r="O156" i="71" s="1"/>
  <c r="P156" i="71" s="1"/>
  <c r="AT203" i="71"/>
  <c r="L203" i="71"/>
  <c r="N203" i="71" s="1"/>
  <c r="O203" i="71" s="1"/>
  <c r="P203" i="71" s="1"/>
  <c r="CB78" i="71"/>
  <c r="L78" i="71"/>
  <c r="N78" i="71" s="1"/>
  <c r="O78" i="71" s="1"/>
  <c r="P78" i="71" s="1"/>
  <c r="CB15" i="71"/>
  <c r="L15" i="71"/>
  <c r="N15" i="71" s="1"/>
  <c r="O15" i="71" s="1"/>
  <c r="P15" i="71" s="1"/>
  <c r="L198" i="71"/>
  <c r="N198" i="71" s="1"/>
  <c r="O198" i="71" s="1"/>
  <c r="P198" i="71" s="1"/>
  <c r="CB54" i="71"/>
  <c r="L54" i="71"/>
  <c r="N54" i="71" s="1"/>
  <c r="O54" i="71" s="1"/>
  <c r="P54" i="71" s="1"/>
  <c r="CB26" i="71"/>
  <c r="L26" i="71"/>
  <c r="N26" i="71" s="1"/>
  <c r="O26" i="71" s="1"/>
  <c r="P26" i="71" s="1"/>
  <c r="CB43" i="71"/>
  <c r="L43" i="71"/>
  <c r="N43" i="71" s="1"/>
  <c r="O43" i="71" s="1"/>
  <c r="P43" i="71" s="1"/>
  <c r="AT134" i="71"/>
  <c r="L134" i="71"/>
  <c r="N134" i="71" s="1"/>
  <c r="O134" i="71" s="1"/>
  <c r="P134" i="71" s="1"/>
  <c r="L147" i="71"/>
  <c r="N147" i="71" s="1"/>
  <c r="O147" i="71" s="1"/>
  <c r="P147" i="71" s="1"/>
  <c r="L13" i="71"/>
  <c r="N13" i="71" s="1"/>
  <c r="O13" i="71" s="1"/>
  <c r="P13" i="71" s="1"/>
  <c r="L71" i="71"/>
  <c r="N71" i="71" s="1"/>
  <c r="O71" i="71" s="1"/>
  <c r="P71" i="71" s="1"/>
  <c r="AT79" i="71"/>
  <c r="L79" i="71"/>
  <c r="N79" i="71" s="1"/>
  <c r="O79" i="71" s="1"/>
  <c r="CB82" i="71"/>
  <c r="L82" i="71"/>
  <c r="N82" i="71" s="1"/>
  <c r="O82" i="71" s="1"/>
  <c r="P82" i="71" s="1"/>
  <c r="CB20" i="71"/>
  <c r="L20" i="71"/>
  <c r="N20" i="71" s="1"/>
  <c r="O20" i="71" s="1"/>
  <c r="P20" i="71" s="1"/>
  <c r="BK20" i="71"/>
  <c r="AT82" i="71"/>
  <c r="AT162" i="71"/>
  <c r="AT20" i="71"/>
  <c r="AT132" i="71"/>
  <c r="U212" i="66"/>
  <c r="AT72" i="71"/>
  <c r="CB124" i="71"/>
  <c r="U216" i="66"/>
  <c r="CB16" i="72"/>
  <c r="CC16" i="72" s="1"/>
  <c r="CD16" i="72" s="1"/>
  <c r="CF16" i="72" s="1"/>
  <c r="CG16" i="72" s="1"/>
  <c r="CL16" i="72" s="1"/>
  <c r="BK124" i="71"/>
  <c r="BK16" i="72"/>
  <c r="BL16" i="72" s="1"/>
  <c r="BM16" i="72" s="1"/>
  <c r="BO16" i="72" s="1"/>
  <c r="BP16" i="72" s="1"/>
  <c r="C222" i="66" s="1"/>
  <c r="BK167" i="71"/>
  <c r="U215" i="66"/>
  <c r="BK38" i="71"/>
  <c r="BK72" i="71"/>
  <c r="CB63" i="71"/>
  <c r="AT94" i="71"/>
  <c r="AT38" i="71"/>
  <c r="AT54" i="71"/>
  <c r="AT77" i="71"/>
  <c r="P94" i="71"/>
  <c r="AT195" i="71"/>
  <c r="AT88" i="71"/>
  <c r="AT7" i="71"/>
  <c r="AT186" i="71"/>
  <c r="AT118" i="71"/>
  <c r="BK118" i="71"/>
  <c r="AT189" i="71"/>
  <c r="CB195" i="71"/>
  <c r="AT168" i="71"/>
  <c r="AT83" i="71"/>
  <c r="BK88" i="71"/>
  <c r="BK54" i="71"/>
  <c r="P141" i="71"/>
  <c r="AT190" i="71"/>
  <c r="BK83" i="71"/>
  <c r="BK94" i="71"/>
  <c r="CB14" i="72"/>
  <c r="CC14" i="72" s="1"/>
  <c r="CD14" i="72" s="1"/>
  <c r="CF14" i="72" s="1"/>
  <c r="CG14" i="72" s="1"/>
  <c r="AT45" i="71"/>
  <c r="BK7" i="71"/>
  <c r="BK117" i="71"/>
  <c r="AT200" i="71"/>
  <c r="AT180" i="71"/>
  <c r="AT202" i="71"/>
  <c r="AT22" i="71"/>
  <c r="BK14" i="72"/>
  <c r="BL14" i="72" s="1"/>
  <c r="BM14" i="72" s="1"/>
  <c r="BO14" i="72" s="1"/>
  <c r="BP14" i="72" s="1"/>
  <c r="BK22" i="71"/>
  <c r="AT192" i="71"/>
  <c r="CB77" i="71"/>
  <c r="BK189" i="71"/>
  <c r="BK162" i="71"/>
  <c r="AT71" i="71"/>
  <c r="BK10" i="72"/>
  <c r="BL10" i="72" s="1"/>
  <c r="BM10" i="72" s="1"/>
  <c r="BO10" i="72" s="1"/>
  <c r="BP10" i="72" s="1"/>
  <c r="C216" i="66" s="1"/>
  <c r="BK15" i="71"/>
  <c r="AT114" i="71"/>
  <c r="BK82" i="71"/>
  <c r="AT41" i="71"/>
  <c r="AT78" i="71"/>
  <c r="AT15" i="71"/>
  <c r="CB168" i="71"/>
  <c r="AT137" i="71"/>
  <c r="BK121" i="71"/>
  <c r="BK180" i="71"/>
  <c r="BK78" i="71"/>
  <c r="AT53" i="71"/>
  <c r="CB197" i="71"/>
  <c r="AT141" i="71"/>
  <c r="BK197" i="71"/>
  <c r="AT135" i="71"/>
  <c r="AT191" i="71"/>
  <c r="AT197" i="71"/>
  <c r="AT121" i="71"/>
  <c r="BK53" i="71"/>
  <c r="CB135" i="71"/>
  <c r="AT75" i="71"/>
  <c r="CB132" i="71"/>
  <c r="CB186" i="71"/>
  <c r="AT70" i="71"/>
  <c r="AT108" i="71"/>
  <c r="AT96" i="71"/>
  <c r="AT84" i="71"/>
  <c r="P108" i="71"/>
  <c r="AT136" i="71"/>
  <c r="BK8" i="71"/>
  <c r="CB136" i="71"/>
  <c r="CB96" i="71"/>
  <c r="AT8" i="71"/>
  <c r="AT10" i="72"/>
  <c r="AU10" i="72" s="1"/>
  <c r="AV10" i="72" s="1"/>
  <c r="AX10" i="72" s="1"/>
  <c r="AY10" i="72" s="1"/>
  <c r="AT11" i="71"/>
  <c r="CB79" i="71"/>
  <c r="BK11" i="71"/>
  <c r="BK79" i="71"/>
  <c r="AT154" i="71"/>
  <c r="BK10" i="71"/>
  <c r="BK12" i="72"/>
  <c r="BL12" i="72" s="1"/>
  <c r="BM12" i="72" s="1"/>
  <c r="BO12" i="72" s="1"/>
  <c r="BP12" i="72" s="1"/>
  <c r="CB21" i="72"/>
  <c r="CC21" i="72" s="1"/>
  <c r="CD21" i="72" s="1"/>
  <c r="CF21" i="72" s="1"/>
  <c r="CG21" i="72" s="1"/>
  <c r="AT173" i="71"/>
  <c r="AT150" i="71"/>
  <c r="CB12" i="72"/>
  <c r="CC12" i="72" s="1"/>
  <c r="CD12" i="72" s="1"/>
  <c r="CF12" i="72" s="1"/>
  <c r="CG12" i="72" s="1"/>
  <c r="BK21" i="72"/>
  <c r="BL21" i="72" s="1"/>
  <c r="BM21" i="72" s="1"/>
  <c r="BO21" i="72" s="1"/>
  <c r="BP21" i="72" s="1"/>
  <c r="AT12" i="72"/>
  <c r="AU12" i="72" s="1"/>
  <c r="AV12" i="72" s="1"/>
  <c r="AX12" i="72" s="1"/>
  <c r="AY12" i="72" s="1"/>
  <c r="AT21" i="72"/>
  <c r="AU21" i="72" s="1"/>
  <c r="AV21" i="72" s="1"/>
  <c r="AX21" i="72" s="1"/>
  <c r="AY21" i="72" s="1"/>
  <c r="AT39" i="71"/>
  <c r="AT196" i="71"/>
  <c r="AT115" i="71"/>
  <c r="AT30" i="71"/>
  <c r="AT44" i="71"/>
  <c r="P10" i="71"/>
  <c r="AT33" i="71"/>
  <c r="AT10" i="71"/>
  <c r="BK30" i="71"/>
  <c r="AT8" i="72"/>
  <c r="AU8" i="72" s="1"/>
  <c r="AV8" i="72" s="1"/>
  <c r="AX8" i="72" s="1"/>
  <c r="AY8" i="72" s="1"/>
  <c r="BD8" i="72" s="1"/>
  <c r="BK126" i="71"/>
  <c r="CB126" i="71"/>
  <c r="BK182" i="71"/>
  <c r="CB182" i="71"/>
  <c r="BK116" i="71"/>
  <c r="CB116" i="71"/>
  <c r="BK175" i="71"/>
  <c r="CB175" i="71"/>
  <c r="BK138" i="71"/>
  <c r="CB138" i="71"/>
  <c r="BK143" i="71"/>
  <c r="CB143" i="71"/>
  <c r="BK191" i="71"/>
  <c r="CB191" i="71"/>
  <c r="BK179" i="71"/>
  <c r="CB179" i="71"/>
  <c r="BK86" i="71"/>
  <c r="CB86" i="71"/>
  <c r="BK105" i="71"/>
  <c r="CB105" i="71"/>
  <c r="BK142" i="71"/>
  <c r="CB142" i="71"/>
  <c r="CB24" i="71"/>
  <c r="BK122" i="71"/>
  <c r="CB122" i="71"/>
  <c r="BK74" i="71"/>
  <c r="CB74" i="71"/>
  <c r="BK129" i="71"/>
  <c r="CB129" i="71"/>
  <c r="BK156" i="71"/>
  <c r="CB156" i="71"/>
  <c r="BK130" i="71"/>
  <c r="CB130" i="71"/>
  <c r="BK190" i="71"/>
  <c r="CB190" i="71"/>
  <c r="BK102" i="71"/>
  <c r="CB102" i="71"/>
  <c r="BK115" i="71"/>
  <c r="CB115" i="71"/>
  <c r="BK187" i="71"/>
  <c r="CB187" i="71"/>
  <c r="BK111" i="71"/>
  <c r="CB111" i="71"/>
  <c r="BK113" i="71"/>
  <c r="CB113" i="71"/>
  <c r="CB49" i="71"/>
  <c r="BK61" i="71"/>
  <c r="CB61" i="71"/>
  <c r="BK172" i="71"/>
  <c r="CB172" i="71"/>
  <c r="AT109" i="71"/>
  <c r="BK127" i="71"/>
  <c r="CB127" i="71"/>
  <c r="BK103" i="71"/>
  <c r="CB103" i="71"/>
  <c r="BK170" i="71"/>
  <c r="CB170" i="71"/>
  <c r="BK188" i="71"/>
  <c r="CB188" i="71"/>
  <c r="BK163" i="71"/>
  <c r="CB163" i="71"/>
  <c r="AT37" i="71"/>
  <c r="CB37" i="71"/>
  <c r="BK198" i="71"/>
  <c r="CB198" i="71"/>
  <c r="BK196" i="71"/>
  <c r="CB196" i="71"/>
  <c r="BK173" i="71"/>
  <c r="CB173" i="71"/>
  <c r="CB18" i="71"/>
  <c r="BK73" i="71"/>
  <c r="CB73" i="71"/>
  <c r="BK91" i="71"/>
  <c r="CB91" i="71"/>
  <c r="AT27" i="71"/>
  <c r="BK155" i="71"/>
  <c r="CB155" i="71"/>
  <c r="BK59" i="71"/>
  <c r="CB59" i="71"/>
  <c r="BK57" i="71"/>
  <c r="CB57" i="71"/>
  <c r="BK160" i="71"/>
  <c r="CB160" i="71"/>
  <c r="BK99" i="71"/>
  <c r="CB99" i="71"/>
  <c r="BK66" i="71"/>
  <c r="CB66" i="71"/>
  <c r="AT40" i="71"/>
  <c r="CB40" i="71"/>
  <c r="BK150" i="71"/>
  <c r="CB150" i="71"/>
  <c r="BK169" i="71"/>
  <c r="CB169" i="71"/>
  <c r="CB33" i="71"/>
  <c r="BK149" i="71"/>
  <c r="CB149" i="71"/>
  <c r="BK80" i="71"/>
  <c r="CB80" i="71"/>
  <c r="BK199" i="71"/>
  <c r="CB199" i="71"/>
  <c r="BK183" i="71"/>
  <c r="CB183" i="71"/>
  <c r="CB19" i="71"/>
  <c r="CB42" i="71"/>
  <c r="BK75" i="71"/>
  <c r="CB75" i="71"/>
  <c r="BK140" i="71"/>
  <c r="CB140" i="71"/>
  <c r="BK67" i="71"/>
  <c r="CB67" i="71"/>
  <c r="CB34" i="71"/>
  <c r="BK152" i="71"/>
  <c r="CB152" i="71"/>
  <c r="BK164" i="71"/>
  <c r="CB164" i="71"/>
  <c r="BK200" i="71"/>
  <c r="CB200" i="71"/>
  <c r="BK114" i="71"/>
  <c r="CB114" i="71"/>
  <c r="BK109" i="71"/>
  <c r="CB109" i="71"/>
  <c r="BK100" i="71"/>
  <c r="CB100" i="71"/>
  <c r="BK95" i="71"/>
  <c r="CB95" i="71"/>
  <c r="BK128" i="71"/>
  <c r="CB128" i="71"/>
  <c r="BK81" i="71"/>
  <c r="CB81" i="71"/>
  <c r="AT18" i="71"/>
  <c r="BK60" i="71"/>
  <c r="CB60" i="71"/>
  <c r="BK110" i="71"/>
  <c r="CB110" i="71"/>
  <c r="AT46" i="71"/>
  <c r="CB46" i="71"/>
  <c r="BK157" i="71"/>
  <c r="CB157" i="71"/>
  <c r="BK44" i="71"/>
  <c r="BK85" i="71"/>
  <c r="CB85" i="71"/>
  <c r="BK119" i="71"/>
  <c r="CB119" i="71"/>
  <c r="BK68" i="71"/>
  <c r="CB68" i="71"/>
  <c r="BK206" i="71"/>
  <c r="CB206" i="71"/>
  <c r="BK58" i="71"/>
  <c r="CB58" i="71"/>
  <c r="BK84" i="71"/>
  <c r="CB84" i="71"/>
  <c r="BK178" i="71"/>
  <c r="CB178" i="71"/>
  <c r="BK176" i="71"/>
  <c r="CB176" i="71"/>
  <c r="BK131" i="71"/>
  <c r="CB131" i="71"/>
  <c r="BK112" i="71"/>
  <c r="CB112" i="71"/>
  <c r="BK56" i="71"/>
  <c r="CB56" i="71"/>
  <c r="BK65" i="71"/>
  <c r="CB65" i="71"/>
  <c r="CB25" i="71"/>
  <c r="BK87" i="71"/>
  <c r="CB87" i="71"/>
  <c r="BK166" i="71"/>
  <c r="CB166" i="71"/>
  <c r="BK151" i="71"/>
  <c r="CB151" i="71"/>
  <c r="BK208" i="71"/>
  <c r="CB208" i="71"/>
  <c r="BK89" i="71"/>
  <c r="CB89" i="71"/>
  <c r="BK202" i="71"/>
  <c r="CB202" i="71"/>
  <c r="CB21" i="71"/>
  <c r="BK144" i="71"/>
  <c r="CB144" i="71"/>
  <c r="BK70" i="71"/>
  <c r="CB70" i="71"/>
  <c r="CB52" i="71"/>
  <c r="BK146" i="71"/>
  <c r="CB146" i="71"/>
  <c r="BK145" i="71"/>
  <c r="CB145" i="71"/>
  <c r="BK201" i="71"/>
  <c r="CB201" i="71"/>
  <c r="BK185" i="71"/>
  <c r="CB185" i="71"/>
  <c r="BK101" i="71"/>
  <c r="CB101" i="71"/>
  <c r="BK139" i="71"/>
  <c r="CB139" i="71"/>
  <c r="BK104" i="71"/>
  <c r="CB104" i="71"/>
  <c r="CB28" i="71"/>
  <c r="CB32" i="71"/>
  <c r="BK137" i="71"/>
  <c r="CB137" i="71"/>
  <c r="BK141" i="71"/>
  <c r="CB141" i="71"/>
  <c r="BK194" i="71"/>
  <c r="CB194" i="71"/>
  <c r="BK92" i="71"/>
  <c r="CB92" i="71"/>
  <c r="BK107" i="71"/>
  <c r="CB107" i="71"/>
  <c r="P55" i="71"/>
  <c r="CB55" i="71"/>
  <c r="BK184" i="71"/>
  <c r="CB184" i="71"/>
  <c r="BK120" i="71"/>
  <c r="CB120" i="71"/>
  <c r="BK69" i="71"/>
  <c r="CB69" i="71"/>
  <c r="BK165" i="71"/>
  <c r="CB165" i="71"/>
  <c r="BK158" i="71"/>
  <c r="CB158" i="71"/>
  <c r="P16" i="71"/>
  <c r="CB16" i="71"/>
  <c r="CB17" i="71"/>
  <c r="BK192" i="71"/>
  <c r="CB192" i="71"/>
  <c r="BK18" i="71"/>
  <c r="BK134" i="71"/>
  <c r="CB134" i="71"/>
  <c r="BK147" i="71"/>
  <c r="CB147" i="71"/>
  <c r="CB13" i="71"/>
  <c r="BK125" i="71"/>
  <c r="CB125" i="71"/>
  <c r="BK71" i="71"/>
  <c r="CB71" i="71"/>
  <c r="BK108" i="71"/>
  <c r="CB108" i="71"/>
  <c r="BK171" i="71"/>
  <c r="CB171" i="71"/>
  <c r="BK205" i="71"/>
  <c r="CB205" i="71"/>
  <c r="BK181" i="71"/>
  <c r="CB181" i="71"/>
  <c r="CB47" i="71"/>
  <c r="P6" i="71"/>
  <c r="CB6" i="71"/>
  <c r="BK207" i="71"/>
  <c r="CB207" i="71"/>
  <c r="BK159" i="71"/>
  <c r="CB159" i="71"/>
  <c r="BK62" i="71"/>
  <c r="CB62" i="71"/>
  <c r="BK153" i="71"/>
  <c r="CB153" i="71"/>
  <c r="BK98" i="71"/>
  <c r="CB98" i="71"/>
  <c r="CB14" i="71"/>
  <c r="BK41" i="71"/>
  <c r="P31" i="71"/>
  <c r="CB31" i="71"/>
  <c r="BK154" i="71"/>
  <c r="CB154" i="71"/>
  <c r="CB8" i="72"/>
  <c r="CC8" i="72" s="1"/>
  <c r="CD8" i="72" s="1"/>
  <c r="CF8" i="72" s="1"/>
  <c r="CG8" i="72" s="1"/>
  <c r="CM8" i="72" s="1"/>
  <c r="BK90" i="71"/>
  <c r="CB90" i="71"/>
  <c r="CB51" i="71"/>
  <c r="BK97" i="71"/>
  <c r="CB97" i="71"/>
  <c r="BK203" i="71"/>
  <c r="CB203" i="71"/>
  <c r="CB27" i="71"/>
  <c r="BK76" i="71"/>
  <c r="CB76" i="71"/>
  <c r="BK177" i="71"/>
  <c r="CB177" i="71"/>
  <c r="AT50" i="71"/>
  <c r="CB50" i="71"/>
  <c r="AT12" i="71"/>
  <c r="CB12" i="71"/>
  <c r="BK106" i="71"/>
  <c r="CB106" i="71"/>
  <c r="BK174" i="71"/>
  <c r="CB174" i="71"/>
  <c r="BK64" i="71"/>
  <c r="CB64" i="71"/>
  <c r="BK204" i="71"/>
  <c r="CB204" i="71"/>
  <c r="BK148" i="71"/>
  <c r="CB148" i="71"/>
  <c r="BK123" i="71"/>
  <c r="CB123" i="71"/>
  <c r="BK23" i="71"/>
  <c r="CB23" i="71"/>
  <c r="BK93" i="71"/>
  <c r="CB93" i="71"/>
  <c r="BK161" i="71"/>
  <c r="CB161" i="71"/>
  <c r="H214" i="67"/>
  <c r="H66" i="67"/>
  <c r="H227" i="67"/>
  <c r="H139" i="67"/>
  <c r="H62" i="67"/>
  <c r="H213" i="67"/>
  <c r="H224" i="67"/>
  <c r="H134" i="67"/>
  <c r="H20" i="67"/>
  <c r="H211" i="67"/>
  <c r="H218" i="67"/>
  <c r="H73" i="67"/>
  <c r="H101" i="67"/>
  <c r="H220" i="67"/>
  <c r="H228" i="67"/>
  <c r="H172" i="67"/>
  <c r="H223" i="67"/>
  <c r="H112" i="67"/>
  <c r="H215" i="67"/>
  <c r="H67" i="67"/>
  <c r="H71" i="67"/>
  <c r="H217" i="67"/>
  <c r="H222" i="67"/>
  <c r="H108" i="67"/>
  <c r="H226" i="67"/>
  <c r="H138" i="67"/>
  <c r="H69" i="67"/>
  <c r="H216" i="67"/>
  <c r="H225" i="67"/>
  <c r="H136" i="67"/>
  <c r="H107" i="67"/>
  <c r="H221" i="67"/>
  <c r="H49" i="67"/>
  <c r="H212" i="67"/>
  <c r="P25" i="71"/>
  <c r="AT51" i="71"/>
  <c r="AT147" i="71"/>
  <c r="AT175" i="71"/>
  <c r="BK13" i="71"/>
  <c r="AT13" i="71"/>
  <c r="AT93" i="71"/>
  <c r="AT28" i="71"/>
  <c r="AT198" i="71"/>
  <c r="P174" i="71"/>
  <c r="AT174" i="71"/>
  <c r="P51" i="71"/>
  <c r="P69" i="71"/>
  <c r="P106" i="71"/>
  <c r="P107" i="71"/>
  <c r="AT153" i="71"/>
  <c r="U217" i="66"/>
  <c r="P181" i="71"/>
  <c r="AT158" i="71"/>
  <c r="CB11" i="72"/>
  <c r="CC11" i="72" s="1"/>
  <c r="CD11" i="72" s="1"/>
  <c r="CF11" i="72" s="1"/>
  <c r="CG11" i="72" s="1"/>
  <c r="CM11" i="72" s="1"/>
  <c r="P175" i="71"/>
  <c r="AT66" i="71"/>
  <c r="AT23" i="71"/>
  <c r="AT111" i="71"/>
  <c r="AT98" i="71"/>
  <c r="AT11" i="72"/>
  <c r="AU11" i="72" s="1"/>
  <c r="AV11" i="72" s="1"/>
  <c r="AX11" i="72" s="1"/>
  <c r="AY11" i="72" s="1"/>
  <c r="P206" i="71"/>
  <c r="P42" i="71"/>
  <c r="P61" i="71"/>
  <c r="AT194" i="71"/>
  <c r="AT60" i="71"/>
  <c r="AT42" i="71"/>
  <c r="AT34" i="71"/>
  <c r="AT90" i="71"/>
  <c r="AT105" i="71"/>
  <c r="P67" i="71"/>
  <c r="AT16" i="71"/>
  <c r="P97" i="71"/>
  <c r="AT176" i="71"/>
  <c r="AT67" i="71"/>
  <c r="AT163" i="71"/>
  <c r="P60" i="71"/>
  <c r="AT31" i="71"/>
  <c r="AT112" i="71"/>
  <c r="U213" i="66"/>
  <c r="P92" i="71"/>
  <c r="AT97" i="71"/>
  <c r="AT107" i="71"/>
  <c r="AT92" i="71"/>
  <c r="AT99" i="71"/>
  <c r="AT143" i="71"/>
  <c r="BK51" i="71"/>
  <c r="P86" i="71"/>
  <c r="AT166" i="71"/>
  <c r="AT102" i="71"/>
  <c r="AU102" i="71" s="1"/>
  <c r="AV102" i="71" s="1"/>
  <c r="AX102" i="71" s="1"/>
  <c r="P172" i="71"/>
  <c r="P23" i="71"/>
  <c r="P151" i="71"/>
  <c r="P90" i="71"/>
  <c r="AT58" i="71"/>
  <c r="AT106" i="71"/>
  <c r="AT104" i="71"/>
  <c r="P93" i="71"/>
  <c r="AT21" i="71"/>
  <c r="AT119" i="71"/>
  <c r="AT151" i="71"/>
  <c r="P158" i="71"/>
  <c r="U210" i="66"/>
  <c r="V210" i="66" s="1"/>
  <c r="W210" i="66" s="1"/>
  <c r="AT36" i="71"/>
  <c r="AT144" i="71"/>
  <c r="AT68" i="71"/>
  <c r="AT206" i="71"/>
  <c r="P68" i="71"/>
  <c r="P111" i="71"/>
  <c r="P21" i="71"/>
  <c r="AT140" i="71"/>
  <c r="U214" i="66"/>
  <c r="BK36" i="71"/>
  <c r="AT179" i="71"/>
  <c r="P36" i="71"/>
  <c r="P144" i="71"/>
  <c r="AT148" i="71"/>
  <c r="AT74" i="71"/>
  <c r="AT161" i="71"/>
  <c r="AT188" i="71"/>
  <c r="BK29" i="71"/>
  <c r="AT142" i="71"/>
  <c r="P142" i="71"/>
  <c r="P80" i="71"/>
  <c r="BK12" i="71"/>
  <c r="AT149" i="71"/>
  <c r="AT13" i="72"/>
  <c r="AU13" i="72" s="1"/>
  <c r="AV13" i="72" s="1"/>
  <c r="AX13" i="72" s="1"/>
  <c r="AY13" i="72" s="1"/>
  <c r="CB13" i="72"/>
  <c r="CC13" i="72" s="1"/>
  <c r="CD13" i="72" s="1"/>
  <c r="CF13" i="72" s="1"/>
  <c r="CG13" i="72" s="1"/>
  <c r="BK13" i="72"/>
  <c r="BL13" i="72" s="1"/>
  <c r="BM13" i="72" s="1"/>
  <c r="BO13" i="72" s="1"/>
  <c r="BP13" i="72" s="1"/>
  <c r="AT20" i="72"/>
  <c r="AU20" i="72" s="1"/>
  <c r="AV20" i="72" s="1"/>
  <c r="AX20" i="72" s="1"/>
  <c r="AY20" i="72" s="1"/>
  <c r="BK20" i="72"/>
  <c r="BL20" i="72" s="1"/>
  <c r="BM20" i="72" s="1"/>
  <c r="BO20" i="72" s="1"/>
  <c r="BP20" i="72" s="1"/>
  <c r="CB20" i="72"/>
  <c r="CC20" i="72" s="1"/>
  <c r="CD20" i="72" s="1"/>
  <c r="CF20" i="72" s="1"/>
  <c r="CG20" i="72" s="1"/>
  <c r="BK5" i="71"/>
  <c r="BK35" i="71"/>
  <c r="AT156" i="71"/>
  <c r="AT165" i="71"/>
  <c r="AT129" i="71"/>
  <c r="AT15" i="72"/>
  <c r="AU15" i="72" s="1"/>
  <c r="AV15" i="72" s="1"/>
  <c r="AX15" i="72" s="1"/>
  <c r="AY15" i="72" s="1"/>
  <c r="BK15" i="72"/>
  <c r="BL15" i="72" s="1"/>
  <c r="BM15" i="72" s="1"/>
  <c r="BO15" i="72" s="1"/>
  <c r="BP15" i="72" s="1"/>
  <c r="CB15" i="72"/>
  <c r="CC15" i="72" s="1"/>
  <c r="CD15" i="72" s="1"/>
  <c r="CF15" i="72" s="1"/>
  <c r="CG15" i="72" s="1"/>
  <c r="BK27" i="71"/>
  <c r="P153" i="71"/>
  <c r="P130" i="71"/>
  <c r="P204" i="71"/>
  <c r="P165" i="71"/>
  <c r="AT4" i="71"/>
  <c r="AT89" i="71"/>
  <c r="AT116" i="71"/>
  <c r="AT87" i="71"/>
  <c r="AT86" i="71"/>
  <c r="AT5" i="71"/>
  <c r="AT208" i="71"/>
  <c r="AT138" i="71"/>
  <c r="AT17" i="72"/>
  <c r="AU17" i="72" s="1"/>
  <c r="AV17" i="72" s="1"/>
  <c r="AX17" i="72" s="1"/>
  <c r="AY17" i="72" s="1"/>
  <c r="BK17" i="72"/>
  <c r="BL17" i="72" s="1"/>
  <c r="BM17" i="72" s="1"/>
  <c r="BO17" i="72" s="1"/>
  <c r="BP17" i="72" s="1"/>
  <c r="CB17" i="72"/>
  <c r="CC17" i="72" s="1"/>
  <c r="CD17" i="72" s="1"/>
  <c r="CF17" i="72" s="1"/>
  <c r="CG17" i="72" s="1"/>
  <c r="BK21" i="71"/>
  <c r="BK17" i="71"/>
  <c r="BK40" i="71"/>
  <c r="P103" i="71"/>
  <c r="P157" i="71"/>
  <c r="AT5" i="72"/>
  <c r="AU5" i="72" s="1"/>
  <c r="AV5" i="72" s="1"/>
  <c r="AX5" i="72" s="1"/>
  <c r="AY5" i="72" s="1"/>
  <c r="BD5" i="72" s="1"/>
  <c r="BK5" i="72"/>
  <c r="BL5" i="72" s="1"/>
  <c r="BM5" i="72" s="1"/>
  <c r="BO5" i="72" s="1"/>
  <c r="BP5" i="72" s="1"/>
  <c r="CB5" i="72"/>
  <c r="CC5" i="72" s="1"/>
  <c r="CD5" i="72" s="1"/>
  <c r="CF5" i="72" s="1"/>
  <c r="CG5" i="72" s="1"/>
  <c r="BK26" i="71"/>
  <c r="AT204" i="71"/>
  <c r="AT101" i="71"/>
  <c r="AT103" i="71"/>
  <c r="U224" i="66"/>
  <c r="BK14" i="71"/>
  <c r="BK46" i="71"/>
  <c r="BK19" i="71"/>
  <c r="P57" i="71"/>
  <c r="BK31" i="71"/>
  <c r="P17" i="71"/>
  <c r="P129" i="71"/>
  <c r="P95" i="71"/>
  <c r="BK43" i="71"/>
  <c r="AT32" i="71"/>
  <c r="AT152" i="71"/>
  <c r="AT164" i="71"/>
  <c r="AT139" i="71"/>
  <c r="AT170" i="71"/>
  <c r="BU19" i="72"/>
  <c r="BV19" i="72"/>
  <c r="BK45" i="71"/>
  <c r="CL7" i="72"/>
  <c r="AA227" i="74" s="1"/>
  <c r="AB227" i="74" s="1"/>
  <c r="AC227" i="74" s="1"/>
  <c r="CM7" i="72"/>
  <c r="AT6" i="72"/>
  <c r="AU6" i="72" s="1"/>
  <c r="AV6" i="72" s="1"/>
  <c r="AX6" i="72" s="1"/>
  <c r="AY6" i="72" s="1"/>
  <c r="BE6" i="72" s="1"/>
  <c r="BK6" i="72"/>
  <c r="BL6" i="72" s="1"/>
  <c r="BM6" i="72" s="1"/>
  <c r="BO6" i="72" s="1"/>
  <c r="BP6" i="72" s="1"/>
  <c r="CB6" i="72"/>
  <c r="CC6" i="72" s="1"/>
  <c r="CD6" i="72" s="1"/>
  <c r="CF6" i="72" s="1"/>
  <c r="CG6" i="72" s="1"/>
  <c r="BK47" i="71"/>
  <c r="AT29" i="71"/>
  <c r="CB4" i="71"/>
  <c r="BK4" i="71"/>
  <c r="AT64" i="71"/>
  <c r="AT4" i="72"/>
  <c r="AU4" i="72" s="1"/>
  <c r="AV4" i="72" s="1"/>
  <c r="AX4" i="72" s="1"/>
  <c r="AY4" i="72" s="1"/>
  <c r="CB4" i="72"/>
  <c r="CC4" i="72" s="1"/>
  <c r="CD4" i="72" s="1"/>
  <c r="CF4" i="72" s="1"/>
  <c r="CG4" i="72" s="1"/>
  <c r="BK4" i="72"/>
  <c r="BL4" i="72" s="1"/>
  <c r="BM4" i="72" s="1"/>
  <c r="BO4" i="72" s="1"/>
  <c r="BP4" i="72" s="1"/>
  <c r="BK52" i="71"/>
  <c r="U225" i="66"/>
  <c r="BK50" i="71"/>
  <c r="P102" i="71"/>
  <c r="AT157" i="71"/>
  <c r="P40" i="71"/>
  <c r="AT9" i="72"/>
  <c r="AU9" i="72" s="1"/>
  <c r="AV9" i="72" s="1"/>
  <c r="AX9" i="72" s="1"/>
  <c r="AY9" i="72" s="1"/>
  <c r="BE9" i="72" s="1"/>
  <c r="CB9" i="72"/>
  <c r="CC9" i="72" s="1"/>
  <c r="CD9" i="72" s="1"/>
  <c r="CF9" i="72" s="1"/>
  <c r="CG9" i="72" s="1"/>
  <c r="BK9" i="72"/>
  <c r="BL9" i="72" s="1"/>
  <c r="BM9" i="72" s="1"/>
  <c r="BO9" i="72" s="1"/>
  <c r="BP9" i="72" s="1"/>
  <c r="BK48" i="71"/>
  <c r="AT80" i="71"/>
  <c r="BK9" i="71"/>
  <c r="AT57" i="71"/>
  <c r="BK25" i="71"/>
  <c r="AT130" i="71"/>
  <c r="BK42" i="71"/>
  <c r="BK33" i="71"/>
  <c r="BK28" i="71"/>
  <c r="AT18" i="72"/>
  <c r="AU18" i="72" s="1"/>
  <c r="AV18" i="72" s="1"/>
  <c r="AX18" i="72" s="1"/>
  <c r="AY18" i="72" s="1"/>
  <c r="BK18" i="72"/>
  <c r="BL18" i="72" s="1"/>
  <c r="BM18" i="72" s="1"/>
  <c r="BO18" i="72" s="1"/>
  <c r="BP18" i="72" s="1"/>
  <c r="CB18" i="72"/>
  <c r="CC18" i="72" s="1"/>
  <c r="CD18" i="72" s="1"/>
  <c r="CF18" i="72" s="1"/>
  <c r="CG18" i="72" s="1"/>
  <c r="BK49" i="71"/>
  <c r="BK32" i="71"/>
  <c r="P89" i="71"/>
  <c r="U219" i="66"/>
  <c r="BK37" i="71"/>
  <c r="BK55" i="71"/>
  <c r="P101" i="71"/>
  <c r="P170" i="71"/>
  <c r="P87" i="71"/>
  <c r="P188" i="71"/>
  <c r="P148" i="71"/>
  <c r="BK24" i="71"/>
  <c r="AT17" i="71"/>
  <c r="AT85" i="71"/>
  <c r="BK6" i="71"/>
  <c r="AT160" i="71"/>
  <c r="AT131" i="71"/>
  <c r="AT59" i="71"/>
  <c r="BK16" i="71"/>
  <c r="BK34" i="71"/>
  <c r="BK39" i="71"/>
  <c r="AT52" i="71"/>
  <c r="AT65" i="71"/>
  <c r="AT159" i="71"/>
  <c r="AT55" i="71"/>
  <c r="P146" i="71"/>
  <c r="AT146" i="71"/>
  <c r="AT145" i="71"/>
  <c r="AT69" i="71"/>
  <c r="AT35" i="71"/>
  <c r="AT178" i="71"/>
  <c r="AU178" i="71" s="1"/>
  <c r="AV178" i="71" s="1"/>
  <c r="AX178" i="71" s="1"/>
  <c r="AT181" i="71"/>
  <c r="AT205" i="71"/>
  <c r="AT26" i="71"/>
  <c r="AT76" i="71"/>
  <c r="AT177" i="71"/>
  <c r="AT120" i="71"/>
  <c r="AT43" i="71"/>
  <c r="AT128" i="71"/>
  <c r="AT201" i="71"/>
  <c r="AT172" i="71"/>
  <c r="AT48" i="71"/>
  <c r="AT126" i="71"/>
  <c r="AT184" i="71"/>
  <c r="AT9" i="71"/>
  <c r="AT25" i="71"/>
  <c r="AT113" i="71"/>
  <c r="AT24" i="71"/>
  <c r="AT122" i="71"/>
  <c r="AT6" i="71"/>
  <c r="AT182" i="71"/>
  <c r="AT62" i="71"/>
  <c r="P73" i="71"/>
  <c r="AT73" i="71"/>
  <c r="AT49" i="71"/>
  <c r="AT61" i="71"/>
  <c r="P113" i="71"/>
  <c r="P91" i="71"/>
  <c r="U218" i="66"/>
  <c r="AT91" i="71"/>
  <c r="AU91" i="71" s="1"/>
  <c r="AV91" i="71" s="1"/>
  <c r="AX91" i="71" s="1"/>
  <c r="AT47" i="71"/>
  <c r="AT185" i="71"/>
  <c r="AT100" i="71"/>
  <c r="AT199" i="71"/>
  <c r="AT183" i="71"/>
  <c r="AU183" i="71" s="1"/>
  <c r="AV183" i="71" s="1"/>
  <c r="AX183" i="71" s="1"/>
  <c r="AT19" i="71"/>
  <c r="AT56" i="71"/>
  <c r="AT95" i="71"/>
  <c r="AT81" i="71"/>
  <c r="AT207" i="71"/>
  <c r="H222" i="66"/>
  <c r="H213" i="66"/>
  <c r="H72" i="68"/>
  <c r="E107" i="67"/>
  <c r="E134" i="67"/>
  <c r="E112" i="67"/>
  <c r="E3" i="67"/>
  <c r="E138" i="67"/>
  <c r="E139" i="67"/>
  <c r="D3" i="67"/>
  <c r="BU8" i="72" l="1"/>
  <c r="BV8" i="72"/>
  <c r="BD19" i="72"/>
  <c r="O239" i="74" s="1"/>
  <c r="P239" i="74" s="1"/>
  <c r="Q239" i="74" s="1"/>
  <c r="U239" i="74"/>
  <c r="V239" i="74" s="1"/>
  <c r="W239" i="74" s="1"/>
  <c r="T62" i="66"/>
  <c r="K3" i="56"/>
  <c r="BA3" i="56"/>
  <c r="BD3" i="56" s="1"/>
  <c r="U63" i="71"/>
  <c r="AM63" i="71" s="1"/>
  <c r="E75" i="74" s="1"/>
  <c r="U62" i="66"/>
  <c r="B147" i="52"/>
  <c r="U228" i="74"/>
  <c r="V228" i="74" s="1"/>
  <c r="W228" i="74" s="1"/>
  <c r="I16" i="74"/>
  <c r="AM4" i="71"/>
  <c r="E16" i="74" s="1"/>
  <c r="F16" i="74" s="1"/>
  <c r="AN13" i="72"/>
  <c r="AM13" i="72"/>
  <c r="E233" i="74" s="1"/>
  <c r="BV7" i="72"/>
  <c r="AM10" i="72"/>
  <c r="E230" i="74" s="1"/>
  <c r="AN10" i="72"/>
  <c r="AM16" i="72"/>
  <c r="E236" i="74" s="1"/>
  <c r="AN16" i="72"/>
  <c r="AM20" i="72"/>
  <c r="E240" i="74" s="1"/>
  <c r="AN20" i="72"/>
  <c r="CL19" i="72"/>
  <c r="AN11" i="72"/>
  <c r="AM11" i="72"/>
  <c r="E231" i="74" s="1"/>
  <c r="BE7" i="72"/>
  <c r="O227" i="74" s="1"/>
  <c r="P227" i="74" s="1"/>
  <c r="Q227" i="74" s="1"/>
  <c r="AM19" i="72"/>
  <c r="E239" i="74" s="1"/>
  <c r="AN19" i="72"/>
  <c r="AM8" i="72"/>
  <c r="E228" i="74" s="1"/>
  <c r="AN8" i="72"/>
  <c r="AN7" i="72"/>
  <c r="AM7" i="72"/>
  <c r="E227" i="74" s="1"/>
  <c r="F227" i="74" s="1"/>
  <c r="G227" i="74" s="1"/>
  <c r="H227" i="74" s="1"/>
  <c r="AN18" i="72"/>
  <c r="AM18" i="72"/>
  <c r="E238" i="74" s="1"/>
  <c r="CL10" i="72"/>
  <c r="BD16" i="72"/>
  <c r="O236" i="74" s="1"/>
  <c r="P236" i="74" s="1"/>
  <c r="Q236" i="74" s="1"/>
  <c r="R236" i="74" s="1"/>
  <c r="B217" i="66"/>
  <c r="BV11" i="72"/>
  <c r="T222" i="66"/>
  <c r="T213" i="66"/>
  <c r="T225" i="66"/>
  <c r="T224" i="66"/>
  <c r="T217" i="66"/>
  <c r="T214" i="66"/>
  <c r="T218" i="66"/>
  <c r="T221" i="66"/>
  <c r="T227" i="66"/>
  <c r="Z227" i="66" s="1"/>
  <c r="C217" i="66"/>
  <c r="T210" i="66"/>
  <c r="T212" i="66"/>
  <c r="T223" i="66"/>
  <c r="H225" i="66"/>
  <c r="T226" i="66"/>
  <c r="Z226" i="66" s="1"/>
  <c r="T220" i="66"/>
  <c r="T216" i="66"/>
  <c r="T219" i="66"/>
  <c r="C214" i="66"/>
  <c r="F225" i="74"/>
  <c r="G225" i="74" s="1"/>
  <c r="H225" i="74" s="1"/>
  <c r="T211" i="66"/>
  <c r="T215" i="66"/>
  <c r="B223" i="66"/>
  <c r="C223" i="66"/>
  <c r="B221" i="66"/>
  <c r="C221" i="66"/>
  <c r="B226" i="66"/>
  <c r="C226" i="66"/>
  <c r="B220" i="66"/>
  <c r="C220" i="66"/>
  <c r="B210" i="66"/>
  <c r="C210" i="66"/>
  <c r="B219" i="66"/>
  <c r="C219" i="66"/>
  <c r="B218" i="66"/>
  <c r="C218" i="66"/>
  <c r="B215" i="66"/>
  <c r="C215" i="66"/>
  <c r="B212" i="66"/>
  <c r="C212" i="66"/>
  <c r="B211" i="66"/>
  <c r="C211" i="66"/>
  <c r="B227" i="66"/>
  <c r="C227" i="66"/>
  <c r="B213" i="66"/>
  <c r="C213" i="66"/>
  <c r="B224" i="66"/>
  <c r="C224" i="66"/>
  <c r="BU10" i="72"/>
  <c r="B216" i="66"/>
  <c r="BV16" i="72"/>
  <c r="B222" i="66"/>
  <c r="AA236" i="74"/>
  <c r="CM16" i="72"/>
  <c r="U231" i="74"/>
  <c r="V231" i="74" s="1"/>
  <c r="W231" i="74" s="1"/>
  <c r="AA239" i="74"/>
  <c r="AA230" i="74"/>
  <c r="U227" i="74"/>
  <c r="V227" i="74" s="1"/>
  <c r="W227" i="74" s="1"/>
  <c r="H3" i="67"/>
  <c r="T193" i="71"/>
  <c r="U193" i="71" s="1"/>
  <c r="AM193" i="71" s="1"/>
  <c r="E205" i="74" s="1"/>
  <c r="T72" i="71"/>
  <c r="T171" i="71"/>
  <c r="U171" i="71" s="1"/>
  <c r="AM171" i="71" s="1"/>
  <c r="E183" i="74" s="1"/>
  <c r="T169" i="66"/>
  <c r="T90" i="71"/>
  <c r="U90" i="71" s="1"/>
  <c r="AM90" i="71" s="1"/>
  <c r="E102" i="74" s="1"/>
  <c r="T89" i="66"/>
  <c r="T101" i="71"/>
  <c r="U101" i="71" s="1"/>
  <c r="T100" i="66"/>
  <c r="T134" i="71"/>
  <c r="U134" i="71" s="1"/>
  <c r="AM134" i="71" s="1"/>
  <c r="E146" i="74" s="1"/>
  <c r="T132" i="66"/>
  <c r="T123" i="71"/>
  <c r="U123" i="71" s="1"/>
  <c r="AM123" i="71" s="1"/>
  <c r="E135" i="74" s="1"/>
  <c r="T122" i="66"/>
  <c r="T158" i="71"/>
  <c r="U158" i="71" s="1"/>
  <c r="AM158" i="71" s="1"/>
  <c r="E170" i="74" s="1"/>
  <c r="T156" i="66"/>
  <c r="T119" i="71"/>
  <c r="U119" i="71" s="1"/>
  <c r="AM119" i="71" s="1"/>
  <c r="E131" i="74" s="1"/>
  <c r="T118" i="66"/>
  <c r="T42" i="71"/>
  <c r="U42" i="71" s="1"/>
  <c r="AM42" i="71" s="1"/>
  <c r="E54" i="74" s="1"/>
  <c r="T41" i="66"/>
  <c r="T161" i="71"/>
  <c r="U161" i="71" s="1"/>
  <c r="AM161" i="71" s="1"/>
  <c r="E173" i="74" s="1"/>
  <c r="T159" i="66"/>
  <c r="T109" i="71"/>
  <c r="U109" i="71" s="1"/>
  <c r="T108" i="66"/>
  <c r="T115" i="71"/>
  <c r="U115" i="71" s="1"/>
  <c r="T114" i="66"/>
  <c r="T108" i="71"/>
  <c r="U108" i="71" s="1"/>
  <c r="T107" i="66"/>
  <c r="T96" i="71"/>
  <c r="U96" i="71" s="1"/>
  <c r="AM96" i="71" s="1"/>
  <c r="E108" i="74" s="1"/>
  <c r="T95" i="66"/>
  <c r="T182" i="71"/>
  <c r="U182" i="71" s="1"/>
  <c r="AM182" i="71" s="1"/>
  <c r="E194" i="74" s="1"/>
  <c r="T180" i="66"/>
  <c r="T82" i="71"/>
  <c r="U82" i="71" s="1"/>
  <c r="AM82" i="71" s="1"/>
  <c r="E94" i="74" s="1"/>
  <c r="T81" i="66"/>
  <c r="T184" i="71"/>
  <c r="U184" i="71" s="1"/>
  <c r="AM184" i="71" s="1"/>
  <c r="E196" i="74" s="1"/>
  <c r="T182" i="66"/>
  <c r="T142" i="71"/>
  <c r="U142" i="71" s="1"/>
  <c r="AM142" i="71" s="1"/>
  <c r="E154" i="74" s="1"/>
  <c r="T140" i="66"/>
  <c r="T19" i="71"/>
  <c r="U19" i="71" s="1"/>
  <c r="AM19" i="71" s="1"/>
  <c r="E31" i="74" s="1"/>
  <c r="T18" i="66"/>
  <c r="T180" i="71"/>
  <c r="U180" i="71" s="1"/>
  <c r="AM180" i="71" s="1"/>
  <c r="E192" i="74" s="1"/>
  <c r="T178" i="66"/>
  <c r="T120" i="71"/>
  <c r="U120" i="71" s="1"/>
  <c r="AM120" i="71" s="1"/>
  <c r="E132" i="74" s="1"/>
  <c r="T119" i="66"/>
  <c r="T116" i="71"/>
  <c r="U116" i="71" s="1"/>
  <c r="AM116" i="71" s="1"/>
  <c r="E128" i="74" s="1"/>
  <c r="T115" i="66"/>
  <c r="T32" i="71"/>
  <c r="U32" i="71" s="1"/>
  <c r="T31" i="66"/>
  <c r="T51" i="71"/>
  <c r="U51" i="71" s="1"/>
  <c r="T50" i="66"/>
  <c r="T31" i="71"/>
  <c r="U31" i="71" s="1"/>
  <c r="AM31" i="71" s="1"/>
  <c r="E43" i="74" s="1"/>
  <c r="T30" i="66"/>
  <c r="T65" i="71"/>
  <c r="U65" i="71" s="1"/>
  <c r="AM65" i="71" s="1"/>
  <c r="E77" i="74" s="1"/>
  <c r="T64" i="66"/>
  <c r="T166" i="71"/>
  <c r="U166" i="71" s="1"/>
  <c r="AM166" i="71" s="1"/>
  <c r="E178" i="74" s="1"/>
  <c r="T164" i="66"/>
  <c r="T57" i="71"/>
  <c r="U57" i="71" s="1"/>
  <c r="AM57" i="71" s="1"/>
  <c r="E69" i="74" s="1"/>
  <c r="T56" i="66"/>
  <c r="T43" i="71"/>
  <c r="U43" i="71" s="1"/>
  <c r="AM43" i="71" s="1"/>
  <c r="E55" i="74" s="1"/>
  <c r="T42" i="66"/>
  <c r="T56" i="71"/>
  <c r="U56" i="71" s="1"/>
  <c r="AM56" i="71" s="1"/>
  <c r="E68" i="74" s="1"/>
  <c r="F68" i="74" s="1"/>
  <c r="G68" i="74" s="1"/>
  <c r="H68" i="74" s="1"/>
  <c r="T55" i="66"/>
  <c r="T122" i="71"/>
  <c r="U122" i="71" s="1"/>
  <c r="AM122" i="71" s="1"/>
  <c r="E134" i="74" s="1"/>
  <c r="T121" i="66"/>
  <c r="T50" i="71"/>
  <c r="U50" i="71" s="1"/>
  <c r="AM50" i="71" s="1"/>
  <c r="E62" i="74" s="1"/>
  <c r="T49" i="66"/>
  <c r="T102" i="71"/>
  <c r="U102" i="71" s="1"/>
  <c r="AM102" i="71" s="1"/>
  <c r="E114" i="74" s="1"/>
  <c r="T101" i="66"/>
  <c r="T153" i="71"/>
  <c r="U153" i="71" s="1"/>
  <c r="AM153" i="71" s="1"/>
  <c r="E165" i="74" s="1"/>
  <c r="T151" i="66"/>
  <c r="T85" i="71"/>
  <c r="U85" i="71" s="1"/>
  <c r="AM85" i="71" s="1"/>
  <c r="E97" i="74" s="1"/>
  <c r="T84" i="66"/>
  <c r="T140" i="71"/>
  <c r="U140" i="71" s="1"/>
  <c r="AM140" i="71" s="1"/>
  <c r="E152" i="74" s="1"/>
  <c r="T138" i="66"/>
  <c r="T34" i="71"/>
  <c r="U34" i="71" s="1"/>
  <c r="AM34" i="71" s="1"/>
  <c r="E46" i="74" s="1"/>
  <c r="T33" i="66"/>
  <c r="T24" i="71"/>
  <c r="U24" i="71" s="1"/>
  <c r="AM24" i="71" s="1"/>
  <c r="E36" i="74" s="1"/>
  <c r="T23" i="66"/>
  <c r="T33" i="71"/>
  <c r="U33" i="71" s="1"/>
  <c r="AM33" i="71" s="1"/>
  <c r="E45" i="74" s="1"/>
  <c r="T32" i="66"/>
  <c r="T112" i="71"/>
  <c r="U112" i="71" s="1"/>
  <c r="AM112" i="71" s="1"/>
  <c r="E124" i="74" s="1"/>
  <c r="T111" i="66"/>
  <c r="T41" i="71"/>
  <c r="U41" i="71" s="1"/>
  <c r="AM41" i="71" s="1"/>
  <c r="E53" i="74" s="1"/>
  <c r="T40" i="66"/>
  <c r="T135" i="71"/>
  <c r="U135" i="71" s="1"/>
  <c r="AM135" i="71" s="1"/>
  <c r="E147" i="74" s="1"/>
  <c r="T133" i="66"/>
  <c r="T15" i="71"/>
  <c r="U15" i="71" s="1"/>
  <c r="AM15" i="71" s="1"/>
  <c r="E27" i="74" s="1"/>
  <c r="F27" i="74" s="1"/>
  <c r="G27" i="74" s="1"/>
  <c r="H27" i="74" s="1"/>
  <c r="T14" i="66"/>
  <c r="T75" i="71"/>
  <c r="U75" i="71" s="1"/>
  <c r="AM75" i="71" s="1"/>
  <c r="E87" i="74" s="1"/>
  <c r="T74" i="66"/>
  <c r="T208" i="71"/>
  <c r="U208" i="71" s="1"/>
  <c r="AM208" i="71" s="1"/>
  <c r="E220" i="74" s="1"/>
  <c r="T206" i="66"/>
  <c r="T130" i="71"/>
  <c r="U130" i="71" s="1"/>
  <c r="T129" i="66"/>
  <c r="T29" i="71"/>
  <c r="U29" i="71" s="1"/>
  <c r="AM29" i="71" s="1"/>
  <c r="E41" i="74" s="1"/>
  <c r="T28" i="66"/>
  <c r="T185" i="71"/>
  <c r="U185" i="71" s="1"/>
  <c r="AM185" i="71" s="1"/>
  <c r="E197" i="74" s="1"/>
  <c r="T183" i="66"/>
  <c r="T21" i="71"/>
  <c r="U21" i="71" s="1"/>
  <c r="T20" i="66"/>
  <c r="T86" i="71"/>
  <c r="U86" i="71" s="1"/>
  <c r="AM86" i="71" s="1"/>
  <c r="E98" i="74" s="1"/>
  <c r="T85" i="66"/>
  <c r="T92" i="71"/>
  <c r="U92" i="71" s="1"/>
  <c r="T91" i="66"/>
  <c r="T97" i="71"/>
  <c r="U97" i="71" s="1"/>
  <c r="AM97" i="71" s="1"/>
  <c r="E109" i="74" s="1"/>
  <c r="T96" i="66"/>
  <c r="T74" i="71"/>
  <c r="U74" i="71" s="1"/>
  <c r="AM74" i="71" s="1"/>
  <c r="E86" i="74" s="1"/>
  <c r="T73" i="66"/>
  <c r="T139" i="71"/>
  <c r="U139" i="71" s="1"/>
  <c r="AM139" i="71" s="1"/>
  <c r="E151" i="74" s="1"/>
  <c r="T137" i="66"/>
  <c r="T14" i="71"/>
  <c r="U14" i="71" s="1"/>
  <c r="T13" i="66"/>
  <c r="T6" i="71"/>
  <c r="U6" i="71" s="1"/>
  <c r="AM6" i="71" s="1"/>
  <c r="E18" i="74" s="1"/>
  <c r="T5" i="66"/>
  <c r="T30" i="71"/>
  <c r="U30" i="71" s="1"/>
  <c r="T29" i="66"/>
  <c r="T169" i="71"/>
  <c r="U169" i="71" s="1"/>
  <c r="AM169" i="71" s="1"/>
  <c r="E181" i="74" s="1"/>
  <c r="T167" i="66"/>
  <c r="T197" i="71"/>
  <c r="U197" i="71" s="1"/>
  <c r="AM197" i="71" s="1"/>
  <c r="E209" i="74" s="1"/>
  <c r="T195" i="66"/>
  <c r="T147" i="71"/>
  <c r="U147" i="71" s="1"/>
  <c r="T145" i="66"/>
  <c r="T77" i="71"/>
  <c r="U77" i="71" s="1"/>
  <c r="AM77" i="71" s="1"/>
  <c r="E89" i="74" s="1"/>
  <c r="T76" i="66"/>
  <c r="T20" i="71"/>
  <c r="U20" i="71" s="1"/>
  <c r="AM20" i="71" s="1"/>
  <c r="E32" i="74" s="1"/>
  <c r="T19" i="66"/>
  <c r="T192" i="71"/>
  <c r="U192" i="71" s="1"/>
  <c r="AM192" i="71" s="1"/>
  <c r="E204" i="74" s="1"/>
  <c r="T190" i="66"/>
  <c r="T124" i="71"/>
  <c r="U124" i="71" s="1"/>
  <c r="AM124" i="71" s="1"/>
  <c r="E136" i="74" s="1"/>
  <c r="T123" i="66"/>
  <c r="T191" i="71"/>
  <c r="U191" i="71" s="1"/>
  <c r="AM191" i="71" s="1"/>
  <c r="E203" i="74" s="1"/>
  <c r="T189" i="66"/>
  <c r="T207" i="71"/>
  <c r="U207" i="71" s="1"/>
  <c r="AM207" i="71" s="1"/>
  <c r="E219" i="74" s="1"/>
  <c r="T205" i="66"/>
  <c r="T144" i="71"/>
  <c r="U144" i="71" s="1"/>
  <c r="AM144" i="71" s="1"/>
  <c r="E156" i="74" s="1"/>
  <c r="T142" i="66"/>
  <c r="T201" i="71"/>
  <c r="U201" i="71" s="1"/>
  <c r="AM201" i="71" s="1"/>
  <c r="E213" i="74" s="1"/>
  <c r="T199" i="66"/>
  <c r="T60" i="71"/>
  <c r="U60" i="71" s="1"/>
  <c r="AM60" i="71" s="1"/>
  <c r="E72" i="74" s="1"/>
  <c r="T59" i="66"/>
  <c r="T159" i="71"/>
  <c r="U159" i="71" s="1"/>
  <c r="AM159" i="71" s="1"/>
  <c r="E171" i="74" s="1"/>
  <c r="T157" i="66"/>
  <c r="T93" i="71"/>
  <c r="U93" i="71" s="1"/>
  <c r="AM93" i="71" s="1"/>
  <c r="E105" i="74" s="1"/>
  <c r="T92" i="66"/>
  <c r="T69" i="71"/>
  <c r="U69" i="71" s="1"/>
  <c r="AM69" i="71" s="1"/>
  <c r="E81" i="74" s="1"/>
  <c r="T68" i="66"/>
  <c r="T186" i="71"/>
  <c r="U186" i="71" s="1"/>
  <c r="AM186" i="71" s="1"/>
  <c r="E198" i="74" s="1"/>
  <c r="T184" i="66"/>
  <c r="T178" i="71"/>
  <c r="U178" i="71" s="1"/>
  <c r="AM178" i="71" s="1"/>
  <c r="E190" i="74" s="1"/>
  <c r="T176" i="66"/>
  <c r="T36" i="71"/>
  <c r="U36" i="71" s="1"/>
  <c r="T35" i="66"/>
  <c r="T202" i="71"/>
  <c r="U202" i="71" s="1"/>
  <c r="AM202" i="71" s="1"/>
  <c r="E214" i="74" s="1"/>
  <c r="T200" i="66"/>
  <c r="T152" i="71"/>
  <c r="U152" i="71" s="1"/>
  <c r="AM152" i="71" s="1"/>
  <c r="E164" i="74" s="1"/>
  <c r="T150" i="66"/>
  <c r="T126" i="71"/>
  <c r="U126" i="71" s="1"/>
  <c r="AM126" i="71" s="1"/>
  <c r="E138" i="74" s="1"/>
  <c r="T125" i="66"/>
  <c r="T127" i="71"/>
  <c r="U127" i="71" s="1"/>
  <c r="AM127" i="71" s="1"/>
  <c r="E139" i="74" s="1"/>
  <c r="T126" i="66"/>
  <c r="T175" i="71"/>
  <c r="U175" i="71" s="1"/>
  <c r="AM175" i="71" s="1"/>
  <c r="E187" i="74" s="1"/>
  <c r="T173" i="66"/>
  <c r="T39" i="71"/>
  <c r="U39" i="71" s="1"/>
  <c r="AM39" i="71" s="1"/>
  <c r="E51" i="74" s="1"/>
  <c r="T38" i="66"/>
  <c r="T11" i="71"/>
  <c r="U11" i="71" s="1"/>
  <c r="AM11" i="71" s="1"/>
  <c r="E23" i="74" s="1"/>
  <c r="T10" i="66"/>
  <c r="T118" i="71"/>
  <c r="U118" i="71" s="1"/>
  <c r="AM118" i="71" s="1"/>
  <c r="E130" i="74" s="1"/>
  <c r="T117" i="66"/>
  <c r="T54" i="71"/>
  <c r="U54" i="71" s="1"/>
  <c r="AM54" i="71" s="1"/>
  <c r="E66" i="74" s="1"/>
  <c r="T53" i="66"/>
  <c r="T46" i="71"/>
  <c r="U46" i="71" s="1"/>
  <c r="AM46" i="71" s="1"/>
  <c r="E58" i="74" s="1"/>
  <c r="T45" i="66"/>
  <c r="T117" i="71"/>
  <c r="U117" i="71" s="1"/>
  <c r="AM117" i="71" s="1"/>
  <c r="E129" i="74" s="1"/>
  <c r="T116" i="66"/>
  <c r="T91" i="71"/>
  <c r="U91" i="71" s="1"/>
  <c r="T90" i="66"/>
  <c r="T170" i="71"/>
  <c r="U170" i="71" s="1"/>
  <c r="AM170" i="71" s="1"/>
  <c r="E182" i="74" s="1"/>
  <c r="T168" i="66"/>
  <c r="T194" i="71"/>
  <c r="U194" i="71" s="1"/>
  <c r="AM194" i="71" s="1"/>
  <c r="E206" i="74" s="1"/>
  <c r="T192" i="66"/>
  <c r="T52" i="71"/>
  <c r="U52" i="71" s="1"/>
  <c r="AM52" i="71" s="1"/>
  <c r="E64" i="74" s="1"/>
  <c r="T51" i="66"/>
  <c r="T104" i="71"/>
  <c r="U104" i="71" s="1"/>
  <c r="AM104" i="71" s="1"/>
  <c r="E116" i="74" s="1"/>
  <c r="T103" i="66"/>
  <c r="T103" i="71"/>
  <c r="U103" i="71" s="1"/>
  <c r="T102" i="66"/>
  <c r="T49" i="71"/>
  <c r="U49" i="71" s="1"/>
  <c r="AM49" i="71" s="1"/>
  <c r="E61" i="74" s="1"/>
  <c r="T48" i="66"/>
  <c r="T199" i="71"/>
  <c r="U199" i="71" s="1"/>
  <c r="AM199" i="71" s="1"/>
  <c r="E211" i="74" s="1"/>
  <c r="T197" i="66"/>
  <c r="T76" i="71"/>
  <c r="U76" i="71" s="1"/>
  <c r="AM76" i="71" s="1"/>
  <c r="E88" i="74" s="1"/>
  <c r="T75" i="66"/>
  <c r="T177" i="71"/>
  <c r="U177" i="71" s="1"/>
  <c r="AM177" i="71" s="1"/>
  <c r="E189" i="74" s="1"/>
  <c r="T175" i="66"/>
  <c r="T47" i="71"/>
  <c r="U47" i="71" s="1"/>
  <c r="AM47" i="71" s="1"/>
  <c r="E59" i="74" s="1"/>
  <c r="T46" i="66"/>
  <c r="T137" i="71"/>
  <c r="U137" i="71" s="1"/>
  <c r="AM137" i="71" s="1"/>
  <c r="E149" i="74" s="1"/>
  <c r="T135" i="66"/>
  <c r="T168" i="71"/>
  <c r="U168" i="71" s="1"/>
  <c r="AM168" i="71" s="1"/>
  <c r="E180" i="74" s="1"/>
  <c r="T166" i="66"/>
  <c r="T88" i="71"/>
  <c r="U88" i="71" s="1"/>
  <c r="AM88" i="71" s="1"/>
  <c r="E100" i="74" s="1"/>
  <c r="T87" i="66"/>
  <c r="T203" i="71"/>
  <c r="U203" i="71" s="1"/>
  <c r="AM203" i="71" s="1"/>
  <c r="E215" i="74" s="1"/>
  <c r="T201" i="66"/>
  <c r="T164" i="71"/>
  <c r="U164" i="71" s="1"/>
  <c r="AM164" i="71" s="1"/>
  <c r="E176" i="74" s="1"/>
  <c r="T162" i="66"/>
  <c r="T114" i="71"/>
  <c r="U114" i="71" s="1"/>
  <c r="T113" i="66"/>
  <c r="T66" i="71"/>
  <c r="U66" i="71" s="1"/>
  <c r="AM66" i="71" s="1"/>
  <c r="E78" i="74" s="1"/>
  <c r="T65" i="66"/>
  <c r="T150" i="71"/>
  <c r="U150" i="71" s="1"/>
  <c r="AM150" i="71" s="1"/>
  <c r="E162" i="74" s="1"/>
  <c r="T148" i="66"/>
  <c r="T28" i="71"/>
  <c r="U28" i="71" s="1"/>
  <c r="AM28" i="71" s="1"/>
  <c r="E40" i="74" s="1"/>
  <c r="T27" i="66"/>
  <c r="T131" i="71"/>
  <c r="U131" i="71" s="1"/>
  <c r="AM131" i="71" s="1"/>
  <c r="E143" i="74" s="1"/>
  <c r="T130" i="66"/>
  <c r="T113" i="71"/>
  <c r="U113" i="71" s="1"/>
  <c r="AM113" i="71" s="1"/>
  <c r="E125" i="74" s="1"/>
  <c r="T112" i="66"/>
  <c r="T174" i="71"/>
  <c r="U174" i="71" s="1"/>
  <c r="T172" i="66"/>
  <c r="T187" i="71"/>
  <c r="U187" i="71" s="1"/>
  <c r="AM187" i="71" s="1"/>
  <c r="E199" i="74" s="1"/>
  <c r="T185" i="66"/>
  <c r="T204" i="71"/>
  <c r="U204" i="71" s="1"/>
  <c r="AM204" i="71" s="1"/>
  <c r="E216" i="74" s="1"/>
  <c r="T202" i="66"/>
  <c r="T8" i="71"/>
  <c r="U8" i="71" s="1"/>
  <c r="AM8" i="71" s="1"/>
  <c r="E20" i="74" s="1"/>
  <c r="T7" i="66"/>
  <c r="T83" i="71"/>
  <c r="U83" i="71" s="1"/>
  <c r="AM83" i="71" s="1"/>
  <c r="E95" i="74" s="1"/>
  <c r="T82" i="66"/>
  <c r="T35" i="71"/>
  <c r="U35" i="71" s="1"/>
  <c r="AM35" i="71" s="1"/>
  <c r="E47" i="74" s="1"/>
  <c r="T34" i="66"/>
  <c r="T205" i="71"/>
  <c r="U205" i="71" s="1"/>
  <c r="T203" i="66"/>
  <c r="T146" i="71"/>
  <c r="U146" i="71" s="1"/>
  <c r="AM146" i="71" s="1"/>
  <c r="E158" i="74" s="1"/>
  <c r="T144" i="66"/>
  <c r="T5" i="71"/>
  <c r="U5" i="71" s="1"/>
  <c r="AM5" i="71" s="1"/>
  <c r="E17" i="74" s="1"/>
  <c r="T4" i="66"/>
  <c r="T95" i="71"/>
  <c r="U95" i="71" s="1"/>
  <c r="AM95" i="71" s="1"/>
  <c r="E107" i="74" s="1"/>
  <c r="T94" i="66"/>
  <c r="T179" i="71"/>
  <c r="U179" i="71" s="1"/>
  <c r="AM179" i="71" s="1"/>
  <c r="E191" i="74" s="1"/>
  <c r="T177" i="66"/>
  <c r="T111" i="71"/>
  <c r="U111" i="71" s="1"/>
  <c r="AM111" i="71" s="1"/>
  <c r="E123" i="74" s="1"/>
  <c r="T110" i="66"/>
  <c r="T149" i="71"/>
  <c r="U149" i="71" s="1"/>
  <c r="AM149" i="71" s="1"/>
  <c r="E161" i="74" s="1"/>
  <c r="T147" i="66"/>
  <c r="T151" i="71"/>
  <c r="U151" i="71" s="1"/>
  <c r="T149" i="66"/>
  <c r="T64" i="71"/>
  <c r="U64" i="71" s="1"/>
  <c r="AM64" i="71" s="1"/>
  <c r="E76" i="74" s="1"/>
  <c r="T63" i="66"/>
  <c r="T67" i="71"/>
  <c r="U67" i="71" s="1"/>
  <c r="AM67" i="71" s="1"/>
  <c r="E79" i="74" s="1"/>
  <c r="T66" i="66"/>
  <c r="T98" i="71"/>
  <c r="U98" i="71" s="1"/>
  <c r="AM98" i="71" s="1"/>
  <c r="E110" i="74" s="1"/>
  <c r="T97" i="66"/>
  <c r="T3" i="66"/>
  <c r="T16" i="71"/>
  <c r="U16" i="71" s="1"/>
  <c r="AM16" i="71" s="1"/>
  <c r="E28" i="74" s="1"/>
  <c r="T15" i="66"/>
  <c r="T55" i="71"/>
  <c r="U55" i="71" s="1"/>
  <c r="AM55" i="71" s="1"/>
  <c r="E67" i="74" s="1"/>
  <c r="T54" i="66"/>
  <c r="T44" i="71"/>
  <c r="U44" i="71" s="1"/>
  <c r="AM44" i="71" s="1"/>
  <c r="E56" i="74" s="1"/>
  <c r="T43" i="66"/>
  <c r="T121" i="71"/>
  <c r="U121" i="71" s="1"/>
  <c r="AM121" i="71" s="1"/>
  <c r="E133" i="74" s="1"/>
  <c r="T120" i="66"/>
  <c r="T156" i="71"/>
  <c r="U156" i="71" s="1"/>
  <c r="AM156" i="71" s="1"/>
  <c r="E168" i="74" s="1"/>
  <c r="T154" i="66"/>
  <c r="T163" i="71"/>
  <c r="U163" i="71" s="1"/>
  <c r="AM163" i="71" s="1"/>
  <c r="E175" i="74" s="1"/>
  <c r="T161" i="66"/>
  <c r="T141" i="71"/>
  <c r="U141" i="71" s="1"/>
  <c r="AM141" i="71" s="1"/>
  <c r="E153" i="74" s="1"/>
  <c r="T139" i="66"/>
  <c r="T100" i="71"/>
  <c r="U100" i="71" s="1"/>
  <c r="AM100" i="71" s="1"/>
  <c r="E112" i="74" s="1"/>
  <c r="T99" i="66"/>
  <c r="T148" i="71"/>
  <c r="U148" i="71" s="1"/>
  <c r="AM148" i="71" s="1"/>
  <c r="E160" i="74" s="1"/>
  <c r="T146" i="66"/>
  <c r="T129" i="71"/>
  <c r="U129" i="71" s="1"/>
  <c r="AM129" i="71" s="1"/>
  <c r="E141" i="74" s="1"/>
  <c r="T128" i="66"/>
  <c r="T58" i="71"/>
  <c r="U58" i="71" s="1"/>
  <c r="T57" i="66"/>
  <c r="T143" i="71"/>
  <c r="U143" i="71" s="1"/>
  <c r="AM143" i="71" s="1"/>
  <c r="E155" i="74" s="1"/>
  <c r="T141" i="66"/>
  <c r="T23" i="71"/>
  <c r="U23" i="71" s="1"/>
  <c r="AM23" i="71" s="1"/>
  <c r="E35" i="74" s="1"/>
  <c r="T22" i="66"/>
  <c r="T206" i="71"/>
  <c r="U206" i="71" s="1"/>
  <c r="AM206" i="71" s="1"/>
  <c r="E218" i="74" s="1"/>
  <c r="T204" i="66"/>
  <c r="T107" i="71"/>
  <c r="U107" i="71" s="1"/>
  <c r="AM107" i="71" s="1"/>
  <c r="E119" i="74" s="1"/>
  <c r="T106" i="66"/>
  <c r="T25" i="71"/>
  <c r="U25" i="71" s="1"/>
  <c r="AM25" i="71" s="1"/>
  <c r="E37" i="74" s="1"/>
  <c r="T24" i="66"/>
  <c r="T136" i="71"/>
  <c r="U136" i="71" s="1"/>
  <c r="T134" i="66"/>
  <c r="T13" i="71"/>
  <c r="U13" i="71" s="1"/>
  <c r="AM13" i="71" s="1"/>
  <c r="E25" i="74" s="1"/>
  <c r="T12" i="66"/>
  <c r="T138" i="71"/>
  <c r="U138" i="71" s="1"/>
  <c r="AM138" i="71" s="1"/>
  <c r="E150" i="74" s="1"/>
  <c r="T136" i="66"/>
  <c r="T173" i="71"/>
  <c r="U173" i="71" s="1"/>
  <c r="AM173" i="71" s="1"/>
  <c r="E185" i="74" s="1"/>
  <c r="T171" i="66"/>
  <c r="T176" i="71"/>
  <c r="U176" i="71" s="1"/>
  <c r="AM176" i="71" s="1"/>
  <c r="E188" i="74" s="1"/>
  <c r="T174" i="66"/>
  <c r="T87" i="71"/>
  <c r="U87" i="71" s="1"/>
  <c r="AM87" i="71" s="1"/>
  <c r="E99" i="74" s="1"/>
  <c r="T86" i="66"/>
  <c r="T181" i="71"/>
  <c r="U181" i="71" s="1"/>
  <c r="AM181" i="71" s="1"/>
  <c r="E193" i="74" s="1"/>
  <c r="T179" i="66"/>
  <c r="T53" i="71"/>
  <c r="U53" i="71" s="1"/>
  <c r="AM53" i="71" s="1"/>
  <c r="E65" i="74" s="1"/>
  <c r="T52" i="66"/>
  <c r="T45" i="71"/>
  <c r="U45" i="71" s="1"/>
  <c r="AM45" i="71" s="1"/>
  <c r="E57" i="74" s="1"/>
  <c r="T44" i="66"/>
  <c r="T160" i="71"/>
  <c r="U160" i="71" s="1"/>
  <c r="T158" i="66"/>
  <c r="T128" i="71"/>
  <c r="U128" i="71" s="1"/>
  <c r="AM128" i="71" s="1"/>
  <c r="E140" i="74" s="1"/>
  <c r="T127" i="66"/>
  <c r="T61" i="71"/>
  <c r="U61" i="71" s="1"/>
  <c r="AM61" i="71" s="1"/>
  <c r="E73" i="74" s="1"/>
  <c r="T60" i="66"/>
  <c r="T27" i="71"/>
  <c r="U27" i="71" s="1"/>
  <c r="AM27" i="71" s="1"/>
  <c r="E39" i="74" s="1"/>
  <c r="T26" i="66"/>
  <c r="T18" i="71"/>
  <c r="U18" i="71" s="1"/>
  <c r="AM18" i="71" s="1"/>
  <c r="E30" i="74" s="1"/>
  <c r="T17" i="66"/>
  <c r="T145" i="71"/>
  <c r="U145" i="71" s="1"/>
  <c r="AM145" i="71" s="1"/>
  <c r="E157" i="74" s="1"/>
  <c r="T143" i="66"/>
  <c r="T99" i="71"/>
  <c r="U99" i="71" s="1"/>
  <c r="AM99" i="71" s="1"/>
  <c r="E111" i="74" s="1"/>
  <c r="T98" i="66"/>
  <c r="T37" i="71"/>
  <c r="U37" i="71" s="1"/>
  <c r="AM37" i="71" s="1"/>
  <c r="E49" i="74" s="1"/>
  <c r="T36" i="66"/>
  <c r="T110" i="71"/>
  <c r="U110" i="71" s="1"/>
  <c r="T109" i="66"/>
  <c r="T68" i="71"/>
  <c r="U68" i="71" s="1"/>
  <c r="AM68" i="71" s="1"/>
  <c r="E80" i="74" s="1"/>
  <c r="T67" i="66"/>
  <c r="T62" i="71"/>
  <c r="U62" i="71" s="1"/>
  <c r="AM62" i="71" s="1"/>
  <c r="E74" i="74" s="1"/>
  <c r="T61" i="66"/>
  <c r="T106" i="71"/>
  <c r="U106" i="71" s="1"/>
  <c r="T105" i="66"/>
  <c r="T12" i="71"/>
  <c r="U12" i="71" s="1"/>
  <c r="AM12" i="71" s="1"/>
  <c r="E24" i="74" s="1"/>
  <c r="T11" i="66"/>
  <c r="T10" i="71"/>
  <c r="U10" i="71" s="1"/>
  <c r="T9" i="66"/>
  <c r="T78" i="71"/>
  <c r="U78" i="71" s="1"/>
  <c r="AM78" i="71" s="1"/>
  <c r="E90" i="74" s="1"/>
  <c r="T77" i="66"/>
  <c r="T125" i="71"/>
  <c r="U125" i="71" s="1"/>
  <c r="AM125" i="71" s="1"/>
  <c r="E137" i="74" s="1"/>
  <c r="T124" i="66"/>
  <c r="T196" i="71"/>
  <c r="U196" i="71" s="1"/>
  <c r="AM196" i="71" s="1"/>
  <c r="E208" i="74" s="1"/>
  <c r="T194" i="66"/>
  <c r="T84" i="71"/>
  <c r="U84" i="71" s="1"/>
  <c r="AM84" i="71" s="1"/>
  <c r="E96" i="74" s="1"/>
  <c r="T83" i="66"/>
  <c r="T71" i="71"/>
  <c r="U71" i="71" s="1"/>
  <c r="AM71" i="71" s="1"/>
  <c r="E83" i="74" s="1"/>
  <c r="T70" i="66"/>
  <c r="T195" i="71"/>
  <c r="U195" i="71" s="1"/>
  <c r="AM195" i="71" s="1"/>
  <c r="E207" i="74" s="1"/>
  <c r="T193" i="66"/>
  <c r="T38" i="71"/>
  <c r="U38" i="71" s="1"/>
  <c r="AM38" i="71" s="1"/>
  <c r="E50" i="74" s="1"/>
  <c r="T37" i="66"/>
  <c r="H62" i="66"/>
  <c r="T73" i="71"/>
  <c r="U73" i="71" s="1"/>
  <c r="AM73" i="71" s="1"/>
  <c r="E85" i="74" s="1"/>
  <c r="T72" i="66"/>
  <c r="T48" i="71"/>
  <c r="U48" i="71" s="1"/>
  <c r="AM48" i="71" s="1"/>
  <c r="E60" i="74" s="1"/>
  <c r="T47" i="66"/>
  <c r="T183" i="71"/>
  <c r="U183" i="71" s="1"/>
  <c r="AM183" i="71" s="1"/>
  <c r="E195" i="74" s="1"/>
  <c r="T181" i="66"/>
  <c r="T188" i="71"/>
  <c r="U188" i="71" s="1"/>
  <c r="T186" i="66"/>
  <c r="T89" i="71"/>
  <c r="U89" i="71" s="1"/>
  <c r="AM89" i="71" s="1"/>
  <c r="E101" i="74" s="1"/>
  <c r="T88" i="66"/>
  <c r="T26" i="71"/>
  <c r="U26" i="71" s="1"/>
  <c r="AM26" i="71" s="1"/>
  <c r="E38" i="74" s="1"/>
  <c r="T25" i="66"/>
  <c r="T40" i="71"/>
  <c r="U40" i="71" s="1"/>
  <c r="AM40" i="71" s="1"/>
  <c r="E52" i="74" s="1"/>
  <c r="T39" i="66"/>
  <c r="T17" i="71"/>
  <c r="U17" i="71" s="1"/>
  <c r="AM17" i="71" s="1"/>
  <c r="E29" i="74" s="1"/>
  <c r="T16" i="66"/>
  <c r="T157" i="71"/>
  <c r="U157" i="71" s="1"/>
  <c r="AM157" i="71" s="1"/>
  <c r="E169" i="74" s="1"/>
  <c r="T155" i="66"/>
  <c r="T81" i="71"/>
  <c r="U81" i="71" s="1"/>
  <c r="AM81" i="71" s="1"/>
  <c r="E93" i="74" s="1"/>
  <c r="T80" i="66"/>
  <c r="T165" i="71"/>
  <c r="U165" i="71" s="1"/>
  <c r="AM165" i="71" s="1"/>
  <c r="E177" i="74" s="1"/>
  <c r="T163" i="66"/>
  <c r="T80" i="71"/>
  <c r="U80" i="71" s="1"/>
  <c r="AM80" i="71" s="1"/>
  <c r="E92" i="74" s="1"/>
  <c r="T79" i="66"/>
  <c r="T172" i="71"/>
  <c r="U172" i="71" s="1"/>
  <c r="AM172" i="71" s="1"/>
  <c r="E184" i="74" s="1"/>
  <c r="T170" i="66"/>
  <c r="T154" i="71"/>
  <c r="U154" i="71" s="1"/>
  <c r="AM154" i="71" s="1"/>
  <c r="E166" i="74" s="1"/>
  <c r="T152" i="66"/>
  <c r="T155" i="71"/>
  <c r="U155" i="71" s="1"/>
  <c r="AM155" i="71" s="1"/>
  <c r="E167" i="74" s="1"/>
  <c r="T153" i="66"/>
  <c r="T9" i="71"/>
  <c r="U9" i="71" s="1"/>
  <c r="AM9" i="71" s="1"/>
  <c r="E21" i="74" s="1"/>
  <c r="T8" i="66"/>
  <c r="T22" i="71"/>
  <c r="U22" i="71" s="1"/>
  <c r="AM22" i="71" s="1"/>
  <c r="E34" i="74" s="1"/>
  <c r="T21" i="66"/>
  <c r="T190" i="71"/>
  <c r="U190" i="71" s="1"/>
  <c r="AM190" i="71" s="1"/>
  <c r="E202" i="74" s="1"/>
  <c r="T188" i="66"/>
  <c r="T189" i="71"/>
  <c r="U189" i="71" s="1"/>
  <c r="AM189" i="71" s="1"/>
  <c r="E201" i="74" s="1"/>
  <c r="T187" i="66"/>
  <c r="T94" i="71"/>
  <c r="U94" i="71" s="1"/>
  <c r="AM94" i="71" s="1"/>
  <c r="E106" i="74" s="1"/>
  <c r="T93" i="66"/>
  <c r="T198" i="71"/>
  <c r="U198" i="71" s="1"/>
  <c r="AM198" i="71" s="1"/>
  <c r="E210" i="74" s="1"/>
  <c r="T196" i="66"/>
  <c r="T59" i="71"/>
  <c r="U59" i="71" s="1"/>
  <c r="AM59" i="71" s="1"/>
  <c r="E71" i="74" s="1"/>
  <c r="T58" i="66"/>
  <c r="T200" i="71"/>
  <c r="U200" i="71" s="1"/>
  <c r="T198" i="66"/>
  <c r="T105" i="71"/>
  <c r="U105" i="71" s="1"/>
  <c r="AM105" i="71" s="1"/>
  <c r="E117" i="74" s="1"/>
  <c r="T104" i="66"/>
  <c r="T70" i="71"/>
  <c r="U70" i="71" s="1"/>
  <c r="AM70" i="71" s="1"/>
  <c r="E82" i="74" s="1"/>
  <c r="T69" i="66"/>
  <c r="G16" i="74"/>
  <c r="U223" i="66"/>
  <c r="U95" i="66"/>
  <c r="U226" i="66"/>
  <c r="V226" i="66" s="1"/>
  <c r="W226" i="66" s="1"/>
  <c r="AA226" i="66" s="1"/>
  <c r="U49" i="66"/>
  <c r="U221" i="66"/>
  <c r="P132" i="71"/>
  <c r="U118" i="66"/>
  <c r="U169" i="66"/>
  <c r="P162" i="71"/>
  <c r="P7" i="71"/>
  <c r="U176" i="66"/>
  <c r="P167" i="71"/>
  <c r="U222" i="66"/>
  <c r="U173" i="66"/>
  <c r="U227" i="66"/>
  <c r="V227" i="66" s="1"/>
  <c r="W227" i="66" s="1"/>
  <c r="AA227" i="66" s="1"/>
  <c r="P79" i="71"/>
  <c r="U211" i="66"/>
  <c r="U64" i="66"/>
  <c r="U220" i="66"/>
  <c r="U74" i="66"/>
  <c r="BU16" i="72"/>
  <c r="U236" i="74" s="1"/>
  <c r="V236" i="74" s="1"/>
  <c r="W236" i="74" s="1"/>
  <c r="E128" i="47"/>
  <c r="BV10" i="72"/>
  <c r="U230" i="74" s="1"/>
  <c r="V230" i="74" s="1"/>
  <c r="W230" i="74" s="1"/>
  <c r="BE8" i="72"/>
  <c r="O228" i="74" s="1"/>
  <c r="P228" i="74" s="1"/>
  <c r="Q228" i="74" s="1"/>
  <c r="CL8" i="72"/>
  <c r="AA228" i="74" s="1"/>
  <c r="BD10" i="72"/>
  <c r="BE10" i="72"/>
  <c r="E127" i="67"/>
  <c r="E148" i="67"/>
  <c r="D200" i="67"/>
  <c r="D198" i="67"/>
  <c r="D53" i="67"/>
  <c r="D26" i="67"/>
  <c r="E188" i="67"/>
  <c r="E104" i="67"/>
  <c r="D157" i="67"/>
  <c r="D94" i="67"/>
  <c r="D114" i="67"/>
  <c r="D169" i="67"/>
  <c r="D111" i="67"/>
  <c r="E4" i="67"/>
  <c r="D122" i="67"/>
  <c r="D125" i="67"/>
  <c r="E77" i="67"/>
  <c r="D51" i="67"/>
  <c r="D87" i="67"/>
  <c r="D160" i="67"/>
  <c r="E151" i="67"/>
  <c r="E23" i="67"/>
  <c r="D4" i="67"/>
  <c r="D101" i="67"/>
  <c r="D172" i="67"/>
  <c r="D189" i="67"/>
  <c r="D193" i="67"/>
  <c r="D155" i="67"/>
  <c r="E24" i="67"/>
  <c r="D199" i="67"/>
  <c r="E189" i="67"/>
  <c r="D124" i="67"/>
  <c r="E161" i="67"/>
  <c r="D65" i="67"/>
  <c r="D64" i="67"/>
  <c r="D67" i="67"/>
  <c r="E85" i="67"/>
  <c r="D140" i="67"/>
  <c r="D108" i="67"/>
  <c r="D126" i="67"/>
  <c r="D154" i="67"/>
  <c r="D195" i="67"/>
  <c r="E152" i="67"/>
  <c r="E135" i="67"/>
  <c r="D184" i="67"/>
  <c r="D40" i="67"/>
  <c r="E8" i="67"/>
  <c r="D73" i="67"/>
  <c r="D68" i="67"/>
  <c r="D84" i="67"/>
  <c r="E203" i="67"/>
  <c r="E149" i="67"/>
  <c r="E168" i="67"/>
  <c r="D146" i="67"/>
  <c r="D161" i="67"/>
  <c r="D29" i="67"/>
  <c r="D86" i="67"/>
  <c r="D110" i="67"/>
  <c r="E183" i="67"/>
  <c r="D136" i="67"/>
  <c r="D156" i="67"/>
  <c r="D163" i="67"/>
  <c r="D151" i="67"/>
  <c r="D90" i="67"/>
  <c r="D31" i="67"/>
  <c r="D70" i="67"/>
  <c r="D107" i="67"/>
  <c r="D109" i="67"/>
  <c r="D128" i="67"/>
  <c r="D182" i="67"/>
  <c r="D23" i="67"/>
  <c r="D46" i="67"/>
  <c r="E16" i="67"/>
  <c r="E180" i="67"/>
  <c r="E141" i="67"/>
  <c r="E88" i="67"/>
  <c r="D99" i="67"/>
  <c r="E18" i="67"/>
  <c r="D59" i="67"/>
  <c r="D6" i="67"/>
  <c r="D191" i="67"/>
  <c r="D175" i="67"/>
  <c r="D123" i="67"/>
  <c r="D96" i="67"/>
  <c r="D69" i="67"/>
  <c r="D183" i="67"/>
  <c r="D168" i="67"/>
  <c r="E94" i="67"/>
  <c r="E84" i="67"/>
  <c r="E92" i="67"/>
  <c r="E120" i="67"/>
  <c r="D49" i="67"/>
  <c r="E59" i="67"/>
  <c r="D50" i="67"/>
  <c r="D63" i="67"/>
  <c r="D188" i="67"/>
  <c r="D27" i="67"/>
  <c r="D39" i="67"/>
  <c r="D38" i="67"/>
  <c r="D42" i="67"/>
  <c r="D145" i="67"/>
  <c r="D165" i="67"/>
  <c r="D9" i="67"/>
  <c r="D192" i="67"/>
  <c r="D95" i="67"/>
  <c r="D137" i="67"/>
  <c r="D60" i="67"/>
  <c r="D43" i="67"/>
  <c r="D174" i="67"/>
  <c r="E21" i="67"/>
  <c r="E156" i="67"/>
  <c r="E31" i="67"/>
  <c r="E128" i="67"/>
  <c r="D167" i="67"/>
  <c r="E10" i="67"/>
  <c r="D113" i="67"/>
  <c r="D127" i="67"/>
  <c r="D132" i="67"/>
  <c r="D22" i="67"/>
  <c r="D171" i="67"/>
  <c r="D93" i="67"/>
  <c r="D181" i="67"/>
  <c r="D57" i="67"/>
  <c r="D30" i="67"/>
  <c r="D7" i="67"/>
  <c r="D134" i="67"/>
  <c r="D196" i="67"/>
  <c r="D104" i="67"/>
  <c r="D117" i="67"/>
  <c r="D17" i="67"/>
  <c r="E72" i="67"/>
  <c r="D203" i="67"/>
  <c r="D152" i="67"/>
  <c r="E80" i="67"/>
  <c r="E181" i="67"/>
  <c r="E17" i="67"/>
  <c r="D20" i="67"/>
  <c r="D41" i="67"/>
  <c r="D10" i="67"/>
  <c r="E81" i="67"/>
  <c r="D131" i="67"/>
  <c r="D76" i="67"/>
  <c r="D25" i="67"/>
  <c r="D166" i="67"/>
  <c r="D36" i="67"/>
  <c r="D61" i="67"/>
  <c r="D47" i="67"/>
  <c r="D150" i="67"/>
  <c r="D102" i="67"/>
  <c r="D83" i="67"/>
  <c r="D130" i="67"/>
  <c r="D178" i="67"/>
  <c r="E56" i="67"/>
  <c r="D204" i="67"/>
  <c r="E160" i="67"/>
  <c r="D45" i="67"/>
  <c r="E105" i="67"/>
  <c r="D103" i="67"/>
  <c r="E174" i="67"/>
  <c r="D52" i="67"/>
  <c r="D72" i="67"/>
  <c r="D77" i="67"/>
  <c r="D8" i="67"/>
  <c r="E86" i="67"/>
  <c r="E14" i="67"/>
  <c r="E106" i="67"/>
  <c r="E6" i="67"/>
  <c r="E30" i="67"/>
  <c r="D78" i="67"/>
  <c r="D205" i="67"/>
  <c r="D37" i="67"/>
  <c r="E83" i="67"/>
  <c r="D80" i="67"/>
  <c r="D112" i="67"/>
  <c r="D105" i="67"/>
  <c r="D71" i="67"/>
  <c r="D133" i="67"/>
  <c r="D148" i="67"/>
  <c r="D21" i="67"/>
  <c r="D206" i="67"/>
  <c r="D197" i="67"/>
  <c r="D135" i="67"/>
  <c r="D118" i="67"/>
  <c r="D15" i="67"/>
  <c r="D56" i="67"/>
  <c r="E75" i="67"/>
  <c r="E89" i="67"/>
  <c r="E22" i="67"/>
  <c r="E5" i="67"/>
  <c r="D32" i="67"/>
  <c r="D82" i="67"/>
  <c r="D202" i="67"/>
  <c r="D14" i="67"/>
  <c r="D106" i="67"/>
  <c r="D138" i="67"/>
  <c r="D58" i="67"/>
  <c r="D19" i="67"/>
  <c r="E41" i="67"/>
  <c r="D201" i="67"/>
  <c r="D74" i="67"/>
  <c r="D142" i="67"/>
  <c r="D98" i="67"/>
  <c r="D5" i="67"/>
  <c r="D115" i="67"/>
  <c r="E58" i="67"/>
  <c r="E98" i="67"/>
  <c r="D79" i="67"/>
  <c r="D16" i="67"/>
  <c r="D91" i="67"/>
  <c r="D170" i="67"/>
  <c r="D89" i="67"/>
  <c r="E115" i="67"/>
  <c r="E43" i="67"/>
  <c r="D35" i="67"/>
  <c r="D54" i="67"/>
  <c r="D48" i="67"/>
  <c r="D190" i="67"/>
  <c r="D92" i="67"/>
  <c r="D120" i="67"/>
  <c r="E173" i="67"/>
  <c r="D33" i="67"/>
  <c r="D66" i="67"/>
  <c r="D187" i="67"/>
  <c r="D176" i="67"/>
  <c r="D158" i="67"/>
  <c r="D143" i="67"/>
  <c r="D186" i="67"/>
  <c r="D177" i="67"/>
  <c r="D121" i="67"/>
  <c r="D162" i="67"/>
  <c r="D153" i="67"/>
  <c r="D129" i="67"/>
  <c r="D116" i="67"/>
  <c r="D100" i="67"/>
  <c r="D34" i="67"/>
  <c r="D164" i="67"/>
  <c r="D81" i="67"/>
  <c r="D149" i="67"/>
  <c r="E200" i="67"/>
  <c r="E132" i="67"/>
  <c r="E35" i="67"/>
  <c r="E118" i="67"/>
  <c r="BD9" i="72"/>
  <c r="O229" i="74" s="1"/>
  <c r="P229" i="74" s="1"/>
  <c r="Q229" i="74" s="1"/>
  <c r="D24" i="67"/>
  <c r="E46" i="67"/>
  <c r="D13" i="67"/>
  <c r="D173" i="67"/>
  <c r="D75" i="67"/>
  <c r="D97" i="67"/>
  <c r="D85" i="67"/>
  <c r="D62" i="67"/>
  <c r="D44" i="67"/>
  <c r="D185" i="67"/>
  <c r="D28" i="67"/>
  <c r="D180" i="67"/>
  <c r="D119" i="67"/>
  <c r="D159" i="67"/>
  <c r="D147" i="67"/>
  <c r="D141" i="67"/>
  <c r="D11" i="67"/>
  <c r="D179" i="67"/>
  <c r="D194" i="67"/>
  <c r="D88" i="67"/>
  <c r="D12" i="67"/>
  <c r="D139" i="67"/>
  <c r="D18" i="67"/>
  <c r="E171" i="67"/>
  <c r="E158" i="67"/>
  <c r="E159" i="67"/>
  <c r="E179" i="67"/>
  <c r="E139" i="47"/>
  <c r="E261" i="47"/>
  <c r="E200" i="47"/>
  <c r="BE11" i="72"/>
  <c r="BD11" i="72"/>
  <c r="O231" i="74" s="1"/>
  <c r="P231" i="74" s="1"/>
  <c r="Q231" i="74" s="1"/>
  <c r="CL11" i="72"/>
  <c r="AA231" i="74" s="1"/>
  <c r="BD6" i="72"/>
  <c r="O226" i="74" s="1"/>
  <c r="P226" i="74" s="1"/>
  <c r="Q226" i="74" s="1"/>
  <c r="R226" i="74" s="1"/>
  <c r="BE5" i="72"/>
  <c r="O225" i="74" s="1"/>
  <c r="P225" i="74" s="1"/>
  <c r="Q225" i="74" s="1"/>
  <c r="X239" i="74"/>
  <c r="BV18" i="72"/>
  <c r="BU18" i="72"/>
  <c r="U238" i="74" s="1"/>
  <c r="V238" i="74" s="1"/>
  <c r="W238" i="74" s="1"/>
  <c r="CL5" i="72"/>
  <c r="CM5" i="72"/>
  <c r="CL6" i="72"/>
  <c r="CM6" i="72"/>
  <c r="BU13" i="72"/>
  <c r="U233" i="74" s="1"/>
  <c r="V233" i="74" s="1"/>
  <c r="W233" i="74" s="1"/>
  <c r="BV13" i="72"/>
  <c r="CL13" i="72"/>
  <c r="AA233" i="74" s="1"/>
  <c r="CM13" i="72"/>
  <c r="BU5" i="72"/>
  <c r="BV5" i="72"/>
  <c r="BU9" i="72"/>
  <c r="BV9" i="72"/>
  <c r="BV6" i="72"/>
  <c r="BU6" i="72"/>
  <c r="CM20" i="72"/>
  <c r="CL20" i="72"/>
  <c r="AA240" i="74" s="1"/>
  <c r="BE18" i="72"/>
  <c r="BD18" i="72"/>
  <c r="CM9" i="72"/>
  <c r="CL9" i="72"/>
  <c r="BU20" i="72"/>
  <c r="BV20" i="72"/>
  <c r="BE13" i="72"/>
  <c r="BD13" i="72"/>
  <c r="O233" i="74" s="1"/>
  <c r="P233" i="74" s="1"/>
  <c r="Q233" i="74" s="1"/>
  <c r="CM18" i="72"/>
  <c r="CL18" i="72"/>
  <c r="BD20" i="72"/>
  <c r="BE20" i="72"/>
  <c r="H215" i="66"/>
  <c r="E137" i="47"/>
  <c r="E71" i="67"/>
  <c r="E66" i="67"/>
  <c r="E49" i="67"/>
  <c r="E136" i="67"/>
  <c r="E69" i="67"/>
  <c r="E62" i="67"/>
  <c r="E101" i="67"/>
  <c r="E73" i="67"/>
  <c r="E90" i="67"/>
  <c r="E172" i="67"/>
  <c r="E20" i="67"/>
  <c r="E108" i="67"/>
  <c r="E67" i="67"/>
  <c r="G203" i="78" l="1"/>
  <c r="H203" i="78" s="1"/>
  <c r="I203" i="78" s="1"/>
  <c r="G192" i="78"/>
  <c r="H192" i="78" s="1"/>
  <c r="I192" i="78" s="1"/>
  <c r="AN63" i="71"/>
  <c r="I75" i="74" s="1"/>
  <c r="U103" i="66"/>
  <c r="U156" i="66"/>
  <c r="U142" i="66"/>
  <c r="U191" i="66"/>
  <c r="U13" i="66"/>
  <c r="U33" i="66"/>
  <c r="U30" i="66"/>
  <c r="H16" i="74"/>
  <c r="U172" i="66"/>
  <c r="U107" i="66"/>
  <c r="U20" i="66"/>
  <c r="U22" i="66"/>
  <c r="U203" i="66"/>
  <c r="U41" i="66"/>
  <c r="U121" i="66"/>
  <c r="H214" i="66"/>
  <c r="H212" i="66"/>
  <c r="H217" i="66"/>
  <c r="H216" i="66"/>
  <c r="H211" i="66"/>
  <c r="AN18" i="71"/>
  <c r="I30" i="74" s="1"/>
  <c r="AN111" i="71"/>
  <c r="I123" i="74" s="1"/>
  <c r="U53" i="66"/>
  <c r="U194" i="66"/>
  <c r="U104" i="66"/>
  <c r="AN105" i="71"/>
  <c r="I117" i="74" s="1"/>
  <c r="AN190" i="71"/>
  <c r="I202" i="74" s="1"/>
  <c r="AN80" i="71"/>
  <c r="I92" i="74" s="1"/>
  <c r="AN26" i="71"/>
  <c r="I38" i="74" s="1"/>
  <c r="AN163" i="71"/>
  <c r="I175" i="74" s="1"/>
  <c r="AN113" i="71"/>
  <c r="I125" i="74" s="1"/>
  <c r="U175" i="66"/>
  <c r="AN177" i="71"/>
  <c r="I189" i="74" s="1"/>
  <c r="U125" i="66"/>
  <c r="AN126" i="71"/>
  <c r="I138" i="74" s="1"/>
  <c r="AN69" i="71"/>
  <c r="I81" i="74" s="1"/>
  <c r="U205" i="66"/>
  <c r="AN207" i="71"/>
  <c r="I219" i="74" s="1"/>
  <c r="AN185" i="71"/>
  <c r="I197" i="74" s="1"/>
  <c r="U138" i="66"/>
  <c r="AN140" i="71"/>
  <c r="I152" i="74" s="1"/>
  <c r="U183" i="66"/>
  <c r="U139" i="66"/>
  <c r="U124" i="66"/>
  <c r="AN125" i="71"/>
  <c r="I137" i="74" s="1"/>
  <c r="AN68" i="71"/>
  <c r="I80" i="74" s="1"/>
  <c r="AN27" i="71"/>
  <c r="I39" i="74" s="1"/>
  <c r="U179" i="66"/>
  <c r="AN181" i="71"/>
  <c r="I193" i="74" s="1"/>
  <c r="AN98" i="71"/>
  <c r="I110" i="74" s="1"/>
  <c r="AN179" i="71"/>
  <c r="I191" i="74" s="1"/>
  <c r="AN83" i="71"/>
  <c r="I95" i="74" s="1"/>
  <c r="AN131" i="71"/>
  <c r="I143" i="74" s="1"/>
  <c r="U201" i="66"/>
  <c r="AN203" i="71"/>
  <c r="I215" i="74" s="1"/>
  <c r="U75" i="66"/>
  <c r="AN76" i="71"/>
  <c r="I88" i="74" s="1"/>
  <c r="AN194" i="71"/>
  <c r="I206" i="74" s="1"/>
  <c r="AN118" i="71"/>
  <c r="I130" i="74" s="1"/>
  <c r="AN152" i="71"/>
  <c r="I164" i="74" s="1"/>
  <c r="AN93" i="71"/>
  <c r="I105" i="74" s="1"/>
  <c r="U189" i="66"/>
  <c r="AN191" i="71"/>
  <c r="I203" i="74" s="1"/>
  <c r="AN197" i="71"/>
  <c r="I209" i="74" s="1"/>
  <c r="AN74" i="71"/>
  <c r="I86" i="74" s="1"/>
  <c r="AN29" i="71"/>
  <c r="I41" i="74" s="1"/>
  <c r="AN41" i="71"/>
  <c r="I53" i="74" s="1"/>
  <c r="AN85" i="71"/>
  <c r="I97" i="74" s="1"/>
  <c r="U42" i="66"/>
  <c r="AN43" i="71"/>
  <c r="I55" i="74" s="1"/>
  <c r="U31" i="66"/>
  <c r="U182" i="66"/>
  <c r="AN184" i="71"/>
  <c r="I196" i="74" s="1"/>
  <c r="U108" i="66"/>
  <c r="AN134" i="71"/>
  <c r="I146" i="74" s="1"/>
  <c r="AN73" i="71"/>
  <c r="I85" i="74" s="1"/>
  <c r="U145" i="66"/>
  <c r="U198" i="66"/>
  <c r="AN22" i="71"/>
  <c r="I34" i="74" s="1"/>
  <c r="AN165" i="71"/>
  <c r="I177" i="74" s="1"/>
  <c r="AN89" i="71"/>
  <c r="I101" i="74" s="1"/>
  <c r="AN156" i="71"/>
  <c r="I168" i="74" s="1"/>
  <c r="AN196" i="71"/>
  <c r="I208" i="74" s="1"/>
  <c r="AN142" i="71"/>
  <c r="I154" i="74" s="1"/>
  <c r="U110" i="66"/>
  <c r="U51" i="66"/>
  <c r="AN38" i="71"/>
  <c r="I50" i="74" s="1"/>
  <c r="AN78" i="71"/>
  <c r="I90" i="74" s="1"/>
  <c r="U60" i="66"/>
  <c r="AN61" i="71"/>
  <c r="I73" i="74" s="1"/>
  <c r="AN87" i="71"/>
  <c r="I99" i="74" s="1"/>
  <c r="AN25" i="71"/>
  <c r="I37" i="74" s="1"/>
  <c r="U128" i="66"/>
  <c r="AN129" i="71"/>
  <c r="I141" i="74" s="1"/>
  <c r="AN67" i="71"/>
  <c r="I79" i="74" s="1"/>
  <c r="U94" i="66"/>
  <c r="AN95" i="71"/>
  <c r="I107" i="74" s="1"/>
  <c r="AN8" i="71"/>
  <c r="I20" i="74" s="1"/>
  <c r="U27" i="66"/>
  <c r="AN28" i="71"/>
  <c r="I40" i="74" s="1"/>
  <c r="AN88" i="71"/>
  <c r="I100" i="74" s="1"/>
  <c r="U197" i="66"/>
  <c r="AN199" i="71"/>
  <c r="I211" i="74" s="1"/>
  <c r="U168" i="66"/>
  <c r="AN170" i="71"/>
  <c r="I182" i="74" s="1"/>
  <c r="AN11" i="71"/>
  <c r="I23" i="74" s="1"/>
  <c r="U200" i="66"/>
  <c r="AN202" i="71"/>
  <c r="I214" i="74" s="1"/>
  <c r="U157" i="66"/>
  <c r="AN159" i="71"/>
  <c r="I171" i="74" s="1"/>
  <c r="U123" i="66"/>
  <c r="AN124" i="71"/>
  <c r="I136" i="74" s="1"/>
  <c r="AN169" i="71"/>
  <c r="I181" i="74" s="1"/>
  <c r="AN97" i="71"/>
  <c r="I109" i="74" s="1"/>
  <c r="U129" i="66"/>
  <c r="AN112" i="71"/>
  <c r="I124" i="74" s="1"/>
  <c r="AN153" i="71"/>
  <c r="I165" i="74" s="1"/>
  <c r="AN57" i="71"/>
  <c r="I69" i="74" s="1"/>
  <c r="AN116" i="71"/>
  <c r="I128" i="74" s="1"/>
  <c r="U81" i="66"/>
  <c r="AN82" i="71"/>
  <c r="I94" i="74" s="1"/>
  <c r="AN161" i="71"/>
  <c r="I173" i="74" s="1"/>
  <c r="AN52" i="71"/>
  <c r="I64" i="74" s="1"/>
  <c r="U58" i="66"/>
  <c r="AN59" i="71"/>
  <c r="I71" i="74" s="1"/>
  <c r="AN9" i="71"/>
  <c r="I21" i="74" s="1"/>
  <c r="AN81" i="71"/>
  <c r="I93" i="74" s="1"/>
  <c r="U186" i="66"/>
  <c r="AN121" i="71"/>
  <c r="I133" i="74" s="1"/>
  <c r="U12" i="66"/>
  <c r="AN13" i="71"/>
  <c r="I25" i="74" s="1"/>
  <c r="U52" i="66"/>
  <c r="U193" i="66"/>
  <c r="AN195" i="71"/>
  <c r="I207" i="74" s="1"/>
  <c r="U9" i="66"/>
  <c r="AN37" i="71"/>
  <c r="I49" i="74" s="1"/>
  <c r="U127" i="66"/>
  <c r="AN128" i="71"/>
  <c r="I140" i="74" s="1"/>
  <c r="U174" i="66"/>
  <c r="AN176" i="71"/>
  <c r="I188" i="74" s="1"/>
  <c r="U106" i="66"/>
  <c r="AN107" i="71"/>
  <c r="I119" i="74" s="1"/>
  <c r="AN148" i="71"/>
  <c r="I160" i="74" s="1"/>
  <c r="AN64" i="71"/>
  <c r="I76" i="74" s="1"/>
  <c r="AN5" i="71"/>
  <c r="I17" i="74" s="1"/>
  <c r="U202" i="66"/>
  <c r="AN204" i="71"/>
  <c r="I216" i="74" s="1"/>
  <c r="U148" i="66"/>
  <c r="AN150" i="71"/>
  <c r="I162" i="74" s="1"/>
  <c r="U166" i="66"/>
  <c r="AN168" i="71"/>
  <c r="I180" i="74" s="1"/>
  <c r="U48" i="66"/>
  <c r="AN49" i="71"/>
  <c r="I61" i="74" s="1"/>
  <c r="U90" i="66"/>
  <c r="AN39" i="71"/>
  <c r="I51" i="74" s="1"/>
  <c r="AN60" i="71"/>
  <c r="I72" i="74" s="1"/>
  <c r="U190" i="66"/>
  <c r="AN192" i="71"/>
  <c r="U206" i="66"/>
  <c r="AN208" i="71"/>
  <c r="I220" i="74" s="1"/>
  <c r="AN33" i="71"/>
  <c r="I45" i="74" s="1"/>
  <c r="U101" i="66"/>
  <c r="AN102" i="71"/>
  <c r="I114" i="74" s="1"/>
  <c r="AN166" i="71"/>
  <c r="I178" i="74" s="1"/>
  <c r="U119" i="66"/>
  <c r="AN120" i="71"/>
  <c r="I132" i="74" s="1"/>
  <c r="AN182" i="71"/>
  <c r="I194" i="74" s="1"/>
  <c r="AN42" i="71"/>
  <c r="I54" i="74" s="1"/>
  <c r="AN90" i="71"/>
  <c r="I102" i="74" s="1"/>
  <c r="AN35" i="71"/>
  <c r="I47" i="74" s="1"/>
  <c r="U196" i="66"/>
  <c r="AN198" i="71"/>
  <c r="I210" i="74" s="1"/>
  <c r="AN155" i="71"/>
  <c r="I167" i="74" s="1"/>
  <c r="AN157" i="71"/>
  <c r="I169" i="74" s="1"/>
  <c r="U181" i="66"/>
  <c r="AN183" i="71"/>
  <c r="I195" i="74" s="1"/>
  <c r="AN44" i="71"/>
  <c r="I56" i="74" s="1"/>
  <c r="AN56" i="71"/>
  <c r="I68" i="74" s="1"/>
  <c r="AN71" i="71"/>
  <c r="I83" i="74" s="1"/>
  <c r="AN12" i="71"/>
  <c r="I24" i="74" s="1"/>
  <c r="AN99" i="71"/>
  <c r="I111" i="74" s="1"/>
  <c r="U171" i="66"/>
  <c r="AN173" i="71"/>
  <c r="I185" i="74" s="1"/>
  <c r="U204" i="66"/>
  <c r="AN206" i="71"/>
  <c r="I218" i="74" s="1"/>
  <c r="U99" i="66"/>
  <c r="AN100" i="71"/>
  <c r="I112" i="74" s="1"/>
  <c r="U149" i="66"/>
  <c r="AN146" i="71"/>
  <c r="I158" i="74" s="1"/>
  <c r="AN187" i="71"/>
  <c r="I199" i="74" s="1"/>
  <c r="U65" i="66"/>
  <c r="AN66" i="71"/>
  <c r="I78" i="74" s="1"/>
  <c r="AN137" i="71"/>
  <c r="I149" i="74" s="1"/>
  <c r="U102" i="66"/>
  <c r="AN117" i="71"/>
  <c r="I129" i="74" s="1"/>
  <c r="AN175" i="71"/>
  <c r="I187" i="74" s="1"/>
  <c r="AN178" i="71"/>
  <c r="I190" i="74" s="1"/>
  <c r="U199" i="66"/>
  <c r="AN201" i="71"/>
  <c r="I213" i="74" s="1"/>
  <c r="U19" i="66"/>
  <c r="AN20" i="71"/>
  <c r="I32" i="74" s="1"/>
  <c r="AN6" i="71"/>
  <c r="I18" i="74" s="1"/>
  <c r="U85" i="66"/>
  <c r="AN86" i="71"/>
  <c r="I98" i="74" s="1"/>
  <c r="AN75" i="71"/>
  <c r="I87" i="74" s="1"/>
  <c r="AN24" i="71"/>
  <c r="I36" i="74" s="1"/>
  <c r="AN50" i="71"/>
  <c r="I62" i="74" s="1"/>
  <c r="AN65" i="71"/>
  <c r="I77" i="74" s="1"/>
  <c r="AN180" i="71"/>
  <c r="I192" i="74" s="1"/>
  <c r="AN96" i="71"/>
  <c r="I108" i="74" s="1"/>
  <c r="AN119" i="71"/>
  <c r="I131" i="74" s="1"/>
  <c r="AN171" i="71"/>
  <c r="I183" i="74" s="1"/>
  <c r="U137" i="66"/>
  <c r="AN139" i="71"/>
  <c r="I151" i="74" s="1"/>
  <c r="U114" i="66"/>
  <c r="AN94" i="71"/>
  <c r="I106" i="74" s="1"/>
  <c r="AN154" i="71"/>
  <c r="I166" i="74" s="1"/>
  <c r="AN17" i="71"/>
  <c r="I29" i="74" s="1"/>
  <c r="AN48" i="71"/>
  <c r="I60" i="74" s="1"/>
  <c r="AN55" i="71"/>
  <c r="I67" i="74" s="1"/>
  <c r="AN54" i="71"/>
  <c r="I66" i="74" s="1"/>
  <c r="U122" i="66"/>
  <c r="AN123" i="71"/>
  <c r="I135" i="74" s="1"/>
  <c r="U34" i="66"/>
  <c r="U141" i="66"/>
  <c r="U50" i="66"/>
  <c r="AN84" i="71"/>
  <c r="I96" i="74" s="1"/>
  <c r="U105" i="66"/>
  <c r="U143" i="66"/>
  <c r="AN145" i="71"/>
  <c r="I157" i="74" s="1"/>
  <c r="AN45" i="71"/>
  <c r="I57" i="74" s="1"/>
  <c r="U136" i="66"/>
  <c r="AN138" i="71"/>
  <c r="I150" i="74" s="1"/>
  <c r="AN23" i="71"/>
  <c r="I35" i="74" s="1"/>
  <c r="AN149" i="71"/>
  <c r="I161" i="74" s="1"/>
  <c r="U113" i="66"/>
  <c r="AN47" i="71"/>
  <c r="I59" i="74" s="1"/>
  <c r="AN104" i="71"/>
  <c r="I116" i="74" s="1"/>
  <c r="U45" i="66"/>
  <c r="AN46" i="71"/>
  <c r="I58" i="74" s="1"/>
  <c r="AN127" i="71"/>
  <c r="I139" i="74" s="1"/>
  <c r="AN186" i="71"/>
  <c r="I198" i="74" s="1"/>
  <c r="AN144" i="71"/>
  <c r="I156" i="74" s="1"/>
  <c r="AN77" i="71"/>
  <c r="I89" i="74" s="1"/>
  <c r="AN15" i="71"/>
  <c r="I27" i="74" s="1"/>
  <c r="AN34" i="71"/>
  <c r="I46" i="74" s="1"/>
  <c r="AN122" i="71"/>
  <c r="I134" i="74" s="1"/>
  <c r="AN31" i="71"/>
  <c r="I43" i="74" s="1"/>
  <c r="AN19" i="71"/>
  <c r="I31" i="74" s="1"/>
  <c r="AN158" i="71"/>
  <c r="I170" i="74" s="1"/>
  <c r="AN62" i="71"/>
  <c r="I74" i="74" s="1"/>
  <c r="AN53" i="71"/>
  <c r="I65" i="74" s="1"/>
  <c r="AN143" i="71"/>
  <c r="I155" i="74" s="1"/>
  <c r="U162" i="66"/>
  <c r="AN164" i="71"/>
  <c r="I176" i="74" s="1"/>
  <c r="AN135" i="71"/>
  <c r="I147" i="74" s="1"/>
  <c r="U112" i="66"/>
  <c r="U69" i="66"/>
  <c r="AN70" i="71"/>
  <c r="I82" i="74" s="1"/>
  <c r="AN189" i="71"/>
  <c r="I201" i="74" s="1"/>
  <c r="AN172" i="71"/>
  <c r="I184" i="74" s="1"/>
  <c r="U39" i="66"/>
  <c r="AN40" i="71"/>
  <c r="I52" i="74" s="1"/>
  <c r="AN141" i="71"/>
  <c r="I153" i="74" s="1"/>
  <c r="AN16" i="71"/>
  <c r="I28" i="74" s="1"/>
  <c r="AN193" i="71"/>
  <c r="I205" i="74" s="1"/>
  <c r="H226" i="66"/>
  <c r="AB226" i="66"/>
  <c r="X226" i="66" s="1"/>
  <c r="Y226" i="66" s="1"/>
  <c r="I226" i="66" s="1"/>
  <c r="AB227" i="66"/>
  <c r="X227" i="66" s="1"/>
  <c r="Y227" i="66" s="1"/>
  <c r="I227" i="66" s="1"/>
  <c r="H224" i="66"/>
  <c r="AA225" i="74"/>
  <c r="AB225" i="74" s="1"/>
  <c r="AC225" i="74" s="1"/>
  <c r="AD225" i="74" s="1"/>
  <c r="AD212" i="67" s="1"/>
  <c r="AA238" i="74"/>
  <c r="U226" i="74"/>
  <c r="V226" i="74" s="1"/>
  <c r="W226" i="74" s="1"/>
  <c r="X226" i="74" s="1"/>
  <c r="U229" i="74"/>
  <c r="V229" i="74" s="1"/>
  <c r="W229" i="74" s="1"/>
  <c r="U225" i="74"/>
  <c r="V225" i="74" s="1"/>
  <c r="W225" i="74" s="1"/>
  <c r="X225" i="74" s="1"/>
  <c r="O230" i="74"/>
  <c r="P230" i="74" s="1"/>
  <c r="Q230" i="74" s="1"/>
  <c r="U240" i="74"/>
  <c r="V240" i="74" s="1"/>
  <c r="W240" i="74" s="1"/>
  <c r="X240" i="74" s="1"/>
  <c r="AA229" i="74"/>
  <c r="O238" i="74"/>
  <c r="P238" i="74" s="1"/>
  <c r="Q238" i="74" s="1"/>
  <c r="R238" i="74" s="1"/>
  <c r="O240" i="74"/>
  <c r="P240" i="74" s="1"/>
  <c r="Q240" i="74" s="1"/>
  <c r="R240" i="74" s="1"/>
  <c r="AA226" i="74"/>
  <c r="AB226" i="74" s="1"/>
  <c r="AC226" i="74" s="1"/>
  <c r="AD226" i="74" s="1"/>
  <c r="AD213" i="68" s="1"/>
  <c r="U188" i="66"/>
  <c r="U57" i="66"/>
  <c r="U134" i="66"/>
  <c r="U161" i="66"/>
  <c r="X236" i="74"/>
  <c r="U88" i="66"/>
  <c r="U135" i="66"/>
  <c r="U116" i="66"/>
  <c r="U144" i="66"/>
  <c r="U185" i="66"/>
  <c r="U44" i="66"/>
  <c r="U91" i="66"/>
  <c r="U63" i="66"/>
  <c r="U35" i="66"/>
  <c r="U59" i="66"/>
  <c r="U47" i="66"/>
  <c r="U16" i="66"/>
  <c r="U158" i="66"/>
  <c r="U98" i="66"/>
  <c r="U164" i="66"/>
  <c r="J101" i="66"/>
  <c r="U32" i="66"/>
  <c r="N101" i="66"/>
  <c r="U152" i="66"/>
  <c r="U29" i="66"/>
  <c r="U72" i="71"/>
  <c r="AM72" i="71" s="1"/>
  <c r="E84" i="74" s="1"/>
  <c r="U71" i="66"/>
  <c r="U43" i="66"/>
  <c r="U100" i="66"/>
  <c r="U10" i="66"/>
  <c r="J176" i="66"/>
  <c r="U109" i="66"/>
  <c r="U87" i="66"/>
  <c r="U187" i="66"/>
  <c r="U26" i="66"/>
  <c r="U167" i="66"/>
  <c r="U7" i="66"/>
  <c r="U132" i="66"/>
  <c r="U96" i="66"/>
  <c r="U56" i="66"/>
  <c r="U115" i="66"/>
  <c r="U159" i="66"/>
  <c r="U192" i="66"/>
  <c r="U117" i="66"/>
  <c r="U82" i="66"/>
  <c r="U154" i="66"/>
  <c r="U92" i="66"/>
  <c r="U8" i="66"/>
  <c r="U28" i="66"/>
  <c r="U120" i="66"/>
  <c r="U80" i="66"/>
  <c r="U73" i="66"/>
  <c r="U97" i="66"/>
  <c r="U93" i="66"/>
  <c r="U70" i="66"/>
  <c r="U11" i="66"/>
  <c r="U4" i="66"/>
  <c r="U38" i="66"/>
  <c r="U180" i="66"/>
  <c r="U89" i="66"/>
  <c r="U177" i="66"/>
  <c r="U84" i="66"/>
  <c r="U155" i="66"/>
  <c r="U170" i="66"/>
  <c r="U83" i="66"/>
  <c r="U54" i="66"/>
  <c r="U5" i="66"/>
  <c r="U23" i="66"/>
  <c r="U178" i="66"/>
  <c r="U77" i="66"/>
  <c r="U150" i="66"/>
  <c r="U36" i="66"/>
  <c r="U146" i="66"/>
  <c r="U111" i="66"/>
  <c r="U37" i="66"/>
  <c r="U24" i="66"/>
  <c r="U195" i="66"/>
  <c r="U153" i="66"/>
  <c r="H127" i="66"/>
  <c r="U151" i="66"/>
  <c r="H79" i="66"/>
  <c r="U79" i="66"/>
  <c r="U25" i="66"/>
  <c r="U72" i="66"/>
  <c r="U61" i="66"/>
  <c r="H17" i="66"/>
  <c r="U17" i="66"/>
  <c r="U15" i="66"/>
  <c r="U147" i="66"/>
  <c r="U46" i="66"/>
  <c r="J126" i="66"/>
  <c r="U126" i="66"/>
  <c r="U184" i="66"/>
  <c r="U76" i="66"/>
  <c r="U14" i="66"/>
  <c r="U18" i="66"/>
  <c r="U130" i="66"/>
  <c r="U66" i="66"/>
  <c r="U86" i="66"/>
  <c r="U40" i="66"/>
  <c r="J219" i="66"/>
  <c r="X231" i="74"/>
  <c r="U21" i="66"/>
  <c r="U163" i="66"/>
  <c r="U67" i="66"/>
  <c r="U3" i="66"/>
  <c r="V3" i="66" s="1"/>
  <c r="W3" i="66" s="1"/>
  <c r="AA3" i="66" s="1"/>
  <c r="U68" i="66"/>
  <c r="U133" i="66"/>
  <c r="U55" i="66"/>
  <c r="U140" i="66"/>
  <c r="H126" i="66"/>
  <c r="H11" i="66"/>
  <c r="H99" i="66"/>
  <c r="H48" i="66"/>
  <c r="H61" i="66"/>
  <c r="H54" i="66"/>
  <c r="H195" i="66"/>
  <c r="H88" i="66"/>
  <c r="H67" i="66"/>
  <c r="H161" i="66"/>
  <c r="H53" i="66"/>
  <c r="H68" i="66"/>
  <c r="H140" i="66"/>
  <c r="H117" i="66"/>
  <c r="H52" i="66"/>
  <c r="H142" i="66"/>
  <c r="H202" i="66"/>
  <c r="H42" i="66"/>
  <c r="H157" i="66"/>
  <c r="H176" i="66"/>
  <c r="H168" i="66"/>
  <c r="H200" i="66"/>
  <c r="H199" i="66"/>
  <c r="H175" i="66"/>
  <c r="H83" i="66"/>
  <c r="H130" i="66"/>
  <c r="T7" i="71"/>
  <c r="U7" i="71" s="1"/>
  <c r="AM7" i="71" s="1"/>
  <c r="E19" i="74" s="1"/>
  <c r="T6" i="66"/>
  <c r="H49" i="66"/>
  <c r="H72" i="66"/>
  <c r="H16" i="66"/>
  <c r="H154" i="66"/>
  <c r="H125" i="66"/>
  <c r="H4" i="66"/>
  <c r="H3" i="66"/>
  <c r="H103" i="66"/>
  <c r="H184" i="66"/>
  <c r="H110" i="66"/>
  <c r="H85" i="66"/>
  <c r="H39" i="66"/>
  <c r="H170" i="66"/>
  <c r="H63" i="66"/>
  <c r="H163" i="66"/>
  <c r="H73" i="66"/>
  <c r="H37" i="66"/>
  <c r="T79" i="71"/>
  <c r="U79" i="71" s="1"/>
  <c r="AM79" i="71" s="1"/>
  <c r="E91" i="74" s="1"/>
  <c r="T78" i="66"/>
  <c r="H77" i="66"/>
  <c r="H24" i="66"/>
  <c r="H177" i="66"/>
  <c r="H92" i="66"/>
  <c r="H28" i="66"/>
  <c r="H84" i="66"/>
  <c r="H173" i="66"/>
  <c r="H183" i="66"/>
  <c r="T162" i="71"/>
  <c r="U162" i="71" s="1"/>
  <c r="AM162" i="71" s="1"/>
  <c r="E174" i="74" s="1"/>
  <c r="T160" i="66"/>
  <c r="H59" i="66"/>
  <c r="H51" i="66"/>
  <c r="H41" i="66"/>
  <c r="H43" i="66"/>
  <c r="H40" i="66"/>
  <c r="H112" i="66"/>
  <c r="H143" i="66"/>
  <c r="H60" i="66"/>
  <c r="H128" i="66"/>
  <c r="H33" i="66"/>
  <c r="H56" i="66"/>
  <c r="H15" i="66"/>
  <c r="H169" i="66"/>
  <c r="H146" i="66"/>
  <c r="H139" i="66"/>
  <c r="T167" i="71"/>
  <c r="U167" i="71" s="1"/>
  <c r="AM167" i="71" s="1"/>
  <c r="E179" i="74" s="1"/>
  <c r="T165" i="66"/>
  <c r="H153" i="66"/>
  <c r="H120" i="66"/>
  <c r="H87" i="66"/>
  <c r="H167" i="66"/>
  <c r="H96" i="66"/>
  <c r="H111" i="66"/>
  <c r="H159" i="66"/>
  <c r="H86" i="66"/>
  <c r="H155" i="66"/>
  <c r="H8" i="66"/>
  <c r="H133" i="66"/>
  <c r="H76" i="66"/>
  <c r="H197" i="66"/>
  <c r="H151" i="66"/>
  <c r="H106" i="66"/>
  <c r="H34" i="66"/>
  <c r="H122" i="66"/>
  <c r="H55" i="66"/>
  <c r="H66" i="66"/>
  <c r="H204" i="66"/>
  <c r="H95" i="66"/>
  <c r="H132" i="66"/>
  <c r="H180" i="66"/>
  <c r="H7" i="66"/>
  <c r="H93" i="66"/>
  <c r="H152" i="66"/>
  <c r="H70" i="66"/>
  <c r="H98" i="66"/>
  <c r="H32" i="66"/>
  <c r="H89" i="66"/>
  <c r="H179" i="66"/>
  <c r="H64" i="66"/>
  <c r="H26" i="66"/>
  <c r="H30" i="66"/>
  <c r="H192" i="66"/>
  <c r="H164" i="66"/>
  <c r="H80" i="66"/>
  <c r="H181" i="66"/>
  <c r="H94" i="66"/>
  <c r="H138" i="66"/>
  <c r="H97" i="66"/>
  <c r="H137" i="66"/>
  <c r="H150" i="66"/>
  <c r="H21" i="66"/>
  <c r="T132" i="71"/>
  <c r="U132" i="71" s="1"/>
  <c r="AM132" i="71" s="1"/>
  <c r="E144" i="74" s="1"/>
  <c r="T131" i="66"/>
  <c r="R229" i="74"/>
  <c r="H187" i="66"/>
  <c r="H44" i="66"/>
  <c r="H22" i="66"/>
  <c r="H144" i="66"/>
  <c r="H185" i="66"/>
  <c r="H5" i="66"/>
  <c r="H74" i="66"/>
  <c r="H23" i="66"/>
  <c r="H118" i="66"/>
  <c r="R239" i="74"/>
  <c r="N181" i="66"/>
  <c r="X228" i="74"/>
  <c r="N126" i="66"/>
  <c r="R228" i="74"/>
  <c r="N176" i="66"/>
  <c r="R225" i="74"/>
  <c r="E133" i="67"/>
  <c r="E47" i="67"/>
  <c r="E95" i="67"/>
  <c r="E157" i="67"/>
  <c r="E26" i="67"/>
  <c r="E123" i="67"/>
  <c r="E78" i="67"/>
  <c r="E117" i="67"/>
  <c r="E130" i="67"/>
  <c r="E97" i="67"/>
  <c r="E197" i="67"/>
  <c r="E28" i="67"/>
  <c r="E169" i="67"/>
  <c r="E102" i="67"/>
  <c r="E175" i="67"/>
  <c r="E27" i="67"/>
  <c r="E178" i="67"/>
  <c r="E13" i="67"/>
  <c r="E191" i="67"/>
  <c r="E36" i="67"/>
  <c r="E164" i="67"/>
  <c r="E153" i="67"/>
  <c r="E37" i="67"/>
  <c r="E163" i="67"/>
  <c r="E126" i="67"/>
  <c r="E196" i="67"/>
  <c r="E111" i="67"/>
  <c r="E109" i="67"/>
  <c r="E52" i="67"/>
  <c r="E11" i="67"/>
  <c r="E9" i="67"/>
  <c r="E91" i="67"/>
  <c r="E190" i="67"/>
  <c r="E143" i="67"/>
  <c r="E87" i="67"/>
  <c r="E40" i="67"/>
  <c r="E137" i="67"/>
  <c r="E39" i="67"/>
  <c r="E122" i="67"/>
  <c r="E79" i="67"/>
  <c r="E182" i="67"/>
  <c r="E166" i="67"/>
  <c r="E76" i="67"/>
  <c r="E32" i="67"/>
  <c r="E202" i="67"/>
  <c r="E129" i="67"/>
  <c r="E125" i="67"/>
  <c r="E114" i="67"/>
  <c r="E96" i="67"/>
  <c r="E34" i="67"/>
  <c r="E186" i="67"/>
  <c r="E74" i="67"/>
  <c r="E155" i="67"/>
  <c r="E100" i="67"/>
  <c r="E121" i="67"/>
  <c r="E70" i="67"/>
  <c r="E206" i="67"/>
  <c r="E19" i="67"/>
  <c r="E154" i="67"/>
  <c r="E204" i="67"/>
  <c r="E194" i="67"/>
  <c r="E15" i="67"/>
  <c r="E42" i="67"/>
  <c r="E167" i="67"/>
  <c r="E142" i="67"/>
  <c r="E7" i="67"/>
  <c r="E29" i="67"/>
  <c r="E25" i="67"/>
  <c r="E63" i="67"/>
  <c r="E103" i="67"/>
  <c r="E201" i="67"/>
  <c r="E147" i="67"/>
  <c r="E170" i="67"/>
  <c r="E145" i="67"/>
  <c r="E99" i="67"/>
  <c r="E48" i="67"/>
  <c r="E44" i="67"/>
  <c r="E51" i="67"/>
  <c r="E198" i="67"/>
  <c r="E192" i="67"/>
  <c r="E93" i="67"/>
  <c r="E193" i="67"/>
  <c r="E68" i="67"/>
  <c r="E116" i="67"/>
  <c r="E177" i="67"/>
  <c r="E64" i="67"/>
  <c r="E162" i="67"/>
  <c r="E195" i="67"/>
  <c r="E124" i="67"/>
  <c r="E140" i="67"/>
  <c r="E205" i="67"/>
  <c r="E131" i="67"/>
  <c r="E199" i="67"/>
  <c r="E53" i="67"/>
  <c r="E50" i="67"/>
  <c r="E110" i="67"/>
  <c r="E185" i="67"/>
  <c r="E57" i="67"/>
  <c r="E146" i="67"/>
  <c r="E113" i="67"/>
  <c r="E61" i="67"/>
  <c r="E45" i="67"/>
  <c r="E176" i="67"/>
  <c r="E12" i="67"/>
  <c r="E119" i="67"/>
  <c r="E60" i="67"/>
  <c r="E38" i="67"/>
  <c r="E184" i="67"/>
  <c r="E54" i="67"/>
  <c r="E65" i="67"/>
  <c r="E82" i="67"/>
  <c r="E187" i="67"/>
  <c r="E165" i="67"/>
  <c r="E150" i="67"/>
  <c r="G190" i="78" l="1"/>
  <c r="H190" i="78" s="1"/>
  <c r="I190" i="78" s="1"/>
  <c r="I204" i="74"/>
  <c r="I15" i="47"/>
  <c r="H219" i="66"/>
  <c r="AN72" i="71"/>
  <c r="I84" i="74" s="1"/>
  <c r="AN132" i="71"/>
  <c r="I144" i="74" s="1"/>
  <c r="U78" i="66"/>
  <c r="AN79" i="71"/>
  <c r="I91" i="74" s="1"/>
  <c r="U6" i="66"/>
  <c r="AN7" i="71"/>
  <c r="I19" i="74" s="1"/>
  <c r="U160" i="66"/>
  <c r="AN162" i="71"/>
  <c r="I174" i="74" s="1"/>
  <c r="U165" i="66"/>
  <c r="AN167" i="71"/>
  <c r="I179" i="74" s="1"/>
  <c r="AD213" i="67"/>
  <c r="AD212" i="68"/>
  <c r="H75" i="66"/>
  <c r="H47" i="66"/>
  <c r="H178" i="66"/>
  <c r="H82" i="66"/>
  <c r="H115" i="66"/>
  <c r="H38" i="66"/>
  <c r="H191" i="66"/>
  <c r="H36" i="66"/>
  <c r="H101" i="66"/>
  <c r="X227" i="74"/>
  <c r="AD227" i="74"/>
  <c r="R227" i="74"/>
  <c r="R231" i="74"/>
  <c r="X229" i="74"/>
  <c r="R233" i="74"/>
  <c r="X233" i="74"/>
  <c r="P219" i="66"/>
  <c r="X238" i="74"/>
  <c r="H71" i="66"/>
  <c r="J181" i="66"/>
  <c r="U131" i="66"/>
  <c r="H116" i="66"/>
  <c r="H165" i="66"/>
  <c r="H135" i="66"/>
  <c r="H190" i="66"/>
  <c r="H46" i="66"/>
  <c r="H121" i="66"/>
  <c r="H10" i="66"/>
  <c r="H196" i="66"/>
  <c r="H162" i="66"/>
  <c r="H206" i="66"/>
  <c r="H65" i="66"/>
  <c r="H182" i="66"/>
  <c r="H12" i="66"/>
  <c r="H81" i="66"/>
  <c r="H201" i="66"/>
  <c r="H27" i="66"/>
  <c r="H147" i="66"/>
  <c r="H69" i="66"/>
  <c r="H194" i="66"/>
  <c r="H123" i="66"/>
  <c r="H25" i="66"/>
  <c r="H166" i="66"/>
  <c r="H18" i="66"/>
  <c r="H136" i="66"/>
  <c r="H205" i="66"/>
  <c r="H124" i="66"/>
  <c r="H131" i="66"/>
  <c r="H119" i="66"/>
  <c r="H148" i="66"/>
  <c r="H14" i="66"/>
  <c r="H174" i="66"/>
  <c r="H189" i="66"/>
  <c r="H58" i="66"/>
  <c r="H188" i="66"/>
  <c r="H104" i="66"/>
  <c r="H141" i="66"/>
  <c r="H45" i="66"/>
  <c r="H19" i="66"/>
  <c r="H171" i="66"/>
  <c r="H193" i="66"/>
  <c r="H156" i="66"/>
  <c r="V67" i="66"/>
  <c r="W67" i="66" s="1"/>
  <c r="AA67" i="66" s="1"/>
  <c r="X230" i="74" l="1"/>
  <c r="R230" i="74"/>
  <c r="AD214" i="68"/>
  <c r="AD214" i="67"/>
  <c r="H160" i="66"/>
  <c r="H6" i="66"/>
  <c r="H78" i="66"/>
  <c r="F209" i="68"/>
  <c r="K1" i="68"/>
  <c r="J1" i="68"/>
  <c r="I1" i="68"/>
  <c r="H1" i="68"/>
  <c r="G1" i="68"/>
  <c r="F1" i="68"/>
  <c r="Q210" i="68" l="1"/>
  <c r="G210" i="68"/>
  <c r="BI208" i="68"/>
  <c r="BH208" i="68"/>
  <c r="BG208" i="68"/>
  <c r="O2" i="68"/>
  <c r="A231" i="52"/>
  <c r="A232" i="52" s="1"/>
  <c r="A235" i="52" s="1"/>
  <c r="A236" i="52" s="1"/>
  <c r="A237" i="52" s="1"/>
  <c r="A240" i="52" s="1"/>
  <c r="A241" i="52" s="1"/>
  <c r="A242" i="52" s="1"/>
  <c r="A243" i="52" s="1"/>
  <c r="A244" i="52" s="1"/>
  <c r="A245" i="52" s="1"/>
  <c r="A248" i="52" s="1"/>
  <c r="A249" i="52" s="1"/>
  <c r="A250" i="52" s="1"/>
  <c r="A249" i="47"/>
  <c r="A250" i="47" s="1"/>
  <c r="A253" i="47" s="1"/>
  <c r="A254" i="47" s="1"/>
  <c r="A255" i="47" s="1"/>
  <c r="A256" i="47" s="1"/>
  <c r="A257" i="47" s="1"/>
  <c r="A260" i="47" s="1"/>
  <c r="A261" i="47" s="1"/>
  <c r="A262" i="47" s="1"/>
  <c r="A263" i="47" s="1"/>
  <c r="A264" i="47" s="1"/>
  <c r="A265" i="47" s="1"/>
  <c r="A268" i="47" s="1"/>
  <c r="A269" i="47" s="1"/>
  <c r="A270" i="47" s="1"/>
  <c r="A273" i="47" l="1"/>
  <c r="A274" i="47" s="1"/>
  <c r="H60" i="68"/>
  <c r="H140" i="68"/>
  <c r="O1" i="68"/>
  <c r="P2" i="68"/>
  <c r="P1" i="68" s="1"/>
  <c r="P209" i="68"/>
  <c r="M209" i="68"/>
  <c r="L209" i="68"/>
  <c r="L1" i="68"/>
  <c r="N1" i="68"/>
  <c r="M1" i="68"/>
  <c r="H210" i="68"/>
  <c r="H209" i="68" s="1"/>
  <c r="G209" i="68"/>
  <c r="Q209" i="68"/>
  <c r="R210" i="68"/>
  <c r="R209" i="68" s="1"/>
  <c r="Q2" i="68" l="1"/>
  <c r="Q1" i="68" s="1"/>
  <c r="I210" i="68"/>
  <c r="I209" i="68" s="1"/>
  <c r="R2" i="68"/>
  <c r="R1" i="68" s="1"/>
  <c r="S210" i="68"/>
  <c r="S209" i="68" s="1"/>
  <c r="F209" i="67"/>
  <c r="K1" i="67"/>
  <c r="J1" i="67"/>
  <c r="I1" i="67"/>
  <c r="H1" i="67"/>
  <c r="G1" i="67"/>
  <c r="F1" i="67"/>
  <c r="Q210" i="67"/>
  <c r="R210" i="67" s="1"/>
  <c r="G210" i="67"/>
  <c r="G209" i="67" s="1"/>
  <c r="BM208" i="67"/>
  <c r="BL208" i="67"/>
  <c r="BK208" i="67"/>
  <c r="O2" i="67"/>
  <c r="P2" i="67" s="1"/>
  <c r="A177" i="52"/>
  <c r="A178" i="52" s="1"/>
  <c r="A181" i="52" s="1"/>
  <c r="A182" i="52" s="1"/>
  <c r="A183" i="52" s="1"/>
  <c r="A186" i="52" s="1"/>
  <c r="A187" i="52" s="1"/>
  <c r="A188" i="52" s="1"/>
  <c r="A189" i="52" s="1"/>
  <c r="A190" i="52" s="1"/>
  <c r="A191" i="52" s="1"/>
  <c r="A194" i="52" s="1"/>
  <c r="A195" i="52" s="1"/>
  <c r="A196" i="52" s="1"/>
  <c r="J210" i="68" l="1"/>
  <c r="J209" i="68" s="1"/>
  <c r="P209" i="67"/>
  <c r="Q209" i="67"/>
  <c r="R209" i="67"/>
  <c r="L209" i="67"/>
  <c r="A188" i="47"/>
  <c r="A189" i="47" s="1"/>
  <c r="A192" i="47" s="1"/>
  <c r="A193" i="47" s="1"/>
  <c r="A194" i="47" s="1"/>
  <c r="A195" i="47" s="1"/>
  <c r="A196" i="47" s="1"/>
  <c r="A199" i="47" s="1"/>
  <c r="A200" i="47" s="1"/>
  <c r="A201" i="47" s="1"/>
  <c r="A202" i="47" s="1"/>
  <c r="A203" i="47" s="1"/>
  <c r="A204" i="47" s="1"/>
  <c r="A207" i="47" s="1"/>
  <c r="A208" i="47" s="1"/>
  <c r="A209" i="47" s="1"/>
  <c r="H210" i="67"/>
  <c r="M209" i="67"/>
  <c r="T210" i="68"/>
  <c r="T209" i="68" s="1"/>
  <c r="S2" i="68"/>
  <c r="S1" i="68" s="1"/>
  <c r="Q2" i="67"/>
  <c r="S210" i="67"/>
  <c r="S209" i="67" s="1"/>
  <c r="Q1" i="67" l="1"/>
  <c r="K210" i="68"/>
  <c r="K209" i="68" s="1"/>
  <c r="A212" i="47"/>
  <c r="A213" i="47" s="1"/>
  <c r="N1" i="67"/>
  <c r="O1" i="67"/>
  <c r="M1" i="67"/>
  <c r="L1" i="67"/>
  <c r="I210" i="67"/>
  <c r="H209" i="67"/>
  <c r="P1" i="67"/>
  <c r="T2" i="68"/>
  <c r="T1" i="68" s="1"/>
  <c r="U210" i="68"/>
  <c r="U209" i="68" s="1"/>
  <c r="T210" i="67"/>
  <c r="T209" i="67" s="1"/>
  <c r="R2" i="67"/>
  <c r="R1" i="67" s="1"/>
  <c r="I209" i="67" l="1"/>
  <c r="J210" i="67"/>
  <c r="V210" i="68"/>
  <c r="V209" i="68" s="1"/>
  <c r="U2" i="68"/>
  <c r="U1" i="68" s="1"/>
  <c r="S2" i="67"/>
  <c r="S1" i="67" s="1"/>
  <c r="U210" i="67"/>
  <c r="U209" i="67" s="1"/>
  <c r="F208" i="66"/>
  <c r="J209" i="67" l="1"/>
  <c r="K210" i="67"/>
  <c r="K209" i="67" s="1"/>
  <c r="V2" i="68"/>
  <c r="V1" i="68" s="1"/>
  <c r="W210" i="68"/>
  <c r="W209" i="68" s="1"/>
  <c r="T2" i="67"/>
  <c r="T1" i="67" s="1"/>
  <c r="V210" i="67"/>
  <c r="V209" i="67" s="1"/>
  <c r="W2" i="68" l="1"/>
  <c r="W1" i="68" s="1"/>
  <c r="X210" i="68"/>
  <c r="X209" i="68" s="1"/>
  <c r="W210" i="67"/>
  <c r="W209" i="67" s="1"/>
  <c r="U2" i="67"/>
  <c r="U1" i="67" s="1"/>
  <c r="Y210" i="68" l="1"/>
  <c r="Y209" i="68" s="1"/>
  <c r="X2" i="68"/>
  <c r="X1" i="68" s="1"/>
  <c r="V2" i="67"/>
  <c r="V1" i="67" s="1"/>
  <c r="X210" i="67"/>
  <c r="X209" i="67" s="1"/>
  <c r="Y2" i="68" l="1"/>
  <c r="Y1" i="68" s="1"/>
  <c r="Z210" i="68"/>
  <c r="Z209" i="68" s="1"/>
  <c r="Y210" i="67"/>
  <c r="Y209" i="67" s="1"/>
  <c r="W2" i="67"/>
  <c r="W1" i="67" s="1"/>
  <c r="K1" i="66"/>
  <c r="J1" i="66"/>
  <c r="I1" i="66"/>
  <c r="H1" i="66"/>
  <c r="G1" i="66"/>
  <c r="F1" i="66"/>
  <c r="Q209" i="66"/>
  <c r="G209" i="66"/>
  <c r="BO207" i="66"/>
  <c r="BN207" i="66"/>
  <c r="BM207" i="66"/>
  <c r="O2" i="66"/>
  <c r="H209" i="66" l="1"/>
  <c r="H208" i="66" s="1"/>
  <c r="G208" i="66"/>
  <c r="AA210" i="68"/>
  <c r="AA209" i="68" s="1"/>
  <c r="Z2" i="68"/>
  <c r="Z1" i="68" s="1"/>
  <c r="X2" i="67"/>
  <c r="X1" i="67" s="1"/>
  <c r="Z210" i="67"/>
  <c r="Z209" i="67" s="1"/>
  <c r="P2" i="66"/>
  <c r="R209" i="66"/>
  <c r="I209" i="66"/>
  <c r="I208" i="66" s="1"/>
  <c r="S209" i="66" l="1"/>
  <c r="T209" i="66" s="1"/>
  <c r="AB210" i="68"/>
  <c r="AB209" i="68" s="1"/>
  <c r="AA2" i="68"/>
  <c r="AA1" i="68" s="1"/>
  <c r="AA210" i="67"/>
  <c r="AA209" i="67" s="1"/>
  <c r="Y2" i="67"/>
  <c r="Y1" i="67" s="1"/>
  <c r="J209" i="66"/>
  <c r="J208" i="66" s="1"/>
  <c r="Q2" i="66"/>
  <c r="AB2" i="68" l="1"/>
  <c r="AB1" i="68" s="1"/>
  <c r="Z2" i="67"/>
  <c r="Z1" i="67" s="1"/>
  <c r="AB210" i="67"/>
  <c r="AB209" i="67" s="1"/>
  <c r="R2" i="66"/>
  <c r="K209" i="66"/>
  <c r="K208" i="66" s="1"/>
  <c r="U209" i="66"/>
  <c r="AC2" i="68" l="1"/>
  <c r="AC1" i="68" s="1"/>
  <c r="AA2" i="67"/>
  <c r="AA1" i="67" s="1"/>
  <c r="V209" i="66"/>
  <c r="S2" i="66"/>
  <c r="AD2" i="68" l="1"/>
  <c r="AD1" i="68" s="1"/>
  <c r="AB2" i="67"/>
  <c r="AB1" i="67" s="1"/>
  <c r="T2" i="66"/>
  <c r="W209" i="66"/>
  <c r="AC2" i="67" l="1"/>
  <c r="AC1" i="67" s="1"/>
  <c r="X209" i="66"/>
  <c r="U2" i="66"/>
  <c r="AD2" i="67" l="1"/>
  <c r="AD1" i="67" s="1"/>
  <c r="Y209" i="66"/>
  <c r="V2" i="66"/>
  <c r="W2" i="66" l="1"/>
  <c r="Z209" i="66"/>
  <c r="X2" i="66" l="1"/>
  <c r="AA209" i="66"/>
  <c r="Y2" i="66" l="1"/>
  <c r="AB209" i="66"/>
  <c r="Z2" i="66" l="1"/>
  <c r="AA2" i="66" l="1"/>
  <c r="AB2" i="66" l="1"/>
  <c r="AC2" i="66" l="1"/>
  <c r="AD2" i="66" l="1"/>
  <c r="A123" i="52" l="1"/>
  <c r="A124" i="52" s="1"/>
  <c r="A127" i="52" s="1"/>
  <c r="A128" i="52" s="1"/>
  <c r="A129" i="52" l="1"/>
  <c r="A132" i="52" s="1"/>
  <c r="A133" i="52" l="1"/>
  <c r="A127" i="47"/>
  <c r="A128" i="47" s="1"/>
  <c r="A131" i="47" s="1"/>
  <c r="A132" i="47" s="1"/>
  <c r="A133" i="47" s="1"/>
  <c r="A134" i="52" l="1"/>
  <c r="A134" i="47"/>
  <c r="A135" i="47" s="1"/>
  <c r="A135" i="52" l="1"/>
  <c r="A138" i="47"/>
  <c r="A136" i="52" l="1"/>
  <c r="A139" i="47"/>
  <c r="A137" i="52" l="1"/>
  <c r="A140" i="47"/>
  <c r="A140" i="52" l="1"/>
  <c r="A141" i="47"/>
  <c r="A141" i="52" l="1"/>
  <c r="A142" i="47"/>
  <c r="Q210" i="56"/>
  <c r="F209" i="56"/>
  <c r="G210" i="56"/>
  <c r="H210" i="56" s="1"/>
  <c r="H209" i="56" s="1"/>
  <c r="E183" i="52" l="1"/>
  <c r="E129" i="52"/>
  <c r="A142" i="52"/>
  <c r="T208" i="66"/>
  <c r="AA208" i="66"/>
  <c r="P208" i="66"/>
  <c r="R208" i="66"/>
  <c r="L208" i="66"/>
  <c r="Q208" i="66"/>
  <c r="U208" i="66"/>
  <c r="Y208" i="66"/>
  <c r="S208" i="66"/>
  <c r="Z208" i="66"/>
  <c r="A143" i="47"/>
  <c r="E237" i="52"/>
  <c r="R210" i="56"/>
  <c r="G209" i="56"/>
  <c r="I210" i="56"/>
  <c r="I209" i="56" s="1"/>
  <c r="C232" i="52" l="1"/>
  <c r="C178" i="52"/>
  <c r="E235" i="52"/>
  <c r="E181" i="52"/>
  <c r="AB208" i="66"/>
  <c r="W208" i="66"/>
  <c r="V208" i="66"/>
  <c r="X208" i="66"/>
  <c r="A146" i="47"/>
  <c r="A147" i="47" s="1"/>
  <c r="A148" i="47" s="1"/>
  <c r="S210" i="56"/>
  <c r="J210" i="56"/>
  <c r="J209" i="56" s="1"/>
  <c r="A151" i="47" l="1"/>
  <c r="A152" i="47" s="1"/>
  <c r="Y1" i="66"/>
  <c r="V1" i="66"/>
  <c r="U1" i="66"/>
  <c r="AB1" i="66"/>
  <c r="T210" i="56"/>
  <c r="K210" i="56"/>
  <c r="K209" i="56" s="1"/>
  <c r="AD1" i="66" l="1"/>
  <c r="U210" i="56"/>
  <c r="V210" i="56" l="1"/>
  <c r="W210" i="56" l="1"/>
  <c r="X210" i="56" l="1"/>
  <c r="Y210" i="56" l="1"/>
  <c r="Z210" i="56" l="1"/>
  <c r="AA210" i="56" l="1"/>
  <c r="AB210" i="56" l="1"/>
  <c r="AC210" i="56" l="1"/>
  <c r="AD210" i="56" l="1"/>
  <c r="AE210" i="56" l="1"/>
  <c r="AF210" i="56" l="1"/>
  <c r="AG210" i="56" l="1"/>
  <c r="AH210" i="56" l="1"/>
  <c r="AI210" i="56" l="1"/>
  <c r="AJ210" i="56" l="1"/>
  <c r="AK210" i="56" l="1"/>
  <c r="AL210" i="56" l="1"/>
  <c r="AM210" i="56" l="1"/>
  <c r="AN210" i="56" l="1"/>
  <c r="AO210" i="56" l="1"/>
  <c r="AP210" i="56" l="1"/>
  <c r="AQ210" i="56" l="1"/>
  <c r="AR210" i="56" l="1"/>
  <c r="AS210" i="56" l="1"/>
  <c r="AT210" i="56" l="1"/>
  <c r="AU210" i="56" l="1"/>
  <c r="AV210" i="56" l="1"/>
  <c r="AW210" i="56" l="1"/>
  <c r="AX210" i="56" l="1"/>
  <c r="AY210" i="56" l="1"/>
  <c r="AZ210" i="56" l="1"/>
  <c r="BA210" i="56" l="1"/>
  <c r="BB210" i="56" l="1"/>
  <c r="K1" i="56" l="1"/>
  <c r="J1" i="56"/>
  <c r="I1" i="56"/>
  <c r="H1" i="56"/>
  <c r="G1" i="56"/>
  <c r="F1" i="56"/>
  <c r="DD208" i="56"/>
  <c r="DC208" i="56"/>
  <c r="DB208" i="56"/>
  <c r="O2" i="56"/>
  <c r="P2" i="56" s="1"/>
  <c r="Q2" i="56" l="1"/>
  <c r="R2" i="56" l="1"/>
  <c r="S2" i="56" l="1"/>
  <c r="T2" i="56" l="1"/>
  <c r="U2" i="56" l="1"/>
  <c r="V2" i="56" l="1"/>
  <c r="W2" i="56" l="1"/>
  <c r="X2" i="56" l="1"/>
  <c r="Y2" i="56" l="1"/>
  <c r="Z2" i="56" l="1"/>
  <c r="AA2" i="56" l="1"/>
  <c r="AB2" i="56" l="1"/>
  <c r="AC2" i="56" l="1"/>
  <c r="AD2" i="56" l="1"/>
  <c r="AE2" i="56" l="1"/>
  <c r="AF2" i="56" l="1"/>
  <c r="AG2" i="56" l="1"/>
  <c r="AH2" i="56" l="1"/>
  <c r="AI2" i="56" l="1"/>
  <c r="AJ2" i="56" l="1"/>
  <c r="AK2" i="56" l="1"/>
  <c r="AL2" i="56" l="1"/>
  <c r="AM2" i="56" l="1"/>
  <c r="AN2" i="56" l="1"/>
  <c r="AO2" i="56" l="1"/>
  <c r="AP2" i="56" l="1"/>
  <c r="AQ2" i="56" l="1"/>
  <c r="AR2" i="56" l="1"/>
  <c r="AS2" i="56" l="1"/>
  <c r="AT2" i="56" l="1"/>
  <c r="AU2" i="56" l="1"/>
  <c r="AV2" i="56" l="1"/>
  <c r="AW2" i="56" l="1"/>
  <c r="AX2" i="56" l="1"/>
  <c r="AY2" i="56" l="1"/>
  <c r="AZ2" i="56" l="1"/>
  <c r="BA2" i="56" l="1"/>
  <c r="BB2" i="56" l="1"/>
  <c r="BC2" i="56" l="1"/>
  <c r="C32" i="52"/>
  <c r="A33" i="52"/>
  <c r="A34" i="52" s="1"/>
  <c r="A37" i="52" s="1"/>
  <c r="A38" i="52" l="1"/>
  <c r="A39" i="52" s="1"/>
  <c r="M209" i="56"/>
  <c r="P209" i="56"/>
  <c r="L209" i="56"/>
  <c r="BD2" i="56"/>
  <c r="A42" i="52" l="1"/>
  <c r="A43" i="52" s="1"/>
  <c r="A44" i="52" s="1"/>
  <c r="A45" i="52" s="1"/>
  <c r="A48" i="52" s="1"/>
  <c r="BE2" i="56"/>
  <c r="E32" i="47"/>
  <c r="A33" i="47" l="1"/>
  <c r="A49" i="52" l="1"/>
  <c r="A52" i="52" s="1"/>
  <c r="A34" i="47"/>
  <c r="A37" i="47" l="1"/>
  <c r="A38" i="47" s="1"/>
  <c r="A39" i="47" s="1"/>
  <c r="A42" i="47" s="1"/>
  <c r="A43" i="47" s="1"/>
  <c r="A44" i="47" s="1"/>
  <c r="A45" i="47" s="1"/>
  <c r="A48" i="47" l="1"/>
  <c r="A49" i="47" s="1"/>
  <c r="A52" i="47" s="1"/>
  <c r="A53" i="47" l="1"/>
  <c r="A56" i="47" s="1"/>
  <c r="A53" i="52" l="1"/>
  <c r="A56" i="52" s="1"/>
  <c r="H122" i="68"/>
  <c r="A57" i="52" l="1"/>
  <c r="A58" i="52" s="1"/>
  <c r="A59" i="52" s="1"/>
  <c r="A60" i="52" s="1"/>
  <c r="A61" i="52" s="1"/>
  <c r="A62" i="52" s="1"/>
  <c r="A63" i="52" s="1"/>
  <c r="A64" i="52" s="1"/>
  <c r="A65" i="52" s="1"/>
  <c r="A66" i="52" s="1"/>
  <c r="A67" i="52" s="1"/>
  <c r="A68" i="52" s="1"/>
  <c r="A69" i="52" s="1"/>
  <c r="A70" i="52" s="1"/>
  <c r="A71" i="52" s="1"/>
  <c r="A76" i="52" s="1"/>
  <c r="A77" i="52" s="1"/>
  <c r="A78" i="52" s="1"/>
  <c r="A79" i="52" s="1"/>
  <c r="A80" i="52" s="1"/>
  <c r="A81" i="52" s="1"/>
  <c r="A82" i="52" s="1"/>
  <c r="A83" i="52" s="1"/>
  <c r="A87" i="52" s="1"/>
  <c r="A88" i="52" s="1"/>
  <c r="A57" i="47"/>
  <c r="A58" i="47" l="1"/>
  <c r="A59" i="47" l="1"/>
  <c r="A60" i="47" l="1"/>
  <c r="A61" i="47" l="1"/>
  <c r="A62" i="47" l="1"/>
  <c r="H200" i="68"/>
  <c r="H169" i="68"/>
  <c r="H76" i="68"/>
  <c r="H146" i="68"/>
  <c r="H120" i="68"/>
  <c r="H171" i="68"/>
  <c r="H75" i="68"/>
  <c r="A63" i="47" l="1"/>
  <c r="E255" i="47"/>
  <c r="A64" i="47" l="1"/>
  <c r="A65" i="47" l="1"/>
  <c r="A66" i="47" l="1"/>
  <c r="T55" i="16"/>
  <c r="U55" i="16" s="1"/>
  <c r="K212" i="78" s="1"/>
  <c r="L212" i="78" s="1"/>
  <c r="L15" i="78" l="1"/>
  <c r="L17" i="78" s="1"/>
  <c r="K15" i="78"/>
  <c r="K17" i="78" s="1"/>
  <c r="M15" i="78"/>
  <c r="M17" i="78" s="1"/>
  <c r="N15" i="78"/>
  <c r="N17" i="78" s="1"/>
  <c r="J15" i="78"/>
  <c r="J17" i="78" s="1"/>
  <c r="H15" i="78"/>
  <c r="H17" i="78" s="1"/>
  <c r="O15" i="78"/>
  <c r="O17" i="78" s="1"/>
  <c r="P15" i="78"/>
  <c r="P17" i="78" s="1"/>
  <c r="I15" i="78"/>
  <c r="I17" i="78" s="1"/>
  <c r="Z91" i="71"/>
  <c r="Z12" i="72"/>
  <c r="A67" i="47"/>
  <c r="H219" i="68"/>
  <c r="Q17" i="78" l="1"/>
  <c r="D19" i="78"/>
  <c r="D20" i="78"/>
  <c r="AO12" i="72"/>
  <c r="AM12" i="72"/>
  <c r="E232" i="74" s="1"/>
  <c r="AN12" i="72"/>
  <c r="AO91" i="71"/>
  <c r="L103" i="74" s="1"/>
  <c r="AM91" i="71"/>
  <c r="E103" i="74" s="1"/>
  <c r="AN91" i="71"/>
  <c r="I103" i="74" s="1"/>
  <c r="G90" i="66"/>
  <c r="G218" i="66"/>
  <c r="F90" i="66"/>
  <c r="F218" i="66"/>
  <c r="H219" i="67"/>
  <c r="H90" i="67"/>
  <c r="CN12" i="72"/>
  <c r="BW12" i="72"/>
  <c r="CL12" i="72"/>
  <c r="AA232" i="74" s="1"/>
  <c r="CM12" i="72"/>
  <c r="BU12" i="72"/>
  <c r="U232" i="74" s="1"/>
  <c r="V232" i="74" s="1"/>
  <c r="W232" i="74" s="1"/>
  <c r="X232" i="74" s="1"/>
  <c r="BV12" i="72"/>
  <c r="CN91" i="71"/>
  <c r="BW91" i="71"/>
  <c r="A68" i="47"/>
  <c r="BF12" i="72"/>
  <c r="BD12" i="72"/>
  <c r="O232" i="74" s="1"/>
  <c r="P232" i="74" s="1"/>
  <c r="Q232" i="74" s="1"/>
  <c r="R232" i="74" s="1"/>
  <c r="BE12" i="72"/>
  <c r="H90" i="66"/>
  <c r="BF91" i="71"/>
  <c r="H33" i="67"/>
  <c r="H218" i="66" l="1"/>
  <c r="J90" i="66"/>
  <c r="J218" i="66"/>
  <c r="P218" i="66"/>
  <c r="N90" i="66"/>
  <c r="A69" i="47"/>
  <c r="H106" i="68"/>
  <c r="H175" i="68"/>
  <c r="H170" i="68"/>
  <c r="H4" i="68"/>
  <c r="H67" i="68"/>
  <c r="H196" i="68"/>
  <c r="H127" i="68"/>
  <c r="H31" i="68"/>
  <c r="H41" i="68"/>
  <c r="H121" i="68"/>
  <c r="H104" i="68"/>
  <c r="H203" i="68"/>
  <c r="H186" i="68"/>
  <c r="H28" i="68"/>
  <c r="H206" i="68"/>
  <c r="H158" i="68"/>
  <c r="H150" i="68"/>
  <c r="H86" i="68"/>
  <c r="H187" i="68"/>
  <c r="H204" i="68"/>
  <c r="H36" i="68"/>
  <c r="H91" i="68"/>
  <c r="H59" i="68"/>
  <c r="H82" i="68"/>
  <c r="H23" i="68"/>
  <c r="H96" i="68"/>
  <c r="H90" i="68"/>
  <c r="H44" i="68"/>
  <c r="H98" i="68"/>
  <c r="H174" i="68"/>
  <c r="H16" i="68"/>
  <c r="H37" i="68"/>
  <c r="H194" i="68"/>
  <c r="H111" i="68"/>
  <c r="H9" i="68"/>
  <c r="H123" i="68"/>
  <c r="H138" i="68"/>
  <c r="H18" i="68"/>
  <c r="H56" i="68"/>
  <c r="H77" i="68"/>
  <c r="H74" i="68"/>
  <c r="H130" i="68"/>
  <c r="H155" i="68"/>
  <c r="H188" i="68"/>
  <c r="H102" i="68"/>
  <c r="H79" i="68"/>
  <c r="H21" i="68"/>
  <c r="H139" i="68"/>
  <c r="H178" i="68"/>
  <c r="H57" i="68"/>
  <c r="H68" i="68"/>
  <c r="H43" i="68"/>
  <c r="H159" i="68"/>
  <c r="H183" i="68"/>
  <c r="H145" i="68"/>
  <c r="H95" i="68"/>
  <c r="H147" i="68"/>
  <c r="H114" i="68"/>
  <c r="H195" i="68"/>
  <c r="H11" i="68"/>
  <c r="H157" i="68"/>
  <c r="H162" i="68"/>
  <c r="H38" i="68"/>
  <c r="H119" i="68"/>
  <c r="H125" i="68"/>
  <c r="H133" i="68"/>
  <c r="H142" i="68"/>
  <c r="H24" i="68"/>
  <c r="H180" i="68"/>
  <c r="H80" i="68"/>
  <c r="H29" i="68"/>
  <c r="H53" i="68"/>
  <c r="H154" i="68"/>
  <c r="H34" i="68"/>
  <c r="H71" i="68"/>
  <c r="H115" i="68"/>
  <c r="H42" i="68"/>
  <c r="H105" i="68"/>
  <c r="H97" i="68"/>
  <c r="H99" i="68"/>
  <c r="H26" i="68"/>
  <c r="H126" i="68"/>
  <c r="H51" i="68"/>
  <c r="H129" i="68"/>
  <c r="H172" i="68"/>
  <c r="H54" i="68"/>
  <c r="H35" i="68"/>
  <c r="H177" i="68"/>
  <c r="H73" i="68"/>
  <c r="H166" i="68"/>
  <c r="H117" i="68"/>
  <c r="H143" i="68"/>
  <c r="H63" i="68"/>
  <c r="H66" i="68"/>
  <c r="H65" i="68"/>
  <c r="H49" i="68"/>
  <c r="H153" i="68"/>
  <c r="H47" i="68"/>
  <c r="H197" i="68"/>
  <c r="H46" i="68"/>
  <c r="H14" i="68"/>
  <c r="H168" i="68"/>
  <c r="H156" i="68"/>
  <c r="H32" i="68"/>
  <c r="H190" i="68"/>
  <c r="H48" i="68"/>
  <c r="H160" i="68"/>
  <c r="H30" i="68"/>
  <c r="H163" i="68"/>
  <c r="H181" i="68"/>
  <c r="H205" i="68"/>
  <c r="H27" i="68"/>
  <c r="H108" i="68"/>
  <c r="H83" i="68"/>
  <c r="H161" i="68"/>
  <c r="H176" i="68"/>
  <c r="H10" i="68"/>
  <c r="H69" i="68"/>
  <c r="H81" i="68"/>
  <c r="H192" i="68"/>
  <c r="H89" i="68"/>
  <c r="H151" i="68"/>
  <c r="H85" i="68"/>
  <c r="H19" i="68"/>
  <c r="H191" i="68"/>
  <c r="H61" i="68"/>
  <c r="H179" i="68"/>
  <c r="H88" i="68"/>
  <c r="H116" i="68"/>
  <c r="H45" i="68"/>
  <c r="H7" i="68"/>
  <c r="H149" i="68"/>
  <c r="H173" i="68"/>
  <c r="H39" i="68"/>
  <c r="H167" i="68"/>
  <c r="H136" i="68"/>
  <c r="H101" i="68"/>
  <c r="H93" i="68"/>
  <c r="H5" i="68"/>
  <c r="H135" i="68"/>
  <c r="H94" i="68"/>
  <c r="H199" i="68"/>
  <c r="H189" i="68"/>
  <c r="H112" i="68"/>
  <c r="H110" i="68"/>
  <c r="H201" i="68"/>
  <c r="H165" i="68"/>
  <c r="H58" i="68"/>
  <c r="H148" i="68"/>
  <c r="H103" i="68"/>
  <c r="H87" i="68"/>
  <c r="H109" i="68"/>
  <c r="H25" i="68"/>
  <c r="H22" i="68"/>
  <c r="H92" i="68"/>
  <c r="H107" i="68"/>
  <c r="H118" i="68"/>
  <c r="H124" i="68"/>
  <c r="H134" i="68"/>
  <c r="H20" i="68"/>
  <c r="H64" i="68"/>
  <c r="H113" i="68"/>
  <c r="H62" i="68"/>
  <c r="H40" i="68"/>
  <c r="H84" i="68"/>
  <c r="H185" i="68"/>
  <c r="H198" i="68"/>
  <c r="H132" i="68"/>
  <c r="H50" i="68"/>
  <c r="H202" i="68"/>
  <c r="H78" i="68"/>
  <c r="H184" i="68"/>
  <c r="H70" i="68"/>
  <c r="H100" i="68"/>
  <c r="H131" i="68"/>
  <c r="H141" i="68"/>
  <c r="H3" i="68" l="1"/>
  <c r="A70" i="47"/>
  <c r="H137" i="68"/>
  <c r="H128" i="68"/>
  <c r="H6" i="68"/>
  <c r="H164" i="68"/>
  <c r="H8" i="68"/>
  <c r="H193" i="68"/>
  <c r="H17" i="68"/>
  <c r="H15" i="68"/>
  <c r="H33" i="68"/>
  <c r="H52" i="68"/>
  <c r="H12" i="68"/>
  <c r="H13" i="68"/>
  <c r="H152" i="68"/>
  <c r="H182" i="68"/>
  <c r="A71" i="47" l="1"/>
  <c r="A76" i="47" s="1"/>
  <c r="A77" i="47" s="1"/>
  <c r="A78" i="47" s="1"/>
  <c r="A79" i="47" s="1"/>
  <c r="A80" i="47" s="1"/>
  <c r="A81" i="47" s="1"/>
  <c r="A82" i="47" s="1"/>
  <c r="A83" i="47" s="1"/>
  <c r="A87" i="47" s="1"/>
  <c r="A88" i="47" s="1"/>
  <c r="A91" i="47" s="1"/>
  <c r="A92" i="47" s="1"/>
  <c r="E254" i="47"/>
  <c r="E128" i="52"/>
  <c r="E132" i="47"/>
  <c r="E38" i="47"/>
  <c r="E80" i="47" s="1"/>
  <c r="E81" i="47" s="1"/>
  <c r="E87" i="47" s="1"/>
  <c r="E88" i="47" s="1"/>
  <c r="E82" i="47" s="1"/>
  <c r="E253" i="47" l="1"/>
  <c r="E262" i="47" s="1"/>
  <c r="E192" i="47"/>
  <c r="E131" i="47"/>
  <c r="E127" i="52"/>
  <c r="E140" i="52" l="1"/>
  <c r="E146" i="47"/>
  <c r="E140" i="47"/>
  <c r="E141" i="47" s="1"/>
  <c r="V79" i="66"/>
  <c r="W79" i="66" s="1"/>
  <c r="AA79" i="66" s="1"/>
  <c r="V199" i="66" l="1"/>
  <c r="W199" i="66" s="1"/>
  <c r="AA199" i="66" s="1"/>
  <c r="V96" i="66"/>
  <c r="W96" i="66" s="1"/>
  <c r="AA96" i="66" s="1"/>
  <c r="V166" i="66"/>
  <c r="W166" i="66" s="1"/>
  <c r="AA166" i="66" s="1"/>
  <c r="Z223" i="67" l="1"/>
  <c r="Z222" i="66"/>
  <c r="Z216" i="67"/>
  <c r="Z215" i="66"/>
  <c r="Z215" i="67"/>
  <c r="Z214" i="66"/>
  <c r="Z211" i="67"/>
  <c r="Z210" i="66"/>
  <c r="V66" i="66"/>
  <c r="W66" i="66" s="1"/>
  <c r="AA66" i="66" s="1"/>
  <c r="B1" i="19"/>
  <c r="C1" i="19" s="1"/>
  <c r="D1" i="19" s="1"/>
  <c r="E1" i="19" s="1"/>
  <c r="F1" i="19" s="1"/>
  <c r="G1" i="19" s="1"/>
  <c r="H1" i="19" s="1"/>
  <c r="I1" i="19" s="1"/>
  <c r="J1" i="19" s="1"/>
  <c r="K1" i="19" s="1"/>
  <c r="L1" i="19" s="1"/>
  <c r="M1" i="19" s="1"/>
  <c r="N1" i="19" s="1"/>
  <c r="O1" i="19" s="1"/>
  <c r="P1" i="19" s="1"/>
  <c r="Q1" i="19" s="1"/>
  <c r="R1" i="19" s="1"/>
  <c r="S1" i="19" s="1"/>
  <c r="T1" i="19" s="1"/>
  <c r="U1" i="19" s="1"/>
  <c r="V1" i="19" s="1"/>
  <c r="W1" i="19" s="1"/>
  <c r="X1" i="19" s="1"/>
  <c r="Y1" i="19" s="1"/>
  <c r="Z1" i="19" s="1"/>
  <c r="AA1" i="19" s="1"/>
  <c r="B2" i="22"/>
  <c r="C2" i="22" s="1"/>
  <c r="D2" i="22" s="1"/>
  <c r="E2" i="22" s="1"/>
  <c r="F2" i="22" s="1"/>
  <c r="G2" i="22" s="1"/>
  <c r="H2" i="22" s="1"/>
  <c r="I2" i="22" s="1"/>
  <c r="J2" i="22" s="1"/>
  <c r="K2" i="22" s="1"/>
  <c r="L2" i="22" s="1"/>
  <c r="M2" i="22" s="1"/>
  <c r="N2" i="22" s="1"/>
  <c r="O2" i="22" s="1"/>
  <c r="P2" i="22" s="1"/>
  <c r="Q2" i="22" s="1"/>
  <c r="R2" i="22" s="1"/>
  <c r="S2" i="22" s="1"/>
  <c r="T2" i="22" s="1"/>
  <c r="U2" i="22" s="1"/>
  <c r="B224" i="22"/>
  <c r="C224" i="22" s="1"/>
  <c r="D224" i="22" s="1"/>
  <c r="E224" i="22" s="1"/>
  <c r="F224" i="22" s="1"/>
  <c r="G224" i="22" s="1"/>
  <c r="H224" i="22" s="1"/>
  <c r="I224" i="22" s="1"/>
  <c r="J224" i="22" s="1"/>
  <c r="K224" i="22" s="1"/>
  <c r="L224" i="22" s="1"/>
  <c r="M224" i="22" s="1"/>
  <c r="N224" i="22" s="1"/>
  <c r="O224" i="22" s="1"/>
  <c r="P224" i="22" s="1"/>
  <c r="Q224" i="22" s="1"/>
  <c r="R224" i="22" s="1"/>
  <c r="S224" i="22" s="1"/>
  <c r="T224" i="22" s="1"/>
  <c r="U224" i="22" s="1"/>
  <c r="B2" i="16"/>
  <c r="C2" i="16" s="1"/>
  <c r="D2" i="16" s="1"/>
  <c r="E2" i="16" s="1"/>
  <c r="F2" i="16" s="1"/>
  <c r="G2" i="16" s="1"/>
  <c r="H2" i="16" s="1"/>
  <c r="I2" i="16" s="1"/>
  <c r="J2" i="16" s="1"/>
  <c r="K2" i="16" s="1"/>
  <c r="L2" i="16" s="1"/>
  <c r="M2" i="16" s="1"/>
  <c r="N2" i="16" s="1"/>
  <c r="O2" i="16" s="1"/>
  <c r="P2" i="16" s="1"/>
  <c r="Q2" i="16" s="1"/>
  <c r="R2" i="16" s="1"/>
  <c r="S2" i="16" s="1"/>
  <c r="T2" i="16" s="1"/>
  <c r="U2" i="16" s="1"/>
  <c r="E33" i="67" l="1"/>
  <c r="Z218" i="67"/>
  <c r="Z217" i="66"/>
  <c r="Z212" i="67"/>
  <c r="Z211" i="66"/>
  <c r="Z226" i="67"/>
  <c r="Z225" i="66"/>
  <c r="Z219" i="67"/>
  <c r="Z218" i="66"/>
  <c r="Z222" i="67"/>
  <c r="Z221" i="66"/>
  <c r="Z221" i="67"/>
  <c r="Z220" i="66"/>
  <c r="Z224" i="67"/>
  <c r="Z223" i="66"/>
  <c r="Z225" i="67"/>
  <c r="Z224" i="66"/>
  <c r="Z217" i="67"/>
  <c r="Z216" i="66"/>
  <c r="Z214" i="67"/>
  <c r="Z213" i="66"/>
  <c r="Z220" i="67"/>
  <c r="Z219" i="66"/>
  <c r="Z213" i="67"/>
  <c r="Z212" i="66"/>
  <c r="E198" i="47"/>
  <c r="N213" i="22"/>
  <c r="B55" i="53"/>
  <c r="B80" i="53" s="1"/>
  <c r="B33" i="53"/>
  <c r="B56" i="53" s="1"/>
  <c r="B81" i="53" s="1"/>
  <c r="S213" i="22" l="1"/>
  <c r="N214" i="22"/>
  <c r="O4" i="22" s="1"/>
  <c r="C124" i="52"/>
  <c r="B52" i="53"/>
  <c r="B77" i="53" s="1"/>
  <c r="B29" i="53"/>
  <c r="O6" i="22" l="1"/>
  <c r="S214" i="22"/>
  <c r="T94" i="22" s="1"/>
  <c r="O207" i="22"/>
  <c r="O200" i="22"/>
  <c r="O12" i="22"/>
  <c r="V43" i="66"/>
  <c r="W43" i="66" s="1"/>
  <c r="AA43" i="66" s="1"/>
  <c r="V75" i="66"/>
  <c r="W75" i="66" s="1"/>
  <c r="AA75" i="66" s="1"/>
  <c r="V121" i="66"/>
  <c r="W121" i="66" s="1"/>
  <c r="AA121" i="66" s="1"/>
  <c r="V168" i="66"/>
  <c r="W168" i="66" s="1"/>
  <c r="AA168" i="66" s="1"/>
  <c r="V180" i="66"/>
  <c r="W180" i="66" s="1"/>
  <c r="AA180" i="66" s="1"/>
  <c r="V110" i="66"/>
  <c r="W110" i="66" s="1"/>
  <c r="AA110" i="66" s="1"/>
  <c r="V148" i="66"/>
  <c r="W148" i="66" s="1"/>
  <c r="AA148" i="66" s="1"/>
  <c r="V191" i="66"/>
  <c r="W191" i="66" s="1"/>
  <c r="AA191" i="66" s="1"/>
  <c r="V6" i="66"/>
  <c r="W6" i="66" s="1"/>
  <c r="AA6" i="66" s="1"/>
  <c r="V125" i="66"/>
  <c r="W125" i="66" s="1"/>
  <c r="AA125" i="66" s="1"/>
  <c r="V89" i="66"/>
  <c r="W89" i="66" s="1"/>
  <c r="AA89" i="66" s="1"/>
  <c r="V145" i="66"/>
  <c r="W145" i="66" s="1"/>
  <c r="AA145" i="66" s="1"/>
  <c r="V98" i="66"/>
  <c r="W98" i="66" s="1"/>
  <c r="AA98" i="66" s="1"/>
  <c r="V134" i="66"/>
  <c r="W134" i="66" s="1"/>
  <c r="AA134" i="66" s="1"/>
  <c r="V44" i="66"/>
  <c r="W44" i="66" s="1"/>
  <c r="AA44" i="66" s="1"/>
  <c r="V176" i="66"/>
  <c r="W176" i="66" s="1"/>
  <c r="AA176" i="66" s="1"/>
  <c r="V34" i="66"/>
  <c r="W34" i="66" s="1"/>
  <c r="AA34" i="66" s="1"/>
  <c r="V87" i="66"/>
  <c r="W87" i="66" s="1"/>
  <c r="AA87" i="66" s="1"/>
  <c r="V8" i="66"/>
  <c r="W8" i="66" s="1"/>
  <c r="AA8" i="66" s="1"/>
  <c r="V29" i="66"/>
  <c r="W29" i="66" s="1"/>
  <c r="AA29" i="66" s="1"/>
  <c r="V53" i="66"/>
  <c r="W53" i="66" s="1"/>
  <c r="AA53" i="66" s="1"/>
  <c r="V15" i="66"/>
  <c r="W15" i="66" s="1"/>
  <c r="AA15" i="66" s="1"/>
  <c r="V165" i="66"/>
  <c r="W165" i="66" s="1"/>
  <c r="AA165" i="66" s="1"/>
  <c r="V101" i="66"/>
  <c r="W101" i="66" s="1"/>
  <c r="AA101" i="66" s="1"/>
  <c r="V139" i="66"/>
  <c r="W139" i="66" s="1"/>
  <c r="AA139" i="66" s="1"/>
  <c r="V17" i="66"/>
  <c r="W17" i="66" s="1"/>
  <c r="AA17" i="66" s="1"/>
  <c r="V204" i="66"/>
  <c r="W204" i="66" s="1"/>
  <c r="AA204" i="66" s="1"/>
  <c r="V64" i="66"/>
  <c r="W64" i="66" s="1"/>
  <c r="AA64" i="66" s="1"/>
  <c r="V62" i="66"/>
  <c r="W62" i="66" s="1"/>
  <c r="AA62" i="66" s="1"/>
  <c r="V102" i="66"/>
  <c r="W102" i="66" s="1"/>
  <c r="AA102" i="66" s="1"/>
  <c r="V133" i="66"/>
  <c r="W133" i="66" s="1"/>
  <c r="AA133" i="66" s="1"/>
  <c r="V18" i="66"/>
  <c r="W18" i="66" s="1"/>
  <c r="AA18" i="66" s="1"/>
  <c r="V16" i="66"/>
  <c r="W16" i="66" s="1"/>
  <c r="AA16" i="66" s="1"/>
  <c r="V154" i="66"/>
  <c r="W154" i="66" s="1"/>
  <c r="AA154" i="66" s="1"/>
  <c r="V9" i="66"/>
  <c r="W9" i="66" s="1"/>
  <c r="AA9" i="66" s="1"/>
  <c r="V81" i="66"/>
  <c r="W81" i="66" s="1"/>
  <c r="AA81" i="66" s="1"/>
  <c r="V78" i="66"/>
  <c r="W78" i="66" s="1"/>
  <c r="AA78" i="66" s="1"/>
  <c r="V108" i="66"/>
  <c r="W108" i="66" s="1"/>
  <c r="AA108" i="66" s="1"/>
  <c r="V10" i="66"/>
  <c r="W10" i="66" s="1"/>
  <c r="AA10" i="66" s="1"/>
  <c r="V68" i="66"/>
  <c r="W68" i="66" s="1"/>
  <c r="AA68" i="66" s="1"/>
  <c r="V38" i="66"/>
  <c r="W38" i="66" s="1"/>
  <c r="AA38" i="66" s="1"/>
  <c r="V120" i="66"/>
  <c r="W120" i="66" s="1"/>
  <c r="AA120" i="66" s="1"/>
  <c r="V144" i="66"/>
  <c r="W144" i="66" s="1"/>
  <c r="AA144" i="66" s="1"/>
  <c r="V177" i="66"/>
  <c r="W177" i="66" s="1"/>
  <c r="AA177" i="66" s="1"/>
  <c r="V45" i="66"/>
  <c r="W45" i="66" s="1"/>
  <c r="AA45" i="66" s="1"/>
  <c r="V192" i="66"/>
  <c r="W192" i="66" s="1"/>
  <c r="AA192" i="66" s="1"/>
  <c r="V27" i="66"/>
  <c r="W27" i="66" s="1"/>
  <c r="AA27" i="66" s="1"/>
  <c r="V35" i="66"/>
  <c r="W35" i="66" s="1"/>
  <c r="AA35" i="66" s="1"/>
  <c r="V41" i="66"/>
  <c r="W41" i="66" s="1"/>
  <c r="AA41" i="66" s="1"/>
  <c r="V11" i="66"/>
  <c r="W11" i="66" s="1"/>
  <c r="AA11" i="66" s="1"/>
  <c r="V22" i="66"/>
  <c r="W22" i="66" s="1"/>
  <c r="AA22" i="66" s="1"/>
  <c r="V170" i="66"/>
  <c r="W170" i="66" s="1"/>
  <c r="AA170" i="66" s="1"/>
  <c r="V24" i="66"/>
  <c r="W24" i="66" s="1"/>
  <c r="AA24" i="66" s="1"/>
  <c r="V47" i="66"/>
  <c r="W47" i="66" s="1"/>
  <c r="AA47" i="66" s="1"/>
  <c r="V39" i="66"/>
  <c r="W39" i="66" s="1"/>
  <c r="AA39" i="66" s="1"/>
  <c r="V187" i="66"/>
  <c r="W187" i="66" s="1"/>
  <c r="AA187" i="66" s="1"/>
  <c r="V200" i="66"/>
  <c r="W200" i="66" s="1"/>
  <c r="AA200" i="66" s="1"/>
  <c r="V124" i="66"/>
  <c r="W124" i="66" s="1"/>
  <c r="AA124" i="66" s="1"/>
  <c r="V4" i="66"/>
  <c r="W4" i="66" s="1"/>
  <c r="AA4" i="66" s="1"/>
  <c r="V141" i="66"/>
  <c r="W141" i="66" s="1"/>
  <c r="AA141" i="66" s="1"/>
  <c r="V85" i="66"/>
  <c r="W85" i="66" s="1"/>
  <c r="AA85" i="66" s="1"/>
  <c r="V25" i="66"/>
  <c r="W25" i="66" s="1"/>
  <c r="AA25" i="66" s="1"/>
  <c r="V54" i="66"/>
  <c r="W54" i="66" s="1"/>
  <c r="AA54" i="66" s="1"/>
  <c r="V48" i="66"/>
  <c r="W48" i="66" s="1"/>
  <c r="AA48" i="66" s="1"/>
  <c r="V160" i="66"/>
  <c r="W160" i="66" s="1"/>
  <c r="AA160" i="66" s="1"/>
  <c r="V80" i="66"/>
  <c r="W80" i="66" s="1"/>
  <c r="AA80" i="66" s="1"/>
  <c r="V99" i="66"/>
  <c r="W99" i="66" s="1"/>
  <c r="AA99" i="66" s="1"/>
  <c r="V195" i="66"/>
  <c r="W195" i="66" s="1"/>
  <c r="AA195" i="66" s="1"/>
  <c r="V173" i="66"/>
  <c r="W173" i="66" s="1"/>
  <c r="AA173" i="66" s="1"/>
  <c r="V46" i="66"/>
  <c r="W46" i="66" s="1"/>
  <c r="AA46" i="66" s="1"/>
  <c r="V115" i="66"/>
  <c r="W115" i="66" s="1"/>
  <c r="AA115" i="66" s="1"/>
  <c r="V179" i="66"/>
  <c r="W179" i="66" s="1"/>
  <c r="AA179" i="66" s="1"/>
  <c r="V138" i="66"/>
  <c r="W138" i="66" s="1"/>
  <c r="AA138" i="66" s="1"/>
  <c r="V69" i="66"/>
  <c r="W69" i="66" s="1"/>
  <c r="AA69" i="66" s="1"/>
  <c r="V171" i="66"/>
  <c r="W171" i="66" s="1"/>
  <c r="AA171" i="66" s="1"/>
  <c r="V130" i="66"/>
  <c r="W130" i="66" s="1"/>
  <c r="AA130" i="66" s="1"/>
  <c r="V146" i="66"/>
  <c r="W146" i="66" s="1"/>
  <c r="AA146" i="66" s="1"/>
  <c r="V32" i="66"/>
  <c r="W32" i="66" s="1"/>
  <c r="AA32" i="66" s="1"/>
  <c r="V189" i="66"/>
  <c r="W189" i="66" s="1"/>
  <c r="AA189" i="66" s="1"/>
  <c r="V184" i="66"/>
  <c r="W184" i="66" s="1"/>
  <c r="AA184" i="66" s="1"/>
  <c r="V33" i="66"/>
  <c r="W33" i="66" s="1"/>
  <c r="AA33" i="66" s="1"/>
  <c r="V60" i="66"/>
  <c r="W60" i="66" s="1"/>
  <c r="AA60" i="66" s="1"/>
  <c r="V164" i="66"/>
  <c r="W164" i="66" s="1"/>
  <c r="AA164" i="66" s="1"/>
  <c r="V178" i="66"/>
  <c r="W178" i="66" s="1"/>
  <c r="AA178" i="66" s="1"/>
  <c r="V114" i="66"/>
  <c r="W114" i="66" s="1"/>
  <c r="AA114" i="66" s="1"/>
  <c r="V92" i="66"/>
  <c r="W92" i="66" s="1"/>
  <c r="AA92" i="66" s="1"/>
  <c r="V163" i="66"/>
  <c r="W163" i="66" s="1"/>
  <c r="AA163" i="66" s="1"/>
  <c r="V97" i="66"/>
  <c r="W97" i="66" s="1"/>
  <c r="AA97" i="66" s="1"/>
  <c r="V186" i="66"/>
  <c r="W186" i="66" s="1"/>
  <c r="AA186" i="66" s="1"/>
  <c r="V158" i="66"/>
  <c r="W158" i="66" s="1"/>
  <c r="AA158" i="66" s="1"/>
  <c r="V26" i="66"/>
  <c r="W26" i="66" s="1"/>
  <c r="AA26" i="66" s="1"/>
  <c r="V94" i="66"/>
  <c r="W94" i="66" s="1"/>
  <c r="AA94" i="66" s="1"/>
  <c r="V57" i="66"/>
  <c r="W57" i="66" s="1"/>
  <c r="AA57" i="66" s="1"/>
  <c r="V82" i="66"/>
  <c r="W82" i="66" s="1"/>
  <c r="AA82" i="66" s="1"/>
  <c r="V118" i="66"/>
  <c r="W118" i="66" s="1"/>
  <c r="AA118" i="66" s="1"/>
  <c r="V150" i="66"/>
  <c r="W150" i="66" s="1"/>
  <c r="AA150" i="66" s="1"/>
  <c r="V51" i="66"/>
  <c r="W51" i="66" s="1"/>
  <c r="AA51" i="66" s="1"/>
  <c r="V107" i="66"/>
  <c r="W107" i="66" s="1"/>
  <c r="AA107" i="66" s="1"/>
  <c r="V56" i="66"/>
  <c r="W56" i="66" s="1"/>
  <c r="AA56" i="66" s="1"/>
  <c r="V72" i="66"/>
  <c r="W72" i="66" s="1"/>
  <c r="AA72" i="66" s="1"/>
  <c r="V193" i="66"/>
  <c r="W193" i="66" s="1"/>
  <c r="AA193" i="66" s="1"/>
  <c r="V106" i="66"/>
  <c r="W106" i="66" s="1"/>
  <c r="AA106" i="66" s="1"/>
  <c r="V132" i="66"/>
  <c r="W132" i="66" s="1"/>
  <c r="AA132" i="66" s="1"/>
  <c r="V198" i="66"/>
  <c r="W198" i="66" s="1"/>
  <c r="AA198" i="66" s="1"/>
  <c r="V196" i="66"/>
  <c r="W196" i="66" s="1"/>
  <c r="AA196" i="66" s="1"/>
  <c r="V36" i="66"/>
  <c r="W36" i="66" s="1"/>
  <c r="AA36" i="66" s="1"/>
  <c r="V71" i="66"/>
  <c r="W71" i="66" s="1"/>
  <c r="AA71" i="66" s="1"/>
  <c r="V112" i="66"/>
  <c r="W112" i="66" s="1"/>
  <c r="AA112" i="66" s="1"/>
  <c r="V91" i="66"/>
  <c r="W91" i="66" s="1"/>
  <c r="AA91" i="66" s="1"/>
  <c r="V93" i="66"/>
  <c r="W93" i="66" s="1"/>
  <c r="AA93" i="66" s="1"/>
  <c r="V142" i="66"/>
  <c r="W142" i="66" s="1"/>
  <c r="AA142" i="66" s="1"/>
  <c r="V90" i="66"/>
  <c r="W90" i="66" s="1"/>
  <c r="AA90" i="66" s="1"/>
  <c r="V59" i="66"/>
  <c r="W59" i="66" s="1"/>
  <c r="AA59" i="66" s="1"/>
  <c r="V105" i="66"/>
  <c r="W105" i="66" s="1"/>
  <c r="AA105" i="66" s="1"/>
  <c r="V5" i="66"/>
  <c r="W5" i="66" s="1"/>
  <c r="AA5" i="66" s="1"/>
  <c r="V50" i="66"/>
  <c r="W50" i="66" s="1"/>
  <c r="AA50" i="66" s="1"/>
  <c r="V126" i="66"/>
  <c r="W126" i="66" s="1"/>
  <c r="AA126" i="66" s="1"/>
  <c r="V42" i="66"/>
  <c r="W42" i="66" s="1"/>
  <c r="AA42" i="66" s="1"/>
  <c r="V206" i="66"/>
  <c r="W206" i="66" s="1"/>
  <c r="AA206" i="66" s="1"/>
  <c r="V185" i="66"/>
  <c r="W185" i="66" s="1"/>
  <c r="AA185" i="66" s="1"/>
  <c r="V128" i="66"/>
  <c r="W128" i="66" s="1"/>
  <c r="AA128" i="66" s="1"/>
  <c r="V161" i="66"/>
  <c r="W161" i="66" s="1"/>
  <c r="V7" i="66"/>
  <c r="W7" i="66" s="1"/>
  <c r="AA7" i="66" s="1"/>
  <c r="V20" i="66"/>
  <c r="W20" i="66" s="1"/>
  <c r="AA20" i="66" s="1"/>
  <c r="V100" i="66"/>
  <c r="W100" i="66" s="1"/>
  <c r="AA100" i="66" s="1"/>
  <c r="V151" i="66"/>
  <c r="W151" i="66" s="1"/>
  <c r="AA151" i="66" s="1"/>
  <c r="V73" i="66"/>
  <c r="W73" i="66" s="1"/>
  <c r="AA73" i="66" s="1"/>
  <c r="V109" i="66"/>
  <c r="W109" i="66" s="1"/>
  <c r="AA109" i="66" s="1"/>
  <c r="V172" i="66"/>
  <c r="W172" i="66" s="1"/>
  <c r="AA172" i="66" s="1"/>
  <c r="V149" i="66"/>
  <c r="W149" i="66" s="1"/>
  <c r="AA149" i="66" s="1"/>
  <c r="V183" i="66"/>
  <c r="W183" i="66" s="1"/>
  <c r="AA183" i="66" s="1"/>
  <c r="V77" i="66"/>
  <c r="W77" i="66" s="1"/>
  <c r="AA77" i="66" s="1"/>
  <c r="V40" i="66"/>
  <c r="W40" i="66" s="1"/>
  <c r="AA40" i="66" s="1"/>
  <c r="V167" i="66"/>
  <c r="W167" i="66" s="1"/>
  <c r="AA167" i="66" s="1"/>
  <c r="V153" i="66"/>
  <c r="W153" i="66" s="1"/>
  <c r="AA153" i="66" s="1"/>
  <c r="V84" i="66"/>
  <c r="W84" i="66" s="1"/>
  <c r="AA84" i="66" s="1"/>
  <c r="V188" i="66"/>
  <c r="W188" i="66" s="1"/>
  <c r="AA188" i="66" s="1"/>
  <c r="V19" i="66"/>
  <c r="W19" i="66" s="1"/>
  <c r="AA19" i="66" s="1"/>
  <c r="V194" i="66"/>
  <c r="W194" i="66" s="1"/>
  <c r="AA194" i="66" s="1"/>
  <c r="V162" i="66"/>
  <c r="W162" i="66" s="1"/>
  <c r="AA162" i="66" s="1"/>
  <c r="V159" i="66"/>
  <c r="W159" i="66" s="1"/>
  <c r="AA159" i="66" s="1"/>
  <c r="V197" i="66"/>
  <c r="W197" i="66" s="1"/>
  <c r="AA197" i="66" s="1"/>
  <c r="V205" i="66"/>
  <c r="W205" i="66" s="1"/>
  <c r="AA205" i="66" s="1"/>
  <c r="V137" i="66"/>
  <c r="W137" i="66" s="1"/>
  <c r="AA137" i="66" s="1"/>
  <c r="V135" i="66"/>
  <c r="W135" i="66" s="1"/>
  <c r="AA135" i="66" s="1"/>
  <c r="V169" i="66"/>
  <c r="W169" i="66" s="1"/>
  <c r="AA169" i="66" s="1"/>
  <c r="V49" i="66"/>
  <c r="W49" i="66" s="1"/>
  <c r="AA49" i="66" s="1"/>
  <c r="V86" i="66"/>
  <c r="W86" i="66" s="1"/>
  <c r="AA86" i="66" s="1"/>
  <c r="V70" i="66"/>
  <c r="W70" i="66" s="1"/>
  <c r="AA70" i="66" s="1"/>
  <c r="V129" i="66"/>
  <c r="W129" i="66" s="1"/>
  <c r="AA129" i="66" s="1"/>
  <c r="V119" i="66"/>
  <c r="W119" i="66" s="1"/>
  <c r="AA119" i="66" s="1"/>
  <c r="V21" i="66"/>
  <c r="W21" i="66" s="1"/>
  <c r="AA21" i="66" s="1"/>
  <c r="V181" i="66"/>
  <c r="W181" i="66" s="1"/>
  <c r="AA181" i="66" s="1"/>
  <c r="V182" i="66"/>
  <c r="W182" i="66" s="1"/>
  <c r="AA182" i="66" s="1"/>
  <c r="V30" i="66"/>
  <c r="W30" i="66" s="1"/>
  <c r="AA30" i="66" s="1"/>
  <c r="V37" i="66"/>
  <c r="W37" i="66" s="1"/>
  <c r="AA37" i="66" s="1"/>
  <c r="V201" i="66"/>
  <c r="W201" i="66" s="1"/>
  <c r="AA201" i="66" s="1"/>
  <c r="V61" i="66"/>
  <c r="W61" i="66" s="1"/>
  <c r="AA61" i="66" s="1"/>
  <c r="V88" i="66"/>
  <c r="W88" i="66" s="1"/>
  <c r="AA88" i="66" s="1"/>
  <c r="V202" i="66"/>
  <c r="W202" i="66" s="1"/>
  <c r="AA202" i="66" s="1"/>
  <c r="V28" i="66"/>
  <c r="W28" i="66" s="1"/>
  <c r="AA28" i="66" s="1"/>
  <c r="V74" i="66"/>
  <c r="W74" i="66" s="1"/>
  <c r="AA74" i="66" s="1"/>
  <c r="V76" i="66"/>
  <c r="W76" i="66" s="1"/>
  <c r="AA76" i="66" s="1"/>
  <c r="V140" i="66"/>
  <c r="W140" i="66" s="1"/>
  <c r="AA140" i="66" s="1"/>
  <c r="V14" i="66"/>
  <c r="W14" i="66" s="1"/>
  <c r="AA14" i="66" s="1"/>
  <c r="V113" i="66"/>
  <c r="W113" i="66" s="1"/>
  <c r="AA113" i="66" s="1"/>
  <c r="V127" i="66"/>
  <c r="W127" i="66" s="1"/>
  <c r="AA127" i="66" s="1"/>
  <c r="V131" i="66"/>
  <c r="W131" i="66" s="1"/>
  <c r="AA131" i="66" s="1"/>
  <c r="V147" i="66"/>
  <c r="W147" i="66" s="1"/>
  <c r="AA147" i="66" s="1"/>
  <c r="V13" i="66"/>
  <c r="W13" i="66" s="1"/>
  <c r="AA13" i="66" s="1"/>
  <c r="V152" i="66"/>
  <c r="W152" i="66" s="1"/>
  <c r="AA152" i="66" s="1"/>
  <c r="V111" i="66"/>
  <c r="W111" i="66" s="1"/>
  <c r="AA111" i="66" s="1"/>
  <c r="V123" i="66"/>
  <c r="W123" i="66" s="1"/>
  <c r="AA123" i="66" s="1"/>
  <c r="V95" i="66"/>
  <c r="W95" i="66" s="1"/>
  <c r="AA95" i="66" s="1"/>
  <c r="V143" i="66"/>
  <c r="W143" i="66" s="1"/>
  <c r="AA143" i="66" s="1"/>
  <c r="V203" i="66"/>
  <c r="W203" i="66" s="1"/>
  <c r="AA203" i="66" s="1"/>
  <c r="V190" i="66"/>
  <c r="W190" i="66" s="1"/>
  <c r="AA190" i="66" s="1"/>
  <c r="V12" i="66"/>
  <c r="W12" i="66" s="1"/>
  <c r="AA12" i="66" s="1"/>
  <c r="V116" i="66"/>
  <c r="W116" i="66" s="1"/>
  <c r="AA116" i="66" s="1"/>
  <c r="V58" i="66"/>
  <c r="W58" i="66" s="1"/>
  <c r="AA58" i="66" s="1"/>
  <c r="V136" i="66"/>
  <c r="W136" i="66" s="1"/>
  <c r="AA136" i="66" s="1"/>
  <c r="V23" i="66"/>
  <c r="W23" i="66" s="1"/>
  <c r="AA23" i="66" s="1"/>
  <c r="V117" i="66"/>
  <c r="W117" i="66" s="1"/>
  <c r="AA117" i="66" s="1"/>
  <c r="V157" i="66"/>
  <c r="W157" i="66" s="1"/>
  <c r="AA157" i="66" s="1"/>
  <c r="V155" i="66"/>
  <c r="W155" i="66" s="1"/>
  <c r="AA155" i="66" s="1"/>
  <c r="V103" i="66"/>
  <c r="W103" i="66" s="1"/>
  <c r="AA103" i="66" s="1"/>
  <c r="V65" i="66"/>
  <c r="W65" i="66" s="1"/>
  <c r="AA65" i="66" s="1"/>
  <c r="V83" i="66"/>
  <c r="W83" i="66" s="1"/>
  <c r="AA83" i="66" s="1"/>
  <c r="V55" i="66"/>
  <c r="W55" i="66" s="1"/>
  <c r="AA55" i="66" s="1"/>
  <c r="V52" i="66"/>
  <c r="W52" i="66" s="1"/>
  <c r="AA52" i="66" s="1"/>
  <c r="V174" i="66"/>
  <c r="W174" i="66" s="1"/>
  <c r="AA174" i="66" s="1"/>
  <c r="V156" i="66"/>
  <c r="W156" i="66" s="1"/>
  <c r="AA156" i="66" s="1"/>
  <c r="V175" i="66"/>
  <c r="W175" i="66" s="1"/>
  <c r="AA175" i="66" s="1"/>
  <c r="V122" i="66"/>
  <c r="W122" i="66" s="1"/>
  <c r="AA122" i="66" s="1"/>
  <c r="V63" i="66"/>
  <c r="W63" i="66" s="1"/>
  <c r="AA63" i="66" s="1"/>
  <c r="V104" i="66"/>
  <c r="W104" i="66" s="1"/>
  <c r="AA104" i="66" s="1"/>
  <c r="O53" i="22"/>
  <c r="O31" i="22"/>
  <c r="O73" i="22"/>
  <c r="O80" i="22"/>
  <c r="O157" i="22"/>
  <c r="O13" i="22"/>
  <c r="O106" i="22"/>
  <c r="O139" i="22"/>
  <c r="O69" i="22"/>
  <c r="O184" i="22"/>
  <c r="O167" i="22"/>
  <c r="O186" i="22"/>
  <c r="O118" i="22"/>
  <c r="O52" i="22"/>
  <c r="O198" i="22"/>
  <c r="O203" i="22"/>
  <c r="O7" i="22"/>
  <c r="O99" i="22"/>
  <c r="O87" i="22"/>
  <c r="O199" i="22"/>
  <c r="O24" i="22"/>
  <c r="O27" i="22"/>
  <c r="O182" i="22"/>
  <c r="O48" i="22"/>
  <c r="O59" i="22"/>
  <c r="O26" i="22"/>
  <c r="O37" i="22"/>
  <c r="O128" i="22"/>
  <c r="O60" i="22"/>
  <c r="O44" i="22"/>
  <c r="O40" i="22"/>
  <c r="O189" i="22"/>
  <c r="O173" i="22"/>
  <c r="O107" i="22"/>
  <c r="O115" i="22"/>
  <c r="O161" i="22"/>
  <c r="O191" i="22"/>
  <c r="O187" i="22"/>
  <c r="O143" i="22"/>
  <c r="O28" i="22"/>
  <c r="O148" i="22"/>
  <c r="O90" i="22"/>
  <c r="O132" i="22"/>
  <c r="O153" i="22"/>
  <c r="O126" i="22"/>
  <c r="O133" i="22"/>
  <c r="O134" i="22"/>
  <c r="O104" i="22"/>
  <c r="O33" i="22"/>
  <c r="O62" i="22"/>
  <c r="O150" i="22"/>
  <c r="O54" i="22"/>
  <c r="O166" i="22"/>
  <c r="O124" i="22"/>
  <c r="O174" i="22"/>
  <c r="O15" i="22"/>
  <c r="O39" i="22"/>
  <c r="O112" i="22"/>
  <c r="O74" i="22"/>
  <c r="O179" i="22"/>
  <c r="O180" i="22"/>
  <c r="O195" i="22"/>
  <c r="O102" i="22"/>
  <c r="O171" i="22"/>
  <c r="O194" i="22"/>
  <c r="O119" i="22"/>
  <c r="O35" i="22"/>
  <c r="O145" i="22"/>
  <c r="O142" i="22"/>
  <c r="O16" i="22"/>
  <c r="O20" i="22"/>
  <c r="O147" i="22"/>
  <c r="O92" i="22"/>
  <c r="O68" i="22"/>
  <c r="O130" i="22"/>
  <c r="O86" i="22"/>
  <c r="O159" i="22"/>
  <c r="O105" i="22"/>
  <c r="BJ127" i="71" s="1"/>
  <c r="O183" i="22"/>
  <c r="O175" i="22"/>
  <c r="O91" i="22"/>
  <c r="O117" i="22"/>
  <c r="O83" i="22"/>
  <c r="BJ34" i="71" s="1"/>
  <c r="O202" i="22"/>
  <c r="O72" i="22"/>
  <c r="O41" i="22"/>
  <c r="O125" i="22"/>
  <c r="O93" i="22"/>
  <c r="O32" i="22"/>
  <c r="O181" i="22"/>
  <c r="O135" i="22"/>
  <c r="O34" i="22"/>
  <c r="O76" i="22"/>
  <c r="O10" i="22"/>
  <c r="O82" i="22"/>
  <c r="O110" i="22"/>
  <c r="O64" i="22"/>
  <c r="O30" i="22"/>
  <c r="O98" i="22"/>
  <c r="O79" i="22"/>
  <c r="O63" i="22"/>
  <c r="O5" i="22"/>
  <c r="O164" i="22"/>
  <c r="O55" i="22"/>
  <c r="O152" i="22"/>
  <c r="O109" i="22"/>
  <c r="O178" i="22"/>
  <c r="O201" i="22"/>
  <c r="O121" i="22"/>
  <c r="O192" i="22"/>
  <c r="O9" i="22"/>
  <c r="O205" i="22"/>
  <c r="O67" i="22"/>
  <c r="O78" i="22"/>
  <c r="O197" i="22"/>
  <c r="O144" i="22"/>
  <c r="O84" i="22"/>
  <c r="O160" i="22"/>
  <c r="O56" i="22"/>
  <c r="O77" i="22"/>
  <c r="O81" i="22"/>
  <c r="BJ113" i="71" s="1"/>
  <c r="O61" i="22"/>
  <c r="O137" i="22"/>
  <c r="O58" i="22"/>
  <c r="O114" i="22"/>
  <c r="O89" i="22"/>
  <c r="BJ31" i="71" s="1"/>
  <c r="O70" i="22"/>
  <c r="O116" i="22"/>
  <c r="O65" i="22"/>
  <c r="O14" i="22"/>
  <c r="O100" i="22"/>
  <c r="O38" i="22"/>
  <c r="O165" i="22"/>
  <c r="O136" i="22"/>
  <c r="O103" i="22"/>
  <c r="O163" i="22"/>
  <c r="O11" i="22"/>
  <c r="O46" i="22"/>
  <c r="O176" i="22"/>
  <c r="O190" i="22"/>
  <c r="O172" i="22"/>
  <c r="BJ100" i="71" s="1"/>
  <c r="O120" i="22"/>
  <c r="BJ169" i="71" s="1"/>
  <c r="O185" i="22"/>
  <c r="O75" i="22"/>
  <c r="O206" i="22"/>
  <c r="O57" i="22"/>
  <c r="O21" i="22"/>
  <c r="O18" i="22"/>
  <c r="O151" i="22"/>
  <c r="O36" i="22"/>
  <c r="O43" i="22"/>
  <c r="O155" i="22"/>
  <c r="O66" i="22"/>
  <c r="O88" i="22"/>
  <c r="O95" i="22"/>
  <c r="O50" i="22"/>
  <c r="O96" i="22"/>
  <c r="O149" i="22"/>
  <c r="O170" i="22"/>
  <c r="O196" i="22"/>
  <c r="O49" i="22"/>
  <c r="O123" i="22"/>
  <c r="O42" i="22"/>
  <c r="O168" i="22"/>
  <c r="O8" i="22"/>
  <c r="O45" i="22"/>
  <c r="O141" i="22"/>
  <c r="BJ109" i="71" s="1"/>
  <c r="O71" i="22"/>
  <c r="O22" i="22"/>
  <c r="O146" i="22"/>
  <c r="O51" i="22"/>
  <c r="O158" i="22"/>
  <c r="O29" i="22"/>
  <c r="O19" i="22"/>
  <c r="O97" i="22"/>
  <c r="O131" i="22"/>
  <c r="O140" i="22"/>
  <c r="O177" i="22"/>
  <c r="O113" i="22"/>
  <c r="O193" i="22"/>
  <c r="O138" i="22"/>
  <c r="O208" i="22"/>
  <c r="O23" i="22"/>
  <c r="O162" i="22"/>
  <c r="O169" i="22"/>
  <c r="BJ81" i="71" s="1"/>
  <c r="O111" i="22"/>
  <c r="O47" i="22"/>
  <c r="O85" i="22"/>
  <c r="BJ149" i="71" s="1"/>
  <c r="O156" i="22"/>
  <c r="O127" i="22"/>
  <c r="O154" i="22"/>
  <c r="O129" i="22"/>
  <c r="O17" i="22"/>
  <c r="O122" i="22"/>
  <c r="BJ182" i="71" s="1"/>
  <c r="O188" i="22"/>
  <c r="O25" i="22"/>
  <c r="BJ35" i="71" s="1"/>
  <c r="O101" i="22"/>
  <c r="O108" i="22"/>
  <c r="O204" i="22"/>
  <c r="E201" i="47"/>
  <c r="E187" i="52"/>
  <c r="E188" i="52" s="1"/>
  <c r="E241" i="52"/>
  <c r="E242" i="52" s="1"/>
  <c r="J65" i="22"/>
  <c r="AS108" i="71" s="1"/>
  <c r="J77" i="22"/>
  <c r="AS126" i="71" s="1"/>
  <c r="J154" i="22"/>
  <c r="AS191" i="71" s="1"/>
  <c r="J50" i="22"/>
  <c r="AS82" i="71" s="1"/>
  <c r="J61" i="22"/>
  <c r="AS192" i="71" s="1"/>
  <c r="J96" i="22"/>
  <c r="AS136" i="71" s="1"/>
  <c r="J129" i="22"/>
  <c r="J137" i="22"/>
  <c r="AS193" i="71" s="1"/>
  <c r="J149" i="22"/>
  <c r="J58" i="22"/>
  <c r="AS97" i="71" s="1"/>
  <c r="J17" i="22"/>
  <c r="AS195" i="71" s="1"/>
  <c r="J170" i="22"/>
  <c r="AS61" i="71" s="1"/>
  <c r="J114" i="22"/>
  <c r="AS132" i="71" s="1"/>
  <c r="J122" i="22"/>
  <c r="AS151" i="71" s="1"/>
  <c r="J196" i="22"/>
  <c r="AS190" i="71" s="1"/>
  <c r="J188" i="22"/>
  <c r="AS95" i="71" s="1"/>
  <c r="J89" i="22"/>
  <c r="AS128" i="71" s="1"/>
  <c r="J49" i="22"/>
  <c r="AS166" i="71" s="1"/>
  <c r="J25" i="22"/>
  <c r="J123" i="22"/>
  <c r="AS131" i="71" s="1"/>
  <c r="J70" i="22"/>
  <c r="AS116" i="71" s="1"/>
  <c r="J101" i="22"/>
  <c r="J42" i="22"/>
  <c r="J116" i="22"/>
  <c r="AS149" i="71" s="1"/>
  <c r="J108" i="22"/>
  <c r="AS83" i="71" s="1"/>
  <c r="J48" i="22"/>
  <c r="AS80" i="71" s="1"/>
  <c r="J176" i="22"/>
  <c r="J185" i="22"/>
  <c r="AS160" i="71" s="1"/>
  <c r="J18" i="22"/>
  <c r="AS98" i="71" s="1"/>
  <c r="J66" i="22"/>
  <c r="AS112" i="71" s="1"/>
  <c r="J141" i="22"/>
  <c r="AS205" i="71" s="1"/>
  <c r="J140" i="22"/>
  <c r="J23" i="22"/>
  <c r="J47" i="22"/>
  <c r="J53" i="22"/>
  <c r="AS88" i="71" s="1"/>
  <c r="J31" i="22"/>
  <c r="AS60" i="71" s="1"/>
  <c r="J73" i="22"/>
  <c r="AS119" i="71" s="1"/>
  <c r="J80" i="22"/>
  <c r="AS71" i="71" s="1"/>
  <c r="J157" i="22"/>
  <c r="AS203" i="71" s="1"/>
  <c r="J13" i="22"/>
  <c r="AS70" i="71" s="1"/>
  <c r="J106" i="22"/>
  <c r="AS174" i="71" s="1"/>
  <c r="J139" i="22"/>
  <c r="AS169" i="71" s="1"/>
  <c r="J69" i="22"/>
  <c r="J184" i="22"/>
  <c r="AS110" i="71" s="1"/>
  <c r="J167" i="22"/>
  <c r="AS81" i="71" s="1"/>
  <c r="J186" i="22"/>
  <c r="AS103" i="71" s="1"/>
  <c r="J118" i="22"/>
  <c r="AS147" i="71" s="1"/>
  <c r="J52" i="22"/>
  <c r="AS84" i="71" s="1"/>
  <c r="J198" i="22"/>
  <c r="AS139" i="71" s="1"/>
  <c r="J203" i="22"/>
  <c r="AS138" i="71" s="1"/>
  <c r="J7" i="22"/>
  <c r="J99" i="22"/>
  <c r="J87" i="22"/>
  <c r="AS163" i="71" s="1"/>
  <c r="J199" i="22"/>
  <c r="AS87" i="71" s="1"/>
  <c r="J24" i="22"/>
  <c r="J27" i="22"/>
  <c r="AS58" i="71" s="1"/>
  <c r="J182" i="22"/>
  <c r="AS109" i="71" s="1"/>
  <c r="J45" i="22"/>
  <c r="AS79" i="71" s="1"/>
  <c r="J103" i="22"/>
  <c r="AS198" i="71" s="1"/>
  <c r="J11" i="22"/>
  <c r="J172" i="22"/>
  <c r="AS157" i="71" s="1"/>
  <c r="J156" i="22"/>
  <c r="AS172" i="71" s="1"/>
  <c r="J22" i="22"/>
  <c r="J29" i="22"/>
  <c r="AS59" i="71" s="1"/>
  <c r="J113" i="22"/>
  <c r="J162" i="22"/>
  <c r="AS208" i="71" s="1"/>
  <c r="J85" i="22"/>
  <c r="AS125" i="71" s="1"/>
  <c r="J59" i="22"/>
  <c r="AS99" i="71" s="1"/>
  <c r="J26" i="22"/>
  <c r="AS57" i="71" s="1"/>
  <c r="J37" i="22"/>
  <c r="AS63" i="71" s="1"/>
  <c r="J128" i="22"/>
  <c r="AS161" i="71" s="1"/>
  <c r="J60" i="22"/>
  <c r="AS100" i="71" s="1"/>
  <c r="J44" i="22"/>
  <c r="AS69" i="71" s="1"/>
  <c r="J40" i="22"/>
  <c r="J153" i="22"/>
  <c r="AS168" i="71" s="1"/>
  <c r="J189" i="22"/>
  <c r="AS92" i="71" s="1"/>
  <c r="J173" i="22"/>
  <c r="J107" i="22"/>
  <c r="AS143" i="71" s="1"/>
  <c r="J115" i="22"/>
  <c r="J161" i="22"/>
  <c r="AS207" i="71" s="1"/>
  <c r="J191" i="22"/>
  <c r="AS72" i="71" s="1"/>
  <c r="J187" i="22"/>
  <c r="J143" i="22"/>
  <c r="J28" i="22"/>
  <c r="J126" i="22"/>
  <c r="AS201" i="71" s="1"/>
  <c r="J148" i="22"/>
  <c r="AS186" i="71" s="1"/>
  <c r="J8" i="22"/>
  <c r="AS6" i="71" s="1"/>
  <c r="J14" i="22"/>
  <c r="J90" i="22"/>
  <c r="AS129" i="71" s="1"/>
  <c r="J132" i="22"/>
  <c r="AS173" i="71" s="1"/>
  <c r="J20" i="22"/>
  <c r="J136" i="22"/>
  <c r="AS78" i="71" s="1"/>
  <c r="J190" i="22"/>
  <c r="AS86" i="71" s="1"/>
  <c r="J206" i="22"/>
  <c r="AS152" i="71" s="1"/>
  <c r="J36" i="22"/>
  <c r="AS64" i="71" s="1"/>
  <c r="J51" i="22"/>
  <c r="AS111" i="71" s="1"/>
  <c r="J97" i="22"/>
  <c r="AS167" i="71" s="1"/>
  <c r="J133" i="22"/>
  <c r="AS175" i="71" s="1"/>
  <c r="J134" i="22"/>
  <c r="J104" i="22"/>
  <c r="AS140" i="71" s="1"/>
  <c r="J33" i="22"/>
  <c r="J62" i="22"/>
  <c r="AS101" i="71" s="1"/>
  <c r="J150" i="22"/>
  <c r="AS76" i="71" s="1"/>
  <c r="J54" i="22"/>
  <c r="AS89" i="71" s="1"/>
  <c r="J166" i="22"/>
  <c r="AS68" i="71" s="1"/>
  <c r="J124" i="22"/>
  <c r="J174" i="22"/>
  <c r="J15" i="22"/>
  <c r="AS194" i="71" s="1"/>
  <c r="J39" i="22"/>
  <c r="AS66" i="71" s="1"/>
  <c r="J112" i="22"/>
  <c r="AS156" i="71" s="1"/>
  <c r="J74" i="22"/>
  <c r="AS106" i="71" s="1"/>
  <c r="J179" i="22"/>
  <c r="J180" i="22"/>
  <c r="AS202" i="71" s="1"/>
  <c r="J195" i="22"/>
  <c r="J102" i="22"/>
  <c r="AS141" i="71" s="1"/>
  <c r="J171" i="22"/>
  <c r="J194" i="22"/>
  <c r="J119" i="22"/>
  <c r="AS148" i="71" s="1"/>
  <c r="J35" i="22"/>
  <c r="AS62" i="71" s="1"/>
  <c r="J145" i="22"/>
  <c r="AS182" i="71" s="1"/>
  <c r="J142" i="22"/>
  <c r="AS199" i="71" s="1"/>
  <c r="J16" i="22"/>
  <c r="AS18" i="71" s="1"/>
  <c r="J34" i="22"/>
  <c r="AS177" i="71" s="1"/>
  <c r="J165" i="22"/>
  <c r="AS196" i="71" s="1"/>
  <c r="J151" i="22"/>
  <c r="AS188" i="71" s="1"/>
  <c r="J71" i="22"/>
  <c r="AS115" i="71" s="1"/>
  <c r="J193" i="22"/>
  <c r="AS150" i="71" s="1"/>
  <c r="J111" i="22"/>
  <c r="AS155" i="71" s="1"/>
  <c r="J12" i="22"/>
  <c r="AS13" i="71" s="1"/>
  <c r="J92" i="22"/>
  <c r="J68" i="22"/>
  <c r="AS114" i="71" s="1"/>
  <c r="J130" i="22"/>
  <c r="J76" i="22"/>
  <c r="J86" i="22"/>
  <c r="J159" i="22"/>
  <c r="AS204" i="71" s="1"/>
  <c r="J105" i="22"/>
  <c r="AS144" i="71" s="1"/>
  <c r="J183" i="22"/>
  <c r="AS187" i="71" s="1"/>
  <c r="J175" i="22"/>
  <c r="AS145" i="71" s="1"/>
  <c r="J91" i="22"/>
  <c r="AS130" i="71" s="1"/>
  <c r="J117" i="22"/>
  <c r="AS164" i="71" s="1"/>
  <c r="J83" i="22"/>
  <c r="J202" i="22"/>
  <c r="AS142" i="71" s="1"/>
  <c r="J10" i="22"/>
  <c r="J72" i="22"/>
  <c r="AS117" i="71" s="1"/>
  <c r="J41" i="22"/>
  <c r="AS67" i="71" s="1"/>
  <c r="J125" i="22"/>
  <c r="AS74" i="71" s="1"/>
  <c r="J82" i="22"/>
  <c r="AS123" i="71" s="1"/>
  <c r="J93" i="22"/>
  <c r="AS73" i="71" s="1"/>
  <c r="J32" i="22"/>
  <c r="J181" i="22"/>
  <c r="AS185" i="71" s="1"/>
  <c r="J110" i="22"/>
  <c r="AS154" i="71" s="1"/>
  <c r="J135" i="22"/>
  <c r="AS77" i="71" s="1"/>
  <c r="J81" i="22"/>
  <c r="AS197" i="71" s="1"/>
  <c r="J38" i="22"/>
  <c r="AS65" i="71" s="1"/>
  <c r="J46" i="22"/>
  <c r="J75" i="22"/>
  <c r="AS120" i="71" s="1"/>
  <c r="J155" i="22"/>
  <c r="AS85" i="71" s="1"/>
  <c r="J158" i="22"/>
  <c r="J131" i="22"/>
  <c r="AS171" i="71" s="1"/>
  <c r="J138" i="22"/>
  <c r="AS179" i="71" s="1"/>
  <c r="J169" i="22"/>
  <c r="AS162" i="71" s="1"/>
  <c r="J64" i="22"/>
  <c r="AS105" i="71" s="1"/>
  <c r="J30" i="22"/>
  <c r="AS181" i="71" s="1"/>
  <c r="J98" i="22"/>
  <c r="AS137" i="71" s="1"/>
  <c r="J79" i="22"/>
  <c r="AS121" i="71" s="1"/>
  <c r="J63" i="22"/>
  <c r="AS104" i="71" s="1"/>
  <c r="J5" i="22"/>
  <c r="AS184" i="71" s="1"/>
  <c r="J164" i="22"/>
  <c r="AS176" i="71" s="1"/>
  <c r="J55" i="22"/>
  <c r="J152" i="22"/>
  <c r="AS189" i="71" s="1"/>
  <c r="J109" i="22"/>
  <c r="AS146" i="71" s="1"/>
  <c r="J178" i="22"/>
  <c r="J201" i="22"/>
  <c r="AS200" i="71" s="1"/>
  <c r="J121" i="22"/>
  <c r="AS153" i="71" s="1"/>
  <c r="J192" i="22"/>
  <c r="AS134" i="71" s="1"/>
  <c r="J9" i="22"/>
  <c r="J205" i="22"/>
  <c r="AS90" i="71" s="1"/>
  <c r="J67" i="22"/>
  <c r="AS113" i="71" s="1"/>
  <c r="J78" i="22"/>
  <c r="J197" i="22"/>
  <c r="J144" i="22"/>
  <c r="AS180" i="71" s="1"/>
  <c r="J84" i="22"/>
  <c r="AS124" i="71" s="1"/>
  <c r="J160" i="22"/>
  <c r="AS206" i="71" s="1"/>
  <c r="J56" i="22"/>
  <c r="J88" i="22"/>
  <c r="AS107" i="71" s="1"/>
  <c r="J95" i="22"/>
  <c r="AS135" i="71" s="1"/>
  <c r="J100" i="22"/>
  <c r="AS36" i="71" s="1"/>
  <c r="J163" i="22"/>
  <c r="AS122" i="71" s="1"/>
  <c r="J120" i="22"/>
  <c r="J57" i="22"/>
  <c r="AS96" i="71" s="1"/>
  <c r="J43" i="22"/>
  <c r="AS170" i="71" s="1"/>
  <c r="J127" i="22"/>
  <c r="AS159" i="71" s="1"/>
  <c r="J146" i="22"/>
  <c r="AS75" i="71" s="1"/>
  <c r="J19" i="22"/>
  <c r="AS118" i="71" s="1"/>
  <c r="J177" i="22"/>
  <c r="J208" i="22"/>
  <c r="AS56" i="71" s="1"/>
  <c r="J168" i="22"/>
  <c r="E133" i="52"/>
  <c r="E134" i="52" s="1"/>
  <c r="E195" i="47"/>
  <c r="BJ139" i="71" l="1"/>
  <c r="BJ119" i="71"/>
  <c r="BJ137" i="71"/>
  <c r="J144" i="66"/>
  <c r="J169" i="66"/>
  <c r="J122" i="66"/>
  <c r="J202" i="66"/>
  <c r="J175" i="66"/>
  <c r="J5" i="66"/>
  <c r="J166" i="66"/>
  <c r="J201" i="66"/>
  <c r="J188" i="66"/>
  <c r="J189" i="66"/>
  <c r="J187" i="66"/>
  <c r="J217" i="66"/>
  <c r="J73" i="66"/>
  <c r="J17" i="66"/>
  <c r="J154" i="66"/>
  <c r="J173" i="66"/>
  <c r="J184" i="66"/>
  <c r="J170" i="66"/>
  <c r="J224" i="66"/>
  <c r="J136" i="66"/>
  <c r="J70" i="66"/>
  <c r="J79" i="66"/>
  <c r="J125" i="66"/>
  <c r="J74" i="66"/>
  <c r="J197" i="66"/>
  <c r="J65" i="66"/>
  <c r="J165" i="66"/>
  <c r="J199" i="66"/>
  <c r="J68" i="66"/>
  <c r="J155" i="66"/>
  <c r="J137" i="66"/>
  <c r="J118" i="66"/>
  <c r="J82" i="66"/>
  <c r="J131" i="66"/>
  <c r="J225" i="66"/>
  <c r="J138" i="66"/>
  <c r="J123" i="66"/>
  <c r="J84" i="66"/>
  <c r="J174" i="66"/>
  <c r="J116" i="66"/>
  <c r="J180" i="66"/>
  <c r="J192" i="66"/>
  <c r="J110" i="66"/>
  <c r="J99" i="66"/>
  <c r="J83" i="66"/>
  <c r="J59" i="66"/>
  <c r="J147" i="66"/>
  <c r="J60" i="66"/>
  <c r="J215" i="66"/>
  <c r="J69" i="66"/>
  <c r="J204" i="66"/>
  <c r="J117" i="66"/>
  <c r="J178" i="66"/>
  <c r="J213" i="66"/>
  <c r="J66" i="66"/>
  <c r="J157" i="66"/>
  <c r="J119" i="66"/>
  <c r="J168" i="66"/>
  <c r="J182" i="66"/>
  <c r="J61" i="66"/>
  <c r="J63" i="66"/>
  <c r="J159" i="66"/>
  <c r="J196" i="66"/>
  <c r="J87" i="66"/>
  <c r="J193" i="66"/>
  <c r="J72" i="66"/>
  <c r="J81" i="66"/>
  <c r="J95" i="66"/>
  <c r="J112" i="66"/>
  <c r="J222" i="66"/>
  <c r="J103" i="66"/>
  <c r="J64" i="66"/>
  <c r="J140" i="66"/>
  <c r="J146" i="66"/>
  <c r="J150" i="66"/>
  <c r="J212" i="66"/>
  <c r="J62" i="66"/>
  <c r="J78" i="66"/>
  <c r="J96" i="66"/>
  <c r="J55" i="66"/>
  <c r="J58" i="66"/>
  <c r="J89" i="66"/>
  <c r="J120" i="66"/>
  <c r="J195" i="66"/>
  <c r="J12" i="66"/>
  <c r="J67" i="66"/>
  <c r="J214" i="66"/>
  <c r="J85" i="66"/>
  <c r="J216" i="66"/>
  <c r="J71" i="66"/>
  <c r="J56" i="66"/>
  <c r="J80" i="66"/>
  <c r="J115" i="66"/>
  <c r="J142" i="66"/>
  <c r="J135" i="66"/>
  <c r="J76" i="66"/>
  <c r="J162" i="66"/>
  <c r="J153" i="66"/>
  <c r="J88" i="66"/>
  <c r="J77" i="66"/>
  <c r="J205" i="66"/>
  <c r="J98" i="66"/>
  <c r="J130" i="66"/>
  <c r="J191" i="66"/>
  <c r="J177" i="66"/>
  <c r="J194" i="66"/>
  <c r="J121" i="66"/>
  <c r="J132" i="66"/>
  <c r="J179" i="66"/>
  <c r="J152" i="66"/>
  <c r="J148" i="66"/>
  <c r="J226" i="66"/>
  <c r="J139" i="66"/>
  <c r="J75" i="66"/>
  <c r="J124" i="66"/>
  <c r="J133" i="66"/>
  <c r="J183" i="66"/>
  <c r="J143" i="66"/>
  <c r="J171" i="66"/>
  <c r="J141" i="66"/>
  <c r="J206" i="66"/>
  <c r="J86" i="66"/>
  <c r="J167" i="66"/>
  <c r="J111" i="66"/>
  <c r="J164" i="66"/>
  <c r="J94" i="66"/>
  <c r="J151" i="66"/>
  <c r="J104" i="66"/>
  <c r="J106" i="66"/>
  <c r="J160" i="66"/>
  <c r="J185" i="66"/>
  <c r="J200" i="66"/>
  <c r="J128" i="66"/>
  <c r="J161" i="66"/>
  <c r="J97" i="66"/>
  <c r="J127" i="66"/>
  <c r="J190" i="66"/>
  <c r="BJ129" i="71"/>
  <c r="BN129" i="71" s="1"/>
  <c r="BJ106" i="71"/>
  <c r="BL106" i="71" s="1"/>
  <c r="BM106" i="71" s="1"/>
  <c r="BJ4" i="71"/>
  <c r="BL4" i="71" s="1"/>
  <c r="BM4" i="71" s="1"/>
  <c r="BJ11" i="71"/>
  <c r="BN11" i="71" s="1"/>
  <c r="T206" i="22"/>
  <c r="CA152" i="71" s="1"/>
  <c r="T14" i="22"/>
  <c r="CA48" i="71" s="1"/>
  <c r="T26" i="22"/>
  <c r="CA57" i="71" s="1"/>
  <c r="T38" i="22"/>
  <c r="CA65" i="71" s="1"/>
  <c r="T50" i="22"/>
  <c r="CA82" i="71" s="1"/>
  <c r="T62" i="22"/>
  <c r="CA101" i="71" s="1"/>
  <c r="T74" i="22"/>
  <c r="CA106" i="71" s="1"/>
  <c r="T86" i="22"/>
  <c r="CA30" i="71" s="1"/>
  <c r="T99" i="22"/>
  <c r="CA31" i="71" s="1"/>
  <c r="T111" i="22"/>
  <c r="CA155" i="71" s="1"/>
  <c r="T123" i="22"/>
  <c r="CA131" i="71" s="1"/>
  <c r="T135" i="22"/>
  <c r="CA77" i="71" s="1"/>
  <c r="T147" i="22"/>
  <c r="CA183" i="71" s="1"/>
  <c r="T159" i="22"/>
  <c r="CA204" i="71" s="1"/>
  <c r="T171" i="22"/>
  <c r="CA45" i="71" s="1"/>
  <c r="T183" i="22"/>
  <c r="CA187" i="71" s="1"/>
  <c r="T195" i="22"/>
  <c r="CA49" i="71" s="1"/>
  <c r="T208" i="22"/>
  <c r="CA56" i="71" s="1"/>
  <c r="T7" i="22"/>
  <c r="CA14" i="71" s="1"/>
  <c r="T67" i="22"/>
  <c r="CA113" i="71" s="1"/>
  <c r="T79" i="22"/>
  <c r="CA121" i="71" s="1"/>
  <c r="T91" i="22"/>
  <c r="CA130" i="71" s="1"/>
  <c r="T104" i="22"/>
  <c r="CA140" i="71" s="1"/>
  <c r="T128" i="22"/>
  <c r="CA161" i="71" s="1"/>
  <c r="T140" i="22"/>
  <c r="CA41" i="71" s="1"/>
  <c r="T152" i="22"/>
  <c r="CA189" i="71" s="1"/>
  <c r="T188" i="22"/>
  <c r="CA95" i="71" s="1"/>
  <c r="T56" i="22"/>
  <c r="CA93" i="71" s="1"/>
  <c r="T9" i="22"/>
  <c r="CA8" i="71" s="1"/>
  <c r="T69" i="22"/>
  <c r="CA28" i="71" s="1"/>
  <c r="T81" i="22"/>
  <c r="CA197" i="71" s="1"/>
  <c r="T93" i="22"/>
  <c r="CA73" i="71" s="1"/>
  <c r="T106" i="22"/>
  <c r="CA174" i="71" s="1"/>
  <c r="T118" i="22"/>
  <c r="CA147" i="71" s="1"/>
  <c r="T130" i="22"/>
  <c r="CA39" i="71" s="1"/>
  <c r="T154" i="22"/>
  <c r="CA191" i="71" s="1"/>
  <c r="T190" i="22"/>
  <c r="CA86" i="71" s="1"/>
  <c r="T58" i="22"/>
  <c r="CA97" i="71" s="1"/>
  <c r="T35" i="22"/>
  <c r="CA62" i="71" s="1"/>
  <c r="T48" i="22"/>
  <c r="CA80" i="71" s="1"/>
  <c r="T61" i="22"/>
  <c r="CA192" i="71" s="1"/>
  <c r="T4" i="22"/>
  <c r="CA91" i="71" s="1"/>
  <c r="T15" i="22"/>
  <c r="CA194" i="71" s="1"/>
  <c r="T27" i="22"/>
  <c r="CA58" i="71" s="1"/>
  <c r="T39" i="22"/>
  <c r="CA66" i="71" s="1"/>
  <c r="T51" i="22"/>
  <c r="CA111" i="71" s="1"/>
  <c r="T63" i="22"/>
  <c r="CA104" i="71" s="1"/>
  <c r="T75" i="22"/>
  <c r="CA120" i="71" s="1"/>
  <c r="T87" i="22"/>
  <c r="CA163" i="71" s="1"/>
  <c r="T100" i="22"/>
  <c r="CA32" i="71" s="1"/>
  <c r="T112" i="22"/>
  <c r="CA156" i="71" s="1"/>
  <c r="T124" i="22"/>
  <c r="CA158" i="71" s="1"/>
  <c r="T136" i="22"/>
  <c r="CA78" i="71" s="1"/>
  <c r="T148" i="22"/>
  <c r="CA186" i="71" s="1"/>
  <c r="T160" i="22"/>
  <c r="CA206" i="71" s="1"/>
  <c r="T172" i="22"/>
  <c r="CA157" i="71" s="1"/>
  <c r="T184" i="22"/>
  <c r="CA110" i="71" s="1"/>
  <c r="T196" i="22"/>
  <c r="CA190" i="71" s="1"/>
  <c r="T43" i="22"/>
  <c r="CA170" i="71" s="1"/>
  <c r="T116" i="22"/>
  <c r="CA149" i="71" s="1"/>
  <c r="T164" i="22"/>
  <c r="CA176" i="71" s="1"/>
  <c r="T200" i="22"/>
  <c r="CA127" i="71" s="1"/>
  <c r="T44" i="22"/>
  <c r="CA69" i="71" s="1"/>
  <c r="T21" i="22"/>
  <c r="CA5" i="71" s="1"/>
  <c r="T166" i="22"/>
  <c r="CA68" i="71" s="1"/>
  <c r="T22" i="22"/>
  <c r="CA52" i="71" s="1"/>
  <c r="T59" i="22"/>
  <c r="CA99" i="71" s="1"/>
  <c r="T60" i="22"/>
  <c r="CA100" i="71" s="1"/>
  <c r="T49" i="22"/>
  <c r="CA166" i="71" s="1"/>
  <c r="T16" i="22"/>
  <c r="CA50" i="71" s="1"/>
  <c r="T28" i="22"/>
  <c r="CA23" i="71" s="1"/>
  <c r="T40" i="22"/>
  <c r="CA16" i="71" s="1"/>
  <c r="T52" i="22"/>
  <c r="CA84" i="71" s="1"/>
  <c r="T64" i="22"/>
  <c r="CA105" i="71" s="1"/>
  <c r="T76" i="22"/>
  <c r="CA10" i="71" s="1"/>
  <c r="T88" i="22"/>
  <c r="CA107" i="71" s="1"/>
  <c r="T101" i="22"/>
  <c r="CA33" i="71" s="1"/>
  <c r="T113" i="22"/>
  <c r="CA26" i="71" s="1"/>
  <c r="T125" i="22"/>
  <c r="CA74" i="71" s="1"/>
  <c r="T137" i="22"/>
  <c r="CA193" i="71" s="1"/>
  <c r="T149" i="22"/>
  <c r="CA44" i="71" s="1"/>
  <c r="T161" i="22"/>
  <c r="CA207" i="71" s="1"/>
  <c r="T173" i="22"/>
  <c r="CA29" i="71" s="1"/>
  <c r="T185" i="22"/>
  <c r="CA160" i="71" s="1"/>
  <c r="T197" i="22"/>
  <c r="CA53" i="71" s="1"/>
  <c r="T31" i="22"/>
  <c r="CA60" i="71" s="1"/>
  <c r="T20" i="22"/>
  <c r="CA20" i="71" s="1"/>
  <c r="T33" i="22"/>
  <c r="CA25" i="71" s="1"/>
  <c r="T142" i="22"/>
  <c r="CA199" i="71" s="1"/>
  <c r="T202" i="22"/>
  <c r="CA142" i="71" s="1"/>
  <c r="T10" i="22"/>
  <c r="CA9" i="71" s="1"/>
  <c r="T70" i="22"/>
  <c r="CA116" i="71" s="1"/>
  <c r="T82" i="22"/>
  <c r="CA123" i="71" s="1"/>
  <c r="T95" i="22"/>
  <c r="CA135" i="71" s="1"/>
  <c r="T107" i="22"/>
  <c r="CA143" i="71" s="1"/>
  <c r="T119" i="22"/>
  <c r="CA148" i="71" s="1"/>
  <c r="T131" i="22"/>
  <c r="CA171" i="71" s="1"/>
  <c r="T143" i="22"/>
  <c r="CA40" i="71" s="1"/>
  <c r="T155" i="22"/>
  <c r="CA85" i="71" s="1"/>
  <c r="T167" i="22"/>
  <c r="CA81" i="71" s="1"/>
  <c r="T179" i="22"/>
  <c r="CA47" i="71" s="1"/>
  <c r="T191" i="22"/>
  <c r="CA72" i="71" s="1"/>
  <c r="T203" i="22"/>
  <c r="CA138" i="71" s="1"/>
  <c r="T11" i="22"/>
  <c r="CA11" i="71" s="1"/>
  <c r="T71" i="22"/>
  <c r="CA115" i="71" s="1"/>
  <c r="T83" i="22"/>
  <c r="CA34" i="71" s="1"/>
  <c r="T96" i="22"/>
  <c r="CA136" i="71" s="1"/>
  <c r="T120" i="22"/>
  <c r="CA43" i="71" s="1"/>
  <c r="T132" i="22"/>
  <c r="CA173" i="71" s="1"/>
  <c r="T156" i="22"/>
  <c r="CA172" i="71" s="1"/>
  <c r="T168" i="22"/>
  <c r="CA12" i="71" s="1"/>
  <c r="T204" i="22"/>
  <c r="CA178" i="71" s="1"/>
  <c r="T36" i="22"/>
  <c r="CA64" i="71" s="1"/>
  <c r="T205" i="22"/>
  <c r="CA90" i="71" s="1"/>
  <c r="T25" i="22"/>
  <c r="CA55" i="71" s="1"/>
  <c r="T5" i="22"/>
  <c r="CA184" i="71" s="1"/>
  <c r="T17" i="22"/>
  <c r="CA195" i="71" s="1"/>
  <c r="T29" i="22"/>
  <c r="CA59" i="71" s="1"/>
  <c r="T41" i="22"/>
  <c r="CA67" i="71" s="1"/>
  <c r="T53" i="22"/>
  <c r="CA88" i="71" s="1"/>
  <c r="T65" i="22"/>
  <c r="CA108" i="71" s="1"/>
  <c r="T77" i="22"/>
  <c r="CA126" i="71" s="1"/>
  <c r="T89" i="22"/>
  <c r="CA128" i="71" s="1"/>
  <c r="T102" i="22"/>
  <c r="CA141" i="71" s="1"/>
  <c r="T114" i="22"/>
  <c r="CA132" i="71" s="1"/>
  <c r="T126" i="22"/>
  <c r="CA201" i="71" s="1"/>
  <c r="T138" i="22"/>
  <c r="CA179" i="71" s="1"/>
  <c r="T150" i="22"/>
  <c r="CA76" i="71" s="1"/>
  <c r="T162" i="22"/>
  <c r="CA208" i="71" s="1"/>
  <c r="T174" i="22"/>
  <c r="CA15" i="71" s="1"/>
  <c r="T186" i="22"/>
  <c r="CA103" i="71" s="1"/>
  <c r="T198" i="22"/>
  <c r="CA139" i="71" s="1"/>
  <c r="T55" i="22"/>
  <c r="CA35" i="71" s="1"/>
  <c r="T176" i="22"/>
  <c r="CA38" i="71" s="1"/>
  <c r="T32" i="22"/>
  <c r="CA24" i="71" s="1"/>
  <c r="T45" i="22"/>
  <c r="CA79" i="71" s="1"/>
  <c r="T34" i="22"/>
  <c r="CA177" i="71" s="1"/>
  <c r="T47" i="22"/>
  <c r="CA37" i="71" s="1"/>
  <c r="T24" i="22"/>
  <c r="CA22" i="71" s="1"/>
  <c r="T37" i="22"/>
  <c r="CA63" i="71" s="1"/>
  <c r="T6" i="22"/>
  <c r="CA6" i="71" s="1"/>
  <c r="T18" i="22"/>
  <c r="CA98" i="71" s="1"/>
  <c r="T30" i="22"/>
  <c r="CA181" i="71" s="1"/>
  <c r="T42" i="22"/>
  <c r="CA18" i="71" s="1"/>
  <c r="T54" i="22"/>
  <c r="CA89" i="71" s="1"/>
  <c r="T66" i="22"/>
  <c r="CA112" i="71" s="1"/>
  <c r="T78" i="22"/>
  <c r="T90" i="22"/>
  <c r="CA129" i="71" s="1"/>
  <c r="T103" i="22"/>
  <c r="CA198" i="71" s="1"/>
  <c r="T115" i="22"/>
  <c r="CA42" i="71" s="1"/>
  <c r="T127" i="22"/>
  <c r="CA159" i="71" s="1"/>
  <c r="T139" i="22"/>
  <c r="CA169" i="71" s="1"/>
  <c r="T151" i="22"/>
  <c r="CA188" i="71" s="1"/>
  <c r="T163" i="22"/>
  <c r="CA122" i="71" s="1"/>
  <c r="T175" i="22"/>
  <c r="CA145" i="71" s="1"/>
  <c r="T187" i="22"/>
  <c r="CA17" i="71" s="1"/>
  <c r="T199" i="22"/>
  <c r="CA87" i="71" s="1"/>
  <c r="T19" i="22"/>
  <c r="CA118" i="71" s="1"/>
  <c r="T8" i="22"/>
  <c r="CA7" i="71" s="1"/>
  <c r="T68" i="22"/>
  <c r="CA114" i="71" s="1"/>
  <c r="T80" i="22"/>
  <c r="CA71" i="71" s="1"/>
  <c r="T92" i="22"/>
  <c r="CA46" i="71" s="1"/>
  <c r="T105" i="22"/>
  <c r="CA144" i="71" s="1"/>
  <c r="T117" i="22"/>
  <c r="CA164" i="71" s="1"/>
  <c r="T129" i="22"/>
  <c r="CA36" i="71" s="1"/>
  <c r="T141" i="22"/>
  <c r="CA205" i="71" s="1"/>
  <c r="T153" i="22"/>
  <c r="CA168" i="71" s="1"/>
  <c r="T165" i="22"/>
  <c r="CA196" i="71" s="1"/>
  <c r="T177" i="22"/>
  <c r="CA94" i="71" s="1"/>
  <c r="T189" i="22"/>
  <c r="CA92" i="71" s="1"/>
  <c r="T201" i="22"/>
  <c r="CA200" i="71" s="1"/>
  <c r="T57" i="22"/>
  <c r="CA96" i="71" s="1"/>
  <c r="T178" i="22"/>
  <c r="CA51" i="71" s="1"/>
  <c r="T46" i="22"/>
  <c r="CA27" i="71" s="1"/>
  <c r="T23" i="22"/>
  <c r="CA54" i="71" s="1"/>
  <c r="T108" i="22"/>
  <c r="CA83" i="71" s="1"/>
  <c r="T144" i="22"/>
  <c r="CA180" i="71" s="1"/>
  <c r="T180" i="22"/>
  <c r="CA202" i="71" s="1"/>
  <c r="T192" i="22"/>
  <c r="CA134" i="71" s="1"/>
  <c r="T12" i="22"/>
  <c r="CA13" i="71" s="1"/>
  <c r="T72" i="22"/>
  <c r="CA117" i="71" s="1"/>
  <c r="T84" i="22"/>
  <c r="CA124" i="71" s="1"/>
  <c r="T97" i="22"/>
  <c r="CA167" i="71" s="1"/>
  <c r="T109" i="22"/>
  <c r="CA146" i="71" s="1"/>
  <c r="T121" i="22"/>
  <c r="CA153" i="71" s="1"/>
  <c r="T133" i="22"/>
  <c r="CA175" i="71" s="1"/>
  <c r="T145" i="22"/>
  <c r="CA182" i="71" s="1"/>
  <c r="T157" i="22"/>
  <c r="CA203" i="71" s="1"/>
  <c r="T169" i="22"/>
  <c r="CA162" i="71" s="1"/>
  <c r="T181" i="22"/>
  <c r="CA185" i="71" s="1"/>
  <c r="T193" i="22"/>
  <c r="CA150" i="71" s="1"/>
  <c r="T13" i="22"/>
  <c r="CA70" i="71" s="1"/>
  <c r="T73" i="22"/>
  <c r="CA119" i="71" s="1"/>
  <c r="T85" i="22"/>
  <c r="CA125" i="71" s="1"/>
  <c r="T98" i="22"/>
  <c r="CA137" i="71" s="1"/>
  <c r="T110" i="22"/>
  <c r="CA154" i="71" s="1"/>
  <c r="T122" i="22"/>
  <c r="CA151" i="71" s="1"/>
  <c r="T134" i="22"/>
  <c r="CA165" i="71" s="1"/>
  <c r="T146" i="22"/>
  <c r="CA75" i="71" s="1"/>
  <c r="T158" i="22"/>
  <c r="CA19" i="71" s="1"/>
  <c r="T170" i="22"/>
  <c r="CA61" i="71" s="1"/>
  <c r="T182" i="22"/>
  <c r="CA109" i="71" s="1"/>
  <c r="T194" i="22"/>
  <c r="CA21" i="71" s="1"/>
  <c r="T207" i="22"/>
  <c r="CA102" i="71" s="1"/>
  <c r="BL100" i="71"/>
  <c r="BM100" i="71" s="1"/>
  <c r="BN100" i="71"/>
  <c r="BL31" i="71"/>
  <c r="BM31" i="71" s="1"/>
  <c r="BN31" i="71"/>
  <c r="BN35" i="71"/>
  <c r="BL35" i="71"/>
  <c r="BN182" i="71"/>
  <c r="BL182" i="71"/>
  <c r="BM182" i="71" s="1"/>
  <c r="BN169" i="71"/>
  <c r="BL169" i="71"/>
  <c r="BM169" i="71" s="1"/>
  <c r="BL149" i="71"/>
  <c r="BM149" i="71" s="1"/>
  <c r="BN149" i="71"/>
  <c r="BL81" i="71"/>
  <c r="BM81" i="71" s="1"/>
  <c r="BN81" i="71"/>
  <c r="BN139" i="71"/>
  <c r="BL139" i="71"/>
  <c r="BM139" i="71" s="1"/>
  <c r="BL127" i="71"/>
  <c r="BM127" i="71" s="1"/>
  <c r="BN127" i="71"/>
  <c r="BN34" i="71"/>
  <c r="BL34" i="71"/>
  <c r="BM34" i="71" s="1"/>
  <c r="BN113" i="71"/>
  <c r="BL113" i="71"/>
  <c r="BM113" i="71" s="1"/>
  <c r="BL119" i="71"/>
  <c r="BM119" i="71" s="1"/>
  <c r="BN119" i="71"/>
  <c r="BL137" i="71"/>
  <c r="BM137" i="71" s="1"/>
  <c r="BN137" i="71"/>
  <c r="BL109" i="71"/>
  <c r="BM109" i="71" s="1"/>
  <c r="BN109" i="71"/>
  <c r="BJ183" i="71"/>
  <c r="BJ38" i="71"/>
  <c r="BJ154" i="71"/>
  <c r="BJ158" i="71"/>
  <c r="BJ57" i="71"/>
  <c r="BJ134" i="71"/>
  <c r="BJ17" i="71"/>
  <c r="BJ194" i="71"/>
  <c r="BJ142" i="71"/>
  <c r="BJ80" i="71"/>
  <c r="BJ103" i="71"/>
  <c r="BJ203" i="71"/>
  <c r="BJ114" i="71"/>
  <c r="BJ52" i="71"/>
  <c r="BJ153" i="71"/>
  <c r="BJ174" i="71"/>
  <c r="BJ84" i="71"/>
  <c r="BJ92" i="71"/>
  <c r="BJ192" i="71"/>
  <c r="BJ15" i="71"/>
  <c r="BJ200" i="71"/>
  <c r="BJ74" i="71"/>
  <c r="BJ96" i="71"/>
  <c r="BJ117" i="71"/>
  <c r="BJ9" i="71"/>
  <c r="BJ62" i="71"/>
  <c r="BJ173" i="71"/>
  <c r="BJ112" i="71"/>
  <c r="BJ90" i="71"/>
  <c r="AW112" i="71"/>
  <c r="AU112" i="71"/>
  <c r="AV112" i="71" s="1"/>
  <c r="AW56" i="71"/>
  <c r="AU56" i="71"/>
  <c r="AV56" i="71" s="1"/>
  <c r="AS23" i="71"/>
  <c r="AS93" i="71"/>
  <c r="AW73" i="71"/>
  <c r="AU73" i="71"/>
  <c r="AV73" i="71" s="1"/>
  <c r="AW144" i="71"/>
  <c r="AU144" i="71"/>
  <c r="AV144" i="71" s="1"/>
  <c r="AW196" i="71"/>
  <c r="AU196" i="71"/>
  <c r="AV196" i="71" s="1"/>
  <c r="AW140" i="71"/>
  <c r="AU140" i="71"/>
  <c r="AV140" i="71" s="1"/>
  <c r="AW92" i="71"/>
  <c r="AU92" i="71"/>
  <c r="AV92" i="71" s="1"/>
  <c r="AW59" i="71"/>
  <c r="AU59" i="71"/>
  <c r="AV59" i="71" s="1"/>
  <c r="AW163" i="71"/>
  <c r="AU163" i="71"/>
  <c r="AV163" i="71" s="1"/>
  <c r="AW174" i="71"/>
  <c r="AU174" i="71"/>
  <c r="AV174" i="71" s="1"/>
  <c r="AW98" i="71"/>
  <c r="AU98" i="71"/>
  <c r="AV98" i="71" s="1"/>
  <c r="AW128" i="71"/>
  <c r="AU128" i="71"/>
  <c r="AV128" i="71" s="1"/>
  <c r="AW192" i="71"/>
  <c r="AU192" i="71"/>
  <c r="AV192" i="71" s="1"/>
  <c r="BJ48" i="71"/>
  <c r="BJ22" i="71"/>
  <c r="AW162" i="71"/>
  <c r="AU162" i="71"/>
  <c r="AV162" i="71" s="1"/>
  <c r="AW179" i="71"/>
  <c r="AU179" i="71"/>
  <c r="AV179" i="71" s="1"/>
  <c r="AS17" i="71"/>
  <c r="AS94" i="71"/>
  <c r="AW206" i="71"/>
  <c r="AU206" i="71"/>
  <c r="AV206" i="71" s="1"/>
  <c r="AW146" i="71"/>
  <c r="AU146" i="71"/>
  <c r="AV146" i="71" s="1"/>
  <c r="AW171" i="71"/>
  <c r="AU171" i="71"/>
  <c r="AV171" i="71" s="1"/>
  <c r="AW123" i="71"/>
  <c r="AU123" i="71"/>
  <c r="AV123" i="71" s="1"/>
  <c r="AW204" i="71"/>
  <c r="AU204" i="71"/>
  <c r="AV204" i="71" s="1"/>
  <c r="AW177" i="71"/>
  <c r="AU177" i="71"/>
  <c r="AV177" i="71" s="1"/>
  <c r="AW106" i="71"/>
  <c r="AU106" i="71"/>
  <c r="AV106" i="71" s="1"/>
  <c r="AS29" i="71"/>
  <c r="AS165" i="71"/>
  <c r="AW6" i="71"/>
  <c r="AU6" i="71"/>
  <c r="AV6" i="71" s="1"/>
  <c r="AW168" i="71"/>
  <c r="AU168" i="71"/>
  <c r="AV168" i="71" s="1"/>
  <c r="AW70" i="71"/>
  <c r="AU70" i="71"/>
  <c r="AV70" i="71" s="1"/>
  <c r="AW160" i="71"/>
  <c r="AU160" i="71"/>
  <c r="AV160" i="71" s="1"/>
  <c r="AW95" i="71"/>
  <c r="AU95" i="71"/>
  <c r="AV95" i="71" s="1"/>
  <c r="AW82" i="71"/>
  <c r="AU82" i="71"/>
  <c r="AV82" i="71" s="1"/>
  <c r="BJ196" i="71"/>
  <c r="AW200" i="71"/>
  <c r="AU200" i="71"/>
  <c r="AV200" i="71" s="1"/>
  <c r="AW124" i="71"/>
  <c r="AU124" i="71"/>
  <c r="AV124" i="71" s="1"/>
  <c r="AW189" i="71"/>
  <c r="AU189" i="71"/>
  <c r="AV189" i="71" s="1"/>
  <c r="AW74" i="71"/>
  <c r="AU74" i="71"/>
  <c r="AV74" i="71" s="1"/>
  <c r="AW18" i="71"/>
  <c r="AU18" i="71"/>
  <c r="AW156" i="71"/>
  <c r="AU156" i="71"/>
  <c r="AV156" i="71" s="1"/>
  <c r="AW175" i="71"/>
  <c r="AU175" i="71"/>
  <c r="AV175" i="71" s="1"/>
  <c r="AW186" i="71"/>
  <c r="AU186" i="71"/>
  <c r="AV186" i="71" s="1"/>
  <c r="AW172" i="71"/>
  <c r="AU172" i="71"/>
  <c r="AV172" i="71" s="1"/>
  <c r="AW203" i="71"/>
  <c r="AU203" i="71"/>
  <c r="AV203" i="71" s="1"/>
  <c r="AW190" i="71"/>
  <c r="AU190" i="71"/>
  <c r="AV190" i="71" s="1"/>
  <c r="AW191" i="71"/>
  <c r="AU191" i="71"/>
  <c r="AV191" i="71" s="1"/>
  <c r="AW107" i="71"/>
  <c r="AU107" i="71"/>
  <c r="AV107" i="71" s="1"/>
  <c r="AW129" i="71"/>
  <c r="AU129" i="71"/>
  <c r="AV129" i="71" s="1"/>
  <c r="AW66" i="71"/>
  <c r="AU66" i="71"/>
  <c r="AV66" i="71" s="1"/>
  <c r="AW167" i="71"/>
  <c r="AU167" i="71"/>
  <c r="AV167" i="71" s="1"/>
  <c r="AW201" i="71"/>
  <c r="AU201" i="71"/>
  <c r="AV201" i="71" s="1"/>
  <c r="AW69" i="71"/>
  <c r="AU69" i="71"/>
  <c r="AV69" i="71" s="1"/>
  <c r="AW138" i="71"/>
  <c r="AU138" i="71"/>
  <c r="AV138" i="71" s="1"/>
  <c r="AW71" i="71"/>
  <c r="AU71" i="71"/>
  <c r="AV71" i="71" s="1"/>
  <c r="AW80" i="71"/>
  <c r="AU80" i="71"/>
  <c r="AV80" i="71" s="1"/>
  <c r="AW151" i="71"/>
  <c r="AU151" i="71"/>
  <c r="AV151" i="71" s="1"/>
  <c r="AW126" i="71"/>
  <c r="AU126" i="71"/>
  <c r="AV126" i="71" s="1"/>
  <c r="BJ99" i="71"/>
  <c r="BJ70" i="71"/>
  <c r="AW87" i="71"/>
  <c r="AU87" i="71"/>
  <c r="AV87" i="71" s="1"/>
  <c r="AW67" i="71"/>
  <c r="AU67" i="71"/>
  <c r="AV67" i="71" s="1"/>
  <c r="AW120" i="71"/>
  <c r="AU120" i="71"/>
  <c r="AV120" i="71" s="1"/>
  <c r="AW117" i="71"/>
  <c r="AU117" i="71"/>
  <c r="AV117" i="71" s="1"/>
  <c r="AW182" i="71"/>
  <c r="AU182" i="71"/>
  <c r="AV182" i="71" s="1"/>
  <c r="AW194" i="71"/>
  <c r="AU194" i="71"/>
  <c r="AV194" i="71" s="1"/>
  <c r="AW111" i="71"/>
  <c r="AU111" i="71"/>
  <c r="AV111" i="71" s="1"/>
  <c r="AW100" i="71"/>
  <c r="AU100" i="71"/>
  <c r="AV100" i="71" s="1"/>
  <c r="AW157" i="71"/>
  <c r="AU157" i="71"/>
  <c r="AV157" i="71" s="1"/>
  <c r="AW139" i="71"/>
  <c r="AU139" i="71"/>
  <c r="AV139" i="71" s="1"/>
  <c r="AW119" i="71"/>
  <c r="AU119" i="71"/>
  <c r="AV119" i="71" s="1"/>
  <c r="AW83" i="71"/>
  <c r="AU83" i="71"/>
  <c r="AV83" i="71" s="1"/>
  <c r="AW132" i="71"/>
  <c r="AU132" i="71"/>
  <c r="AV132" i="71" s="1"/>
  <c r="AW108" i="71"/>
  <c r="AU108" i="71"/>
  <c r="AV108" i="71" s="1"/>
  <c r="AW202" i="71"/>
  <c r="AU202" i="71"/>
  <c r="AV202" i="71" s="1"/>
  <c r="AW85" i="71"/>
  <c r="AU85" i="71"/>
  <c r="AV85" i="71" s="1"/>
  <c r="AW176" i="71"/>
  <c r="AU176" i="71"/>
  <c r="AV176" i="71" s="1"/>
  <c r="AW184" i="71"/>
  <c r="AU184" i="71"/>
  <c r="AV184" i="71" s="1"/>
  <c r="AW114" i="71"/>
  <c r="AU114" i="71"/>
  <c r="AV114" i="71" s="1"/>
  <c r="AW62" i="71"/>
  <c r="AU62" i="71"/>
  <c r="AV62" i="71" s="1"/>
  <c r="AW64" i="71"/>
  <c r="AU64" i="71"/>
  <c r="AV64" i="71" s="1"/>
  <c r="AW161" i="71"/>
  <c r="AU161" i="71"/>
  <c r="AV161" i="71" s="1"/>
  <c r="AW84" i="71"/>
  <c r="AU84" i="71"/>
  <c r="AV84" i="71" s="1"/>
  <c r="AW60" i="71"/>
  <c r="AU60" i="71"/>
  <c r="AV60" i="71" s="1"/>
  <c r="AW149" i="71"/>
  <c r="AU149" i="71"/>
  <c r="AV149" i="71" s="1"/>
  <c r="AW61" i="71"/>
  <c r="AU61" i="71"/>
  <c r="AV61" i="71" s="1"/>
  <c r="BJ202" i="71"/>
  <c r="BJ56" i="71"/>
  <c r="AW188" i="71"/>
  <c r="AU188" i="71"/>
  <c r="AV188" i="71" s="1"/>
  <c r="AW166" i="71"/>
  <c r="AU166" i="71"/>
  <c r="AV166" i="71" s="1"/>
  <c r="AW118" i="71"/>
  <c r="AU118" i="71"/>
  <c r="AV118" i="71" s="1"/>
  <c r="AW199" i="71"/>
  <c r="AU199" i="71"/>
  <c r="AV199" i="71" s="1"/>
  <c r="AW170" i="71"/>
  <c r="AU170" i="71"/>
  <c r="AV170" i="71" s="1"/>
  <c r="AW96" i="71"/>
  <c r="AU96" i="71"/>
  <c r="AV96" i="71" s="1"/>
  <c r="AW113" i="71"/>
  <c r="AU113" i="71"/>
  <c r="AV113" i="71" s="1"/>
  <c r="AW104" i="71"/>
  <c r="AU104" i="71"/>
  <c r="AV104" i="71" s="1"/>
  <c r="AW65" i="71"/>
  <c r="AU65" i="71"/>
  <c r="AV65" i="71" s="1"/>
  <c r="AW142" i="71"/>
  <c r="AU142" i="71"/>
  <c r="AV142" i="71" s="1"/>
  <c r="AW148" i="71"/>
  <c r="AU148" i="71"/>
  <c r="AV148" i="71" s="1"/>
  <c r="AS44" i="71"/>
  <c r="AS158" i="71"/>
  <c r="AW152" i="71"/>
  <c r="AU152" i="71"/>
  <c r="AV152" i="71" s="1"/>
  <c r="AW63" i="71"/>
  <c r="AU63" i="71"/>
  <c r="AV63" i="71" s="1"/>
  <c r="P212" i="66" s="1"/>
  <c r="AW198" i="71"/>
  <c r="N196" i="66" s="1"/>
  <c r="AU198" i="71"/>
  <c r="AV198" i="71" s="1"/>
  <c r="AW147" i="71"/>
  <c r="AU147" i="71"/>
  <c r="AV147" i="71" s="1"/>
  <c r="AW88" i="71"/>
  <c r="AU88" i="71"/>
  <c r="AV88" i="71" s="1"/>
  <c r="AW195" i="71"/>
  <c r="AU195" i="71"/>
  <c r="AV195" i="71" s="1"/>
  <c r="BJ94" i="71"/>
  <c r="BJ124" i="71"/>
  <c r="BJ110" i="71"/>
  <c r="AW187" i="71"/>
  <c r="AU187" i="71"/>
  <c r="AV187" i="71" s="1"/>
  <c r="AW136" i="71"/>
  <c r="AU136" i="71"/>
  <c r="AV136" i="71" s="1"/>
  <c r="AW180" i="71"/>
  <c r="AU180" i="71"/>
  <c r="AV180" i="71" s="1"/>
  <c r="AW90" i="71"/>
  <c r="AU90" i="71"/>
  <c r="AV90" i="71" s="1"/>
  <c r="AW121" i="71"/>
  <c r="AU121" i="71"/>
  <c r="AV121" i="71" s="1"/>
  <c r="AW197" i="71"/>
  <c r="AU197" i="71"/>
  <c r="AV197" i="71" s="1"/>
  <c r="AW13" i="71"/>
  <c r="AU13" i="71"/>
  <c r="AV13" i="71" s="1"/>
  <c r="AW68" i="71"/>
  <c r="AU68" i="71"/>
  <c r="AV68" i="71" s="1"/>
  <c r="AW86" i="71"/>
  <c r="AU86" i="71"/>
  <c r="AV86" i="71" s="1"/>
  <c r="AW72" i="71"/>
  <c r="AU72" i="71"/>
  <c r="AV72" i="71" s="1"/>
  <c r="AW57" i="71"/>
  <c r="AU57" i="71"/>
  <c r="AV57" i="71" s="1"/>
  <c r="AW79" i="71"/>
  <c r="AU79" i="71"/>
  <c r="AV79" i="71" s="1"/>
  <c r="AW103" i="71"/>
  <c r="AU103" i="71"/>
  <c r="AV103" i="71" s="1"/>
  <c r="AW97" i="71"/>
  <c r="AU97" i="71"/>
  <c r="AV97" i="71" s="1"/>
  <c r="AW169" i="71"/>
  <c r="AU169" i="71"/>
  <c r="AV169" i="71" s="1"/>
  <c r="AW75" i="71"/>
  <c r="AU75" i="71"/>
  <c r="AV75" i="71" s="1"/>
  <c r="AW159" i="71"/>
  <c r="AU159" i="71"/>
  <c r="AV159" i="71" s="1"/>
  <c r="AW122" i="71"/>
  <c r="AU122" i="71"/>
  <c r="AV122" i="71" s="1"/>
  <c r="AW137" i="71"/>
  <c r="AU137" i="71"/>
  <c r="AV137" i="71" s="1"/>
  <c r="AW77" i="71"/>
  <c r="AU77" i="71"/>
  <c r="AV77" i="71" s="1"/>
  <c r="AW164" i="71"/>
  <c r="AU164" i="71"/>
  <c r="AV164" i="71" s="1"/>
  <c r="AW155" i="71"/>
  <c r="AU155" i="71"/>
  <c r="AV155" i="71" s="1"/>
  <c r="AW89" i="71"/>
  <c r="AU89" i="71"/>
  <c r="AV89" i="71" s="1"/>
  <c r="AW78" i="71"/>
  <c r="AU78" i="71"/>
  <c r="AV78" i="71" s="1"/>
  <c r="AW207" i="71"/>
  <c r="AU207" i="71"/>
  <c r="AV207" i="71" s="1"/>
  <c r="AW99" i="71"/>
  <c r="AU99" i="71"/>
  <c r="AV99" i="71" s="1"/>
  <c r="AW109" i="71"/>
  <c r="AU109" i="71"/>
  <c r="AV109" i="71" s="1"/>
  <c r="AW81" i="71"/>
  <c r="AU81" i="71"/>
  <c r="AV81" i="71" s="1"/>
  <c r="AW116" i="71"/>
  <c r="AU116" i="71"/>
  <c r="AV116" i="71" s="1"/>
  <c r="BJ86" i="71"/>
  <c r="AW58" i="71"/>
  <c r="AU58" i="71"/>
  <c r="AV58" i="71" s="1"/>
  <c r="AW110" i="71"/>
  <c r="AU110" i="71"/>
  <c r="AV110" i="71" s="1"/>
  <c r="AW131" i="71"/>
  <c r="AU131" i="71"/>
  <c r="AV131" i="71" s="1"/>
  <c r="AW193" i="71"/>
  <c r="AU193" i="71"/>
  <c r="AV193" i="71" s="1"/>
  <c r="BJ23" i="71"/>
  <c r="AW36" i="71"/>
  <c r="AU36" i="71"/>
  <c r="AV36" i="71" s="1"/>
  <c r="AW134" i="71"/>
  <c r="AU134" i="71"/>
  <c r="AV134" i="71" s="1"/>
  <c r="AW181" i="71"/>
  <c r="AU181" i="71"/>
  <c r="AV181" i="71" s="1"/>
  <c r="AW154" i="71"/>
  <c r="AU154" i="71"/>
  <c r="AV154" i="71" s="1"/>
  <c r="AW130" i="71"/>
  <c r="AU130" i="71"/>
  <c r="AV130" i="71" s="1"/>
  <c r="AW150" i="71"/>
  <c r="AU150" i="71"/>
  <c r="AV150" i="71" s="1"/>
  <c r="AW141" i="71"/>
  <c r="AU141" i="71"/>
  <c r="AV141" i="71" s="1"/>
  <c r="AW76" i="71"/>
  <c r="AU76" i="71"/>
  <c r="AV76" i="71" s="1"/>
  <c r="AW125" i="71"/>
  <c r="AU125" i="71"/>
  <c r="AV125" i="71" s="1"/>
  <c r="AW135" i="71"/>
  <c r="AU135" i="71"/>
  <c r="AV135" i="71" s="1"/>
  <c r="AW153" i="71"/>
  <c r="AU153" i="71"/>
  <c r="AV153" i="71" s="1"/>
  <c r="AW105" i="71"/>
  <c r="AU105" i="71"/>
  <c r="AV105" i="71" s="1"/>
  <c r="AW185" i="71"/>
  <c r="AU185" i="71"/>
  <c r="AV185" i="71" s="1"/>
  <c r="AW145" i="71"/>
  <c r="AU145" i="71"/>
  <c r="AV145" i="71" s="1"/>
  <c r="AW115" i="71"/>
  <c r="AU115" i="71"/>
  <c r="AV115" i="71" s="1"/>
  <c r="AW101" i="71"/>
  <c r="AU101" i="71"/>
  <c r="AV101" i="71" s="1"/>
  <c r="AW173" i="71"/>
  <c r="AU173" i="71"/>
  <c r="AV173" i="71" s="1"/>
  <c r="AW143" i="71"/>
  <c r="AU143" i="71"/>
  <c r="AV143" i="71" s="1"/>
  <c r="AW208" i="71"/>
  <c r="AU208" i="71"/>
  <c r="AV208" i="71" s="1"/>
  <c r="AW205" i="71"/>
  <c r="AU205" i="71"/>
  <c r="AV205" i="71" s="1"/>
  <c r="AS33" i="71"/>
  <c r="BJ184" i="71"/>
  <c r="BJ59" i="71"/>
  <c r="BJ83" i="71"/>
  <c r="AS9" i="71"/>
  <c r="BJ6" i="71"/>
  <c r="AS7" i="71"/>
  <c r="BJ27" i="71"/>
  <c r="BJ191" i="71"/>
  <c r="BJ167" i="71"/>
  <c r="BJ111" i="71"/>
  <c r="BJ82" i="71"/>
  <c r="BJ10" i="71"/>
  <c r="BJ77" i="71"/>
  <c r="BJ95" i="71"/>
  <c r="BJ32" i="71"/>
  <c r="AS28" i="71"/>
  <c r="AS14" i="71"/>
  <c r="AS16" i="71"/>
  <c r="AS46" i="71"/>
  <c r="AS38" i="71"/>
  <c r="AS41" i="71"/>
  <c r="AS49" i="71"/>
  <c r="AS50" i="71"/>
  <c r="AS39" i="71"/>
  <c r="AS35" i="71"/>
  <c r="BJ28" i="71"/>
  <c r="BJ88" i="71"/>
  <c r="BJ159" i="71"/>
  <c r="BJ8" i="71"/>
  <c r="BJ197" i="71"/>
  <c r="BJ65" i="71"/>
  <c r="BJ160" i="71"/>
  <c r="BJ53" i="71"/>
  <c r="BJ118" i="71"/>
  <c r="BJ135" i="71"/>
  <c r="BJ148" i="71"/>
  <c r="BJ21" i="71"/>
  <c r="BJ14" i="71"/>
  <c r="BJ195" i="71"/>
  <c r="BJ29" i="71"/>
  <c r="BJ105" i="71"/>
  <c r="BJ79" i="71"/>
  <c r="AS15" i="71"/>
  <c r="AS31" i="71"/>
  <c r="BJ64" i="71"/>
  <c r="BJ208" i="71"/>
  <c r="BJ61" i="71"/>
  <c r="BJ7" i="71"/>
  <c r="BJ18" i="71"/>
  <c r="BJ44" i="71"/>
  <c r="BJ157" i="71"/>
  <c r="BJ172" i="71"/>
  <c r="BJ176" i="71"/>
  <c r="BJ166" i="71"/>
  <c r="AS40" i="71"/>
  <c r="AS27" i="71"/>
  <c r="BJ26" i="71"/>
  <c r="BJ19" i="71"/>
  <c r="BJ41" i="71"/>
  <c r="BJ46" i="71"/>
  <c r="BJ178" i="71"/>
  <c r="BJ12" i="71"/>
  <c r="BJ89" i="71"/>
  <c r="AS21" i="71"/>
  <c r="BJ179" i="71"/>
  <c r="BJ91" i="71"/>
  <c r="BJ5" i="71"/>
  <c r="BJ121" i="71"/>
  <c r="BJ25" i="71"/>
  <c r="BJ141" i="71"/>
  <c r="AS42" i="71"/>
  <c r="AS34" i="71"/>
  <c r="BJ187" i="71"/>
  <c r="BJ188" i="71"/>
  <c r="BJ206" i="71"/>
  <c r="BJ125" i="71"/>
  <c r="BJ36" i="71"/>
  <c r="BJ98" i="71"/>
  <c r="BJ155" i="71"/>
  <c r="AS53" i="71"/>
  <c r="BJ171" i="71"/>
  <c r="BJ16" i="71"/>
  <c r="BJ130" i="71"/>
  <c r="BJ78" i="71"/>
  <c r="BJ66" i="71"/>
  <c r="BJ205" i="71"/>
  <c r="BJ93" i="71"/>
  <c r="BJ97" i="71"/>
  <c r="AS37" i="71"/>
  <c r="AS26" i="71"/>
  <c r="BJ45" i="71"/>
  <c r="BJ50" i="71"/>
  <c r="BJ162" i="71"/>
  <c r="BJ143" i="71"/>
  <c r="BJ177" i="71"/>
  <c r="BJ69" i="71"/>
  <c r="BJ51" i="71"/>
  <c r="BJ168" i="71"/>
  <c r="BJ163" i="71"/>
  <c r="BJ68" i="71"/>
  <c r="BJ190" i="71"/>
  <c r="AS5" i="71"/>
  <c r="AS55" i="71"/>
  <c r="BJ180" i="71"/>
  <c r="BJ108" i="71"/>
  <c r="BJ107" i="71"/>
  <c r="BJ164" i="71"/>
  <c r="BJ30" i="71"/>
  <c r="BJ71" i="71"/>
  <c r="BJ72" i="71"/>
  <c r="BJ152" i="71"/>
  <c r="BJ67" i="71"/>
  <c r="BJ175" i="71"/>
  <c r="AS22" i="71"/>
  <c r="AS24" i="71"/>
  <c r="AS32" i="71"/>
  <c r="BJ115" i="71"/>
  <c r="BJ60" i="71"/>
  <c r="BJ161" i="71"/>
  <c r="BJ145" i="71"/>
  <c r="BJ42" i="71"/>
  <c r="BJ47" i="71"/>
  <c r="BJ24" i="71"/>
  <c r="BJ40" i="71"/>
  <c r="BJ138" i="71"/>
  <c r="BJ150" i="71"/>
  <c r="BJ198" i="71"/>
  <c r="AS51" i="71"/>
  <c r="AS43" i="71"/>
  <c r="AS54" i="71"/>
  <c r="BJ85" i="71"/>
  <c r="BJ185" i="71"/>
  <c r="BJ147" i="71"/>
  <c r="BJ144" i="71"/>
  <c r="BJ207" i="71"/>
  <c r="BJ199" i="71"/>
  <c r="BJ49" i="71"/>
  <c r="BJ43" i="71"/>
  <c r="BJ193" i="71"/>
  <c r="BJ101" i="71"/>
  <c r="BJ55" i="71"/>
  <c r="BJ75" i="71"/>
  <c r="BJ126" i="71"/>
  <c r="AS20" i="71"/>
  <c r="AS25" i="71"/>
  <c r="AS30" i="71"/>
  <c r="AS11" i="71"/>
  <c r="BJ186" i="71"/>
  <c r="BJ140" i="71"/>
  <c r="BJ136" i="71"/>
  <c r="BJ151" i="71"/>
  <c r="BJ104" i="71"/>
  <c r="BJ20" i="71"/>
  <c r="BJ116" i="71"/>
  <c r="BJ63" i="71"/>
  <c r="BJ122" i="71"/>
  <c r="BJ156" i="71"/>
  <c r="BJ201" i="71"/>
  <c r="AS4" i="71"/>
  <c r="AS47" i="71"/>
  <c r="AS12" i="71"/>
  <c r="AS10" i="71"/>
  <c r="AS48" i="71"/>
  <c r="BJ170" i="71"/>
  <c r="BJ39" i="71"/>
  <c r="BJ120" i="71"/>
  <c r="BJ204" i="71"/>
  <c r="BJ165" i="71"/>
  <c r="BJ128" i="71"/>
  <c r="BJ76" i="71"/>
  <c r="BJ87" i="71"/>
  <c r="BJ146" i="71"/>
  <c r="AS19" i="71"/>
  <c r="AS45" i="71"/>
  <c r="AS52" i="71"/>
  <c r="AS8" i="71"/>
  <c r="BJ54" i="71"/>
  <c r="BJ132" i="71"/>
  <c r="BJ131" i="71"/>
  <c r="BJ58" i="71"/>
  <c r="BJ189" i="71"/>
  <c r="BJ102" i="71"/>
  <c r="BJ73" i="71"/>
  <c r="BJ181" i="71"/>
  <c r="BJ123" i="71"/>
  <c r="BJ33" i="71"/>
  <c r="BJ37" i="71"/>
  <c r="BJ13" i="71"/>
  <c r="V31" i="66"/>
  <c r="W31" i="66" s="1"/>
  <c r="E256" i="47"/>
  <c r="E257" i="47" s="1"/>
  <c r="E263" i="47" s="1"/>
  <c r="AA161" i="66"/>
  <c r="E196" i="47"/>
  <c r="N64" i="66" l="1"/>
  <c r="N117" i="66"/>
  <c r="N59" i="66"/>
  <c r="N182" i="66"/>
  <c r="N82" i="66"/>
  <c r="N166" i="66"/>
  <c r="N122" i="66"/>
  <c r="N160" i="66"/>
  <c r="BL129" i="71"/>
  <c r="BM129" i="71" s="1"/>
  <c r="N192" i="66"/>
  <c r="N161" i="66"/>
  <c r="N72" i="66"/>
  <c r="N69" i="66"/>
  <c r="N191" i="66"/>
  <c r="N87" i="66"/>
  <c r="N146" i="66"/>
  <c r="N168" i="66"/>
  <c r="N60" i="66"/>
  <c r="N175" i="66"/>
  <c r="N61" i="66"/>
  <c r="N99" i="66"/>
  <c r="P213" i="66"/>
  <c r="N97" i="66"/>
  <c r="N193" i="66"/>
  <c r="N70" i="66"/>
  <c r="N128" i="66"/>
  <c r="N150" i="66"/>
  <c r="N112" i="66"/>
  <c r="N159" i="66"/>
  <c r="N174" i="66"/>
  <c r="N95" i="66"/>
  <c r="N63" i="66"/>
  <c r="N200" i="66"/>
  <c r="N83" i="66"/>
  <c r="N94" i="66"/>
  <c r="N164" i="66"/>
  <c r="N204" i="66"/>
  <c r="N184" i="66"/>
  <c r="N118" i="66"/>
  <c r="N138" i="66"/>
  <c r="N103" i="66"/>
  <c r="N62" i="66"/>
  <c r="N127" i="66"/>
  <c r="N124" i="66"/>
  <c r="N179" i="66"/>
  <c r="N81" i="66"/>
  <c r="N144" i="66"/>
  <c r="N190" i="66"/>
  <c r="N55" i="66"/>
  <c r="N180" i="66"/>
  <c r="N125" i="66"/>
  <c r="N199" i="66"/>
  <c r="N188" i="66"/>
  <c r="N84" i="66"/>
  <c r="N137" i="66"/>
  <c r="N116" i="66"/>
  <c r="N165" i="66"/>
  <c r="N201" i="66"/>
  <c r="N206" i="66"/>
  <c r="N183" i="66"/>
  <c r="N155" i="66"/>
  <c r="N119" i="66"/>
  <c r="N79" i="66"/>
  <c r="N65" i="66"/>
  <c r="N171" i="66"/>
  <c r="N162" i="66"/>
  <c r="N197" i="66"/>
  <c r="N131" i="66"/>
  <c r="N86" i="66"/>
  <c r="N136" i="66"/>
  <c r="N151" i="66"/>
  <c r="N130" i="66"/>
  <c r="N140" i="66"/>
  <c r="N147" i="66"/>
  <c r="N110" i="66"/>
  <c r="N205" i="66"/>
  <c r="N135" i="66"/>
  <c r="N12" i="66"/>
  <c r="N185" i="66"/>
  <c r="N143" i="66"/>
  <c r="N75" i="66"/>
  <c r="N132" i="66"/>
  <c r="N77" i="66"/>
  <c r="N121" i="66"/>
  <c r="N78" i="66"/>
  <c r="N195" i="66"/>
  <c r="N111" i="66"/>
  <c r="N73" i="66"/>
  <c r="N139" i="66"/>
  <c r="N115" i="66"/>
  <c r="N88" i="66"/>
  <c r="N157" i="66"/>
  <c r="N56" i="66"/>
  <c r="N120" i="66"/>
  <c r="N194" i="66"/>
  <c r="N170" i="66"/>
  <c r="N187" i="66"/>
  <c r="N141" i="66"/>
  <c r="N104" i="66"/>
  <c r="N148" i="66"/>
  <c r="N80" i="66"/>
  <c r="N153" i="66"/>
  <c r="N74" i="66"/>
  <c r="P216" i="66"/>
  <c r="N89" i="66"/>
  <c r="N202" i="66"/>
  <c r="N177" i="66"/>
  <c r="N142" i="66"/>
  <c r="N123" i="66"/>
  <c r="N167" i="66"/>
  <c r="N85" i="66"/>
  <c r="N178" i="66"/>
  <c r="N106" i="66"/>
  <c r="N173" i="66"/>
  <c r="N133" i="66"/>
  <c r="N152" i="66"/>
  <c r="N98" i="66"/>
  <c r="N76" i="66"/>
  <c r="N96" i="66"/>
  <c r="P214" i="66"/>
  <c r="N5" i="66"/>
  <c r="N169" i="66"/>
  <c r="N58" i="66"/>
  <c r="N68" i="66"/>
  <c r="N189" i="66"/>
  <c r="N154" i="66"/>
  <c r="J15" i="66"/>
  <c r="J11" i="66"/>
  <c r="J36" i="66"/>
  <c r="J6" i="66"/>
  <c r="J46" i="66"/>
  <c r="J27" i="66"/>
  <c r="J8" i="66"/>
  <c r="P226" i="66"/>
  <c r="P222" i="66"/>
  <c r="J18" i="66"/>
  <c r="E124" i="47"/>
  <c r="J3" i="66"/>
  <c r="E246" i="47"/>
  <c r="E185" i="47"/>
  <c r="J10" i="66"/>
  <c r="J92" i="66"/>
  <c r="J22" i="66"/>
  <c r="P217" i="66"/>
  <c r="P215" i="66"/>
  <c r="J34" i="66"/>
  <c r="J163" i="66"/>
  <c r="J21" i="66"/>
  <c r="J24" i="66"/>
  <c r="J19" i="66"/>
  <c r="J33" i="66"/>
  <c r="J38" i="66"/>
  <c r="J32" i="66"/>
  <c r="J28" i="66"/>
  <c r="P224" i="66"/>
  <c r="P225" i="66"/>
  <c r="J44" i="66"/>
  <c r="J41" i="66"/>
  <c r="J211" i="66"/>
  <c r="J49" i="66"/>
  <c r="J25" i="66"/>
  <c r="J53" i="66"/>
  <c r="J48" i="66"/>
  <c r="N71" i="66"/>
  <c r="N66" i="66"/>
  <c r="J40" i="66"/>
  <c r="J93" i="66"/>
  <c r="J4" i="66"/>
  <c r="J42" i="66"/>
  <c r="J7" i="66"/>
  <c r="J52" i="66"/>
  <c r="J26" i="66"/>
  <c r="J30" i="66"/>
  <c r="J37" i="66"/>
  <c r="J156" i="66"/>
  <c r="J16" i="66"/>
  <c r="BN106" i="71"/>
  <c r="BO106" i="71" s="1"/>
  <c r="N67" i="66"/>
  <c r="J51" i="66"/>
  <c r="J47" i="66"/>
  <c r="J23" i="66"/>
  <c r="J54" i="66"/>
  <c r="J39" i="66"/>
  <c r="J14" i="66"/>
  <c r="J45" i="66"/>
  <c r="J43" i="66"/>
  <c r="BN4" i="71"/>
  <c r="BO4" i="71" s="1"/>
  <c r="BL11" i="71"/>
  <c r="BM11" i="71" s="1"/>
  <c r="AX64" i="71"/>
  <c r="AY64" i="71" s="1"/>
  <c r="AX202" i="71"/>
  <c r="AY202" i="71" s="1"/>
  <c r="AX160" i="71"/>
  <c r="AY160" i="71" s="1"/>
  <c r="AX177" i="71"/>
  <c r="AY177" i="71" s="1"/>
  <c r="AX98" i="71"/>
  <c r="AX196" i="71"/>
  <c r="AY196" i="71" s="1"/>
  <c r="AX101" i="71"/>
  <c r="AY101" i="71" s="1"/>
  <c r="AX171" i="71"/>
  <c r="AY171" i="71" s="1"/>
  <c r="AX208" i="71"/>
  <c r="AY208" i="71" s="1"/>
  <c r="AX185" i="71"/>
  <c r="AY185" i="71" s="1"/>
  <c r="AX141" i="71"/>
  <c r="AY141" i="71" s="1"/>
  <c r="AX88" i="71"/>
  <c r="AX193" i="71"/>
  <c r="AY193" i="71" s="1"/>
  <c r="AX148" i="71"/>
  <c r="AY148" i="71" s="1"/>
  <c r="AX170" i="71"/>
  <c r="AY170" i="71" s="1"/>
  <c r="AX61" i="71"/>
  <c r="AY61" i="71" s="1"/>
  <c r="AX62" i="71"/>
  <c r="AY62" i="71" s="1"/>
  <c r="AX205" i="71"/>
  <c r="AY205" i="71" s="1"/>
  <c r="AX145" i="71"/>
  <c r="AY145" i="71" s="1"/>
  <c r="AX76" i="71"/>
  <c r="AY76" i="71" s="1"/>
  <c r="AX78" i="71"/>
  <c r="AY78" i="71" s="1"/>
  <c r="AX122" i="71"/>
  <c r="AY122" i="71" s="1"/>
  <c r="AX95" i="71"/>
  <c r="AX106" i="71"/>
  <c r="AY106" i="71" s="1"/>
  <c r="AX206" i="71"/>
  <c r="AY206" i="71" s="1"/>
  <c r="AX128" i="71"/>
  <c r="AY128" i="71" s="1"/>
  <c r="AX108" i="71"/>
  <c r="AY108" i="71" s="1"/>
  <c r="AX100" i="71"/>
  <c r="AY100" i="71" s="1"/>
  <c r="CE194" i="71"/>
  <c r="CC194" i="71"/>
  <c r="CD194" i="71" s="1"/>
  <c r="CE21" i="71"/>
  <c r="CC21" i="71"/>
  <c r="CD21" i="71" s="1"/>
  <c r="CE150" i="71"/>
  <c r="CC150" i="71"/>
  <c r="CD150" i="71" s="1"/>
  <c r="CE134" i="71"/>
  <c r="CC134" i="71"/>
  <c r="CD134" i="71" s="1"/>
  <c r="CE168" i="71"/>
  <c r="CC168" i="71"/>
  <c r="CD168" i="71" s="1"/>
  <c r="CE145" i="71"/>
  <c r="CC145" i="71"/>
  <c r="CD145" i="71" s="1"/>
  <c r="CE181" i="71"/>
  <c r="CC181" i="71"/>
  <c r="CD181" i="71" s="1"/>
  <c r="CE103" i="71"/>
  <c r="CC103" i="71"/>
  <c r="CD103" i="71" s="1"/>
  <c r="CE67" i="71"/>
  <c r="CC67" i="71"/>
  <c r="CD67" i="71" s="1"/>
  <c r="CE136" i="71"/>
  <c r="CC136" i="71"/>
  <c r="CD136" i="71" s="1"/>
  <c r="CE143" i="71"/>
  <c r="CC143" i="71"/>
  <c r="CD143" i="71" s="1"/>
  <c r="CE29" i="71"/>
  <c r="CC29" i="71"/>
  <c r="CD29" i="71" s="1"/>
  <c r="CE23" i="71"/>
  <c r="CC23" i="71"/>
  <c r="CD23" i="71" s="1"/>
  <c r="CE170" i="71"/>
  <c r="CC170" i="71"/>
  <c r="CD170" i="71" s="1"/>
  <c r="CE104" i="71"/>
  <c r="CC104" i="71"/>
  <c r="CD104" i="71" s="1"/>
  <c r="CE39" i="71"/>
  <c r="CC39" i="71"/>
  <c r="CD39" i="71" s="1"/>
  <c r="CE140" i="71"/>
  <c r="CC140" i="71"/>
  <c r="CD140" i="71" s="1"/>
  <c r="CE131" i="71"/>
  <c r="CC131" i="71"/>
  <c r="CD131" i="71" s="1"/>
  <c r="CE179" i="71"/>
  <c r="CC179" i="71"/>
  <c r="CD179" i="71" s="1"/>
  <c r="CE197" i="71"/>
  <c r="CC197" i="71"/>
  <c r="CD197" i="71" s="1"/>
  <c r="CE109" i="71"/>
  <c r="CC109" i="71"/>
  <c r="CD109" i="71" s="1"/>
  <c r="CE185" i="71"/>
  <c r="CC185" i="71"/>
  <c r="CD185" i="71" s="1"/>
  <c r="CE202" i="71"/>
  <c r="CC202" i="71"/>
  <c r="CD202" i="71" s="1"/>
  <c r="CE205" i="71"/>
  <c r="CC205" i="71"/>
  <c r="CD205" i="71" s="1"/>
  <c r="CE122" i="71"/>
  <c r="CC122" i="71"/>
  <c r="CD122" i="71" s="1"/>
  <c r="CE98" i="71"/>
  <c r="CC98" i="71"/>
  <c r="CD98" i="71" s="1"/>
  <c r="CE15" i="71"/>
  <c r="CC15" i="71"/>
  <c r="CD15" i="71" s="1"/>
  <c r="CE59" i="71"/>
  <c r="CC59" i="71"/>
  <c r="CD59" i="71" s="1"/>
  <c r="CE34" i="71"/>
  <c r="CC34" i="71"/>
  <c r="CD34" i="71" s="1"/>
  <c r="CE135" i="71"/>
  <c r="CC135" i="71"/>
  <c r="CD135" i="71" s="1"/>
  <c r="CE207" i="71"/>
  <c r="CC207" i="71"/>
  <c r="CD207" i="71" s="1"/>
  <c r="CE50" i="71"/>
  <c r="CC50" i="71"/>
  <c r="CD50" i="71" s="1"/>
  <c r="CE190" i="71"/>
  <c r="CC190" i="71"/>
  <c r="CD190" i="71" s="1"/>
  <c r="CE111" i="71"/>
  <c r="CC111" i="71"/>
  <c r="CD111" i="71" s="1"/>
  <c r="CE147" i="71"/>
  <c r="CC147" i="71"/>
  <c r="CD147" i="71" s="1"/>
  <c r="CE130" i="71"/>
  <c r="CC130" i="71"/>
  <c r="CD130" i="71" s="1"/>
  <c r="CE155" i="71"/>
  <c r="CC155" i="71"/>
  <c r="CD155" i="71" s="1"/>
  <c r="CE22" i="71"/>
  <c r="CC22" i="71"/>
  <c r="CD22" i="71" s="1"/>
  <c r="CE106" i="71"/>
  <c r="CC106" i="71"/>
  <c r="CD106" i="71" s="1"/>
  <c r="CE61" i="71"/>
  <c r="CC61" i="71"/>
  <c r="CD61" i="71" s="1"/>
  <c r="CE162" i="71"/>
  <c r="CC162" i="71"/>
  <c r="CD162" i="71" s="1"/>
  <c r="CE180" i="71"/>
  <c r="CC180" i="71"/>
  <c r="CD180" i="71" s="1"/>
  <c r="CE36" i="71"/>
  <c r="CC36" i="71"/>
  <c r="CD36" i="71" s="1"/>
  <c r="CE188" i="71"/>
  <c r="CC188" i="71"/>
  <c r="CD188" i="71" s="1"/>
  <c r="CE6" i="71"/>
  <c r="CC6" i="71"/>
  <c r="CD6" i="71" s="1"/>
  <c r="CE208" i="71"/>
  <c r="CC208" i="71"/>
  <c r="CD208" i="71" s="1"/>
  <c r="CE195" i="71"/>
  <c r="CC195" i="71"/>
  <c r="CD195" i="71" s="1"/>
  <c r="CE115" i="71"/>
  <c r="CC115" i="71"/>
  <c r="CD115" i="71" s="1"/>
  <c r="CE123" i="71"/>
  <c r="CC123" i="71"/>
  <c r="CD123" i="71" s="1"/>
  <c r="CE44" i="71"/>
  <c r="CC44" i="71"/>
  <c r="CD44" i="71" s="1"/>
  <c r="CE166" i="71"/>
  <c r="CC166" i="71"/>
  <c r="CD166" i="71" s="1"/>
  <c r="CE110" i="71"/>
  <c r="CC110" i="71"/>
  <c r="CD110" i="71" s="1"/>
  <c r="CE66" i="71"/>
  <c r="CC66" i="71"/>
  <c r="CD66" i="71" s="1"/>
  <c r="CE174" i="71"/>
  <c r="CC174" i="71"/>
  <c r="CD174" i="71" s="1"/>
  <c r="CE121" i="71"/>
  <c r="CC121" i="71"/>
  <c r="CD121" i="71" s="1"/>
  <c r="CE31" i="71"/>
  <c r="CC31" i="71"/>
  <c r="CD31" i="71" s="1"/>
  <c r="CE206" i="71"/>
  <c r="CC206" i="71"/>
  <c r="CD206" i="71" s="1"/>
  <c r="CE19" i="71"/>
  <c r="CC19" i="71"/>
  <c r="CD19" i="71" s="1"/>
  <c r="CE203" i="71"/>
  <c r="CC203" i="71"/>
  <c r="CD203" i="71" s="1"/>
  <c r="CE83" i="71"/>
  <c r="CC83" i="71"/>
  <c r="CD83" i="71" s="1"/>
  <c r="CE164" i="71"/>
  <c r="CC164" i="71"/>
  <c r="CD164" i="71" s="1"/>
  <c r="CE169" i="71"/>
  <c r="CC169" i="71"/>
  <c r="CD169" i="71" s="1"/>
  <c r="CE63" i="71"/>
  <c r="CC63" i="71"/>
  <c r="CD63" i="71" s="1"/>
  <c r="CE76" i="71"/>
  <c r="CC76" i="71"/>
  <c r="CD76" i="71" s="1"/>
  <c r="CE184" i="71"/>
  <c r="CC184" i="71"/>
  <c r="CD184" i="71" s="1"/>
  <c r="CE11" i="71"/>
  <c r="CC11" i="71"/>
  <c r="CD11" i="71" s="1"/>
  <c r="CE116" i="71"/>
  <c r="CC116" i="71"/>
  <c r="CD116" i="71" s="1"/>
  <c r="CE193" i="71"/>
  <c r="CC193" i="71"/>
  <c r="CD193" i="71" s="1"/>
  <c r="CE100" i="71"/>
  <c r="CC100" i="71"/>
  <c r="CD100" i="71" s="1"/>
  <c r="CE157" i="71"/>
  <c r="CC157" i="71"/>
  <c r="CD157" i="71" s="1"/>
  <c r="CE58" i="71"/>
  <c r="CC58" i="71"/>
  <c r="CD58" i="71" s="1"/>
  <c r="CE73" i="71"/>
  <c r="CC73" i="71"/>
  <c r="CD73" i="71" s="1"/>
  <c r="CE113" i="71"/>
  <c r="CC113" i="71"/>
  <c r="CD113" i="71" s="1"/>
  <c r="CE30" i="71"/>
  <c r="CC30" i="71"/>
  <c r="CD30" i="71" s="1"/>
  <c r="CE9" i="71"/>
  <c r="CC9" i="71"/>
  <c r="CD9" i="71" s="1"/>
  <c r="CE165" i="71"/>
  <c r="CC165" i="71"/>
  <c r="CD165" i="71" s="1"/>
  <c r="CE175" i="71"/>
  <c r="CC175" i="71"/>
  <c r="CD175" i="71" s="1"/>
  <c r="CE27" i="71"/>
  <c r="CC27" i="71"/>
  <c r="CD27" i="71" s="1"/>
  <c r="CE46" i="71"/>
  <c r="CC46" i="71"/>
  <c r="CD46" i="71" s="1"/>
  <c r="CE42" i="71"/>
  <c r="CC42" i="71"/>
  <c r="CD42" i="71" s="1"/>
  <c r="CE37" i="71"/>
  <c r="CC37" i="71"/>
  <c r="CD37" i="71" s="1"/>
  <c r="CE201" i="71"/>
  <c r="CC201" i="71"/>
  <c r="CD201" i="71" s="1"/>
  <c r="CE90" i="71"/>
  <c r="CC90" i="71"/>
  <c r="CD90" i="71" s="1"/>
  <c r="CE72" i="71"/>
  <c r="CC72" i="71"/>
  <c r="CD72" i="71" s="1"/>
  <c r="CE142" i="71"/>
  <c r="CC142" i="71"/>
  <c r="CD142" i="71" s="1"/>
  <c r="CE26" i="71"/>
  <c r="CC26" i="71"/>
  <c r="CD26" i="71" s="1"/>
  <c r="CE52" i="71"/>
  <c r="CC52" i="71"/>
  <c r="CD52" i="71" s="1"/>
  <c r="CE186" i="71"/>
  <c r="CC186" i="71"/>
  <c r="CD186" i="71" s="1"/>
  <c r="CE28" i="71"/>
  <c r="CC28" i="71"/>
  <c r="CD28" i="71" s="1"/>
  <c r="CE56" i="71"/>
  <c r="CC56" i="71"/>
  <c r="CD56" i="71" s="1"/>
  <c r="CE101" i="71"/>
  <c r="CC101" i="71"/>
  <c r="CD101" i="71" s="1"/>
  <c r="CE159" i="71"/>
  <c r="CC159" i="71"/>
  <c r="CD159" i="71" s="1"/>
  <c r="CE14" i="71"/>
  <c r="CC14" i="71"/>
  <c r="CD14" i="71" s="1"/>
  <c r="CE151" i="71"/>
  <c r="CC151" i="71"/>
  <c r="CD151" i="71" s="1"/>
  <c r="CE153" i="71"/>
  <c r="CC153" i="71"/>
  <c r="CD153" i="71" s="1"/>
  <c r="CE51" i="71"/>
  <c r="CC51" i="71"/>
  <c r="CD51" i="71" s="1"/>
  <c r="CE71" i="71"/>
  <c r="CC71" i="71"/>
  <c r="CD71" i="71" s="1"/>
  <c r="CE198" i="71"/>
  <c r="CC198" i="71"/>
  <c r="CD198" i="71" s="1"/>
  <c r="CE177" i="71"/>
  <c r="CC177" i="71"/>
  <c r="CD177" i="71" s="1"/>
  <c r="CE132" i="71"/>
  <c r="CC132" i="71"/>
  <c r="CD132" i="71" s="1"/>
  <c r="CE64" i="71"/>
  <c r="CC64" i="71"/>
  <c r="CD64" i="71" s="1"/>
  <c r="CE47" i="71"/>
  <c r="CC47" i="71"/>
  <c r="CD47" i="71" s="1"/>
  <c r="CE199" i="71"/>
  <c r="CC199" i="71"/>
  <c r="CD199" i="71" s="1"/>
  <c r="CE33" i="71"/>
  <c r="CC33" i="71"/>
  <c r="CD33" i="71" s="1"/>
  <c r="CE68" i="71"/>
  <c r="CC68" i="71"/>
  <c r="CD68" i="71" s="1"/>
  <c r="CE78" i="71"/>
  <c r="CC78" i="71"/>
  <c r="CD78" i="71" s="1"/>
  <c r="CE192" i="71"/>
  <c r="CC192" i="71"/>
  <c r="CD192" i="71" s="1"/>
  <c r="CE8" i="71"/>
  <c r="CC8" i="71"/>
  <c r="CD8" i="71" s="1"/>
  <c r="CE49" i="71"/>
  <c r="CC49" i="71"/>
  <c r="CD49" i="71" s="1"/>
  <c r="CE82" i="71"/>
  <c r="CC82" i="71"/>
  <c r="CD82" i="71" s="1"/>
  <c r="CE138" i="71"/>
  <c r="CC138" i="71"/>
  <c r="CD138" i="71" s="1"/>
  <c r="CE146" i="71"/>
  <c r="CC146" i="71"/>
  <c r="CD146" i="71" s="1"/>
  <c r="CE129" i="71"/>
  <c r="CC129" i="71"/>
  <c r="CD129" i="71" s="1"/>
  <c r="CE178" i="71"/>
  <c r="CC178" i="71"/>
  <c r="CD178" i="71" s="1"/>
  <c r="CE107" i="71"/>
  <c r="CC107" i="71"/>
  <c r="CD107" i="71" s="1"/>
  <c r="CE5" i="71"/>
  <c r="CC5" i="71"/>
  <c r="CD5" i="71" s="1"/>
  <c r="CE93" i="71"/>
  <c r="CC93" i="71"/>
  <c r="CD93" i="71" s="1"/>
  <c r="CE187" i="71"/>
  <c r="CC187" i="71"/>
  <c r="CD187" i="71" s="1"/>
  <c r="CE65" i="71"/>
  <c r="CC65" i="71"/>
  <c r="CD65" i="71" s="1"/>
  <c r="CE74" i="71"/>
  <c r="CC74" i="71"/>
  <c r="CD74" i="71" s="1"/>
  <c r="CE154" i="71"/>
  <c r="CC154" i="71"/>
  <c r="CD154" i="71" s="1"/>
  <c r="CE96" i="71"/>
  <c r="CC96" i="71"/>
  <c r="CD96" i="71" s="1"/>
  <c r="CE141" i="71"/>
  <c r="CC141" i="71"/>
  <c r="CD141" i="71" s="1"/>
  <c r="CE81" i="71"/>
  <c r="CC81" i="71"/>
  <c r="CD81" i="71" s="1"/>
  <c r="CE25" i="71"/>
  <c r="CC25" i="71"/>
  <c r="CD25" i="71" s="1"/>
  <c r="CE158" i="71"/>
  <c r="CC158" i="71"/>
  <c r="CD158" i="71" s="1"/>
  <c r="CE80" i="71"/>
  <c r="CC80" i="71"/>
  <c r="CD80" i="71" s="1"/>
  <c r="CE137" i="71"/>
  <c r="CC137" i="71"/>
  <c r="CD137" i="71" s="1"/>
  <c r="CE167" i="71"/>
  <c r="CC167" i="71"/>
  <c r="CD167" i="71" s="1"/>
  <c r="CE200" i="71"/>
  <c r="CC200" i="71"/>
  <c r="CD200" i="71" s="1"/>
  <c r="CE7" i="71"/>
  <c r="CC7" i="71"/>
  <c r="CD7" i="71" s="1"/>
  <c r="CE24" i="71"/>
  <c r="CC24" i="71"/>
  <c r="CD24" i="71" s="1"/>
  <c r="CE128" i="71"/>
  <c r="CC128" i="71"/>
  <c r="CD128" i="71" s="1"/>
  <c r="CE12" i="71"/>
  <c r="CC12" i="71"/>
  <c r="CD12" i="71" s="1"/>
  <c r="CE85" i="71"/>
  <c r="CC85" i="71"/>
  <c r="CD85" i="71" s="1"/>
  <c r="CE20" i="71"/>
  <c r="CC20" i="71"/>
  <c r="CD20" i="71" s="1"/>
  <c r="CE10" i="71"/>
  <c r="CC10" i="71"/>
  <c r="CD10" i="71" s="1"/>
  <c r="CE69" i="71"/>
  <c r="CC69" i="71"/>
  <c r="CD69" i="71" s="1"/>
  <c r="CE156" i="71"/>
  <c r="CC156" i="71"/>
  <c r="CD156" i="71" s="1"/>
  <c r="CE62" i="71"/>
  <c r="CC62" i="71"/>
  <c r="CD62" i="71" s="1"/>
  <c r="CE95" i="71"/>
  <c r="CC95" i="71"/>
  <c r="CD95" i="71" s="1"/>
  <c r="CE45" i="71"/>
  <c r="CC45" i="71"/>
  <c r="CD45" i="71" s="1"/>
  <c r="CE57" i="71"/>
  <c r="CC57" i="71"/>
  <c r="CD57" i="71" s="1"/>
  <c r="CE75" i="71"/>
  <c r="CC75" i="71"/>
  <c r="CD75" i="71" s="1"/>
  <c r="CE144" i="71"/>
  <c r="CC144" i="71"/>
  <c r="CD144" i="71" s="1"/>
  <c r="CE99" i="71"/>
  <c r="CC99" i="71"/>
  <c r="CD99" i="71" s="1"/>
  <c r="CE114" i="71"/>
  <c r="CC114" i="71"/>
  <c r="CD114" i="71" s="1"/>
  <c r="CE125" i="71"/>
  <c r="CC125" i="71"/>
  <c r="CD125" i="71" s="1"/>
  <c r="CE124" i="71"/>
  <c r="CC124" i="71"/>
  <c r="CD124" i="71" s="1"/>
  <c r="CE92" i="71"/>
  <c r="CC92" i="71"/>
  <c r="CD92" i="71" s="1"/>
  <c r="CE118" i="71"/>
  <c r="CC118" i="71"/>
  <c r="CD118" i="71" s="1"/>
  <c r="CE112" i="71"/>
  <c r="CC112" i="71"/>
  <c r="CD112" i="71" s="1"/>
  <c r="CE38" i="71"/>
  <c r="CC38" i="71"/>
  <c r="CD38" i="71" s="1"/>
  <c r="CE126" i="71"/>
  <c r="CC126" i="71"/>
  <c r="CD126" i="71" s="1"/>
  <c r="CE172" i="71"/>
  <c r="CC172" i="71"/>
  <c r="CD172" i="71" s="1"/>
  <c r="CE40" i="71"/>
  <c r="CC40" i="71"/>
  <c r="CD40" i="71" s="1"/>
  <c r="CE60" i="71"/>
  <c r="CC60" i="71"/>
  <c r="CD60" i="71" s="1"/>
  <c r="CE105" i="71"/>
  <c r="CC105" i="71"/>
  <c r="CD105" i="71" s="1"/>
  <c r="CE127" i="71"/>
  <c r="CC127" i="71"/>
  <c r="CD127" i="71" s="1"/>
  <c r="CE32" i="71"/>
  <c r="CC32" i="71"/>
  <c r="CD32" i="71" s="1"/>
  <c r="CE97" i="71"/>
  <c r="CC97" i="71"/>
  <c r="CD97" i="71" s="1"/>
  <c r="CE189" i="71"/>
  <c r="CC189" i="71"/>
  <c r="CD189" i="71" s="1"/>
  <c r="CE204" i="71"/>
  <c r="CC204" i="71"/>
  <c r="CD204" i="71" s="1"/>
  <c r="CE48" i="71"/>
  <c r="CC48" i="71"/>
  <c r="CD48" i="71" s="1"/>
  <c r="CE119" i="71"/>
  <c r="CC119" i="71"/>
  <c r="CD119" i="71" s="1"/>
  <c r="CE117" i="71"/>
  <c r="CC117" i="71"/>
  <c r="CD117" i="71" s="1"/>
  <c r="CE94" i="71"/>
  <c r="CC94" i="71"/>
  <c r="CD94" i="71" s="1"/>
  <c r="CE87" i="71"/>
  <c r="CC87" i="71"/>
  <c r="CD87" i="71" s="1"/>
  <c r="CE89" i="71"/>
  <c r="CC89" i="71"/>
  <c r="CD89" i="71" s="1"/>
  <c r="CE35" i="71"/>
  <c r="CC35" i="71"/>
  <c r="CD35" i="71" s="1"/>
  <c r="CE108" i="71"/>
  <c r="CC108" i="71"/>
  <c r="CD108" i="71" s="1"/>
  <c r="CE173" i="71"/>
  <c r="CC173" i="71"/>
  <c r="CD173" i="71" s="1"/>
  <c r="CE171" i="71"/>
  <c r="CC171" i="71"/>
  <c r="CD171" i="71" s="1"/>
  <c r="CE53" i="71"/>
  <c r="CC53" i="71"/>
  <c r="CD53" i="71" s="1"/>
  <c r="CE84" i="71"/>
  <c r="CC84" i="71"/>
  <c r="CD84" i="71" s="1"/>
  <c r="CE176" i="71"/>
  <c r="CC176" i="71"/>
  <c r="CD176" i="71" s="1"/>
  <c r="CE163" i="71"/>
  <c r="CC163" i="71"/>
  <c r="CD163" i="71" s="1"/>
  <c r="CE86" i="71"/>
  <c r="CC86" i="71"/>
  <c r="CD86" i="71" s="1"/>
  <c r="CE41" i="71"/>
  <c r="CC41" i="71"/>
  <c r="CD41" i="71" s="1"/>
  <c r="CE183" i="71"/>
  <c r="CC183" i="71"/>
  <c r="CD183" i="71" s="1"/>
  <c r="CE152" i="71"/>
  <c r="CC152" i="71"/>
  <c r="CD152" i="71" s="1"/>
  <c r="CE182" i="71"/>
  <c r="CC182" i="71"/>
  <c r="CD182" i="71" s="1"/>
  <c r="CE54" i="71"/>
  <c r="CC54" i="71"/>
  <c r="CD54" i="71" s="1"/>
  <c r="CE55" i="71"/>
  <c r="CC55" i="71"/>
  <c r="CD55" i="71" s="1"/>
  <c r="CE79" i="71"/>
  <c r="CC79" i="71"/>
  <c r="CD79" i="71" s="1"/>
  <c r="CE102" i="71"/>
  <c r="CC102" i="71"/>
  <c r="CD102" i="71" s="1"/>
  <c r="CE70" i="71"/>
  <c r="CC70" i="71"/>
  <c r="CD70" i="71" s="1"/>
  <c r="CE13" i="71"/>
  <c r="CC13" i="71"/>
  <c r="CD13" i="71" s="1"/>
  <c r="CE196" i="71"/>
  <c r="CC196" i="71"/>
  <c r="CD196" i="71" s="1"/>
  <c r="CE17" i="71"/>
  <c r="CC17" i="71"/>
  <c r="CD17" i="71" s="1"/>
  <c r="CE18" i="71"/>
  <c r="CC18" i="71"/>
  <c r="CD18" i="71" s="1"/>
  <c r="CE139" i="71"/>
  <c r="CC139" i="71"/>
  <c r="CD139" i="71" s="1"/>
  <c r="CE88" i="71"/>
  <c r="CC88" i="71"/>
  <c r="CD88" i="71" s="1"/>
  <c r="CE43" i="71"/>
  <c r="CC43" i="71"/>
  <c r="CD43" i="71" s="1"/>
  <c r="CE148" i="71"/>
  <c r="CC148" i="71"/>
  <c r="CD148" i="71" s="1"/>
  <c r="CE160" i="71"/>
  <c r="CC160" i="71"/>
  <c r="CD160" i="71" s="1"/>
  <c r="CE16" i="71"/>
  <c r="CC16" i="71"/>
  <c r="CD16" i="71" s="1"/>
  <c r="CE149" i="71"/>
  <c r="CC149" i="71"/>
  <c r="CD149" i="71" s="1"/>
  <c r="CE120" i="71"/>
  <c r="CC120" i="71"/>
  <c r="CD120" i="71" s="1"/>
  <c r="CE191" i="71"/>
  <c r="CC191" i="71"/>
  <c r="CD191" i="71" s="1"/>
  <c r="CE161" i="71"/>
  <c r="CC161" i="71"/>
  <c r="CD161" i="71" s="1"/>
  <c r="CE77" i="71"/>
  <c r="CC77" i="71"/>
  <c r="CD77" i="71" s="1"/>
  <c r="CE91" i="71"/>
  <c r="CC91" i="71"/>
  <c r="CD91" i="71" s="1"/>
  <c r="AX79" i="71"/>
  <c r="AY79" i="71" s="1"/>
  <c r="AX67" i="71"/>
  <c r="AY67" i="71" s="1"/>
  <c r="AX149" i="71"/>
  <c r="AY149" i="71" s="1"/>
  <c r="AX114" i="71"/>
  <c r="AY114" i="71" s="1"/>
  <c r="AX132" i="71"/>
  <c r="AY132" i="71" s="1"/>
  <c r="AX135" i="71"/>
  <c r="AY135" i="71" s="1"/>
  <c r="AX152" i="71"/>
  <c r="AY152" i="71" s="1"/>
  <c r="AX113" i="71"/>
  <c r="AY113" i="71" s="1"/>
  <c r="AX154" i="71"/>
  <c r="AX99" i="71"/>
  <c r="AY99" i="71" s="1"/>
  <c r="AX77" i="71"/>
  <c r="AY77" i="71" s="1"/>
  <c r="AX97" i="71"/>
  <c r="AY97" i="71" s="1"/>
  <c r="AX140" i="71"/>
  <c r="AY140" i="71" s="1"/>
  <c r="AX111" i="71"/>
  <c r="AY111" i="71" s="1"/>
  <c r="AX87" i="71"/>
  <c r="AY87" i="71" s="1"/>
  <c r="AX138" i="71"/>
  <c r="AY138" i="71" s="1"/>
  <c r="AX107" i="71"/>
  <c r="AY107" i="71" s="1"/>
  <c r="AX175" i="71"/>
  <c r="AX200" i="71"/>
  <c r="AY200" i="71" s="1"/>
  <c r="AX68" i="71"/>
  <c r="AY68" i="71" s="1"/>
  <c r="AX136" i="71"/>
  <c r="AY136" i="71" s="1"/>
  <c r="AX134" i="71"/>
  <c r="AY134" i="71" s="1"/>
  <c r="AX112" i="71"/>
  <c r="AY112" i="71" s="1"/>
  <c r="AX188" i="71"/>
  <c r="AY188" i="71" s="1"/>
  <c r="AX71" i="71"/>
  <c r="AY71" i="71" s="1"/>
  <c r="AX115" i="71"/>
  <c r="AY115" i="71" s="1"/>
  <c r="AX125" i="71"/>
  <c r="AY125" i="71" s="1"/>
  <c r="AX181" i="71"/>
  <c r="AY181" i="71" s="1"/>
  <c r="AX207" i="71"/>
  <c r="AY207" i="71" s="1"/>
  <c r="AX82" i="71"/>
  <c r="AX146" i="71"/>
  <c r="AY146" i="71" s="1"/>
  <c r="AX70" i="71"/>
  <c r="AY70" i="71" s="1"/>
  <c r="AX204" i="71"/>
  <c r="AY204" i="71" s="1"/>
  <c r="AX179" i="71"/>
  <c r="AY179" i="71" s="1"/>
  <c r="AX174" i="71"/>
  <c r="AX144" i="71"/>
  <c r="AX192" i="71"/>
  <c r="AX92" i="71"/>
  <c r="AY92" i="71" s="1"/>
  <c r="AX63" i="71"/>
  <c r="AY63" i="71" s="1"/>
  <c r="AX157" i="71"/>
  <c r="AY157" i="71" s="1"/>
  <c r="AX120" i="71"/>
  <c r="AY120" i="71" s="1"/>
  <c r="AX80" i="71"/>
  <c r="AX56" i="71"/>
  <c r="AY56" i="71" s="1"/>
  <c r="BE56" i="71" s="1"/>
  <c r="AX84" i="71"/>
  <c r="AY84" i="71" s="1"/>
  <c r="AX176" i="71"/>
  <c r="AY176" i="71" s="1"/>
  <c r="AX119" i="71"/>
  <c r="AY119" i="71" s="1"/>
  <c r="AX182" i="71"/>
  <c r="AY182" i="71" s="1"/>
  <c r="AX126" i="71"/>
  <c r="AY126" i="71" s="1"/>
  <c r="AX201" i="71"/>
  <c r="AY201" i="71" s="1"/>
  <c r="AX190" i="71"/>
  <c r="AY190" i="71" s="1"/>
  <c r="AX197" i="71"/>
  <c r="AY197" i="71" s="1"/>
  <c r="AX66" i="71"/>
  <c r="AY66" i="71" s="1"/>
  <c r="AX172" i="71"/>
  <c r="AY172" i="71" s="1"/>
  <c r="AX189" i="71"/>
  <c r="AY189" i="71" s="1"/>
  <c r="AX81" i="71"/>
  <c r="AY81" i="71" s="1"/>
  <c r="AX155" i="71"/>
  <c r="AY155" i="71" s="1"/>
  <c r="AX75" i="71"/>
  <c r="AY75" i="71" s="1"/>
  <c r="AX72" i="71"/>
  <c r="AY72" i="71" s="1"/>
  <c r="AX90" i="71"/>
  <c r="AY90" i="71" s="1"/>
  <c r="AX173" i="71"/>
  <c r="AY173" i="71" s="1"/>
  <c r="AX153" i="71"/>
  <c r="AY153" i="71" s="1"/>
  <c r="AX130" i="71"/>
  <c r="AY130" i="71" s="1"/>
  <c r="AX109" i="71"/>
  <c r="AY109" i="71" s="1"/>
  <c r="AX164" i="71"/>
  <c r="AY164" i="71" s="1"/>
  <c r="AX169" i="71"/>
  <c r="AY169" i="71" s="1"/>
  <c r="AX86" i="71"/>
  <c r="AY86" i="71" s="1"/>
  <c r="AX180" i="71"/>
  <c r="AY180" i="71" s="1"/>
  <c r="AX168" i="71"/>
  <c r="AY168" i="71" s="1"/>
  <c r="AX123" i="71"/>
  <c r="AY123" i="71" s="1"/>
  <c r="AX162" i="71"/>
  <c r="AY162" i="71" s="1"/>
  <c r="AX163" i="71"/>
  <c r="AY163" i="71" s="1"/>
  <c r="AX73" i="71"/>
  <c r="BN157" i="71"/>
  <c r="BL157" i="71"/>
  <c r="BM157" i="71" s="1"/>
  <c r="BN102" i="71"/>
  <c r="BL102" i="71"/>
  <c r="BM102" i="71" s="1"/>
  <c r="BN44" i="71"/>
  <c r="BL44" i="71"/>
  <c r="BM44" i="71" s="1"/>
  <c r="BN189" i="71"/>
  <c r="BL189" i="71"/>
  <c r="BM189" i="71" s="1"/>
  <c r="BN128" i="71"/>
  <c r="BL128" i="71"/>
  <c r="BM128" i="71" s="1"/>
  <c r="BN156" i="71"/>
  <c r="BL156" i="71"/>
  <c r="BM156" i="71" s="1"/>
  <c r="BL147" i="71"/>
  <c r="BM147" i="71" s="1"/>
  <c r="BN147" i="71"/>
  <c r="BL42" i="71"/>
  <c r="BM42" i="71" s="1"/>
  <c r="BN42" i="71"/>
  <c r="BN71" i="71"/>
  <c r="BL71" i="71"/>
  <c r="BM71" i="71" s="1"/>
  <c r="BN51" i="71"/>
  <c r="BL51" i="71"/>
  <c r="BM51" i="71" s="1"/>
  <c r="BL66" i="71"/>
  <c r="BM66" i="71" s="1"/>
  <c r="BN66" i="71"/>
  <c r="BL187" i="71"/>
  <c r="BM187" i="71" s="1"/>
  <c r="BN187" i="71"/>
  <c r="BN178" i="71"/>
  <c r="BL178" i="71"/>
  <c r="BM178" i="71" s="1"/>
  <c r="BL18" i="71"/>
  <c r="BM18" i="71" s="1"/>
  <c r="BN18" i="71"/>
  <c r="BL21" i="71"/>
  <c r="BM21" i="71" s="1"/>
  <c r="BN21" i="71"/>
  <c r="BN77" i="71"/>
  <c r="BL77" i="71"/>
  <c r="BM77" i="71" s="1"/>
  <c r="BL184" i="71"/>
  <c r="BM184" i="71" s="1"/>
  <c r="BN184" i="71"/>
  <c r="BL70" i="71"/>
  <c r="BM70" i="71" s="1"/>
  <c r="BN70" i="71"/>
  <c r="BN196" i="71"/>
  <c r="BL196" i="71"/>
  <c r="BM196" i="71" s="1"/>
  <c r="BN48" i="71"/>
  <c r="BL48" i="71"/>
  <c r="BM48" i="71" s="1"/>
  <c r="BN74" i="71"/>
  <c r="BL74" i="71"/>
  <c r="BM74" i="71" s="1"/>
  <c r="BN80" i="71"/>
  <c r="BL80" i="71"/>
  <c r="BM80" i="71" s="1"/>
  <c r="BL58" i="71"/>
  <c r="BM58" i="71" s="1"/>
  <c r="BN58" i="71"/>
  <c r="BN165" i="71"/>
  <c r="BL165" i="71"/>
  <c r="BM165" i="71" s="1"/>
  <c r="BL122" i="71"/>
  <c r="BM122" i="71" s="1"/>
  <c r="BN122" i="71"/>
  <c r="BL185" i="71"/>
  <c r="BM185" i="71" s="1"/>
  <c r="BN185" i="71"/>
  <c r="BL145" i="71"/>
  <c r="BM145" i="71" s="1"/>
  <c r="BN145" i="71"/>
  <c r="BL30" i="71"/>
  <c r="BM30" i="71" s="1"/>
  <c r="BN30" i="71"/>
  <c r="BL69" i="71"/>
  <c r="BM69" i="71" s="1"/>
  <c r="BN69" i="71"/>
  <c r="BL78" i="71"/>
  <c r="BM78" i="71" s="1"/>
  <c r="BN78" i="71"/>
  <c r="BL46" i="71"/>
  <c r="BM46" i="71" s="1"/>
  <c r="BN46" i="71"/>
  <c r="BL7" i="71"/>
  <c r="BM7" i="71" s="1"/>
  <c r="BN7" i="71"/>
  <c r="BL148" i="71"/>
  <c r="BM148" i="71" s="1"/>
  <c r="BN148" i="71"/>
  <c r="BL10" i="71"/>
  <c r="BM10" i="71" s="1"/>
  <c r="BN10" i="71"/>
  <c r="BN99" i="71"/>
  <c r="BL99" i="71"/>
  <c r="BM99" i="71" s="1"/>
  <c r="BL200" i="71"/>
  <c r="BM200" i="71" s="1"/>
  <c r="BN200" i="71"/>
  <c r="BN142" i="71"/>
  <c r="BL142" i="71"/>
  <c r="BM142" i="71" s="1"/>
  <c r="BN152" i="71"/>
  <c r="BL152" i="71"/>
  <c r="BM152" i="71" s="1"/>
  <c r="BN168" i="71"/>
  <c r="BL168" i="71"/>
  <c r="BM168" i="71" s="1"/>
  <c r="BL96" i="71"/>
  <c r="BM96" i="71" s="1"/>
  <c r="BN96" i="71"/>
  <c r="BN177" i="71"/>
  <c r="BL177" i="71"/>
  <c r="BM177" i="71" s="1"/>
  <c r="BN194" i="71"/>
  <c r="BL194" i="71"/>
  <c r="BM194" i="71" s="1"/>
  <c r="BN141" i="71"/>
  <c r="BL141" i="71"/>
  <c r="BM141" i="71" s="1"/>
  <c r="BL17" i="71"/>
  <c r="BM17" i="71" s="1"/>
  <c r="BN17" i="71"/>
  <c r="BL54" i="71"/>
  <c r="BM54" i="71" s="1"/>
  <c r="BN54" i="71"/>
  <c r="BL39" i="71"/>
  <c r="BM39" i="71" s="1"/>
  <c r="BN39" i="71"/>
  <c r="BN20" i="71"/>
  <c r="BL20" i="71"/>
  <c r="BM20" i="71" s="1"/>
  <c r="BL55" i="71"/>
  <c r="BM55" i="71" s="1"/>
  <c r="BN55" i="71"/>
  <c r="BN115" i="71"/>
  <c r="BL115" i="71"/>
  <c r="BM115" i="71" s="1"/>
  <c r="BL108" i="71"/>
  <c r="BM108" i="71" s="1"/>
  <c r="BN108" i="71"/>
  <c r="BL162" i="71"/>
  <c r="BM162" i="71" s="1"/>
  <c r="BN162" i="71"/>
  <c r="BL171" i="71"/>
  <c r="BM171" i="71" s="1"/>
  <c r="BN171" i="71"/>
  <c r="BN25" i="71"/>
  <c r="BL25" i="71"/>
  <c r="BM25" i="71" s="1"/>
  <c r="BN26" i="71"/>
  <c r="BL26" i="71"/>
  <c r="BM26" i="71" s="1"/>
  <c r="BL64" i="71"/>
  <c r="BM64" i="71" s="1"/>
  <c r="BN64" i="71"/>
  <c r="BN53" i="71"/>
  <c r="BL53" i="71"/>
  <c r="BM53" i="71" s="1"/>
  <c r="BN167" i="71"/>
  <c r="BL167" i="71"/>
  <c r="BM167" i="71" s="1"/>
  <c r="BN86" i="71"/>
  <c r="BL86" i="71"/>
  <c r="BM86" i="71" s="1"/>
  <c r="BL124" i="71"/>
  <c r="BM124" i="71" s="1"/>
  <c r="BN124" i="71"/>
  <c r="BN92" i="71"/>
  <c r="BL92" i="71"/>
  <c r="BM92" i="71" s="1"/>
  <c r="BL134" i="71"/>
  <c r="BM134" i="71" s="1"/>
  <c r="BN134" i="71"/>
  <c r="BN207" i="71"/>
  <c r="BL207" i="71"/>
  <c r="BM207" i="71" s="1"/>
  <c r="BN117" i="71"/>
  <c r="BL117" i="71"/>
  <c r="BM117" i="71" s="1"/>
  <c r="BN47" i="71"/>
  <c r="BL47" i="71"/>
  <c r="BM47" i="71" s="1"/>
  <c r="BN103" i="71"/>
  <c r="BL103" i="71"/>
  <c r="BM103" i="71" s="1"/>
  <c r="BL41" i="71"/>
  <c r="BM41" i="71" s="1"/>
  <c r="BN41" i="71"/>
  <c r="BL107" i="71"/>
  <c r="BM107" i="71" s="1"/>
  <c r="BN107" i="71"/>
  <c r="BL118" i="71"/>
  <c r="BM118" i="71" s="1"/>
  <c r="BN118" i="71"/>
  <c r="BL13" i="71"/>
  <c r="BM13" i="71" s="1"/>
  <c r="BN13" i="71"/>
  <c r="BN170" i="71"/>
  <c r="BL170" i="71"/>
  <c r="BM170" i="71" s="1"/>
  <c r="BN104" i="71"/>
  <c r="BL104" i="71"/>
  <c r="BM104" i="71" s="1"/>
  <c r="BN101" i="71"/>
  <c r="BL101" i="71"/>
  <c r="BM101" i="71" s="1"/>
  <c r="BN180" i="71"/>
  <c r="BL180" i="71"/>
  <c r="BM180" i="71" s="1"/>
  <c r="BN50" i="71"/>
  <c r="BL50" i="71"/>
  <c r="BM50" i="71" s="1"/>
  <c r="BL121" i="71"/>
  <c r="BM121" i="71" s="1"/>
  <c r="BN121" i="71"/>
  <c r="BL160" i="71"/>
  <c r="BM160" i="71" s="1"/>
  <c r="BN160" i="71"/>
  <c r="BN191" i="71"/>
  <c r="BL191" i="71"/>
  <c r="BM191" i="71" s="1"/>
  <c r="BL94" i="71"/>
  <c r="BM94" i="71" s="1"/>
  <c r="BN94" i="71"/>
  <c r="BN90" i="71"/>
  <c r="BL90" i="71"/>
  <c r="BM90" i="71" s="1"/>
  <c r="BN84" i="71"/>
  <c r="BL84" i="71"/>
  <c r="BM84" i="71" s="1"/>
  <c r="BL57" i="71"/>
  <c r="BM57" i="71" s="1"/>
  <c r="BN57" i="71"/>
  <c r="BL73" i="71"/>
  <c r="BM73" i="71" s="1"/>
  <c r="BN73" i="71"/>
  <c r="BN24" i="71"/>
  <c r="BL24" i="71"/>
  <c r="BM24" i="71" s="1"/>
  <c r="BL93" i="71"/>
  <c r="BM93" i="71" s="1"/>
  <c r="BN93" i="71"/>
  <c r="BN195" i="71"/>
  <c r="BL195" i="71"/>
  <c r="BM195" i="71" s="1"/>
  <c r="BN32" i="71"/>
  <c r="BL32" i="71"/>
  <c r="BM32" i="71" s="1"/>
  <c r="BL76" i="71"/>
  <c r="BM76" i="71" s="1"/>
  <c r="BN76" i="71"/>
  <c r="BN72" i="71"/>
  <c r="BL72" i="71"/>
  <c r="BM72" i="71" s="1"/>
  <c r="BN12" i="71"/>
  <c r="BL12" i="71"/>
  <c r="BM12" i="71" s="1"/>
  <c r="BL14" i="71"/>
  <c r="BM14" i="71" s="1"/>
  <c r="BN14" i="71"/>
  <c r="BL59" i="71"/>
  <c r="BM59" i="71" s="1"/>
  <c r="BN59" i="71"/>
  <c r="BN204" i="71"/>
  <c r="BL204" i="71"/>
  <c r="BM204" i="71" s="1"/>
  <c r="BN85" i="71"/>
  <c r="BL85" i="71"/>
  <c r="BM85" i="71" s="1"/>
  <c r="BN130" i="71"/>
  <c r="BL130" i="71"/>
  <c r="BM130" i="71" s="1"/>
  <c r="BL135" i="71"/>
  <c r="BM135" i="71" s="1"/>
  <c r="BN135" i="71"/>
  <c r="BL75" i="71"/>
  <c r="BM75" i="71" s="1"/>
  <c r="BN75" i="71"/>
  <c r="BL60" i="71"/>
  <c r="BM60" i="71" s="1"/>
  <c r="BN60" i="71"/>
  <c r="BL16" i="71"/>
  <c r="BM16" i="71" s="1"/>
  <c r="BN16" i="71"/>
  <c r="BN208" i="71"/>
  <c r="BL208" i="71"/>
  <c r="BM208" i="71" s="1"/>
  <c r="BL111" i="71"/>
  <c r="BM111" i="71" s="1"/>
  <c r="BN111" i="71"/>
  <c r="BN192" i="71"/>
  <c r="BL192" i="71"/>
  <c r="BM192" i="71" s="1"/>
  <c r="BN37" i="71"/>
  <c r="BL37" i="71"/>
  <c r="BM37" i="71" s="1"/>
  <c r="BL151" i="71"/>
  <c r="BM151" i="71" s="1"/>
  <c r="BN151" i="71"/>
  <c r="BN193" i="71"/>
  <c r="BL193" i="71"/>
  <c r="BM193" i="71" s="1"/>
  <c r="BL198" i="71"/>
  <c r="BM198" i="71" s="1"/>
  <c r="BN198" i="71"/>
  <c r="BL45" i="71"/>
  <c r="BM45" i="71" s="1"/>
  <c r="BN45" i="71"/>
  <c r="BN155" i="71"/>
  <c r="BL155" i="71"/>
  <c r="BM155" i="71" s="1"/>
  <c r="BL5" i="71"/>
  <c r="BM5" i="71" s="1"/>
  <c r="BN5" i="71"/>
  <c r="BN65" i="71"/>
  <c r="BL65" i="71"/>
  <c r="BM65" i="71" s="1"/>
  <c r="BL27" i="71"/>
  <c r="BM27" i="71" s="1"/>
  <c r="BN27" i="71"/>
  <c r="BN56" i="71"/>
  <c r="BL56" i="71"/>
  <c r="BM56" i="71" s="1"/>
  <c r="BL112" i="71"/>
  <c r="BM112" i="71" s="1"/>
  <c r="BN112" i="71"/>
  <c r="BN174" i="71"/>
  <c r="BL174" i="71"/>
  <c r="BM174" i="71" s="1"/>
  <c r="BN158" i="71"/>
  <c r="BL158" i="71"/>
  <c r="BM158" i="71" s="1"/>
  <c r="BN87" i="71"/>
  <c r="BL87" i="71"/>
  <c r="BM87" i="71" s="1"/>
  <c r="BL163" i="71"/>
  <c r="BM163" i="71" s="1"/>
  <c r="BN163" i="71"/>
  <c r="BN89" i="71"/>
  <c r="BL89" i="71"/>
  <c r="BM89" i="71" s="1"/>
  <c r="BL88" i="71"/>
  <c r="BM88" i="71" s="1"/>
  <c r="BN88" i="71"/>
  <c r="BL83" i="71"/>
  <c r="BM83" i="71" s="1"/>
  <c r="BN83" i="71"/>
  <c r="BN201" i="71"/>
  <c r="BL201" i="71"/>
  <c r="BM201" i="71" s="1"/>
  <c r="BN205" i="71"/>
  <c r="BL205" i="71"/>
  <c r="BM205" i="71" s="1"/>
  <c r="BL95" i="71"/>
  <c r="BM95" i="71" s="1"/>
  <c r="BN95" i="71"/>
  <c r="BN22" i="71"/>
  <c r="BL22" i="71"/>
  <c r="BM22" i="71" s="1"/>
  <c r="BN131" i="71"/>
  <c r="BL131" i="71"/>
  <c r="BM131" i="71" s="1"/>
  <c r="BN63" i="71"/>
  <c r="BL63" i="71"/>
  <c r="BM63" i="71" s="1"/>
  <c r="BL164" i="71"/>
  <c r="BM164" i="71" s="1"/>
  <c r="BN164" i="71"/>
  <c r="BN61" i="71"/>
  <c r="BL61" i="71"/>
  <c r="BM61" i="71" s="1"/>
  <c r="BL82" i="71"/>
  <c r="BM82" i="71" s="1"/>
  <c r="BN82" i="71"/>
  <c r="BL132" i="71"/>
  <c r="BM132" i="71" s="1"/>
  <c r="BN132" i="71"/>
  <c r="BN116" i="71"/>
  <c r="BL116" i="71"/>
  <c r="BM116" i="71" s="1"/>
  <c r="BN143" i="71"/>
  <c r="BL143" i="71"/>
  <c r="BM143" i="71" s="1"/>
  <c r="BN19" i="71"/>
  <c r="BL19" i="71"/>
  <c r="BM19" i="71" s="1"/>
  <c r="BL110" i="71"/>
  <c r="BM110" i="71" s="1"/>
  <c r="BN110" i="71"/>
  <c r="BN33" i="71"/>
  <c r="BL33" i="71"/>
  <c r="BM33" i="71" s="1"/>
  <c r="BL136" i="71"/>
  <c r="BM136" i="71" s="1"/>
  <c r="BN136" i="71"/>
  <c r="BL43" i="71"/>
  <c r="BM43" i="71" s="1"/>
  <c r="BN43" i="71"/>
  <c r="BL150" i="71"/>
  <c r="BM150" i="71" s="1"/>
  <c r="BN150" i="71"/>
  <c r="BN98" i="71"/>
  <c r="BL98" i="71"/>
  <c r="BM98" i="71" s="1"/>
  <c r="BL91" i="71"/>
  <c r="BM91" i="71" s="1"/>
  <c r="BN91" i="71"/>
  <c r="BL166" i="71"/>
  <c r="BM166" i="71" s="1"/>
  <c r="BN166" i="71"/>
  <c r="BN79" i="71"/>
  <c r="BL79" i="71"/>
  <c r="BM79" i="71" s="1"/>
  <c r="BL197" i="71"/>
  <c r="BM197" i="71" s="1"/>
  <c r="BN197" i="71"/>
  <c r="BL23" i="71"/>
  <c r="BM23" i="71" s="1"/>
  <c r="BN23" i="71"/>
  <c r="BL202" i="71"/>
  <c r="BM202" i="71" s="1"/>
  <c r="BN202" i="71"/>
  <c r="BL173" i="71"/>
  <c r="BM173" i="71" s="1"/>
  <c r="BN173" i="71"/>
  <c r="BN153" i="71"/>
  <c r="BL153" i="71"/>
  <c r="BM153" i="71" s="1"/>
  <c r="BN154" i="71"/>
  <c r="BL154" i="71"/>
  <c r="BM154" i="71" s="1"/>
  <c r="BN206" i="71"/>
  <c r="BL206" i="71"/>
  <c r="BM206" i="71" s="1"/>
  <c r="BL188" i="71"/>
  <c r="BM188" i="71" s="1"/>
  <c r="BN188" i="71"/>
  <c r="BL161" i="71"/>
  <c r="BM161" i="71" s="1"/>
  <c r="BN161" i="71"/>
  <c r="BN123" i="71"/>
  <c r="BL123" i="71"/>
  <c r="BM123" i="71" s="1"/>
  <c r="BN140" i="71"/>
  <c r="BL140" i="71"/>
  <c r="BM140" i="71" s="1"/>
  <c r="BN49" i="71"/>
  <c r="BL49" i="71"/>
  <c r="BM49" i="71" s="1"/>
  <c r="BN138" i="71"/>
  <c r="BL138" i="71"/>
  <c r="BM138" i="71" s="1"/>
  <c r="BL175" i="71"/>
  <c r="BM175" i="71" s="1"/>
  <c r="BN175" i="71"/>
  <c r="BN190" i="71"/>
  <c r="BL190" i="71"/>
  <c r="BM190" i="71" s="1"/>
  <c r="BN36" i="71"/>
  <c r="BL36" i="71"/>
  <c r="BM36" i="71" s="1"/>
  <c r="BL179" i="71"/>
  <c r="BM179" i="71" s="1"/>
  <c r="BN179" i="71"/>
  <c r="BL176" i="71"/>
  <c r="BM176" i="71" s="1"/>
  <c r="BN176" i="71"/>
  <c r="BN105" i="71"/>
  <c r="BL105" i="71"/>
  <c r="BM105" i="71" s="1"/>
  <c r="BN8" i="71"/>
  <c r="BL8" i="71"/>
  <c r="BM8" i="71" s="1"/>
  <c r="BL6" i="71"/>
  <c r="BM6" i="71" s="1"/>
  <c r="BN6" i="71"/>
  <c r="BN62" i="71"/>
  <c r="BL62" i="71"/>
  <c r="BM62" i="71" s="1"/>
  <c r="BL52" i="71"/>
  <c r="BM52" i="71" s="1"/>
  <c r="BN52" i="71"/>
  <c r="BN38" i="71"/>
  <c r="BL38" i="71"/>
  <c r="BM38" i="71" s="1"/>
  <c r="BL203" i="71"/>
  <c r="BM203" i="71" s="1"/>
  <c r="BN203" i="71"/>
  <c r="BN144" i="71"/>
  <c r="BL144" i="71"/>
  <c r="BM144" i="71" s="1"/>
  <c r="BL28" i="71"/>
  <c r="BM28" i="71" s="1"/>
  <c r="BN28" i="71"/>
  <c r="BN126" i="71"/>
  <c r="BL126" i="71"/>
  <c r="BM126" i="71" s="1"/>
  <c r="BN15" i="71"/>
  <c r="BL15" i="71"/>
  <c r="BM15" i="71" s="1"/>
  <c r="BN120" i="71"/>
  <c r="BL120" i="71"/>
  <c r="BM120" i="71" s="1"/>
  <c r="BL181" i="71"/>
  <c r="BM181" i="71" s="1"/>
  <c r="BN181" i="71"/>
  <c r="BL146" i="71"/>
  <c r="BM146" i="71" s="1"/>
  <c r="BN146" i="71"/>
  <c r="BL186" i="71"/>
  <c r="BM186" i="71" s="1"/>
  <c r="BN186" i="71"/>
  <c r="BL199" i="71"/>
  <c r="BM199" i="71" s="1"/>
  <c r="BN199" i="71"/>
  <c r="BL40" i="71"/>
  <c r="BM40" i="71" s="1"/>
  <c r="BN40" i="71"/>
  <c r="BL67" i="71"/>
  <c r="BM67" i="71" s="1"/>
  <c r="BN67" i="71"/>
  <c r="BN68" i="71"/>
  <c r="BL68" i="71"/>
  <c r="BM68" i="71" s="1"/>
  <c r="BL97" i="71"/>
  <c r="BM97" i="71" s="1"/>
  <c r="BN97" i="71"/>
  <c r="BN125" i="71"/>
  <c r="BL125" i="71"/>
  <c r="BM125" i="71" s="1"/>
  <c r="BL172" i="71"/>
  <c r="BM172" i="71" s="1"/>
  <c r="BN172" i="71"/>
  <c r="BL29" i="71"/>
  <c r="BM29" i="71" s="1"/>
  <c r="BN29" i="71"/>
  <c r="BL159" i="71"/>
  <c r="BM159" i="71" s="1"/>
  <c r="BN159" i="71"/>
  <c r="BN9" i="71"/>
  <c r="BL9" i="71"/>
  <c r="BM9" i="71" s="1"/>
  <c r="BL114" i="71"/>
  <c r="BM114" i="71" s="1"/>
  <c r="BN114" i="71"/>
  <c r="BN183" i="71"/>
  <c r="BL183" i="71"/>
  <c r="BM183" i="71" s="1"/>
  <c r="AW45" i="71"/>
  <c r="AU45" i="71"/>
  <c r="AV45" i="71" s="1"/>
  <c r="AW10" i="71"/>
  <c r="AU10" i="71"/>
  <c r="AV10" i="71" s="1"/>
  <c r="AW22" i="71"/>
  <c r="AU22" i="71"/>
  <c r="AV22" i="71" s="1"/>
  <c r="AW5" i="71"/>
  <c r="AU5" i="71"/>
  <c r="AV5" i="71" s="1"/>
  <c r="AW26" i="71"/>
  <c r="AU26" i="71"/>
  <c r="AV26" i="71" s="1"/>
  <c r="AW16" i="71"/>
  <c r="AU16" i="71"/>
  <c r="AV16" i="71" s="1"/>
  <c r="AW7" i="71"/>
  <c r="AU7" i="71"/>
  <c r="AV7" i="71" s="1"/>
  <c r="AX195" i="71"/>
  <c r="AY195" i="71" s="1"/>
  <c r="AW158" i="71"/>
  <c r="AU158" i="71"/>
  <c r="AV158" i="71" s="1"/>
  <c r="AX96" i="71"/>
  <c r="AY96" i="71" s="1"/>
  <c r="AW94" i="71"/>
  <c r="AU94" i="71"/>
  <c r="AV94" i="71" s="1"/>
  <c r="AW19" i="71"/>
  <c r="AU19" i="71"/>
  <c r="AV19" i="71" s="1"/>
  <c r="AW12" i="71"/>
  <c r="AU12" i="71"/>
  <c r="AV12" i="71" s="1"/>
  <c r="AW37" i="71"/>
  <c r="AU37" i="71"/>
  <c r="AV37" i="71" s="1"/>
  <c r="AW14" i="71"/>
  <c r="AU14" i="71"/>
  <c r="AV14" i="71" s="1"/>
  <c r="AW44" i="71"/>
  <c r="AU44" i="71"/>
  <c r="AV44" i="71" s="1"/>
  <c r="AW17" i="71"/>
  <c r="AU17" i="71"/>
  <c r="AV17" i="71" s="1"/>
  <c r="AW47" i="71"/>
  <c r="AU47" i="71"/>
  <c r="AV47" i="71" s="1"/>
  <c r="AW21" i="71"/>
  <c r="AU21" i="71"/>
  <c r="AV21" i="71" s="1"/>
  <c r="AW28" i="71"/>
  <c r="AU28" i="71"/>
  <c r="AV28" i="71" s="1"/>
  <c r="AW9" i="71"/>
  <c r="AU9" i="71"/>
  <c r="AV9" i="71" s="1"/>
  <c r="AW4" i="71"/>
  <c r="AU4" i="71"/>
  <c r="AV4" i="71" s="1"/>
  <c r="AW11" i="71"/>
  <c r="AU11" i="71"/>
  <c r="AV11" i="71" s="1"/>
  <c r="AX129" i="71"/>
  <c r="AY129" i="71" s="1"/>
  <c r="AX186" i="71"/>
  <c r="AY186" i="71" s="1"/>
  <c r="AX124" i="71"/>
  <c r="AY124" i="71" s="1"/>
  <c r="AW30" i="71"/>
  <c r="AU30" i="71"/>
  <c r="AV30" i="71" s="1"/>
  <c r="AX131" i="71"/>
  <c r="AY131" i="71" s="1"/>
  <c r="AX147" i="71"/>
  <c r="AY147" i="71" s="1"/>
  <c r="AX142" i="71"/>
  <c r="AY142" i="71" s="1"/>
  <c r="AX199" i="71"/>
  <c r="AY199" i="71" s="1"/>
  <c r="AW25" i="71"/>
  <c r="AU25" i="71"/>
  <c r="AV25" i="71" s="1"/>
  <c r="AW35" i="71"/>
  <c r="AU35" i="71"/>
  <c r="AV35" i="71" s="1"/>
  <c r="AW20" i="71"/>
  <c r="AU20" i="71"/>
  <c r="AV20" i="71" s="1"/>
  <c r="AW34" i="71"/>
  <c r="AU34" i="71"/>
  <c r="AV34" i="71" s="1"/>
  <c r="AW39" i="71"/>
  <c r="AU39" i="71"/>
  <c r="AV39" i="71" s="1"/>
  <c r="AW33" i="71"/>
  <c r="AU33" i="71"/>
  <c r="AV33" i="71" s="1"/>
  <c r="AX110" i="71"/>
  <c r="AY110" i="71" s="1"/>
  <c r="AX198" i="71"/>
  <c r="AY198" i="71" s="1"/>
  <c r="AX65" i="71"/>
  <c r="AY65" i="71" s="1"/>
  <c r="AX118" i="71"/>
  <c r="AY118" i="71" s="1"/>
  <c r="AX59" i="71"/>
  <c r="AY59" i="71" s="1"/>
  <c r="AW93" i="71"/>
  <c r="AU93" i="71"/>
  <c r="AV93" i="71" s="1"/>
  <c r="AW42" i="71"/>
  <c r="AU42" i="71"/>
  <c r="AV42" i="71" s="1"/>
  <c r="AW50" i="71"/>
  <c r="AU50" i="71"/>
  <c r="AV50" i="71" s="1"/>
  <c r="AX137" i="71"/>
  <c r="AY137" i="71" s="1"/>
  <c r="AX103" i="71"/>
  <c r="AY103" i="71" s="1"/>
  <c r="AX187" i="71"/>
  <c r="AY187" i="71" s="1"/>
  <c r="AX60" i="71"/>
  <c r="AY60" i="71" s="1"/>
  <c r="AX184" i="71"/>
  <c r="AY184" i="71" s="1"/>
  <c r="AX83" i="71"/>
  <c r="AY83" i="71" s="1"/>
  <c r="AX194" i="71"/>
  <c r="AY194" i="71" s="1"/>
  <c r="AX69" i="71"/>
  <c r="AY69" i="71" s="1"/>
  <c r="AX191" i="71"/>
  <c r="AY191" i="71" s="1"/>
  <c r="AX156" i="71"/>
  <c r="AY156" i="71" s="1"/>
  <c r="AW23" i="71"/>
  <c r="AU23" i="71"/>
  <c r="AV23" i="71" s="1"/>
  <c r="AW54" i="71"/>
  <c r="AU54" i="71"/>
  <c r="AV54" i="71" s="1"/>
  <c r="AW49" i="71"/>
  <c r="AU49" i="71"/>
  <c r="AV49" i="71" s="1"/>
  <c r="AX58" i="71"/>
  <c r="AY58" i="71" s="1"/>
  <c r="AX104" i="71"/>
  <c r="AY104" i="71" s="1"/>
  <c r="AX166" i="71"/>
  <c r="AW165" i="71"/>
  <c r="AU165" i="71"/>
  <c r="AV165" i="71" s="1"/>
  <c r="AW43" i="71"/>
  <c r="AU43" i="71"/>
  <c r="AV43" i="71" s="1"/>
  <c r="AW41" i="71"/>
  <c r="AU41" i="71"/>
  <c r="AV41" i="71" s="1"/>
  <c r="AW29" i="71"/>
  <c r="AU29" i="71"/>
  <c r="AV29" i="71" s="1"/>
  <c r="CA4" i="71"/>
  <c r="AW8" i="71"/>
  <c r="AU8" i="71"/>
  <c r="AV8" i="71" s="1"/>
  <c r="AW51" i="71"/>
  <c r="AU51" i="71"/>
  <c r="AV51" i="71" s="1"/>
  <c r="AW32" i="71"/>
  <c r="AU32" i="71"/>
  <c r="AV32" i="71" s="1"/>
  <c r="AW53" i="71"/>
  <c r="AU53" i="71"/>
  <c r="AV53" i="71" s="1"/>
  <c r="AW27" i="71"/>
  <c r="AU27" i="71"/>
  <c r="AV27" i="71" s="1"/>
  <c r="AW31" i="71"/>
  <c r="AU31" i="71"/>
  <c r="AV31" i="71" s="1"/>
  <c r="AW38" i="71"/>
  <c r="AU38" i="71"/>
  <c r="AV38" i="71" s="1"/>
  <c r="AW52" i="71"/>
  <c r="AU52" i="71"/>
  <c r="AV52" i="71" s="1"/>
  <c r="AW48" i="71"/>
  <c r="AU48" i="71"/>
  <c r="AV48" i="71" s="1"/>
  <c r="AW24" i="71"/>
  <c r="AU24" i="71"/>
  <c r="AV24" i="71" s="1"/>
  <c r="AW55" i="71"/>
  <c r="AU55" i="71"/>
  <c r="AV55" i="71" s="1"/>
  <c r="AW40" i="71"/>
  <c r="AU40" i="71"/>
  <c r="AV40" i="71" s="1"/>
  <c r="AW15" i="71"/>
  <c r="AU15" i="71"/>
  <c r="AV15" i="71" s="1"/>
  <c r="AW46" i="71"/>
  <c r="AU46" i="71"/>
  <c r="AV46" i="71" s="1"/>
  <c r="AX143" i="71"/>
  <c r="AY143" i="71" s="1"/>
  <c r="AX105" i="71"/>
  <c r="AY105" i="71" s="1"/>
  <c r="AX150" i="71"/>
  <c r="AY150" i="71" s="1"/>
  <c r="AX116" i="71"/>
  <c r="AY116" i="71" s="1"/>
  <c r="AX89" i="71"/>
  <c r="AY89" i="71" s="1"/>
  <c r="AX159" i="71"/>
  <c r="AY159" i="71" s="1"/>
  <c r="AX57" i="71"/>
  <c r="AY57" i="71" s="1"/>
  <c r="AX121" i="71"/>
  <c r="AY121" i="71" s="1"/>
  <c r="AX161" i="71"/>
  <c r="AX85" i="71"/>
  <c r="AY85" i="71" s="1"/>
  <c r="AX139" i="71"/>
  <c r="AY139" i="71" s="1"/>
  <c r="AX117" i="71"/>
  <c r="AY117" i="71" s="1"/>
  <c r="AX151" i="71"/>
  <c r="AY151" i="71" s="1"/>
  <c r="AX167" i="71"/>
  <c r="AY167" i="71" s="1"/>
  <c r="AX203" i="71"/>
  <c r="AY203" i="71" s="1"/>
  <c r="AX74" i="71"/>
  <c r="AY74" i="71" s="1"/>
  <c r="BO34" i="71"/>
  <c r="BO139" i="71"/>
  <c r="BO113" i="71"/>
  <c r="BO11" i="71"/>
  <c r="AX13" i="71"/>
  <c r="AY13" i="71" s="1"/>
  <c r="AY91" i="71"/>
  <c r="AY178" i="71"/>
  <c r="BO119" i="71"/>
  <c r="BO149" i="71"/>
  <c r="AY102" i="71"/>
  <c r="BO127" i="71"/>
  <c r="BO100" i="71"/>
  <c r="AY183" i="71"/>
  <c r="AY127" i="71"/>
  <c r="BO129" i="71"/>
  <c r="BO81" i="71"/>
  <c r="BO182" i="71"/>
  <c r="BO31" i="71"/>
  <c r="BM35" i="71"/>
  <c r="AX36" i="71"/>
  <c r="AY36" i="71" s="1"/>
  <c r="BO137" i="71"/>
  <c r="AV18" i="71"/>
  <c r="N17" i="66" s="1"/>
  <c r="BO169" i="71"/>
  <c r="BO109" i="71"/>
  <c r="AX6" i="71"/>
  <c r="AY6" i="71" s="1"/>
  <c r="AA31" i="66"/>
  <c r="N163" i="66" l="1"/>
  <c r="N38" i="66"/>
  <c r="N42" i="66"/>
  <c r="N14" i="66"/>
  <c r="N37" i="66"/>
  <c r="N7" i="66"/>
  <c r="N46" i="66"/>
  <c r="N18" i="66"/>
  <c r="N25" i="66"/>
  <c r="N39" i="66"/>
  <c r="N30" i="66"/>
  <c r="N48" i="66"/>
  <c r="N10" i="66"/>
  <c r="N16" i="66"/>
  <c r="N93" i="66"/>
  <c r="N4" i="66"/>
  <c r="N54" i="66"/>
  <c r="N26" i="66"/>
  <c r="N53" i="66"/>
  <c r="E250" i="47"/>
  <c r="N43" i="66"/>
  <c r="N21" i="66"/>
  <c r="N47" i="66"/>
  <c r="N41" i="66"/>
  <c r="N27" i="66"/>
  <c r="N36" i="66"/>
  <c r="N6" i="66"/>
  <c r="N44" i="66"/>
  <c r="N45" i="66"/>
  <c r="N51" i="66"/>
  <c r="N92" i="66"/>
  <c r="N11" i="66"/>
  <c r="N15" i="66"/>
  <c r="N23" i="66"/>
  <c r="N52" i="66"/>
  <c r="N22" i="66"/>
  <c r="P211" i="66"/>
  <c r="N8" i="66"/>
  <c r="N32" i="66"/>
  <c r="N40" i="66"/>
  <c r="N33" i="66"/>
  <c r="N19" i="66"/>
  <c r="N34" i="66"/>
  <c r="N28" i="66"/>
  <c r="N24" i="66"/>
  <c r="N156" i="66"/>
  <c r="N3" i="66"/>
  <c r="E189" i="47"/>
  <c r="N49" i="66"/>
  <c r="BP34" i="71"/>
  <c r="B33" i="66" s="1"/>
  <c r="BP137" i="71"/>
  <c r="B135" i="66" s="1"/>
  <c r="BP31" i="71"/>
  <c r="B30" i="66" s="1"/>
  <c r="BP182" i="71"/>
  <c r="B180" i="66" s="1"/>
  <c r="BP127" i="71"/>
  <c r="B126" i="66" s="1"/>
  <c r="CF149" i="71"/>
  <c r="CG149" i="71" s="1"/>
  <c r="CL149" i="71" s="1"/>
  <c r="CF139" i="71"/>
  <c r="CG139" i="71" s="1"/>
  <c r="CL139" i="71" s="1"/>
  <c r="CF102" i="71"/>
  <c r="CG102" i="71" s="1"/>
  <c r="CM102" i="71" s="1"/>
  <c r="CF183" i="71"/>
  <c r="CG183" i="71" s="1"/>
  <c r="CL183" i="71" s="1"/>
  <c r="CF53" i="71"/>
  <c r="CG53" i="71" s="1"/>
  <c r="CL53" i="71" s="1"/>
  <c r="CF87" i="71"/>
  <c r="CG87" i="71" s="1"/>
  <c r="CM87" i="71" s="1"/>
  <c r="CF189" i="71"/>
  <c r="CG189" i="71" s="1"/>
  <c r="CL189" i="71" s="1"/>
  <c r="CF40" i="71"/>
  <c r="CG40" i="71" s="1"/>
  <c r="CL40" i="71" s="1"/>
  <c r="CF92" i="71"/>
  <c r="CG92" i="71" s="1"/>
  <c r="CF75" i="71"/>
  <c r="CG75" i="71" s="1"/>
  <c r="CM75" i="71" s="1"/>
  <c r="CF69" i="71"/>
  <c r="CG69" i="71" s="1"/>
  <c r="CL69" i="71" s="1"/>
  <c r="CF24" i="71"/>
  <c r="CG24" i="71" s="1"/>
  <c r="CL24" i="71" s="1"/>
  <c r="CF158" i="71"/>
  <c r="CG158" i="71" s="1"/>
  <c r="CL158" i="71" s="1"/>
  <c r="CF74" i="71"/>
  <c r="CG74" i="71" s="1"/>
  <c r="CL74" i="71" s="1"/>
  <c r="CF178" i="71"/>
  <c r="CG178" i="71" s="1"/>
  <c r="Z190" i="74" s="1"/>
  <c r="CF8" i="71"/>
  <c r="CG8" i="71" s="1"/>
  <c r="CM8" i="71" s="1"/>
  <c r="CF47" i="71"/>
  <c r="CG47" i="71" s="1"/>
  <c r="CL47" i="71" s="1"/>
  <c r="CF51" i="71"/>
  <c r="CG51" i="71" s="1"/>
  <c r="CF56" i="71"/>
  <c r="CG56" i="71" s="1"/>
  <c r="CL56" i="71" s="1"/>
  <c r="AA68" i="74" s="1"/>
  <c r="AB68" i="74" s="1"/>
  <c r="AC68" i="74" s="1"/>
  <c r="AD68" i="74" s="1"/>
  <c r="AH55" i="68" s="1"/>
  <c r="CF72" i="71"/>
  <c r="CG72" i="71" s="1"/>
  <c r="CL72" i="71" s="1"/>
  <c r="CF27" i="71"/>
  <c r="CG27" i="71" s="1"/>
  <c r="Z39" i="74" s="1"/>
  <c r="CF73" i="71"/>
  <c r="CG73" i="71" s="1"/>
  <c r="CL73" i="71" s="1"/>
  <c r="CF11" i="71"/>
  <c r="CG11" i="71" s="1"/>
  <c r="CL11" i="71" s="1"/>
  <c r="CF83" i="71"/>
  <c r="CG83" i="71" s="1"/>
  <c r="CL83" i="71" s="1"/>
  <c r="BP106" i="71"/>
  <c r="C105" i="66" s="1"/>
  <c r="BP100" i="71"/>
  <c r="B99" i="66" s="1"/>
  <c r="BP81" i="71"/>
  <c r="B80" i="66" s="1"/>
  <c r="BP11" i="71"/>
  <c r="C10" i="66" s="1"/>
  <c r="BP109" i="71"/>
  <c r="C108" i="66" s="1"/>
  <c r="BP149" i="71"/>
  <c r="B147" i="66" s="1"/>
  <c r="BP169" i="71"/>
  <c r="B167" i="66" s="1"/>
  <c r="BP129" i="71"/>
  <c r="B128" i="66" s="1"/>
  <c r="BP113" i="71"/>
  <c r="B112" i="66" s="1"/>
  <c r="BP119" i="71"/>
  <c r="B118" i="66" s="1"/>
  <c r="BP139" i="71"/>
  <c r="BV139" i="71" s="1"/>
  <c r="Y151" i="74" s="1"/>
  <c r="CF146" i="71"/>
  <c r="CG146" i="71" s="1"/>
  <c r="CM146" i="71" s="1"/>
  <c r="CF78" i="71"/>
  <c r="CG78" i="71" s="1"/>
  <c r="CM78" i="71" s="1"/>
  <c r="CF132" i="71"/>
  <c r="CG132" i="71" s="1"/>
  <c r="CL132" i="71" s="1"/>
  <c r="CF151" i="71"/>
  <c r="CG151" i="71" s="1"/>
  <c r="CF186" i="71"/>
  <c r="CG186" i="71" s="1"/>
  <c r="CL186" i="71" s="1"/>
  <c r="CF161" i="71"/>
  <c r="CG161" i="71" s="1"/>
  <c r="CM161" i="71" s="1"/>
  <c r="CF148" i="71"/>
  <c r="CG148" i="71" s="1"/>
  <c r="CM148" i="71" s="1"/>
  <c r="CF196" i="71"/>
  <c r="CG196" i="71" s="1"/>
  <c r="CL196" i="71" s="1"/>
  <c r="CF54" i="71"/>
  <c r="CG54" i="71" s="1"/>
  <c r="CM54" i="71" s="1"/>
  <c r="CF163" i="71"/>
  <c r="CG163" i="71" s="1"/>
  <c r="CL163" i="71" s="1"/>
  <c r="CF108" i="71"/>
  <c r="CG108" i="71" s="1"/>
  <c r="CF119" i="71"/>
  <c r="CG119" i="71" s="1"/>
  <c r="CM119" i="71" s="1"/>
  <c r="CF127" i="71"/>
  <c r="CG127" i="71" s="1"/>
  <c r="CM127" i="71" s="1"/>
  <c r="CF38" i="71"/>
  <c r="CG38" i="71" s="1"/>
  <c r="CM38" i="71" s="1"/>
  <c r="CF114" i="71"/>
  <c r="CG114" i="71" s="1"/>
  <c r="CF95" i="71"/>
  <c r="CG95" i="71" s="1"/>
  <c r="CL95" i="71" s="1"/>
  <c r="CF35" i="71"/>
  <c r="CG35" i="71" s="1"/>
  <c r="CM35" i="71" s="1"/>
  <c r="CF48" i="71"/>
  <c r="CG48" i="71" s="1"/>
  <c r="CL48" i="71" s="1"/>
  <c r="CF105" i="71"/>
  <c r="CG105" i="71" s="1"/>
  <c r="CL105" i="71" s="1"/>
  <c r="CF112" i="71"/>
  <c r="CG112" i="71" s="1"/>
  <c r="CL112" i="71" s="1"/>
  <c r="CF99" i="71"/>
  <c r="CG99" i="71" s="1"/>
  <c r="CM99" i="71" s="1"/>
  <c r="CF62" i="71"/>
  <c r="CG62" i="71" s="1"/>
  <c r="CL62" i="71" s="1"/>
  <c r="CF12" i="71"/>
  <c r="CG12" i="71" s="1"/>
  <c r="CL12" i="71" s="1"/>
  <c r="CF137" i="71"/>
  <c r="CG137" i="71" s="1"/>
  <c r="CL137" i="71" s="1"/>
  <c r="CF96" i="71"/>
  <c r="CG96" i="71" s="1"/>
  <c r="CM96" i="71" s="1"/>
  <c r="CF5" i="71"/>
  <c r="CG5" i="71" s="1"/>
  <c r="CL5" i="71" s="1"/>
  <c r="CF82" i="71"/>
  <c r="CG82" i="71" s="1"/>
  <c r="CL82" i="71" s="1"/>
  <c r="CF33" i="71"/>
  <c r="CG33" i="71" s="1"/>
  <c r="CL33" i="71" s="1"/>
  <c r="CF198" i="71"/>
  <c r="CG198" i="71" s="1"/>
  <c r="CL198" i="71" s="1"/>
  <c r="CF159" i="71"/>
  <c r="CG159" i="71" s="1"/>
  <c r="CL159" i="71" s="1"/>
  <c r="CF26" i="71"/>
  <c r="CG26" i="71" s="1"/>
  <c r="CM26" i="71" s="1"/>
  <c r="CF42" i="71"/>
  <c r="CG42" i="71" s="1"/>
  <c r="CL42" i="71" s="1"/>
  <c r="CF30" i="71"/>
  <c r="CG30" i="71" s="1"/>
  <c r="CF193" i="71"/>
  <c r="CG193" i="71" s="1"/>
  <c r="CM193" i="71" s="1"/>
  <c r="CF169" i="71"/>
  <c r="CG169" i="71" s="1"/>
  <c r="CM169" i="71" s="1"/>
  <c r="CF31" i="71"/>
  <c r="CG31" i="71" s="1"/>
  <c r="CL31" i="71" s="1"/>
  <c r="CF44" i="71"/>
  <c r="CG44" i="71" s="1"/>
  <c r="CL44" i="71" s="1"/>
  <c r="CF188" i="71"/>
  <c r="CG188" i="71" s="1"/>
  <c r="CF22" i="71"/>
  <c r="CG22" i="71" s="1"/>
  <c r="CL22" i="71" s="1"/>
  <c r="CF50" i="71"/>
  <c r="CG50" i="71" s="1"/>
  <c r="CM50" i="71" s="1"/>
  <c r="CF98" i="71"/>
  <c r="CG98" i="71" s="1"/>
  <c r="CL98" i="71" s="1"/>
  <c r="CF197" i="71"/>
  <c r="CG197" i="71" s="1"/>
  <c r="CM197" i="71" s="1"/>
  <c r="CF120" i="71"/>
  <c r="CG120" i="71" s="1"/>
  <c r="CM120" i="71" s="1"/>
  <c r="CF88" i="71"/>
  <c r="CG88" i="71" s="1"/>
  <c r="CL88" i="71" s="1"/>
  <c r="CF70" i="71"/>
  <c r="CG70" i="71" s="1"/>
  <c r="CM70" i="71" s="1"/>
  <c r="CF152" i="71"/>
  <c r="CG152" i="71" s="1"/>
  <c r="CL152" i="71" s="1"/>
  <c r="CF84" i="71"/>
  <c r="CG84" i="71" s="1"/>
  <c r="CM84" i="71" s="1"/>
  <c r="CF89" i="71"/>
  <c r="CG89" i="71" s="1"/>
  <c r="CL89" i="71" s="1"/>
  <c r="CF204" i="71"/>
  <c r="CG204" i="71" s="1"/>
  <c r="CL204" i="71" s="1"/>
  <c r="CF60" i="71"/>
  <c r="CG60" i="71" s="1"/>
  <c r="CM60" i="71" s="1"/>
  <c r="CF118" i="71"/>
  <c r="CG118" i="71" s="1"/>
  <c r="CM118" i="71" s="1"/>
  <c r="CF144" i="71"/>
  <c r="CG144" i="71" s="1"/>
  <c r="CL144" i="71" s="1"/>
  <c r="CF156" i="71"/>
  <c r="CG156" i="71" s="1"/>
  <c r="CL156" i="71" s="1"/>
  <c r="CF128" i="71"/>
  <c r="CG128" i="71" s="1"/>
  <c r="CM128" i="71" s="1"/>
  <c r="CF80" i="71"/>
  <c r="CG80" i="71" s="1"/>
  <c r="CM80" i="71" s="1"/>
  <c r="CF154" i="71"/>
  <c r="CG154" i="71" s="1"/>
  <c r="CL154" i="71" s="1"/>
  <c r="CF107" i="71"/>
  <c r="CG107" i="71" s="1"/>
  <c r="CM107" i="71" s="1"/>
  <c r="CF49" i="71"/>
  <c r="CG49" i="71" s="1"/>
  <c r="CM49" i="71" s="1"/>
  <c r="CF199" i="71"/>
  <c r="CG199" i="71" s="1"/>
  <c r="CM199" i="71" s="1"/>
  <c r="CF71" i="71"/>
  <c r="CG71" i="71" s="1"/>
  <c r="CL71" i="71" s="1"/>
  <c r="CF91" i="71"/>
  <c r="CG91" i="71" s="1"/>
  <c r="CM91" i="71" s="1"/>
  <c r="CF16" i="71"/>
  <c r="CG16" i="71" s="1"/>
  <c r="CL16" i="71" s="1"/>
  <c r="CF18" i="71"/>
  <c r="CG18" i="71" s="1"/>
  <c r="CM18" i="71" s="1"/>
  <c r="CF79" i="71"/>
  <c r="CG79" i="71" s="1"/>
  <c r="CM79" i="71" s="1"/>
  <c r="CF41" i="71"/>
  <c r="CG41" i="71" s="1"/>
  <c r="CM41" i="71" s="1"/>
  <c r="CF171" i="71"/>
  <c r="CG171" i="71" s="1"/>
  <c r="CM171" i="71" s="1"/>
  <c r="CF94" i="71"/>
  <c r="CG94" i="71" s="1"/>
  <c r="CL94" i="71" s="1"/>
  <c r="CF97" i="71"/>
  <c r="CG97" i="71" s="1"/>
  <c r="CM97" i="71" s="1"/>
  <c r="CF172" i="71"/>
  <c r="CG172" i="71" s="1"/>
  <c r="CM172" i="71" s="1"/>
  <c r="CF124" i="71"/>
  <c r="CG124" i="71" s="1"/>
  <c r="CL124" i="71" s="1"/>
  <c r="CF57" i="71"/>
  <c r="CG57" i="71" s="1"/>
  <c r="CL57" i="71" s="1"/>
  <c r="CF10" i="71"/>
  <c r="CG10" i="71" s="1"/>
  <c r="CF7" i="71"/>
  <c r="CG7" i="71" s="1"/>
  <c r="CM7" i="71" s="1"/>
  <c r="CF25" i="71"/>
  <c r="CG25" i="71" s="1"/>
  <c r="CL25" i="71" s="1"/>
  <c r="CF65" i="71"/>
  <c r="CG65" i="71" s="1"/>
  <c r="CM65" i="71" s="1"/>
  <c r="CF129" i="71"/>
  <c r="CG129" i="71" s="1"/>
  <c r="CL129" i="71" s="1"/>
  <c r="CF192" i="71"/>
  <c r="CG192" i="71" s="1"/>
  <c r="CL192" i="71" s="1"/>
  <c r="CF64" i="71"/>
  <c r="CG64" i="71" s="1"/>
  <c r="CL64" i="71" s="1"/>
  <c r="CF153" i="71"/>
  <c r="CG153" i="71" s="1"/>
  <c r="CL153" i="71" s="1"/>
  <c r="CF28" i="71"/>
  <c r="CG28" i="71" s="1"/>
  <c r="CL28" i="71" s="1"/>
  <c r="CF90" i="71"/>
  <c r="CG90" i="71" s="1"/>
  <c r="CM90" i="71" s="1"/>
  <c r="CF175" i="71"/>
  <c r="CG175" i="71" s="1"/>
  <c r="CL175" i="71" s="1"/>
  <c r="CF58" i="71"/>
  <c r="CG58" i="71" s="1"/>
  <c r="CF184" i="71"/>
  <c r="CG184" i="71" s="1"/>
  <c r="CM184" i="71" s="1"/>
  <c r="CF203" i="71"/>
  <c r="CG203" i="71" s="1"/>
  <c r="CL203" i="71" s="1"/>
  <c r="CF66" i="71"/>
  <c r="CG66" i="71" s="1"/>
  <c r="CM66" i="71" s="1"/>
  <c r="CF195" i="71"/>
  <c r="CG195" i="71" s="1"/>
  <c r="CM195" i="71" s="1"/>
  <c r="CF162" i="71"/>
  <c r="CG162" i="71" s="1"/>
  <c r="CL162" i="71" s="1"/>
  <c r="CF147" i="71"/>
  <c r="CG147" i="71" s="1"/>
  <c r="CF34" i="71"/>
  <c r="CG34" i="71" s="1"/>
  <c r="CL34" i="71" s="1"/>
  <c r="CF85" i="71"/>
  <c r="CG85" i="71" s="1"/>
  <c r="CL85" i="71" s="1"/>
  <c r="CF167" i="71"/>
  <c r="CG167" i="71" s="1"/>
  <c r="CM167" i="71" s="1"/>
  <c r="CF141" i="71"/>
  <c r="CG141" i="71" s="1"/>
  <c r="CL141" i="71" s="1"/>
  <c r="CF93" i="71"/>
  <c r="CG93" i="71" s="1"/>
  <c r="CL93" i="71" s="1"/>
  <c r="CF138" i="71"/>
  <c r="CG138" i="71" s="1"/>
  <c r="CL138" i="71" s="1"/>
  <c r="CF68" i="71"/>
  <c r="CG68" i="71" s="1"/>
  <c r="CL68" i="71" s="1"/>
  <c r="CF177" i="71"/>
  <c r="CG177" i="71" s="1"/>
  <c r="CM177" i="71" s="1"/>
  <c r="CF14" i="71"/>
  <c r="CG14" i="71" s="1"/>
  <c r="CF52" i="71"/>
  <c r="CG52" i="71" s="1"/>
  <c r="CM52" i="71" s="1"/>
  <c r="CF37" i="71"/>
  <c r="CG37" i="71" s="1"/>
  <c r="CL37" i="71" s="1"/>
  <c r="CF9" i="71"/>
  <c r="CG9" i="71" s="1"/>
  <c r="CL9" i="71" s="1"/>
  <c r="CF100" i="71"/>
  <c r="CG100" i="71" s="1"/>
  <c r="CM100" i="71" s="1"/>
  <c r="CF170" i="71"/>
  <c r="CG170" i="71" s="1"/>
  <c r="CM170" i="71" s="1"/>
  <c r="CF174" i="71"/>
  <c r="CG174" i="71" s="1"/>
  <c r="CF115" i="71"/>
  <c r="CG115" i="71" s="1"/>
  <c r="CF180" i="71"/>
  <c r="CG180" i="71" s="1"/>
  <c r="CL180" i="71" s="1"/>
  <c r="CF130" i="71"/>
  <c r="CG130" i="71" s="1"/>
  <c r="CF135" i="71"/>
  <c r="CG135" i="71" s="1"/>
  <c r="CM135" i="71" s="1"/>
  <c r="CF205" i="71"/>
  <c r="CG205" i="71" s="1"/>
  <c r="CF63" i="71"/>
  <c r="CG63" i="71" s="1"/>
  <c r="CM63" i="71" s="1"/>
  <c r="CF206" i="71"/>
  <c r="CG206" i="71" s="1"/>
  <c r="CM206" i="71" s="1"/>
  <c r="CF166" i="71"/>
  <c r="CG166" i="71" s="1"/>
  <c r="CL166" i="71" s="1"/>
  <c r="CF6" i="71"/>
  <c r="CG6" i="71" s="1"/>
  <c r="CL6" i="71" s="1"/>
  <c r="CF106" i="71"/>
  <c r="CG106" i="71" s="1"/>
  <c r="CF190" i="71"/>
  <c r="CG190" i="71" s="1"/>
  <c r="CL190" i="71" s="1"/>
  <c r="CF131" i="71"/>
  <c r="CG131" i="71" s="1"/>
  <c r="CM131" i="71" s="1"/>
  <c r="CF15" i="71"/>
  <c r="CG15" i="71" s="1"/>
  <c r="CM15" i="71" s="1"/>
  <c r="CF29" i="71"/>
  <c r="CG29" i="71" s="1"/>
  <c r="CM29" i="71" s="1"/>
  <c r="CF77" i="71"/>
  <c r="CG77" i="71" s="1"/>
  <c r="CL77" i="71" s="1"/>
  <c r="CF160" i="71"/>
  <c r="CG160" i="71" s="1"/>
  <c r="CF17" i="71"/>
  <c r="CG17" i="71" s="1"/>
  <c r="CL17" i="71" s="1"/>
  <c r="CF55" i="71"/>
  <c r="CG55" i="71" s="1"/>
  <c r="CL55" i="71" s="1"/>
  <c r="CF86" i="71"/>
  <c r="CG86" i="71" s="1"/>
  <c r="CM86" i="71" s="1"/>
  <c r="CF173" i="71"/>
  <c r="CG173" i="71" s="1"/>
  <c r="CL173" i="71" s="1"/>
  <c r="CF117" i="71"/>
  <c r="CG117" i="71" s="1"/>
  <c r="CL117" i="71" s="1"/>
  <c r="CF32" i="71"/>
  <c r="CG32" i="71" s="1"/>
  <c r="CF126" i="71"/>
  <c r="CG126" i="71" s="1"/>
  <c r="CM126" i="71" s="1"/>
  <c r="CF125" i="71"/>
  <c r="CG125" i="71" s="1"/>
  <c r="CL125" i="71" s="1"/>
  <c r="CF45" i="71"/>
  <c r="CG45" i="71" s="1"/>
  <c r="CL45" i="71" s="1"/>
  <c r="CF20" i="71"/>
  <c r="CG20" i="71" s="1"/>
  <c r="CL20" i="71" s="1"/>
  <c r="CF200" i="71"/>
  <c r="CG200" i="71" s="1"/>
  <c r="CF81" i="71"/>
  <c r="CG81" i="71" s="1"/>
  <c r="CL81" i="71" s="1"/>
  <c r="CF187" i="71"/>
  <c r="CG187" i="71" s="1"/>
  <c r="CM187" i="71" s="1"/>
  <c r="CF145" i="71"/>
  <c r="CG145" i="71" s="1"/>
  <c r="CM145" i="71" s="1"/>
  <c r="CF191" i="71"/>
  <c r="CG191" i="71" s="1"/>
  <c r="CL191" i="71" s="1"/>
  <c r="CF43" i="71"/>
  <c r="CG43" i="71" s="1"/>
  <c r="CM43" i="71" s="1"/>
  <c r="CF13" i="71"/>
  <c r="CG13" i="71" s="1"/>
  <c r="CL13" i="71" s="1"/>
  <c r="CF182" i="71"/>
  <c r="CG182" i="71" s="1"/>
  <c r="CL182" i="71" s="1"/>
  <c r="CF176" i="71"/>
  <c r="CG176" i="71" s="1"/>
  <c r="CL176" i="71" s="1"/>
  <c r="CF109" i="71"/>
  <c r="CG109" i="71" s="1"/>
  <c r="CF202" i="71"/>
  <c r="CG202" i="71" s="1"/>
  <c r="CM202" i="71" s="1"/>
  <c r="CF104" i="71"/>
  <c r="CG104" i="71" s="1"/>
  <c r="CM104" i="71" s="1"/>
  <c r="CF67" i="71"/>
  <c r="CG67" i="71" s="1"/>
  <c r="CL67" i="71" s="1"/>
  <c r="CF103" i="71"/>
  <c r="CG103" i="71" s="1"/>
  <c r="CF21" i="71"/>
  <c r="CG21" i="71" s="1"/>
  <c r="CF150" i="71"/>
  <c r="CG150" i="71" s="1"/>
  <c r="CL150" i="71" s="1"/>
  <c r="CF101" i="71"/>
  <c r="CG101" i="71" s="1"/>
  <c r="CF142" i="71"/>
  <c r="CG142" i="71" s="1"/>
  <c r="CM142" i="71" s="1"/>
  <c r="CF46" i="71"/>
  <c r="CG46" i="71" s="1"/>
  <c r="CL46" i="71" s="1"/>
  <c r="CF113" i="71"/>
  <c r="CG113" i="71" s="1"/>
  <c r="CL113" i="71" s="1"/>
  <c r="CF116" i="71"/>
  <c r="CG116" i="71" s="1"/>
  <c r="CL116" i="71" s="1"/>
  <c r="CF164" i="71"/>
  <c r="CG164" i="71" s="1"/>
  <c r="CL164" i="71" s="1"/>
  <c r="CF121" i="71"/>
  <c r="CG121" i="71" s="1"/>
  <c r="CM121" i="71" s="1"/>
  <c r="CF123" i="71"/>
  <c r="CG123" i="71" s="1"/>
  <c r="CM123" i="71" s="1"/>
  <c r="CF36" i="71"/>
  <c r="CG36" i="71" s="1"/>
  <c r="CF155" i="71"/>
  <c r="CG155" i="71" s="1"/>
  <c r="CM155" i="71" s="1"/>
  <c r="CF207" i="71"/>
  <c r="CG207" i="71" s="1"/>
  <c r="CM207" i="71" s="1"/>
  <c r="CF201" i="71"/>
  <c r="CG201" i="71" s="1"/>
  <c r="CL201" i="71" s="1"/>
  <c r="CF165" i="71"/>
  <c r="CG165" i="71" s="1"/>
  <c r="CM165" i="71" s="1"/>
  <c r="CF157" i="71"/>
  <c r="CG157" i="71" s="1"/>
  <c r="CL157" i="71" s="1"/>
  <c r="CF76" i="71"/>
  <c r="CG76" i="71" s="1"/>
  <c r="CL76" i="71" s="1"/>
  <c r="CF19" i="71"/>
  <c r="CG19" i="71" s="1"/>
  <c r="CM19" i="71" s="1"/>
  <c r="CF110" i="71"/>
  <c r="CG110" i="71" s="1"/>
  <c r="CF208" i="71"/>
  <c r="CG208" i="71" s="1"/>
  <c r="CM208" i="71" s="1"/>
  <c r="CF61" i="71"/>
  <c r="CG61" i="71" s="1"/>
  <c r="CL61" i="71" s="1"/>
  <c r="CF111" i="71"/>
  <c r="CG111" i="71" s="1"/>
  <c r="CM111" i="71" s="1"/>
  <c r="CF59" i="71"/>
  <c r="CG59" i="71" s="1"/>
  <c r="CL59" i="71" s="1"/>
  <c r="CF185" i="71"/>
  <c r="CG185" i="71" s="1"/>
  <c r="CL185" i="71" s="1"/>
  <c r="CF140" i="71"/>
  <c r="CG140" i="71" s="1"/>
  <c r="CL140" i="71" s="1"/>
  <c r="CF143" i="71"/>
  <c r="CG143" i="71" s="1"/>
  <c r="CL143" i="71" s="1"/>
  <c r="CF168" i="71"/>
  <c r="CG168" i="71" s="1"/>
  <c r="CM168" i="71" s="1"/>
  <c r="CF39" i="71"/>
  <c r="CG39" i="71" s="1"/>
  <c r="CL39" i="71" s="1"/>
  <c r="CF136" i="71"/>
  <c r="CG136" i="71" s="1"/>
  <c r="CF134" i="71"/>
  <c r="CG134" i="71" s="1"/>
  <c r="CL134" i="71" s="1"/>
  <c r="CF122" i="71"/>
  <c r="CG122" i="71" s="1"/>
  <c r="CL122" i="71" s="1"/>
  <c r="CF179" i="71"/>
  <c r="CG179" i="71" s="1"/>
  <c r="CM179" i="71" s="1"/>
  <c r="CF23" i="71"/>
  <c r="CG23" i="71" s="1"/>
  <c r="CL23" i="71" s="1"/>
  <c r="CF181" i="71"/>
  <c r="CG181" i="71" s="1"/>
  <c r="CM181" i="71" s="1"/>
  <c r="CF194" i="71"/>
  <c r="CG194" i="71" s="1"/>
  <c r="CM194" i="71" s="1"/>
  <c r="CM73" i="71"/>
  <c r="BO92" i="71"/>
  <c r="BO26" i="71"/>
  <c r="AX47" i="71"/>
  <c r="AY47" i="71" s="1"/>
  <c r="BE47" i="71" s="1"/>
  <c r="AX25" i="71"/>
  <c r="AY25" i="71" s="1"/>
  <c r="BE25" i="71" s="1"/>
  <c r="BO68" i="71"/>
  <c r="BO203" i="71"/>
  <c r="BO105" i="71"/>
  <c r="BO138" i="71"/>
  <c r="AX41" i="71"/>
  <c r="AY41" i="71" s="1"/>
  <c r="BD41" i="71" s="1"/>
  <c r="AX158" i="71"/>
  <c r="AY158" i="71" s="1"/>
  <c r="BE158" i="71" s="1"/>
  <c r="BO38" i="71"/>
  <c r="BO72" i="71"/>
  <c r="BO160" i="71"/>
  <c r="BO47" i="71"/>
  <c r="BO189" i="71"/>
  <c r="BD56" i="71"/>
  <c r="BO193" i="71"/>
  <c r="AX34" i="71"/>
  <c r="AY34" i="71" s="1"/>
  <c r="BD34" i="71" s="1"/>
  <c r="AX30" i="71"/>
  <c r="AY30" i="71" s="1"/>
  <c r="AX7" i="71"/>
  <c r="AY7" i="71" s="1"/>
  <c r="BD7" i="71" s="1"/>
  <c r="BO61" i="71"/>
  <c r="BO59" i="71"/>
  <c r="BO141" i="71"/>
  <c r="BO178" i="71"/>
  <c r="AX35" i="71"/>
  <c r="AY35" i="71" s="1"/>
  <c r="BE35" i="71" s="1"/>
  <c r="BO128" i="71"/>
  <c r="AX5" i="71"/>
  <c r="AY5" i="71" s="1"/>
  <c r="BE5" i="71" s="1"/>
  <c r="AX38" i="71"/>
  <c r="AY38" i="71" s="1"/>
  <c r="BD38" i="71" s="1"/>
  <c r="AX8" i="71"/>
  <c r="AY8" i="71" s="1"/>
  <c r="BE8" i="71" s="1"/>
  <c r="AX21" i="71"/>
  <c r="AY21" i="71" s="1"/>
  <c r="AX12" i="71"/>
  <c r="AY12" i="71" s="1"/>
  <c r="BE12" i="71" s="1"/>
  <c r="AX16" i="71"/>
  <c r="AY16" i="71" s="1"/>
  <c r="BE16" i="71" s="1"/>
  <c r="AX40" i="71"/>
  <c r="AY40" i="71" s="1"/>
  <c r="BE40" i="71" s="1"/>
  <c r="AX31" i="71"/>
  <c r="AY31" i="71" s="1"/>
  <c r="BE31" i="71" s="1"/>
  <c r="S43" i="74" s="1"/>
  <c r="AX26" i="71"/>
  <c r="AY26" i="71" s="1"/>
  <c r="BD26" i="71" s="1"/>
  <c r="AX19" i="71"/>
  <c r="AY19" i="71" s="1"/>
  <c r="BE19" i="71" s="1"/>
  <c r="BO96" i="71"/>
  <c r="BO10" i="71"/>
  <c r="BO30" i="71"/>
  <c r="BO80" i="71"/>
  <c r="AX43" i="71"/>
  <c r="AY43" i="71" s="1"/>
  <c r="BE43" i="71" s="1"/>
  <c r="BO132" i="71"/>
  <c r="BO22" i="71"/>
  <c r="BO208" i="71"/>
  <c r="AX39" i="71"/>
  <c r="AY39" i="71" s="1"/>
  <c r="BD39" i="71" s="1"/>
  <c r="BO102" i="71"/>
  <c r="AX46" i="71"/>
  <c r="AY46" i="71" s="1"/>
  <c r="BE46" i="71" s="1"/>
  <c r="AX52" i="71"/>
  <c r="AY52" i="71" s="1"/>
  <c r="BE52" i="71" s="1"/>
  <c r="AX51" i="71"/>
  <c r="AY51" i="71" s="1"/>
  <c r="AX42" i="71"/>
  <c r="AY42" i="71" s="1"/>
  <c r="BE42" i="71" s="1"/>
  <c r="AX37" i="71"/>
  <c r="AY37" i="71" s="1"/>
  <c r="BE37" i="71" s="1"/>
  <c r="AX45" i="71"/>
  <c r="AY45" i="71" s="1"/>
  <c r="BE45" i="71" s="1"/>
  <c r="AX20" i="71"/>
  <c r="AY20" i="71" s="1"/>
  <c r="BD20" i="71" s="1"/>
  <c r="BO55" i="71"/>
  <c r="AX55" i="71"/>
  <c r="AY55" i="71" s="1"/>
  <c r="BD55" i="71" s="1"/>
  <c r="AX49" i="71"/>
  <c r="AY49" i="71" s="1"/>
  <c r="BE49" i="71" s="1"/>
  <c r="AX11" i="71"/>
  <c r="AY11" i="71" s="1"/>
  <c r="BE11" i="71" s="1"/>
  <c r="S23" i="74" s="1"/>
  <c r="AX94" i="71"/>
  <c r="AY94" i="71" s="1"/>
  <c r="BE94" i="71" s="1"/>
  <c r="AX24" i="71"/>
  <c r="AY24" i="71" s="1"/>
  <c r="BD24" i="71" s="1"/>
  <c r="AX54" i="71"/>
  <c r="AY54" i="71" s="1"/>
  <c r="BD54" i="71" s="1"/>
  <c r="AX4" i="71"/>
  <c r="AX44" i="71"/>
  <c r="AY44" i="71" s="1"/>
  <c r="BD44" i="71" s="1"/>
  <c r="AX22" i="71"/>
  <c r="AY22" i="71" s="1"/>
  <c r="BD22" i="71" s="1"/>
  <c r="AX48" i="71"/>
  <c r="AY48" i="71" s="1"/>
  <c r="BE48" i="71" s="1"/>
  <c r="AX23" i="71"/>
  <c r="AY23" i="71" s="1"/>
  <c r="BD23" i="71" s="1"/>
  <c r="AX14" i="71"/>
  <c r="AY14" i="71" s="1"/>
  <c r="AX10" i="71"/>
  <c r="AY10" i="71" s="1"/>
  <c r="BO21" i="71"/>
  <c r="BO176" i="71"/>
  <c r="AX29" i="71"/>
  <c r="AY29" i="71" s="1"/>
  <c r="BD29" i="71" s="1"/>
  <c r="AX53" i="71"/>
  <c r="AY53" i="71" s="1"/>
  <c r="BD53" i="71" s="1"/>
  <c r="BO158" i="71"/>
  <c r="BO75" i="71"/>
  <c r="BO79" i="71"/>
  <c r="BO184" i="71"/>
  <c r="BO64" i="71"/>
  <c r="BO45" i="71"/>
  <c r="BO195" i="71"/>
  <c r="BO90" i="71"/>
  <c r="BO118" i="71"/>
  <c r="BO135" i="71"/>
  <c r="BO93" i="71"/>
  <c r="BO49" i="71"/>
  <c r="BO151" i="71"/>
  <c r="BO111" i="71"/>
  <c r="BO29" i="71"/>
  <c r="BO74" i="71"/>
  <c r="BO172" i="71"/>
  <c r="BO23" i="71"/>
  <c r="BO85" i="71"/>
  <c r="BO12" i="71"/>
  <c r="BO104" i="71"/>
  <c r="BO7" i="71"/>
  <c r="BO107" i="71"/>
  <c r="BO97" i="71"/>
  <c r="BO136" i="71"/>
  <c r="BO20" i="71"/>
  <c r="BO194" i="71"/>
  <c r="BO78" i="71"/>
  <c r="BO143" i="71"/>
  <c r="BO197" i="71"/>
  <c r="BO142" i="71"/>
  <c r="BO89" i="71"/>
  <c r="BO69" i="71"/>
  <c r="BO91" i="71"/>
  <c r="BO66" i="71"/>
  <c r="BO43" i="71"/>
  <c r="BO163" i="71"/>
  <c r="BO36" i="71"/>
  <c r="BO123" i="71"/>
  <c r="BO40" i="71"/>
  <c r="BO117" i="71"/>
  <c r="BO124" i="71"/>
  <c r="BO200" i="71"/>
  <c r="BO95" i="71"/>
  <c r="BO39" i="71"/>
  <c r="BO99" i="71"/>
  <c r="BO70" i="71"/>
  <c r="BO181" i="71"/>
  <c r="BO185" i="71"/>
  <c r="BO122" i="71"/>
  <c r="BO198" i="71"/>
  <c r="BO51" i="71"/>
  <c r="BO144" i="71"/>
  <c r="BO67" i="71"/>
  <c r="BO8" i="71"/>
  <c r="BO120" i="71"/>
  <c r="BO147" i="71"/>
  <c r="BO183" i="71"/>
  <c r="BO110" i="71"/>
  <c r="BO205" i="71"/>
  <c r="BO60" i="71"/>
  <c r="BO196" i="71"/>
  <c r="BO71" i="71"/>
  <c r="BO46" i="71"/>
  <c r="BO164" i="71"/>
  <c r="BO27" i="71"/>
  <c r="BO41" i="71"/>
  <c r="BO53" i="71"/>
  <c r="BO131" i="71"/>
  <c r="BO177" i="71"/>
  <c r="BO6" i="71"/>
  <c r="BO190" i="71"/>
  <c r="BO154" i="71"/>
  <c r="BO94" i="71"/>
  <c r="BO101" i="71"/>
  <c r="BO25" i="71"/>
  <c r="BO48" i="71"/>
  <c r="BO153" i="71"/>
  <c r="BO201" i="71"/>
  <c r="BO87" i="71"/>
  <c r="BO130" i="71"/>
  <c r="BO14" i="71"/>
  <c r="BO116" i="71"/>
  <c r="BO24" i="71"/>
  <c r="BO191" i="71"/>
  <c r="BO207" i="71"/>
  <c r="BO171" i="71"/>
  <c r="BO42" i="71"/>
  <c r="BO114" i="71"/>
  <c r="BO125" i="71"/>
  <c r="BO186" i="71"/>
  <c r="BO204" i="71"/>
  <c r="BO103" i="71"/>
  <c r="BO162" i="71"/>
  <c r="BO54" i="71"/>
  <c r="BO199" i="71"/>
  <c r="BO173" i="71"/>
  <c r="BO167" i="71"/>
  <c r="BO9" i="71"/>
  <c r="BO146" i="71"/>
  <c r="BO155" i="71"/>
  <c r="BO76" i="71"/>
  <c r="BO121" i="71"/>
  <c r="BO156" i="71"/>
  <c r="BO83" i="71"/>
  <c r="BO150" i="71"/>
  <c r="BO19" i="71"/>
  <c r="BO159" i="71"/>
  <c r="BO52" i="71"/>
  <c r="BO179" i="71"/>
  <c r="BO140" i="71"/>
  <c r="BO206" i="71"/>
  <c r="BO112" i="71"/>
  <c r="BO50" i="71"/>
  <c r="BO168" i="71"/>
  <c r="BO148" i="71"/>
  <c r="BO77" i="71"/>
  <c r="BO152" i="71"/>
  <c r="BO180" i="71"/>
  <c r="BO63" i="71"/>
  <c r="BO86" i="71"/>
  <c r="BO44" i="71"/>
  <c r="BO202" i="71"/>
  <c r="BO5" i="71"/>
  <c r="BO170" i="71"/>
  <c r="BO126" i="71"/>
  <c r="BO188" i="71"/>
  <c r="CC4" i="71"/>
  <c r="CD4" i="71" s="1"/>
  <c r="CE4" i="71"/>
  <c r="BV129" i="71"/>
  <c r="Y141" i="74" s="1"/>
  <c r="BU129" i="71"/>
  <c r="BO13" i="71"/>
  <c r="BP4" i="71"/>
  <c r="C3" i="66" s="1"/>
  <c r="BO37" i="71"/>
  <c r="BV182" i="71"/>
  <c r="Y194" i="74" s="1"/>
  <c r="BU182" i="71"/>
  <c r="BO56" i="71"/>
  <c r="BU137" i="71"/>
  <c r="U149" i="74" s="1"/>
  <c r="BV137" i="71"/>
  <c r="Y149" i="74" s="1"/>
  <c r="AX165" i="71"/>
  <c r="AY165" i="71" s="1"/>
  <c r="AX93" i="71"/>
  <c r="AY93" i="71" s="1"/>
  <c r="BD93" i="71" s="1"/>
  <c r="BE202" i="71"/>
  <c r="BD202" i="71"/>
  <c r="O214" i="74" s="1"/>
  <c r="BD193" i="71"/>
  <c r="BE193" i="71"/>
  <c r="BD87" i="71"/>
  <c r="BE87" i="71"/>
  <c r="BE182" i="71"/>
  <c r="S194" i="74" s="1"/>
  <c r="BD182" i="71"/>
  <c r="BE128" i="71"/>
  <c r="BD128" i="71"/>
  <c r="O140" i="74" s="1"/>
  <c r="BE187" i="71"/>
  <c r="BD187" i="71"/>
  <c r="BD196" i="71"/>
  <c r="O208" i="74" s="1"/>
  <c r="BE196" i="71"/>
  <c r="BD157" i="71"/>
  <c r="BE157" i="71"/>
  <c r="BD126" i="71"/>
  <c r="BE126" i="71"/>
  <c r="BD121" i="71"/>
  <c r="O133" i="74" s="1"/>
  <c r="BE121" i="71"/>
  <c r="BD191" i="71"/>
  <c r="O203" i="74" s="1"/>
  <c r="BE191" i="71"/>
  <c r="BE102" i="71"/>
  <c r="BD102" i="71"/>
  <c r="BD195" i="71"/>
  <c r="BE195" i="71"/>
  <c r="BE177" i="71"/>
  <c r="BD177" i="71"/>
  <c r="BD91" i="71"/>
  <c r="BE91" i="71"/>
  <c r="BD97" i="71"/>
  <c r="O109" i="74" s="1"/>
  <c r="BE97" i="71"/>
  <c r="BE13" i="71"/>
  <c r="BD13" i="71"/>
  <c r="BD125" i="71"/>
  <c r="O137" i="74" s="1"/>
  <c r="BE125" i="71"/>
  <c r="BE204" i="71"/>
  <c r="BD204" i="71"/>
  <c r="O216" i="74" s="1"/>
  <c r="BD186" i="71"/>
  <c r="BE186" i="71"/>
  <c r="BE184" i="71"/>
  <c r="BD184" i="71"/>
  <c r="O196" i="74" s="1"/>
  <c r="BE139" i="71"/>
  <c r="S151" i="74" s="1"/>
  <c r="BD139" i="71"/>
  <c r="BE86" i="71"/>
  <c r="BD86" i="71"/>
  <c r="BE172" i="71"/>
  <c r="BD172" i="71"/>
  <c r="BE81" i="71"/>
  <c r="S93" i="74" s="1"/>
  <c r="BD81" i="71"/>
  <c r="O93" i="74" s="1"/>
  <c r="BE96" i="71"/>
  <c r="BD96" i="71"/>
  <c r="O108" i="74" s="1"/>
  <c r="BD78" i="71"/>
  <c r="BE78" i="71"/>
  <c r="BD68" i="71"/>
  <c r="O80" i="74" s="1"/>
  <c r="BE68" i="71"/>
  <c r="BE123" i="71"/>
  <c r="BD123" i="71"/>
  <c r="BD143" i="71"/>
  <c r="O155" i="74" s="1"/>
  <c r="BE143" i="71"/>
  <c r="BD64" i="71"/>
  <c r="BE64" i="71"/>
  <c r="BE90" i="71"/>
  <c r="BD90" i="71"/>
  <c r="O102" i="74" s="1"/>
  <c r="BD104" i="71"/>
  <c r="BE104" i="71"/>
  <c r="BE137" i="71"/>
  <c r="S149" i="74" s="1"/>
  <c r="BD137" i="71"/>
  <c r="BE206" i="71"/>
  <c r="BD206" i="71"/>
  <c r="BE84" i="71"/>
  <c r="BD84" i="71"/>
  <c r="BD134" i="71"/>
  <c r="BE134" i="71"/>
  <c r="BE149" i="71"/>
  <c r="S161" i="74" s="1"/>
  <c r="BD149" i="71"/>
  <c r="O161" i="74" s="1"/>
  <c r="BE203" i="71"/>
  <c r="BD203" i="71"/>
  <c r="O215" i="74" s="1"/>
  <c r="BD83" i="71"/>
  <c r="O95" i="74" s="1"/>
  <c r="BE83" i="71"/>
  <c r="BD85" i="71"/>
  <c r="O97" i="74" s="1"/>
  <c r="BE85" i="71"/>
  <c r="BE189" i="71"/>
  <c r="BD189" i="71"/>
  <c r="BE66" i="71"/>
  <c r="BD66" i="71"/>
  <c r="O78" i="74" s="1"/>
  <c r="BE171" i="71"/>
  <c r="BD171" i="71"/>
  <c r="O183" i="74" s="1"/>
  <c r="BD120" i="71"/>
  <c r="BE120" i="71"/>
  <c r="BE190" i="71"/>
  <c r="BD190" i="71"/>
  <c r="BD167" i="71"/>
  <c r="O179" i="74" s="1"/>
  <c r="BE167" i="71"/>
  <c r="BD146" i="71"/>
  <c r="O158" i="74" s="1"/>
  <c r="BE146" i="71"/>
  <c r="BE155" i="71"/>
  <c r="BD155" i="71"/>
  <c r="O167" i="74" s="1"/>
  <c r="BE65" i="71"/>
  <c r="BD65" i="71"/>
  <c r="BE201" i="71"/>
  <c r="BD201" i="71"/>
  <c r="O213" i="74" s="1"/>
  <c r="BE113" i="71"/>
  <c r="S125" i="74" s="1"/>
  <c r="BD113" i="71"/>
  <c r="BE152" i="71"/>
  <c r="BD152" i="71"/>
  <c r="BE71" i="71"/>
  <c r="BD71" i="71"/>
  <c r="BD148" i="71"/>
  <c r="BE148" i="71"/>
  <c r="BE62" i="71"/>
  <c r="BD62" i="71"/>
  <c r="BE208" i="71"/>
  <c r="BD208" i="71"/>
  <c r="O220" i="74" s="1"/>
  <c r="BD69" i="71"/>
  <c r="O81" i="74" s="1"/>
  <c r="BE69" i="71"/>
  <c r="BE72" i="71"/>
  <c r="BD72" i="71"/>
  <c r="BE107" i="71"/>
  <c r="BD107" i="71"/>
  <c r="BE135" i="71"/>
  <c r="BD135" i="71"/>
  <c r="BE176" i="71"/>
  <c r="BD176" i="71"/>
  <c r="BD145" i="71"/>
  <c r="BE145" i="71"/>
  <c r="BD63" i="71"/>
  <c r="O75" i="74" s="1"/>
  <c r="BE63" i="71"/>
  <c r="BE169" i="71"/>
  <c r="S181" i="74" s="1"/>
  <c r="BD169" i="71"/>
  <c r="O181" i="74" s="1"/>
  <c r="BE112" i="71"/>
  <c r="BD112" i="71"/>
  <c r="BD122" i="71"/>
  <c r="O134" i="74" s="1"/>
  <c r="BE122" i="71"/>
  <c r="BD141" i="71"/>
  <c r="BE141" i="71"/>
  <c r="BD180" i="71"/>
  <c r="BE180" i="71"/>
  <c r="BD156" i="71"/>
  <c r="O168" i="74" s="1"/>
  <c r="BE156" i="71"/>
  <c r="BD100" i="71"/>
  <c r="O112" i="74" s="1"/>
  <c r="BE100" i="71"/>
  <c r="S112" i="74" s="1"/>
  <c r="BD75" i="71"/>
  <c r="O87" i="74" s="1"/>
  <c r="BE75" i="71"/>
  <c r="BE185" i="71"/>
  <c r="BD185" i="71"/>
  <c r="O197" i="74" s="1"/>
  <c r="BD159" i="71"/>
  <c r="BE159" i="71"/>
  <c r="BE140" i="71"/>
  <c r="BD140" i="71"/>
  <c r="O152" i="74" s="1"/>
  <c r="BE162" i="71"/>
  <c r="BD162" i="71"/>
  <c r="BD127" i="71"/>
  <c r="O139" i="74" s="1"/>
  <c r="BE127" i="71"/>
  <c r="S139" i="74" s="1"/>
  <c r="BD153" i="71"/>
  <c r="BE153" i="71"/>
  <c r="BD6" i="71"/>
  <c r="BE6" i="71"/>
  <c r="BD150" i="71"/>
  <c r="BE150" i="71"/>
  <c r="BD207" i="71"/>
  <c r="BE207" i="71"/>
  <c r="BD163" i="71"/>
  <c r="O175" i="74" s="1"/>
  <c r="BE163" i="71"/>
  <c r="BE198" i="71"/>
  <c r="BD198" i="71"/>
  <c r="O210" i="74" s="1"/>
  <c r="BE178" i="71"/>
  <c r="BD178" i="71"/>
  <c r="O190" i="74" s="1"/>
  <c r="BD181" i="71"/>
  <c r="BE181" i="71"/>
  <c r="BE199" i="71"/>
  <c r="BD199" i="71"/>
  <c r="O211" i="74" s="1"/>
  <c r="BE77" i="71"/>
  <c r="BD77" i="71"/>
  <c r="O89" i="74" s="1"/>
  <c r="BD132" i="71"/>
  <c r="O144" i="74" s="1"/>
  <c r="BE132" i="71"/>
  <c r="BE170" i="71"/>
  <c r="BD170" i="71"/>
  <c r="O182" i="74" s="1"/>
  <c r="BD138" i="71"/>
  <c r="BE138" i="71"/>
  <c r="BE179" i="71"/>
  <c r="BD179" i="71"/>
  <c r="O191" i="74" s="1"/>
  <c r="BE79" i="71"/>
  <c r="BD79" i="71"/>
  <c r="O91" i="74" s="1"/>
  <c r="BD168" i="71"/>
  <c r="BE168" i="71"/>
  <c r="BE70" i="71"/>
  <c r="BD70" i="71"/>
  <c r="BD67" i="71"/>
  <c r="O79" i="74" s="1"/>
  <c r="BE67" i="71"/>
  <c r="BE129" i="71"/>
  <c r="S141" i="74" s="1"/>
  <c r="BD129" i="71"/>
  <c r="O141" i="74" s="1"/>
  <c r="BE116" i="71"/>
  <c r="BD116" i="71"/>
  <c r="O128" i="74" s="1"/>
  <c r="BD173" i="71"/>
  <c r="BE173" i="71"/>
  <c r="BE194" i="71"/>
  <c r="BD194" i="71"/>
  <c r="O206" i="74" s="1"/>
  <c r="BE183" i="71"/>
  <c r="BD183" i="71"/>
  <c r="BD99" i="71"/>
  <c r="BE99" i="71"/>
  <c r="BE131" i="71"/>
  <c r="BD131" i="71"/>
  <c r="O143" i="74" s="1"/>
  <c r="BE59" i="71"/>
  <c r="BD59" i="71"/>
  <c r="O71" i="74" s="1"/>
  <c r="BE164" i="71"/>
  <c r="BD164" i="71"/>
  <c r="O176" i="74" s="1"/>
  <c r="BE74" i="71"/>
  <c r="BD74" i="71"/>
  <c r="O86" i="74" s="1"/>
  <c r="BE142" i="71"/>
  <c r="BD142" i="71"/>
  <c r="BD61" i="71"/>
  <c r="BE61" i="71"/>
  <c r="BD57" i="71"/>
  <c r="BE57" i="71"/>
  <c r="BE60" i="71"/>
  <c r="BD60" i="71"/>
  <c r="O72" i="74" s="1"/>
  <c r="BE118" i="71"/>
  <c r="BD118" i="71"/>
  <c r="O130" i="74" s="1"/>
  <c r="BE197" i="71"/>
  <c r="BD197" i="71"/>
  <c r="O209" i="74" s="1"/>
  <c r="BE89" i="71"/>
  <c r="BD89" i="71"/>
  <c r="BD117" i="71"/>
  <c r="BE117" i="71"/>
  <c r="BD111" i="71"/>
  <c r="BE111" i="71"/>
  <c r="BD76" i="71"/>
  <c r="BE76" i="71"/>
  <c r="BD105" i="71"/>
  <c r="BE105" i="71"/>
  <c r="BD119" i="71"/>
  <c r="BE119" i="71"/>
  <c r="S131" i="74" s="1"/>
  <c r="BD124" i="71"/>
  <c r="O136" i="74" s="1"/>
  <c r="BE124" i="71"/>
  <c r="BO134" i="71"/>
  <c r="BO82" i="71"/>
  <c r="AY82" i="71"/>
  <c r="BO16" i="71"/>
  <c r="AX18" i="71"/>
  <c r="AY18" i="71" s="1"/>
  <c r="AY80" i="71"/>
  <c r="BO18" i="71"/>
  <c r="BO33" i="71"/>
  <c r="BO28" i="71"/>
  <c r="BO166" i="71"/>
  <c r="BO108" i="71"/>
  <c r="AY166" i="71"/>
  <c r="BO57" i="71"/>
  <c r="BO35" i="71"/>
  <c r="AY175" i="71"/>
  <c r="AY154" i="71"/>
  <c r="BO15" i="71"/>
  <c r="AX28" i="71"/>
  <c r="AY28" i="71" s="1"/>
  <c r="BO62" i="71"/>
  <c r="BO65" i="71"/>
  <c r="BO17" i="71"/>
  <c r="AY192" i="71"/>
  <c r="AX32" i="71"/>
  <c r="AY32" i="71" s="1"/>
  <c r="BO115" i="71"/>
  <c r="AX9" i="71"/>
  <c r="AY9" i="71" s="1"/>
  <c r="BO32" i="71"/>
  <c r="BO88" i="71"/>
  <c r="BO73" i="71"/>
  <c r="BO192" i="71"/>
  <c r="AY174" i="71"/>
  <c r="AY88" i="71"/>
  <c r="AX17" i="71"/>
  <c r="AY17" i="71" s="1"/>
  <c r="BO174" i="71"/>
  <c r="AX27" i="71"/>
  <c r="AY27" i="71" s="1"/>
  <c r="BO175" i="71"/>
  <c r="AY161" i="71"/>
  <c r="AX33" i="71"/>
  <c r="AY33" i="71" s="1"/>
  <c r="AY144" i="71"/>
  <c r="AY95" i="71"/>
  <c r="AY98" i="71"/>
  <c r="BO161" i="71"/>
  <c r="BO84" i="71"/>
  <c r="BO165" i="71"/>
  <c r="BO187" i="71"/>
  <c r="AX15" i="71"/>
  <c r="AY15" i="71" s="1"/>
  <c r="BO58" i="71"/>
  <c r="AY73" i="71"/>
  <c r="BO145" i="71"/>
  <c r="AX50" i="71"/>
  <c r="AY50" i="71" s="1"/>
  <c r="BO157" i="71"/>
  <c r="BO98" i="71"/>
  <c r="E194" i="52"/>
  <c r="E189" i="52"/>
  <c r="E248" i="52"/>
  <c r="E243" i="52"/>
  <c r="CL119" i="71" l="1"/>
  <c r="CL178" i="71"/>
  <c r="CL102" i="71"/>
  <c r="BV100" i="71"/>
  <c r="Y112" i="74" s="1"/>
  <c r="CM178" i="71"/>
  <c r="BU100" i="71"/>
  <c r="U112" i="74" s="1"/>
  <c r="CM27" i="71"/>
  <c r="CL27" i="71"/>
  <c r="B105" i="66"/>
  <c r="B137" i="66"/>
  <c r="B108" i="66"/>
  <c r="B10" i="66"/>
  <c r="B98" i="47"/>
  <c r="B3" i="66"/>
  <c r="Z216" i="74"/>
  <c r="C167" i="66"/>
  <c r="T181" i="74"/>
  <c r="C33" i="66"/>
  <c r="T46" i="74"/>
  <c r="Z176" i="74"/>
  <c r="Z206" i="74"/>
  <c r="Z84" i="74"/>
  <c r="Z85" i="74"/>
  <c r="Z205" i="74"/>
  <c r="Z50" i="74"/>
  <c r="Z79" i="74"/>
  <c r="Z189" i="74"/>
  <c r="Z158" i="74"/>
  <c r="Z213" i="74"/>
  <c r="Z183" i="74"/>
  <c r="Z78" i="74"/>
  <c r="Z28" i="74"/>
  <c r="Z156" i="74"/>
  <c r="Z193" i="74"/>
  <c r="Z20" i="74"/>
  <c r="Z54" i="74"/>
  <c r="Z66" i="74"/>
  <c r="Z116" i="74"/>
  <c r="Z80" i="74"/>
  <c r="Z93" i="74"/>
  <c r="T23" i="74"/>
  <c r="Z198" i="74"/>
  <c r="Z30" i="74"/>
  <c r="Z196" i="74"/>
  <c r="C147" i="66"/>
  <c r="T161" i="74"/>
  <c r="C126" i="66"/>
  <c r="T139" i="74"/>
  <c r="Z83" i="74"/>
  <c r="Z35" i="74"/>
  <c r="Z86" i="74"/>
  <c r="Z68" i="74"/>
  <c r="Z38" i="74"/>
  <c r="Z208" i="74"/>
  <c r="Z27" i="74"/>
  <c r="Z153" i="74"/>
  <c r="Z32" i="74"/>
  <c r="Z51" i="74"/>
  <c r="Z144" i="74"/>
  <c r="Z103" i="74"/>
  <c r="Z187" i="74"/>
  <c r="Z82" i="74"/>
  <c r="Z166" i="74"/>
  <c r="Z133" i="74"/>
  <c r="Z191" i="74"/>
  <c r="Z36" i="74"/>
  <c r="Z59" i="74"/>
  <c r="Z171" i="74"/>
  <c r="Z173" i="74"/>
  <c r="Z202" i="74"/>
  <c r="Z107" i="74"/>
  <c r="Z57" i="74"/>
  <c r="Z197" i="74"/>
  <c r="Z90" i="74"/>
  <c r="Z165" i="74"/>
  <c r="Z24" i="74"/>
  <c r="C137" i="66"/>
  <c r="T151" i="74"/>
  <c r="C180" i="66"/>
  <c r="T194" i="74"/>
  <c r="Z92" i="74"/>
  <c r="Z134" i="74"/>
  <c r="Z81" i="74"/>
  <c r="Z182" i="74"/>
  <c r="Z210" i="74"/>
  <c r="Z18" i="74"/>
  <c r="Z139" i="74"/>
  <c r="Z185" i="74"/>
  <c r="Z71" i="74"/>
  <c r="Z199" i="74"/>
  <c r="Z215" i="74"/>
  <c r="Z141" i="74"/>
  <c r="Z124" i="74"/>
  <c r="Z61" i="74"/>
  <c r="Z72" i="74"/>
  <c r="Z219" i="74"/>
  <c r="Z201" i="74"/>
  <c r="Z157" i="74"/>
  <c r="Z170" i="74"/>
  <c r="T16" i="74"/>
  <c r="Z209" i="74"/>
  <c r="Z45" i="74"/>
  <c r="Z178" i="74"/>
  <c r="Z131" i="74"/>
  <c r="Z67" i="74"/>
  <c r="Z123" i="74"/>
  <c r="Z137" i="74"/>
  <c r="Z102" i="74"/>
  <c r="Z180" i="74"/>
  <c r="Z37" i="74"/>
  <c r="Z25" i="74"/>
  <c r="C118" i="66"/>
  <c r="T131" i="74"/>
  <c r="C30" i="66"/>
  <c r="T43" i="74"/>
  <c r="Z164" i="74"/>
  <c r="Z167" i="74"/>
  <c r="Z99" i="74"/>
  <c r="Z41" i="74"/>
  <c r="Z87" i="74"/>
  <c r="I106" i="47"/>
  <c r="Z110" i="74"/>
  <c r="Z94" i="74"/>
  <c r="Z218" i="74"/>
  <c r="Z175" i="74"/>
  <c r="Z73" i="74"/>
  <c r="Z138" i="74"/>
  <c r="Z40" i="74"/>
  <c r="Z155" i="74"/>
  <c r="Z19" i="74"/>
  <c r="Z135" i="74"/>
  <c r="Z125" i="74"/>
  <c r="Z58" i="74"/>
  <c r="Z195" i="74"/>
  <c r="Z143" i="74"/>
  <c r="Z52" i="74"/>
  <c r="Z146" i="74"/>
  <c r="Z62" i="74"/>
  <c r="Z17" i="74"/>
  <c r="Z75" i="74"/>
  <c r="Z160" i="74"/>
  <c r="Z220" i="74"/>
  <c r="Z129" i="74"/>
  <c r="Z76" i="74"/>
  <c r="Z152" i="74"/>
  <c r="Z69" i="74"/>
  <c r="C112" i="66"/>
  <c r="T125" i="74"/>
  <c r="C80" i="66"/>
  <c r="T93" i="74"/>
  <c r="Z128" i="74"/>
  <c r="Z140" i="74"/>
  <c r="Z119" i="74"/>
  <c r="Z154" i="74"/>
  <c r="Z151" i="74"/>
  <c r="Z147" i="74"/>
  <c r="Z65" i="74"/>
  <c r="Z108" i="74"/>
  <c r="Z34" i="74"/>
  <c r="Z74" i="74"/>
  <c r="Z150" i="74"/>
  <c r="Z112" i="74"/>
  <c r="Z31" i="74"/>
  <c r="Z98" i="74"/>
  <c r="Z204" i="74"/>
  <c r="Z214" i="74"/>
  <c r="Z136" i="74"/>
  <c r="Z149" i="74"/>
  <c r="Z111" i="74"/>
  <c r="Z168" i="74"/>
  <c r="Z101" i="74"/>
  <c r="Z130" i="74"/>
  <c r="Z211" i="74"/>
  <c r="Z161" i="74"/>
  <c r="Z192" i="74"/>
  <c r="Z114" i="74"/>
  <c r="Z60" i="74"/>
  <c r="Z56" i="74"/>
  <c r="Z194" i="74"/>
  <c r="Z105" i="74"/>
  <c r="Z21" i="74"/>
  <c r="Z88" i="74"/>
  <c r="Z29" i="74"/>
  <c r="Z77" i="74"/>
  <c r="Z46" i="74"/>
  <c r="Z106" i="74"/>
  <c r="Z117" i="74"/>
  <c r="Z188" i="74"/>
  <c r="C128" i="66"/>
  <c r="T141" i="74"/>
  <c r="C99" i="66"/>
  <c r="T112" i="74"/>
  <c r="C135" i="66"/>
  <c r="T149" i="74"/>
  <c r="Z132" i="74"/>
  <c r="Z100" i="74"/>
  <c r="Z96" i="74"/>
  <c r="Z95" i="74"/>
  <c r="Z55" i="74"/>
  <c r="Z43" i="74"/>
  <c r="Z179" i="74"/>
  <c r="Z49" i="74"/>
  <c r="Z169" i="74"/>
  <c r="Z89" i="74"/>
  <c r="Z184" i="74"/>
  <c r="Z174" i="74"/>
  <c r="Z53" i="74"/>
  <c r="Z47" i="74"/>
  <c r="Z23" i="74"/>
  <c r="Z181" i="74"/>
  <c r="Z97" i="74"/>
  <c r="Z162" i="74"/>
  <c r="Z64" i="74"/>
  <c r="Z177" i="74"/>
  <c r="Z109" i="74"/>
  <c r="Z207" i="74"/>
  <c r="Z91" i="74"/>
  <c r="Z203" i="74"/>
  <c r="S135" i="74"/>
  <c r="S175" i="74"/>
  <c r="S154" i="74"/>
  <c r="S20" i="74"/>
  <c r="S60" i="74"/>
  <c r="O68" i="74"/>
  <c r="P68" i="74" s="1"/>
  <c r="Q68" i="74" s="1"/>
  <c r="R68" i="74" s="1"/>
  <c r="O188" i="74"/>
  <c r="O74" i="74"/>
  <c r="O77" i="74"/>
  <c r="O189" i="74"/>
  <c r="S205" i="74"/>
  <c r="S188" i="74"/>
  <c r="O147" i="74"/>
  <c r="S160" i="74"/>
  <c r="S147" i="74"/>
  <c r="O207" i="74"/>
  <c r="S158" i="74"/>
  <c r="S106" i="74"/>
  <c r="BU81" i="71"/>
  <c r="U93" i="74" s="1"/>
  <c r="CM74" i="71"/>
  <c r="CM139" i="71"/>
  <c r="CM105" i="71"/>
  <c r="CM48" i="71"/>
  <c r="CL79" i="71"/>
  <c r="CM183" i="71"/>
  <c r="CL161" i="71"/>
  <c r="CL8" i="71"/>
  <c r="CM186" i="71"/>
  <c r="CL197" i="71"/>
  <c r="CM34" i="71"/>
  <c r="CL128" i="71"/>
  <c r="CL171" i="71"/>
  <c r="BU139" i="71"/>
  <c r="CL41" i="71"/>
  <c r="CM98" i="71"/>
  <c r="CM159" i="71"/>
  <c r="CM64" i="71"/>
  <c r="CL127" i="71"/>
  <c r="CM11" i="71"/>
  <c r="CL146" i="71"/>
  <c r="CM154" i="71"/>
  <c r="CL35" i="71"/>
  <c r="CM85" i="71"/>
  <c r="CM198" i="71"/>
  <c r="CM192" i="71"/>
  <c r="CM156" i="71"/>
  <c r="CL65" i="71"/>
  <c r="CM112" i="71"/>
  <c r="CL118" i="71"/>
  <c r="CM88" i="71"/>
  <c r="CL177" i="71"/>
  <c r="CL206" i="71"/>
  <c r="CL167" i="71"/>
  <c r="CM25" i="71"/>
  <c r="CL60" i="71"/>
  <c r="CM33" i="71"/>
  <c r="CM162" i="71"/>
  <c r="CM95" i="71"/>
  <c r="CL50" i="71"/>
  <c r="CM42" i="71"/>
  <c r="CM129" i="71"/>
  <c r="CM144" i="71"/>
  <c r="CL80" i="71"/>
  <c r="CL120" i="71"/>
  <c r="CL26" i="71"/>
  <c r="CL97" i="71"/>
  <c r="CM47" i="71"/>
  <c r="BV31" i="71"/>
  <c r="Y43" i="74" s="1"/>
  <c r="BU113" i="71"/>
  <c r="U125" i="74" s="1"/>
  <c r="CM94" i="71"/>
  <c r="BU31" i="71"/>
  <c r="U43" i="74" s="1"/>
  <c r="BV113" i="71"/>
  <c r="Y125" i="74" s="1"/>
  <c r="CL170" i="71"/>
  <c r="CM196" i="71"/>
  <c r="CL49" i="71"/>
  <c r="CM153" i="71"/>
  <c r="CM53" i="71"/>
  <c r="CL148" i="71"/>
  <c r="CM141" i="71"/>
  <c r="CL87" i="71"/>
  <c r="BV81" i="71"/>
  <c r="Y93" i="74" s="1"/>
  <c r="CL107" i="71"/>
  <c r="CL90" i="71"/>
  <c r="CM72" i="71"/>
  <c r="CM175" i="71"/>
  <c r="BU119" i="71"/>
  <c r="BV119" i="71"/>
  <c r="Y131" i="74" s="1"/>
  <c r="CM204" i="71"/>
  <c r="CM28" i="71"/>
  <c r="CL7" i="71"/>
  <c r="CL131" i="71"/>
  <c r="CM40" i="71"/>
  <c r="CM152" i="71"/>
  <c r="CL172" i="71"/>
  <c r="CM189" i="71"/>
  <c r="BU11" i="71"/>
  <c r="CL70" i="71"/>
  <c r="CL15" i="71"/>
  <c r="BV11" i="71"/>
  <c r="Y23" i="74" s="1"/>
  <c r="CM56" i="71"/>
  <c r="AE68" i="74" s="1"/>
  <c r="AI55" i="68" s="1"/>
  <c r="CL193" i="71"/>
  <c r="CL99" i="71"/>
  <c r="CM163" i="71"/>
  <c r="CL54" i="71"/>
  <c r="CL52" i="71"/>
  <c r="CM132" i="71"/>
  <c r="CL18" i="71"/>
  <c r="CM149" i="71"/>
  <c r="BU34" i="71"/>
  <c r="BV34" i="71"/>
  <c r="Y46" i="74" s="1"/>
  <c r="CM24" i="71"/>
  <c r="BU169" i="71"/>
  <c r="CM22" i="71"/>
  <c r="BV169" i="71"/>
  <c r="Y181" i="74" s="1"/>
  <c r="CL195" i="71"/>
  <c r="CM158" i="71"/>
  <c r="CM82" i="71"/>
  <c r="BP45" i="71"/>
  <c r="B44" i="66" s="1"/>
  <c r="BP170" i="71"/>
  <c r="B168" i="66" s="1"/>
  <c r="BP117" i="71"/>
  <c r="B116" i="66" s="1"/>
  <c r="BP145" i="71"/>
  <c r="B143" i="66" s="1"/>
  <c r="BP115" i="71"/>
  <c r="C114" i="66" s="1"/>
  <c r="BP202" i="71"/>
  <c r="B200" i="66" s="1"/>
  <c r="BP140" i="71"/>
  <c r="B138" i="66" s="1"/>
  <c r="BP9" i="71"/>
  <c r="B8" i="66" s="1"/>
  <c r="BP171" i="71"/>
  <c r="B169" i="66" s="1"/>
  <c r="BP101" i="71"/>
  <c r="C100" i="66" s="1"/>
  <c r="BP71" i="71"/>
  <c r="B70" i="66" s="1"/>
  <c r="BP198" i="71"/>
  <c r="B196" i="66" s="1"/>
  <c r="BP123" i="71"/>
  <c r="B122" i="66" s="1"/>
  <c r="BP194" i="71"/>
  <c r="B192" i="66" s="1"/>
  <c r="BP29" i="71"/>
  <c r="B28" i="66" s="1"/>
  <c r="BP79" i="71"/>
  <c r="B78" i="66" s="1"/>
  <c r="BP10" i="71"/>
  <c r="C9" i="66" s="1"/>
  <c r="BP128" i="71"/>
  <c r="B127" i="66" s="1"/>
  <c r="BP47" i="71"/>
  <c r="B46" i="66" s="1"/>
  <c r="BP26" i="71"/>
  <c r="B25" i="66" s="1"/>
  <c r="CL96" i="71"/>
  <c r="BP98" i="71"/>
  <c r="B97" i="66" s="1"/>
  <c r="BP88" i="71"/>
  <c r="B87" i="66" s="1"/>
  <c r="BP13" i="71"/>
  <c r="B12" i="66" s="1"/>
  <c r="BU127" i="71"/>
  <c r="U139" i="74" s="1"/>
  <c r="BP44" i="71"/>
  <c r="B43" i="66" s="1"/>
  <c r="BP179" i="71"/>
  <c r="B177" i="66" s="1"/>
  <c r="BP167" i="71"/>
  <c r="B165" i="66" s="1"/>
  <c r="BP207" i="71"/>
  <c r="B205" i="66" s="1"/>
  <c r="BP94" i="71"/>
  <c r="B93" i="66" s="1"/>
  <c r="BP196" i="71"/>
  <c r="B194" i="66" s="1"/>
  <c r="BP122" i="71"/>
  <c r="B121" i="66" s="1"/>
  <c r="BP36" i="71"/>
  <c r="C35" i="66" s="1"/>
  <c r="BP20" i="71"/>
  <c r="B19" i="66" s="1"/>
  <c r="BP111" i="71"/>
  <c r="B110" i="66" s="1"/>
  <c r="BP75" i="71"/>
  <c r="B74" i="66" s="1"/>
  <c r="AY4" i="71"/>
  <c r="BE4" i="71" s="1"/>
  <c r="I109" i="47" s="1"/>
  <c r="BP96" i="71"/>
  <c r="B95" i="66" s="1"/>
  <c r="BP160" i="71"/>
  <c r="C158" i="66" s="1"/>
  <c r="BP92" i="71"/>
  <c r="C91" i="66" s="1"/>
  <c r="CL66" i="71"/>
  <c r="CM16" i="71"/>
  <c r="BP27" i="71"/>
  <c r="B26" i="66" s="1"/>
  <c r="BP143" i="71"/>
  <c r="B141" i="66" s="1"/>
  <c r="BP134" i="71"/>
  <c r="B132" i="66" s="1"/>
  <c r="BP146" i="71"/>
  <c r="B144" i="66" s="1"/>
  <c r="BP46" i="71"/>
  <c r="B45" i="66" s="1"/>
  <c r="BP74" i="71"/>
  <c r="B73" i="66" s="1"/>
  <c r="BP175" i="71"/>
  <c r="B173" i="66" s="1"/>
  <c r="BP108" i="71"/>
  <c r="C107" i="66" s="1"/>
  <c r="BV127" i="71"/>
  <c r="Y139" i="74" s="1"/>
  <c r="BP86" i="71"/>
  <c r="B85" i="66" s="1"/>
  <c r="BP52" i="71"/>
  <c r="B51" i="66" s="1"/>
  <c r="BP173" i="71"/>
  <c r="B171" i="66" s="1"/>
  <c r="BP191" i="71"/>
  <c r="B189" i="66" s="1"/>
  <c r="BP154" i="71"/>
  <c r="T166" i="74" s="1"/>
  <c r="BP60" i="71"/>
  <c r="B59" i="66" s="1"/>
  <c r="BP185" i="71"/>
  <c r="B183" i="66" s="1"/>
  <c r="BP163" i="71"/>
  <c r="B161" i="66" s="1"/>
  <c r="BP136" i="71"/>
  <c r="C134" i="66" s="1"/>
  <c r="BP151" i="71"/>
  <c r="C149" i="66" s="1"/>
  <c r="BP158" i="71"/>
  <c r="B156" i="66" s="1"/>
  <c r="BP178" i="71"/>
  <c r="B176" i="66" s="1"/>
  <c r="BP72" i="71"/>
  <c r="B71" i="66" s="1"/>
  <c r="CL91" i="71"/>
  <c r="CL78" i="71"/>
  <c r="BP153" i="71"/>
  <c r="B151" i="66" s="1"/>
  <c r="BP35" i="71"/>
  <c r="B34" i="66" s="1"/>
  <c r="BP189" i="71"/>
  <c r="B187" i="66" s="1"/>
  <c r="BP58" i="71"/>
  <c r="C57" i="66" s="1"/>
  <c r="BP166" i="71"/>
  <c r="B164" i="66" s="1"/>
  <c r="BP174" i="71"/>
  <c r="C172" i="66" s="1"/>
  <c r="BP17" i="71"/>
  <c r="B16" i="66" s="1"/>
  <c r="BP28" i="71"/>
  <c r="B27" i="66" s="1"/>
  <c r="BP63" i="71"/>
  <c r="B62" i="66" s="1"/>
  <c r="BP159" i="71"/>
  <c r="B157" i="66" s="1"/>
  <c r="BP199" i="71"/>
  <c r="B197" i="66" s="1"/>
  <c r="BP24" i="71"/>
  <c r="B23" i="66" s="1"/>
  <c r="BP190" i="71"/>
  <c r="B188" i="66" s="1"/>
  <c r="BP205" i="71"/>
  <c r="C203" i="66" s="1"/>
  <c r="BP181" i="71"/>
  <c r="B179" i="66" s="1"/>
  <c r="BP43" i="71"/>
  <c r="B42" i="66" s="1"/>
  <c r="BP97" i="71"/>
  <c r="B96" i="66" s="1"/>
  <c r="BP49" i="71"/>
  <c r="B48" i="66" s="1"/>
  <c r="BP141" i="71"/>
  <c r="B139" i="66" s="1"/>
  <c r="BP38" i="71"/>
  <c r="B37" i="66" s="1"/>
  <c r="CM203" i="71"/>
  <c r="BP76" i="71"/>
  <c r="B75" i="66" s="1"/>
  <c r="BP124" i="71"/>
  <c r="B123" i="66" s="1"/>
  <c r="BP68" i="71"/>
  <c r="B67" i="66" s="1"/>
  <c r="BP157" i="71"/>
  <c r="B155" i="66" s="1"/>
  <c r="BP206" i="71"/>
  <c r="B204" i="66" s="1"/>
  <c r="BP184" i="71"/>
  <c r="B182" i="66" s="1"/>
  <c r="BP180" i="71"/>
  <c r="B178" i="66" s="1"/>
  <c r="BP19" i="71"/>
  <c r="B18" i="66" s="1"/>
  <c r="BP54" i="71"/>
  <c r="B53" i="66" s="1"/>
  <c r="BP116" i="71"/>
  <c r="B115" i="66" s="1"/>
  <c r="BP6" i="71"/>
  <c r="B5" i="66" s="1"/>
  <c r="BP110" i="71"/>
  <c r="C109" i="66" s="1"/>
  <c r="BP70" i="71"/>
  <c r="B69" i="66" s="1"/>
  <c r="BP66" i="71"/>
  <c r="B65" i="66" s="1"/>
  <c r="BP107" i="71"/>
  <c r="B106" i="66" s="1"/>
  <c r="BP93" i="71"/>
  <c r="B92" i="66" s="1"/>
  <c r="BP102" i="71"/>
  <c r="B101" i="66" s="1"/>
  <c r="BP59" i="71"/>
  <c r="B58" i="66" s="1"/>
  <c r="CL63" i="71"/>
  <c r="CM55" i="71"/>
  <c r="CL75" i="71"/>
  <c r="BP50" i="71"/>
  <c r="B49" i="66" s="1"/>
  <c r="BP82" i="71"/>
  <c r="B81" i="66" s="1"/>
  <c r="BP56" i="71"/>
  <c r="T68" i="74" s="1"/>
  <c r="BP5" i="71"/>
  <c r="B4" i="66" s="1"/>
  <c r="BP42" i="71"/>
  <c r="B41" i="66" s="1"/>
  <c r="BP51" i="71"/>
  <c r="C50" i="66" s="1"/>
  <c r="BP78" i="71"/>
  <c r="B77" i="66" s="1"/>
  <c r="BP30" i="71"/>
  <c r="C29" i="66" s="1"/>
  <c r="BP165" i="71"/>
  <c r="B163" i="66" s="1"/>
  <c r="BP62" i="71"/>
  <c r="B61" i="66" s="1"/>
  <c r="BP18" i="71"/>
  <c r="B17" i="66" s="1"/>
  <c r="BP152" i="71"/>
  <c r="B150" i="66" s="1"/>
  <c r="BP150" i="71"/>
  <c r="B148" i="66" s="1"/>
  <c r="BP162" i="71"/>
  <c r="B160" i="66" s="1"/>
  <c r="BP14" i="71"/>
  <c r="C13" i="66" s="1"/>
  <c r="BP177" i="71"/>
  <c r="B175" i="66" s="1"/>
  <c r="BP183" i="71"/>
  <c r="B181" i="66" s="1"/>
  <c r="BP99" i="71"/>
  <c r="B98" i="66" s="1"/>
  <c r="BP91" i="71"/>
  <c r="B90" i="66" s="1"/>
  <c r="BP7" i="71"/>
  <c r="B6" i="66" s="1"/>
  <c r="BP135" i="71"/>
  <c r="B133" i="66" s="1"/>
  <c r="BP176" i="71"/>
  <c r="B174" i="66" s="1"/>
  <c r="BP61" i="71"/>
  <c r="B60" i="66" s="1"/>
  <c r="CM69" i="71"/>
  <c r="CL145" i="71"/>
  <c r="BP125" i="71"/>
  <c r="B124" i="66" s="1"/>
  <c r="BP197" i="71"/>
  <c r="B195" i="66" s="1"/>
  <c r="BP40" i="71"/>
  <c r="B39" i="66" s="1"/>
  <c r="BP187" i="71"/>
  <c r="B185" i="66" s="1"/>
  <c r="BP65" i="71"/>
  <c r="B64" i="66" s="1"/>
  <c r="BP33" i="71"/>
  <c r="B32" i="66" s="1"/>
  <c r="BV149" i="71"/>
  <c r="Y161" i="74" s="1"/>
  <c r="BP77" i="71"/>
  <c r="B76" i="66" s="1"/>
  <c r="BP83" i="71"/>
  <c r="B82" i="66" s="1"/>
  <c r="BP103" i="71"/>
  <c r="C102" i="66" s="1"/>
  <c r="BP130" i="71"/>
  <c r="C129" i="66" s="1"/>
  <c r="BP131" i="71"/>
  <c r="B130" i="66" s="1"/>
  <c r="BP147" i="71"/>
  <c r="C145" i="66" s="1"/>
  <c r="BP39" i="71"/>
  <c r="B38" i="66" s="1"/>
  <c r="BP69" i="71"/>
  <c r="B68" i="66" s="1"/>
  <c r="BP104" i="71"/>
  <c r="B103" i="66" s="1"/>
  <c r="BP118" i="71"/>
  <c r="B117" i="66" s="1"/>
  <c r="BP21" i="71"/>
  <c r="C20" i="66" s="1"/>
  <c r="BP208" i="71"/>
  <c r="B206" i="66" s="1"/>
  <c r="BP138" i="71"/>
  <c r="B136" i="66" s="1"/>
  <c r="CM44" i="71"/>
  <c r="CL38" i="71"/>
  <c r="CM83" i="71"/>
  <c r="BP126" i="71"/>
  <c r="B125" i="66" s="1"/>
  <c r="BP67" i="71"/>
  <c r="B66" i="66" s="1"/>
  <c r="BP23" i="71"/>
  <c r="B22" i="66" s="1"/>
  <c r="BP112" i="71"/>
  <c r="B111" i="66" s="1"/>
  <c r="BP164" i="71"/>
  <c r="B162" i="66" s="1"/>
  <c r="BP172" i="71"/>
  <c r="B170" i="66" s="1"/>
  <c r="BP80" i="71"/>
  <c r="T92" i="74" s="1"/>
  <c r="CM5" i="71"/>
  <c r="BP57" i="71"/>
  <c r="B56" i="66" s="1"/>
  <c r="BP25" i="71"/>
  <c r="B24" i="66" s="1"/>
  <c r="BP84" i="71"/>
  <c r="B83" i="66" s="1"/>
  <c r="BP161" i="71"/>
  <c r="B159" i="66" s="1"/>
  <c r="BP192" i="71"/>
  <c r="B190" i="66" s="1"/>
  <c r="BP15" i="71"/>
  <c r="B14" i="66" s="1"/>
  <c r="BP37" i="71"/>
  <c r="B36" i="66" s="1"/>
  <c r="BU149" i="71"/>
  <c r="U161" i="74" s="1"/>
  <c r="BP148" i="71"/>
  <c r="B146" i="66" s="1"/>
  <c r="BP156" i="71"/>
  <c r="B154" i="66" s="1"/>
  <c r="BP204" i="71"/>
  <c r="B202" i="66" s="1"/>
  <c r="BP87" i="71"/>
  <c r="B86" i="66" s="1"/>
  <c r="BP53" i="71"/>
  <c r="T65" i="74" s="1"/>
  <c r="BP120" i="71"/>
  <c r="B119" i="66" s="1"/>
  <c r="BP95" i="71"/>
  <c r="B94" i="66" s="1"/>
  <c r="BP89" i="71"/>
  <c r="B88" i="66" s="1"/>
  <c r="BP12" i="71"/>
  <c r="B11" i="66" s="1"/>
  <c r="BP90" i="71"/>
  <c r="B89" i="66" s="1"/>
  <c r="BP22" i="71"/>
  <c r="T34" i="74" s="1"/>
  <c r="BP105" i="71"/>
  <c r="B104" i="66" s="1"/>
  <c r="BP193" i="71"/>
  <c r="B191" i="66" s="1"/>
  <c r="BP32" i="71"/>
  <c r="C31" i="66" s="1"/>
  <c r="BP155" i="71"/>
  <c r="B153" i="66" s="1"/>
  <c r="BP114" i="71"/>
  <c r="C113" i="66" s="1"/>
  <c r="BP48" i="71"/>
  <c r="T60" i="74" s="1"/>
  <c r="BP144" i="71"/>
  <c r="B142" i="66" s="1"/>
  <c r="BP64" i="71"/>
  <c r="B63" i="66" s="1"/>
  <c r="BP73" i="71"/>
  <c r="B72" i="66" s="1"/>
  <c r="BP16" i="71"/>
  <c r="B15" i="66" s="1"/>
  <c r="BP188" i="71"/>
  <c r="C186" i="66" s="1"/>
  <c r="BP168" i="71"/>
  <c r="B166" i="66" s="1"/>
  <c r="BP121" i="71"/>
  <c r="B120" i="66" s="1"/>
  <c r="BP186" i="71"/>
  <c r="B184" i="66" s="1"/>
  <c r="BP201" i="71"/>
  <c r="B199" i="66" s="1"/>
  <c r="BP41" i="71"/>
  <c r="B40" i="66" s="1"/>
  <c r="BP8" i="71"/>
  <c r="B7" i="66" s="1"/>
  <c r="BP200" i="71"/>
  <c r="C198" i="66" s="1"/>
  <c r="BP142" i="71"/>
  <c r="B140" i="66" s="1"/>
  <c r="BP85" i="71"/>
  <c r="B84" i="66" s="1"/>
  <c r="BP195" i="71"/>
  <c r="B193" i="66" s="1"/>
  <c r="BP55" i="71"/>
  <c r="T67" i="74" s="1"/>
  <c r="BP132" i="71"/>
  <c r="B131" i="66" s="1"/>
  <c r="BP203" i="71"/>
  <c r="B201" i="66" s="1"/>
  <c r="CM137" i="71"/>
  <c r="CM180" i="71"/>
  <c r="CL29" i="71"/>
  <c r="CM124" i="71"/>
  <c r="CM89" i="71"/>
  <c r="CM31" i="71"/>
  <c r="CM12" i="71"/>
  <c r="CM68" i="71"/>
  <c r="CL184" i="71"/>
  <c r="CM71" i="71"/>
  <c r="CL84" i="71"/>
  <c r="CL169" i="71"/>
  <c r="CM62" i="71"/>
  <c r="CM93" i="71"/>
  <c r="O180" i="74"/>
  <c r="O219" i="74"/>
  <c r="O192" i="74"/>
  <c r="O157" i="74"/>
  <c r="O132" i="74"/>
  <c r="O116" i="74"/>
  <c r="O90" i="74"/>
  <c r="O103" i="74"/>
  <c r="O138" i="74"/>
  <c r="O99" i="74"/>
  <c r="U151" i="74"/>
  <c r="U194" i="74"/>
  <c r="O117" i="74"/>
  <c r="O185" i="74"/>
  <c r="O162" i="74"/>
  <c r="O171" i="74"/>
  <c r="O153" i="74"/>
  <c r="O198" i="74"/>
  <c r="O169" i="74"/>
  <c r="O205" i="74"/>
  <c r="U23" i="74"/>
  <c r="CM57" i="71"/>
  <c r="CL199" i="71"/>
  <c r="CM138" i="71"/>
  <c r="O193" i="74"/>
  <c r="O146" i="74"/>
  <c r="O76" i="74"/>
  <c r="O131" i="74"/>
  <c r="O124" i="74"/>
  <c r="O119" i="74"/>
  <c r="O83" i="74"/>
  <c r="O201" i="74"/>
  <c r="O96" i="74"/>
  <c r="O184" i="74"/>
  <c r="O114" i="74"/>
  <c r="O199" i="74"/>
  <c r="U181" i="74"/>
  <c r="U46" i="74"/>
  <c r="O88" i="74"/>
  <c r="O18" i="74"/>
  <c r="O69" i="74"/>
  <c r="O165" i="74"/>
  <c r="O160" i="74"/>
  <c r="O84" i="74"/>
  <c r="O164" i="74"/>
  <c r="O218" i="74"/>
  <c r="O135" i="74"/>
  <c r="O98" i="74"/>
  <c r="O25" i="74"/>
  <c r="O123" i="74"/>
  <c r="O150" i="74"/>
  <c r="O129" i="74"/>
  <c r="O73" i="74"/>
  <c r="O111" i="74"/>
  <c r="U131" i="74"/>
  <c r="O101" i="74"/>
  <c r="O154" i="74"/>
  <c r="O195" i="74"/>
  <c r="O82" i="74"/>
  <c r="O174" i="74"/>
  <c r="O125" i="74"/>
  <c r="O202" i="74"/>
  <c r="O149" i="74"/>
  <c r="O151" i="74"/>
  <c r="O194" i="74"/>
  <c r="U141" i="74"/>
  <c r="CL43" i="71"/>
  <c r="CL135" i="71"/>
  <c r="CM166" i="71"/>
  <c r="CM173" i="71"/>
  <c r="CM37" i="71"/>
  <c r="CM13" i="71"/>
  <c r="AE25" i="74" s="1"/>
  <c r="AI12" i="68" s="1"/>
  <c r="CL100" i="71"/>
  <c r="CM9" i="71"/>
  <c r="AE21" i="74" s="1"/>
  <c r="AI8" i="68" s="1"/>
  <c r="CM190" i="71"/>
  <c r="CM6" i="71"/>
  <c r="AE18" i="74" s="1"/>
  <c r="AI5" i="68" s="1"/>
  <c r="CM117" i="71"/>
  <c r="CM77" i="71"/>
  <c r="CM67" i="71"/>
  <c r="CL187" i="71"/>
  <c r="CM17" i="71"/>
  <c r="CM81" i="71"/>
  <c r="CL86" i="71"/>
  <c r="CL126" i="71"/>
  <c r="CM182" i="71"/>
  <c r="CM176" i="71"/>
  <c r="CL202" i="71"/>
  <c r="CM45" i="71"/>
  <c r="AE57" i="74" s="1"/>
  <c r="AI44" i="68" s="1"/>
  <c r="CM125" i="71"/>
  <c r="BE44" i="71"/>
  <c r="S56" i="74" s="1"/>
  <c r="CM20" i="71"/>
  <c r="AE32" i="74" s="1"/>
  <c r="AI19" i="68" s="1"/>
  <c r="CL104" i="71"/>
  <c r="CL165" i="71"/>
  <c r="CL168" i="71"/>
  <c r="CM191" i="71"/>
  <c r="CM150" i="71"/>
  <c r="CM116" i="71"/>
  <c r="BD158" i="71"/>
  <c r="O170" i="74" s="1"/>
  <c r="BD31" i="71"/>
  <c r="O43" i="74" s="1"/>
  <c r="CM122" i="71"/>
  <c r="BD94" i="71"/>
  <c r="O106" i="74" s="1"/>
  <c r="CL142" i="71"/>
  <c r="BD35" i="71"/>
  <c r="O47" i="74" s="1"/>
  <c r="CM46" i="71"/>
  <c r="AE58" i="74" s="1"/>
  <c r="CM39" i="71"/>
  <c r="AE51" i="74" s="1"/>
  <c r="CM164" i="71"/>
  <c r="BD48" i="71"/>
  <c r="O60" i="74" s="1"/>
  <c r="CM76" i="71"/>
  <c r="BD12" i="71"/>
  <c r="O24" i="74" s="1"/>
  <c r="CM157" i="71"/>
  <c r="BE41" i="71"/>
  <c r="S53" i="74" s="1"/>
  <c r="CM134" i="71"/>
  <c r="CL121" i="71"/>
  <c r="CL19" i="71"/>
  <c r="AA31" i="74" s="1"/>
  <c r="CM113" i="71"/>
  <c r="CM61" i="71"/>
  <c r="CL208" i="71"/>
  <c r="CL179" i="71"/>
  <c r="CL123" i="71"/>
  <c r="CM201" i="71"/>
  <c r="BD46" i="71"/>
  <c r="O58" i="74" s="1"/>
  <c r="BD52" i="71"/>
  <c r="O64" i="74" s="1"/>
  <c r="CM143" i="71"/>
  <c r="BD19" i="71"/>
  <c r="O31" i="74" s="1"/>
  <c r="BE54" i="71"/>
  <c r="S66" i="74" s="1"/>
  <c r="CL207" i="71"/>
  <c r="BE26" i="71"/>
  <c r="S38" i="74" s="1"/>
  <c r="BE53" i="71"/>
  <c r="S65" i="74" s="1"/>
  <c r="CL155" i="71"/>
  <c r="BE24" i="71"/>
  <c r="S36" i="74" s="1"/>
  <c r="BD45" i="71"/>
  <c r="O57" i="74" s="1"/>
  <c r="BD25" i="71"/>
  <c r="O37" i="74" s="1"/>
  <c r="BE38" i="71"/>
  <c r="S50" i="74" s="1"/>
  <c r="CL181" i="71"/>
  <c r="CM59" i="71"/>
  <c r="BD47" i="71"/>
  <c r="O59" i="74" s="1"/>
  <c r="CL111" i="71"/>
  <c r="BD43" i="71"/>
  <c r="O55" i="74" s="1"/>
  <c r="BD8" i="71"/>
  <c r="O20" i="74" s="1"/>
  <c r="CM185" i="71"/>
  <c r="CM140" i="71"/>
  <c r="CM23" i="71"/>
  <c r="AE35" i="74" s="1"/>
  <c r="AI22" i="68" s="1"/>
  <c r="CL194" i="71"/>
  <c r="BE34" i="71"/>
  <c r="S46" i="74" s="1"/>
  <c r="BD42" i="71"/>
  <c r="O54" i="74" s="1"/>
  <c r="BE93" i="71"/>
  <c r="BD40" i="71"/>
  <c r="O52" i="74" s="1"/>
  <c r="BD11" i="71"/>
  <c r="O23" i="74" s="1"/>
  <c r="BE7" i="71"/>
  <c r="BD37" i="71"/>
  <c r="O49" i="74" s="1"/>
  <c r="BD5" i="71"/>
  <c r="O17" i="74" s="1"/>
  <c r="BE22" i="71"/>
  <c r="S34" i="74" s="1"/>
  <c r="BE39" i="71"/>
  <c r="S51" i="74" s="1"/>
  <c r="BE29" i="71"/>
  <c r="S41" i="74" s="1"/>
  <c r="BD16" i="71"/>
  <c r="O28" i="74" s="1"/>
  <c r="BE20" i="71"/>
  <c r="S32" i="74" s="1"/>
  <c r="BD49" i="71"/>
  <c r="O61" i="74" s="1"/>
  <c r="BE55" i="71"/>
  <c r="S67" i="74" s="1"/>
  <c r="BE23" i="71"/>
  <c r="S35" i="74" s="1"/>
  <c r="S16" i="74"/>
  <c r="AA41" i="74"/>
  <c r="AA17" i="74"/>
  <c r="CF4" i="71"/>
  <c r="AA34" i="74"/>
  <c r="AE56" i="74"/>
  <c r="AI43" i="68" s="1"/>
  <c r="AA36" i="74"/>
  <c r="AE43" i="74"/>
  <c r="AA27" i="74"/>
  <c r="AA60" i="74"/>
  <c r="AA61" i="74"/>
  <c r="AA20" i="74"/>
  <c r="AA59" i="74"/>
  <c r="AA47" i="74"/>
  <c r="AE23" i="74"/>
  <c r="AA64" i="74"/>
  <c r="AE62" i="74"/>
  <c r="AI49" i="68" s="1"/>
  <c r="AA65" i="74"/>
  <c r="AE65" i="74"/>
  <c r="AI52" i="68" s="1"/>
  <c r="AE27" i="74"/>
  <c r="AI14" i="68" s="1"/>
  <c r="AA66" i="74"/>
  <c r="AE66" i="74"/>
  <c r="AI53" i="68" s="1"/>
  <c r="AE31" i="74"/>
  <c r="AE38" i="74"/>
  <c r="AA38" i="74"/>
  <c r="AA58" i="74"/>
  <c r="AA67" i="74"/>
  <c r="AE67" i="74"/>
  <c r="AA29" i="74"/>
  <c r="AE29" i="74"/>
  <c r="AI16" i="68" s="1"/>
  <c r="AE60" i="74"/>
  <c r="AI47" i="68" s="1"/>
  <c r="AA52" i="74"/>
  <c r="AE52" i="74"/>
  <c r="AA25" i="74"/>
  <c r="AA53" i="74"/>
  <c r="AE53" i="74"/>
  <c r="AA24" i="74"/>
  <c r="AE24" i="74"/>
  <c r="AA46" i="74"/>
  <c r="AE46" i="74"/>
  <c r="AE39" i="74"/>
  <c r="AA39" i="74"/>
  <c r="AA19" i="74"/>
  <c r="AE19" i="74"/>
  <c r="AI6" i="68" s="1"/>
  <c r="BV4" i="71"/>
  <c r="BU4" i="71"/>
  <c r="AE50" i="74"/>
  <c r="AA50" i="74"/>
  <c r="BE73" i="71"/>
  <c r="BD73" i="71"/>
  <c r="O85" i="74" s="1"/>
  <c r="BD144" i="71"/>
  <c r="BE144" i="71"/>
  <c r="S156" i="74" s="1"/>
  <c r="BD192" i="71"/>
  <c r="O204" i="74" s="1"/>
  <c r="BE192" i="71"/>
  <c r="S204" i="74" s="1"/>
  <c r="BD27" i="71"/>
  <c r="BE27" i="71"/>
  <c r="S39" i="74" s="1"/>
  <c r="BD15" i="71"/>
  <c r="O27" i="74" s="1"/>
  <c r="BE15" i="71"/>
  <c r="S27" i="74" s="1"/>
  <c r="BE154" i="71"/>
  <c r="S166" i="74" s="1"/>
  <c r="BD154" i="71"/>
  <c r="O166" i="74" s="1"/>
  <c r="BD161" i="71"/>
  <c r="BE161" i="71"/>
  <c r="BD9" i="71"/>
  <c r="BE9" i="71"/>
  <c r="S21" i="74" s="1"/>
  <c r="BE28" i="71"/>
  <c r="S40" i="74" s="1"/>
  <c r="BD28" i="71"/>
  <c r="BE80" i="71"/>
  <c r="S92" i="74" s="1"/>
  <c r="BD80" i="71"/>
  <c r="O92" i="74" s="1"/>
  <c r="BE165" i="71"/>
  <c r="S177" i="74" s="1"/>
  <c r="BD165" i="71"/>
  <c r="BD98" i="71"/>
  <c r="BE98" i="71"/>
  <c r="S110" i="74" s="1"/>
  <c r="BE175" i="71"/>
  <c r="S187" i="74" s="1"/>
  <c r="BD175" i="71"/>
  <c r="O187" i="74" s="1"/>
  <c r="BE18" i="71"/>
  <c r="S30" i="74" s="1"/>
  <c r="BD18" i="71"/>
  <c r="O30" i="74" s="1"/>
  <c r="BE95" i="71"/>
  <c r="S107" i="74" s="1"/>
  <c r="BD95" i="71"/>
  <c r="BE17" i="71"/>
  <c r="S29" i="74" s="1"/>
  <c r="BD17" i="71"/>
  <c r="O29" i="74" s="1"/>
  <c r="BE166" i="71"/>
  <c r="S178" i="74" s="1"/>
  <c r="BD166" i="71"/>
  <c r="BD50" i="71"/>
  <c r="BE50" i="71"/>
  <c r="S62" i="74" s="1"/>
  <c r="BE33" i="71"/>
  <c r="S45" i="74" s="1"/>
  <c r="BD33" i="71"/>
  <c r="O45" i="74" s="1"/>
  <c r="BE88" i="71"/>
  <c r="S100" i="74" s="1"/>
  <c r="BD88" i="71"/>
  <c r="O100" i="74" s="1"/>
  <c r="BE82" i="71"/>
  <c r="S94" i="74" s="1"/>
  <c r="BD82" i="71"/>
  <c r="C120" i="52"/>
  <c r="C174" i="52"/>
  <c r="C228" i="52"/>
  <c r="BU96" i="71" l="1"/>
  <c r="U108" i="74" s="1"/>
  <c r="BU55" i="71"/>
  <c r="U67" i="74" s="1"/>
  <c r="B172" i="66"/>
  <c r="B94" i="52"/>
  <c r="B55" i="66"/>
  <c r="B54" i="66"/>
  <c r="B57" i="66"/>
  <c r="B134" i="66"/>
  <c r="B145" i="66"/>
  <c r="B114" i="66"/>
  <c r="B20" i="66"/>
  <c r="B9" i="66"/>
  <c r="B149" i="66"/>
  <c r="B35" i="66"/>
  <c r="B129" i="66"/>
  <c r="B109" i="66"/>
  <c r="B152" i="66"/>
  <c r="B102" i="66"/>
  <c r="B13" i="66"/>
  <c r="B100" i="66"/>
  <c r="B31" i="66"/>
  <c r="B29" i="66"/>
  <c r="B91" i="66"/>
  <c r="B158" i="66"/>
  <c r="B50" i="66"/>
  <c r="B198" i="66"/>
  <c r="B47" i="66"/>
  <c r="B21" i="66"/>
  <c r="B52" i="66"/>
  <c r="B107" i="66"/>
  <c r="B186" i="66"/>
  <c r="B113" i="66"/>
  <c r="B79" i="66"/>
  <c r="B203" i="66"/>
  <c r="BV25" i="71"/>
  <c r="Y37" i="74" s="1"/>
  <c r="T37" i="74"/>
  <c r="BU208" i="71"/>
  <c r="U220" i="74" s="1"/>
  <c r="T220" i="74"/>
  <c r="BV66" i="71"/>
  <c r="Y78" i="74" s="1"/>
  <c r="T78" i="74"/>
  <c r="BU19" i="71"/>
  <c r="U31" i="74" s="1"/>
  <c r="T31" i="74"/>
  <c r="BV124" i="71"/>
  <c r="Y136" i="74" s="1"/>
  <c r="T136" i="74"/>
  <c r="C164" i="66"/>
  <c r="T178" i="74"/>
  <c r="BU72" i="71"/>
  <c r="U84" i="74" s="1"/>
  <c r="T84" i="74"/>
  <c r="BU185" i="71"/>
  <c r="U197" i="74" s="1"/>
  <c r="T197" i="74"/>
  <c r="C85" i="66"/>
  <c r="T98" i="74"/>
  <c r="BV179" i="71"/>
  <c r="Y191" i="74" s="1"/>
  <c r="T191" i="74"/>
  <c r="BV26" i="71"/>
  <c r="Y38" i="74" s="1"/>
  <c r="T38" i="74"/>
  <c r="BU194" i="71"/>
  <c r="U206" i="74" s="1"/>
  <c r="T206" i="74"/>
  <c r="BV9" i="71"/>
  <c r="Y21" i="74" s="1"/>
  <c r="T21" i="74"/>
  <c r="C168" i="66"/>
  <c r="T182" i="74"/>
  <c r="S71" i="74"/>
  <c r="T71" i="74"/>
  <c r="BU142" i="71"/>
  <c r="U154" i="74" s="1"/>
  <c r="T154" i="74"/>
  <c r="BU121" i="71"/>
  <c r="U133" i="74" s="1"/>
  <c r="T133" i="74"/>
  <c r="BU144" i="71"/>
  <c r="U156" i="74" s="1"/>
  <c r="T156" i="74"/>
  <c r="BV105" i="71"/>
  <c r="Y117" i="74" s="1"/>
  <c r="T117" i="74"/>
  <c r="BU120" i="71"/>
  <c r="U132" i="74" s="1"/>
  <c r="T132" i="74"/>
  <c r="BV23" i="71"/>
  <c r="Y35" i="74" s="1"/>
  <c r="T35" i="74"/>
  <c r="C32" i="66"/>
  <c r="T45" i="74"/>
  <c r="BU99" i="71"/>
  <c r="U111" i="74" s="1"/>
  <c r="T111" i="74"/>
  <c r="BV152" i="71"/>
  <c r="Y164" i="74" s="1"/>
  <c r="T164" i="74"/>
  <c r="BU43" i="71"/>
  <c r="U55" i="74" s="1"/>
  <c r="T55" i="74"/>
  <c r="BV159" i="71"/>
  <c r="Y171" i="74" s="1"/>
  <c r="T171" i="74"/>
  <c r="C132" i="66"/>
  <c r="T146" i="74"/>
  <c r="S108" i="74"/>
  <c r="T108" i="74"/>
  <c r="C36" i="66"/>
  <c r="T49" i="74"/>
  <c r="C56" i="66"/>
  <c r="T69" i="74"/>
  <c r="BU131" i="71"/>
  <c r="U143" i="74" s="1"/>
  <c r="T143" i="74"/>
  <c r="BV70" i="71"/>
  <c r="Y82" i="74" s="1"/>
  <c r="T82" i="74"/>
  <c r="BU180" i="71"/>
  <c r="U192" i="74" s="1"/>
  <c r="T192" i="74"/>
  <c r="BV76" i="71"/>
  <c r="Y88" i="74" s="1"/>
  <c r="T88" i="74"/>
  <c r="BV178" i="71"/>
  <c r="Y190" i="74" s="1"/>
  <c r="T190" i="74"/>
  <c r="BU60" i="71"/>
  <c r="U72" i="74" s="1"/>
  <c r="T72" i="74"/>
  <c r="BV122" i="71"/>
  <c r="Y134" i="74" s="1"/>
  <c r="T134" i="74"/>
  <c r="C43" i="66"/>
  <c r="T56" i="74"/>
  <c r="BV47" i="71"/>
  <c r="Y59" i="74" s="1"/>
  <c r="T59" i="74"/>
  <c r="BV123" i="71"/>
  <c r="Y135" i="74" s="1"/>
  <c r="T135" i="74"/>
  <c r="BV140" i="71"/>
  <c r="Y152" i="74" s="1"/>
  <c r="T152" i="74"/>
  <c r="BV45" i="71"/>
  <c r="Y57" i="74" s="1"/>
  <c r="T57" i="74"/>
  <c r="C14" i="66"/>
  <c r="T27" i="74"/>
  <c r="BU118" i="71"/>
  <c r="U130" i="74" s="1"/>
  <c r="T130" i="74"/>
  <c r="S208" i="74"/>
  <c r="T208" i="74"/>
  <c r="S215" i="74"/>
  <c r="T215" i="74"/>
  <c r="BV168" i="71"/>
  <c r="Y180" i="74" s="1"/>
  <c r="T180" i="74"/>
  <c r="S79" i="74"/>
  <c r="T79" i="74"/>
  <c r="C64" i="66"/>
  <c r="T77" i="74"/>
  <c r="BU61" i="71"/>
  <c r="U73" i="74" s="1"/>
  <c r="T73" i="74"/>
  <c r="BU183" i="71"/>
  <c r="U195" i="74" s="1"/>
  <c r="T195" i="74"/>
  <c r="C17" i="66"/>
  <c r="T30" i="74"/>
  <c r="S54" i="74"/>
  <c r="T54" i="74"/>
  <c r="BU181" i="71"/>
  <c r="U193" i="74" s="1"/>
  <c r="T193" i="74"/>
  <c r="C62" i="66"/>
  <c r="T75" i="74"/>
  <c r="BV143" i="71"/>
  <c r="Y155" i="74" s="1"/>
  <c r="T155" i="74"/>
  <c r="C200" i="66"/>
  <c r="T214" i="74"/>
  <c r="BV132" i="71"/>
  <c r="Y144" i="74" s="1"/>
  <c r="T144" i="74"/>
  <c r="BV8" i="71"/>
  <c r="Y20" i="74" s="1"/>
  <c r="T20" i="74"/>
  <c r="BV90" i="71"/>
  <c r="Y102" i="74" s="1"/>
  <c r="T102" i="74"/>
  <c r="BV87" i="71"/>
  <c r="Y99" i="74" s="1"/>
  <c r="T99" i="74"/>
  <c r="C125" i="66"/>
  <c r="T138" i="74"/>
  <c r="C185" i="66"/>
  <c r="T199" i="74"/>
  <c r="BU176" i="71"/>
  <c r="U188" i="74" s="1"/>
  <c r="T188" i="74"/>
  <c r="S189" i="74"/>
  <c r="T189" i="74"/>
  <c r="C61" i="66"/>
  <c r="T74" i="74"/>
  <c r="C4" i="66"/>
  <c r="T17" i="74"/>
  <c r="BU38" i="71"/>
  <c r="U50" i="74" s="1"/>
  <c r="T50" i="74"/>
  <c r="C27" i="66"/>
  <c r="T40" i="74"/>
  <c r="C173" i="66"/>
  <c r="T187" i="74"/>
  <c r="BU27" i="71"/>
  <c r="U39" i="74" s="1"/>
  <c r="T39" i="74"/>
  <c r="C12" i="66"/>
  <c r="T25" i="74"/>
  <c r="BU158" i="71"/>
  <c r="U170" i="74" s="1"/>
  <c r="T170" i="74"/>
  <c r="BU128" i="71"/>
  <c r="U140" i="74" s="1"/>
  <c r="T140" i="74"/>
  <c r="C190" i="66"/>
  <c r="T204" i="74"/>
  <c r="BU104" i="71"/>
  <c r="U116" i="74" s="1"/>
  <c r="T116" i="74"/>
  <c r="BU102" i="71"/>
  <c r="U114" i="74" s="1"/>
  <c r="T114" i="74"/>
  <c r="BV6" i="71"/>
  <c r="Y18" i="74" s="1"/>
  <c r="T18" i="74"/>
  <c r="BU206" i="71"/>
  <c r="U218" i="74" s="1"/>
  <c r="T218" i="74"/>
  <c r="C34" i="66"/>
  <c r="T47" i="74"/>
  <c r="BV191" i="71"/>
  <c r="Y203" i="74" s="1"/>
  <c r="T203" i="74"/>
  <c r="BV75" i="71"/>
  <c r="Y87" i="74" s="1"/>
  <c r="T87" i="74"/>
  <c r="BV94" i="71"/>
  <c r="Y106" i="74" s="1"/>
  <c r="T106" i="74"/>
  <c r="BU71" i="71"/>
  <c r="U83" i="74" s="1"/>
  <c r="T83" i="74"/>
  <c r="S210" i="74"/>
  <c r="T210" i="74"/>
  <c r="BU41" i="71"/>
  <c r="U53" i="74" s="1"/>
  <c r="T53" i="74"/>
  <c r="C15" i="66"/>
  <c r="T28" i="74"/>
  <c r="BV155" i="71"/>
  <c r="Y167" i="74" s="1"/>
  <c r="T167" i="74"/>
  <c r="BU12" i="71"/>
  <c r="U24" i="74" s="1"/>
  <c r="T24" i="74"/>
  <c r="BV204" i="71"/>
  <c r="Y216" i="74" s="1"/>
  <c r="T216" i="74"/>
  <c r="BU172" i="71"/>
  <c r="U184" i="74" s="1"/>
  <c r="T184" i="74"/>
  <c r="BU40" i="71"/>
  <c r="U52" i="74" s="1"/>
  <c r="T52" i="74"/>
  <c r="BV135" i="71"/>
  <c r="Y147" i="74" s="1"/>
  <c r="T147" i="74"/>
  <c r="C163" i="66"/>
  <c r="T177" i="74"/>
  <c r="BU141" i="71"/>
  <c r="U153" i="74" s="1"/>
  <c r="T153" i="74"/>
  <c r="BU190" i="71"/>
  <c r="U202" i="74" s="1"/>
  <c r="T202" i="74"/>
  <c r="C16" i="66"/>
  <c r="T29" i="74"/>
  <c r="BU74" i="71"/>
  <c r="U86" i="74" s="1"/>
  <c r="T86" i="74"/>
  <c r="C87" i="66"/>
  <c r="T100" i="74"/>
  <c r="BU189" i="71"/>
  <c r="U201" i="74" s="1"/>
  <c r="T201" i="74"/>
  <c r="C159" i="66"/>
  <c r="T173" i="74"/>
  <c r="BU69" i="71"/>
  <c r="U81" i="74" s="1"/>
  <c r="T81" i="74"/>
  <c r="BV83" i="71"/>
  <c r="Y95" i="74" s="1"/>
  <c r="T95" i="74"/>
  <c r="BV93" i="71"/>
  <c r="Y105" i="74" s="1"/>
  <c r="T105" i="74"/>
  <c r="BU116" i="71"/>
  <c r="U128" i="74" s="1"/>
  <c r="T128" i="74"/>
  <c r="C155" i="66"/>
  <c r="T169" i="74"/>
  <c r="BV153" i="71"/>
  <c r="Y165" i="74" s="1"/>
  <c r="T165" i="74"/>
  <c r="BU173" i="71"/>
  <c r="U185" i="74" s="1"/>
  <c r="T185" i="74"/>
  <c r="BV111" i="71"/>
  <c r="Y123" i="74" s="1"/>
  <c r="T123" i="74"/>
  <c r="BV207" i="71"/>
  <c r="Y219" i="74" s="1"/>
  <c r="T219" i="74"/>
  <c r="BU79" i="71"/>
  <c r="U91" i="74" s="1"/>
  <c r="T91" i="74"/>
  <c r="C143" i="66"/>
  <c r="T157" i="74"/>
  <c r="BU195" i="71"/>
  <c r="U207" i="74" s="1"/>
  <c r="T207" i="74"/>
  <c r="BV201" i="71"/>
  <c r="Y213" i="74" s="1"/>
  <c r="T213" i="74"/>
  <c r="C72" i="66"/>
  <c r="T85" i="74"/>
  <c r="BV89" i="71"/>
  <c r="Y101" i="74" s="1"/>
  <c r="T101" i="74"/>
  <c r="BU156" i="71"/>
  <c r="U168" i="74" s="1"/>
  <c r="T168" i="74"/>
  <c r="BV164" i="71"/>
  <c r="Y176" i="74" s="1"/>
  <c r="T176" i="74"/>
  <c r="BV197" i="71"/>
  <c r="Y209" i="74" s="1"/>
  <c r="T209" i="74"/>
  <c r="BV7" i="71"/>
  <c r="Y19" i="74" s="1"/>
  <c r="T19" i="74"/>
  <c r="BV162" i="71"/>
  <c r="Y174" i="74" s="1"/>
  <c r="T174" i="74"/>
  <c r="C81" i="66"/>
  <c r="T94" i="74"/>
  <c r="BU49" i="71"/>
  <c r="U61" i="74" s="1"/>
  <c r="T61" i="74"/>
  <c r="BV24" i="71"/>
  <c r="Y36" i="74" s="1"/>
  <c r="T36" i="74"/>
  <c r="BU46" i="71"/>
  <c r="U58" i="74" s="1"/>
  <c r="T58" i="74"/>
  <c r="C97" i="66"/>
  <c r="T110" i="74"/>
  <c r="BU184" i="71"/>
  <c r="U196" i="74" s="1"/>
  <c r="T196" i="74"/>
  <c r="C83" i="66"/>
  <c r="T96" i="74"/>
  <c r="BV138" i="71"/>
  <c r="Y150" i="74" s="1"/>
  <c r="T150" i="74"/>
  <c r="BU39" i="71"/>
  <c r="U51" i="74" s="1"/>
  <c r="T51" i="74"/>
  <c r="BU77" i="71"/>
  <c r="U89" i="74" s="1"/>
  <c r="T89" i="74"/>
  <c r="BV107" i="71"/>
  <c r="Y119" i="74" s="1"/>
  <c r="T119" i="74"/>
  <c r="BV54" i="71"/>
  <c r="Y66" i="74" s="1"/>
  <c r="T66" i="74"/>
  <c r="BV68" i="71"/>
  <c r="Y80" i="74" s="1"/>
  <c r="T80" i="74"/>
  <c r="BV163" i="71"/>
  <c r="Y175" i="74" s="1"/>
  <c r="T175" i="74"/>
  <c r="BV52" i="71"/>
  <c r="Y64" i="74" s="1"/>
  <c r="T64" i="74"/>
  <c r="BV20" i="71"/>
  <c r="Y32" i="74" s="1"/>
  <c r="T32" i="74"/>
  <c r="BU167" i="71"/>
  <c r="U179" i="74" s="1"/>
  <c r="T179" i="74"/>
  <c r="BU29" i="71"/>
  <c r="U41" i="74" s="1"/>
  <c r="T41" i="74"/>
  <c r="BV171" i="71"/>
  <c r="Y183" i="74" s="1"/>
  <c r="T183" i="74"/>
  <c r="BV117" i="71"/>
  <c r="Y129" i="74" s="1"/>
  <c r="T129" i="74"/>
  <c r="BU85" i="71"/>
  <c r="U97" i="74" s="1"/>
  <c r="T97" i="74"/>
  <c r="BU186" i="71"/>
  <c r="U198" i="74" s="1"/>
  <c r="T198" i="74"/>
  <c r="BV64" i="71"/>
  <c r="Y76" i="74" s="1"/>
  <c r="T76" i="74"/>
  <c r="BU193" i="71"/>
  <c r="U205" i="74" s="1"/>
  <c r="T205" i="74"/>
  <c r="BV95" i="71"/>
  <c r="Y107" i="74" s="1"/>
  <c r="T107" i="74"/>
  <c r="BV148" i="71"/>
  <c r="Y160" i="74" s="1"/>
  <c r="T160" i="74"/>
  <c r="BV112" i="71"/>
  <c r="Y124" i="74" s="1"/>
  <c r="T124" i="74"/>
  <c r="BV125" i="71"/>
  <c r="Y137" i="74" s="1"/>
  <c r="T137" i="74"/>
  <c r="BV91" i="71"/>
  <c r="Y103" i="74" s="1"/>
  <c r="T103" i="74"/>
  <c r="BV150" i="71"/>
  <c r="Y162" i="74" s="1"/>
  <c r="T162" i="74"/>
  <c r="BU78" i="71"/>
  <c r="U90" i="74" s="1"/>
  <c r="T90" i="74"/>
  <c r="BV50" i="71"/>
  <c r="Y62" i="74" s="1"/>
  <c r="T62" i="74"/>
  <c r="BU97" i="71"/>
  <c r="U109" i="74" s="1"/>
  <c r="T109" i="74"/>
  <c r="BU199" i="71"/>
  <c r="U211" i="74" s="1"/>
  <c r="T211" i="74"/>
  <c r="BU146" i="71"/>
  <c r="U158" i="74" s="1"/>
  <c r="T158" i="74"/>
  <c r="S199" i="74"/>
  <c r="S87" i="74"/>
  <c r="S197" i="74"/>
  <c r="S211" i="74"/>
  <c r="S169" i="74"/>
  <c r="S196" i="74"/>
  <c r="S55" i="74"/>
  <c r="S202" i="74"/>
  <c r="S144" i="74"/>
  <c r="S218" i="74"/>
  <c r="S105" i="74"/>
  <c r="S114" i="74"/>
  <c r="S165" i="74"/>
  <c r="S191" i="74"/>
  <c r="S134" i="74"/>
  <c r="S91" i="74"/>
  <c r="S99" i="74"/>
  <c r="S174" i="74"/>
  <c r="S136" i="74"/>
  <c r="S84" i="74"/>
  <c r="S184" i="74"/>
  <c r="S150" i="74"/>
  <c r="S128" i="74"/>
  <c r="S18" i="74"/>
  <c r="S176" i="74"/>
  <c r="S198" i="74"/>
  <c r="S213" i="74"/>
  <c r="S138" i="74"/>
  <c r="S195" i="74"/>
  <c r="S164" i="74"/>
  <c r="S96" i="74"/>
  <c r="S69" i="74"/>
  <c r="S88" i="74"/>
  <c r="S130" i="74"/>
  <c r="S220" i="74"/>
  <c r="S103" i="74"/>
  <c r="S24" i="74"/>
  <c r="S182" i="74"/>
  <c r="S201" i="74"/>
  <c r="S31" i="74"/>
  <c r="S72" i="74"/>
  <c r="S171" i="74"/>
  <c r="S152" i="74"/>
  <c r="S90" i="74"/>
  <c r="S133" i="74"/>
  <c r="S129" i="74"/>
  <c r="S73" i="74"/>
  <c r="S83" i="74"/>
  <c r="S64" i="74"/>
  <c r="S193" i="74"/>
  <c r="S162" i="74"/>
  <c r="S89" i="74"/>
  <c r="S116" i="74"/>
  <c r="S109" i="74"/>
  <c r="S123" i="74"/>
  <c r="S190" i="74"/>
  <c r="S119" i="74"/>
  <c r="S214" i="74"/>
  <c r="S47" i="74"/>
  <c r="S185" i="74"/>
  <c r="S153" i="74"/>
  <c r="S206" i="74"/>
  <c r="S132" i="74"/>
  <c r="S80" i="74"/>
  <c r="S28" i="74"/>
  <c r="S52" i="74"/>
  <c r="S124" i="74"/>
  <c r="S102" i="74"/>
  <c r="S101" i="74"/>
  <c r="S117" i="74"/>
  <c r="S86" i="74"/>
  <c r="S157" i="74"/>
  <c r="S95" i="74"/>
  <c r="S61" i="74"/>
  <c r="S203" i="74"/>
  <c r="S173" i="74"/>
  <c r="S58" i="74"/>
  <c r="S216" i="74"/>
  <c r="S207" i="74"/>
  <c r="S183" i="74"/>
  <c r="S59" i="74"/>
  <c r="S37" i="74"/>
  <c r="S209" i="74"/>
  <c r="S192" i="74"/>
  <c r="S81" i="74"/>
  <c r="S140" i="74"/>
  <c r="S97" i="74"/>
  <c r="S85" i="74"/>
  <c r="S137" i="74"/>
  <c r="S78" i="74"/>
  <c r="S76" i="74"/>
  <c r="S77" i="74"/>
  <c r="S17" i="74"/>
  <c r="S82" i="74"/>
  <c r="S219" i="74"/>
  <c r="S75" i="74"/>
  <c r="S25" i="74"/>
  <c r="S179" i="74"/>
  <c r="S19" i="74"/>
  <c r="C55" i="66"/>
  <c r="S68" i="74"/>
  <c r="S170" i="74"/>
  <c r="S155" i="74"/>
  <c r="S167" i="74"/>
  <c r="S146" i="74"/>
  <c r="S74" i="74"/>
  <c r="S49" i="74"/>
  <c r="S57" i="74"/>
  <c r="S143" i="74"/>
  <c r="S180" i="74"/>
  <c r="S168" i="74"/>
  <c r="S98" i="74"/>
  <c r="S111" i="74"/>
  <c r="BU86" i="71"/>
  <c r="U98" i="74" s="1"/>
  <c r="BU98" i="71"/>
  <c r="BU84" i="71"/>
  <c r="U96" i="74" s="1"/>
  <c r="BV98" i="71"/>
  <c r="Y110" i="74" s="1"/>
  <c r="BV82" i="71"/>
  <c r="Y94" i="74" s="1"/>
  <c r="BU56" i="71"/>
  <c r="U68" i="74" s="1"/>
  <c r="V68" i="74" s="1"/>
  <c r="W68" i="74" s="1"/>
  <c r="X68" i="74" s="1"/>
  <c r="AH55" i="67" s="1"/>
  <c r="BU17" i="71"/>
  <c r="U29" i="74" s="1"/>
  <c r="BU16" i="71"/>
  <c r="U28" i="74" s="1"/>
  <c r="BV16" i="71"/>
  <c r="Y28" i="74" s="1"/>
  <c r="BV165" i="71"/>
  <c r="Y177" i="74" s="1"/>
  <c r="BU165" i="71"/>
  <c r="BV17" i="71"/>
  <c r="Y29" i="74" s="1"/>
  <c r="BV56" i="71"/>
  <c r="Y68" i="74" s="1"/>
  <c r="AI55" i="67" s="1"/>
  <c r="BU88" i="71"/>
  <c r="U100" i="74" s="1"/>
  <c r="BV88" i="71"/>
  <c r="Y100" i="74" s="1"/>
  <c r="BU82" i="71"/>
  <c r="U94" i="74" s="1"/>
  <c r="BU44" i="71"/>
  <c r="U56" i="74" s="1"/>
  <c r="BU57" i="71"/>
  <c r="BU37" i="71"/>
  <c r="U49" i="74" s="1"/>
  <c r="BV44" i="71"/>
  <c r="Y56" i="74" s="1"/>
  <c r="BV57" i="71"/>
  <c r="Y69" i="74" s="1"/>
  <c r="BV37" i="71"/>
  <c r="Y49" i="74" s="1"/>
  <c r="BV84" i="71"/>
  <c r="Y96" i="74" s="1"/>
  <c r="BV157" i="71"/>
  <c r="Y169" i="74" s="1"/>
  <c r="BU161" i="71"/>
  <c r="BV161" i="71"/>
  <c r="Y173" i="74" s="1"/>
  <c r="BU145" i="71"/>
  <c r="U157" i="74" s="1"/>
  <c r="BU73" i="71"/>
  <c r="BU157" i="71"/>
  <c r="U169" i="74" s="1"/>
  <c r="BV145" i="71"/>
  <c r="Y157" i="74" s="1"/>
  <c r="BV73" i="71"/>
  <c r="Y85" i="74" s="1"/>
  <c r="BU170" i="71"/>
  <c r="BU166" i="71"/>
  <c r="BV170" i="71"/>
  <c r="Y182" i="74" s="1"/>
  <c r="BV166" i="71"/>
  <c r="Y178" i="74" s="1"/>
  <c r="BU33" i="71"/>
  <c r="BV86" i="71"/>
  <c r="Y98" i="74" s="1"/>
  <c r="BV33" i="71"/>
  <c r="Y45" i="74" s="1"/>
  <c r="BU134" i="71"/>
  <c r="U146" i="74" s="1"/>
  <c r="BV134" i="71"/>
  <c r="Y146" i="74" s="1"/>
  <c r="BV187" i="71"/>
  <c r="Y199" i="74" s="1"/>
  <c r="BU35" i="71"/>
  <c r="U47" i="74" s="1"/>
  <c r="BV35" i="71"/>
  <c r="Y47" i="74" s="1"/>
  <c r="BU192" i="71"/>
  <c r="BV13" i="71"/>
  <c r="Y25" i="74" s="1"/>
  <c r="BU28" i="71"/>
  <c r="BV192" i="71"/>
  <c r="Y204" i="74" s="1"/>
  <c r="BU62" i="71"/>
  <c r="BU48" i="71"/>
  <c r="C47" i="66"/>
  <c r="BV183" i="71"/>
  <c r="Y195" i="74" s="1"/>
  <c r="C181" i="66"/>
  <c r="BU42" i="71"/>
  <c r="C41" i="66"/>
  <c r="BV62" i="71"/>
  <c r="Y74" i="74" s="1"/>
  <c r="BV28" i="71"/>
  <c r="Y40" i="74" s="1"/>
  <c r="BU63" i="71"/>
  <c r="BV104" i="71"/>
  <c r="Y116" i="74" s="1"/>
  <c r="C103" i="66"/>
  <c r="BV102" i="71"/>
  <c r="Y114" i="74" s="1"/>
  <c r="C101" i="66"/>
  <c r="BU6" i="71"/>
  <c r="C5" i="66"/>
  <c r="BV206" i="71"/>
  <c r="Y218" i="74" s="1"/>
  <c r="C204" i="66"/>
  <c r="BU191" i="71"/>
  <c r="C189" i="66"/>
  <c r="BU75" i="71"/>
  <c r="C74" i="66"/>
  <c r="BU94" i="71"/>
  <c r="C93" i="66"/>
  <c r="BV71" i="71"/>
  <c r="Y83" i="74" s="1"/>
  <c r="C70" i="66"/>
  <c r="BU53" i="71"/>
  <c r="C52" i="66"/>
  <c r="BU59" i="71"/>
  <c r="C58" i="66"/>
  <c r="BV198" i="71"/>
  <c r="Y210" i="74" s="1"/>
  <c r="C196" i="66"/>
  <c r="BD4" i="71"/>
  <c r="O16" i="74" s="1"/>
  <c r="P16" i="74" s="1"/>
  <c r="BU18" i="71"/>
  <c r="U30" i="74" s="1"/>
  <c r="BU15" i="71"/>
  <c r="U27" i="74" s="1"/>
  <c r="BV63" i="71"/>
  <c r="Y75" i="74" s="1"/>
  <c r="BV53" i="71"/>
  <c r="Y65" i="74" s="1"/>
  <c r="BV48" i="71"/>
  <c r="Y60" i="74" s="1"/>
  <c r="BV55" i="71"/>
  <c r="Y67" i="74" s="1"/>
  <c r="C54" i="66"/>
  <c r="BV41" i="71"/>
  <c r="Y53" i="74" s="1"/>
  <c r="C40" i="66"/>
  <c r="BU155" i="71"/>
  <c r="C153" i="66"/>
  <c r="BV12" i="71"/>
  <c r="Y24" i="74" s="1"/>
  <c r="C11" i="66"/>
  <c r="BU204" i="71"/>
  <c r="C202" i="66"/>
  <c r="BV172" i="71"/>
  <c r="Y184" i="74" s="1"/>
  <c r="C170" i="66"/>
  <c r="BV40" i="71"/>
  <c r="Y52" i="74" s="1"/>
  <c r="C39" i="66"/>
  <c r="BU135" i="71"/>
  <c r="C133" i="66"/>
  <c r="BV141" i="71"/>
  <c r="Y153" i="74" s="1"/>
  <c r="C139" i="66"/>
  <c r="BV190" i="71"/>
  <c r="Y202" i="74" s="1"/>
  <c r="C188" i="66"/>
  <c r="BV74" i="71"/>
  <c r="Y86" i="74" s="1"/>
  <c r="C73" i="66"/>
  <c r="BV67" i="71"/>
  <c r="Y79" i="74" s="1"/>
  <c r="C66" i="66"/>
  <c r="BV189" i="71"/>
  <c r="Y201" i="74" s="1"/>
  <c r="C187" i="66"/>
  <c r="BV196" i="71"/>
  <c r="Y208" i="74" s="1"/>
  <c r="C194" i="66"/>
  <c r="BU202" i="71"/>
  <c r="BU132" i="71"/>
  <c r="C131" i="66"/>
  <c r="BV18" i="71"/>
  <c r="Y30" i="74" s="1"/>
  <c r="BV59" i="71"/>
  <c r="Y71" i="74" s="1"/>
  <c r="BV69" i="71"/>
  <c r="Y81" i="74" s="1"/>
  <c r="C68" i="66"/>
  <c r="BU83" i="71"/>
  <c r="C82" i="66"/>
  <c r="BU93" i="71"/>
  <c r="C92" i="66"/>
  <c r="BV116" i="71"/>
  <c r="Y128" i="74" s="1"/>
  <c r="C115" i="66"/>
  <c r="BU153" i="71"/>
  <c r="C151" i="66"/>
  <c r="BV173" i="71"/>
  <c r="Y185" i="74" s="1"/>
  <c r="C171" i="66"/>
  <c r="BU111" i="71"/>
  <c r="C110" i="66"/>
  <c r="BU207" i="71"/>
  <c r="C205" i="66"/>
  <c r="BV79" i="71"/>
  <c r="Y91" i="74" s="1"/>
  <c r="C78" i="66"/>
  <c r="BU203" i="71"/>
  <c r="C201" i="66"/>
  <c r="BU22" i="71"/>
  <c r="C21" i="66"/>
  <c r="BV61" i="71"/>
  <c r="Y73" i="74" s="1"/>
  <c r="C60" i="66"/>
  <c r="BV27" i="71"/>
  <c r="Y39" i="74" s="1"/>
  <c r="C26" i="66"/>
  <c r="BU67" i="71"/>
  <c r="U79" i="74" s="1"/>
  <c r="BV15" i="71"/>
  <c r="Y27" i="74" s="1"/>
  <c r="BV5" i="71"/>
  <c r="Y17" i="74" s="1"/>
  <c r="BV65" i="71"/>
  <c r="Y77" i="74" s="1"/>
  <c r="BV195" i="71"/>
  <c r="Y207" i="74" s="1"/>
  <c r="C193" i="66"/>
  <c r="BU201" i="71"/>
  <c r="C199" i="66"/>
  <c r="BU89" i="71"/>
  <c r="C88" i="66"/>
  <c r="BV156" i="71"/>
  <c r="Y168" i="74" s="1"/>
  <c r="C154" i="66"/>
  <c r="BU164" i="71"/>
  <c r="C162" i="66"/>
  <c r="BU197" i="71"/>
  <c r="C195" i="66"/>
  <c r="BU7" i="71"/>
  <c r="C6" i="66"/>
  <c r="BU162" i="71"/>
  <c r="C160" i="66"/>
  <c r="BV49" i="71"/>
  <c r="Y61" i="74" s="1"/>
  <c r="C48" i="66"/>
  <c r="BU24" i="71"/>
  <c r="C23" i="66"/>
  <c r="BV46" i="71"/>
  <c r="Y58" i="74" s="1"/>
  <c r="C45" i="66"/>
  <c r="BU143" i="71"/>
  <c r="C141" i="66"/>
  <c r="BU177" i="71"/>
  <c r="C175" i="66"/>
  <c r="BV202" i="71"/>
  <c r="Y214" i="74" s="1"/>
  <c r="BU5" i="71"/>
  <c r="U17" i="74" s="1"/>
  <c r="BU65" i="71"/>
  <c r="U77" i="74" s="1"/>
  <c r="BV42" i="71"/>
  <c r="Y54" i="74" s="1"/>
  <c r="BV177" i="71"/>
  <c r="Y189" i="74" s="1"/>
  <c r="BU138" i="71"/>
  <c r="C136" i="66"/>
  <c r="BV39" i="71"/>
  <c r="Y51" i="74" s="1"/>
  <c r="C38" i="66"/>
  <c r="BV77" i="71"/>
  <c r="Y89" i="74" s="1"/>
  <c r="C76" i="66"/>
  <c r="BU107" i="71"/>
  <c r="C106" i="66"/>
  <c r="BU54" i="71"/>
  <c r="C53" i="66"/>
  <c r="BU68" i="71"/>
  <c r="C67" i="66"/>
  <c r="BU163" i="71"/>
  <c r="C161" i="66"/>
  <c r="BU52" i="71"/>
  <c r="C51" i="66"/>
  <c r="BU20" i="71"/>
  <c r="C19" i="66"/>
  <c r="BV167" i="71"/>
  <c r="Y179" i="74" s="1"/>
  <c r="C165" i="66"/>
  <c r="BV29" i="71"/>
  <c r="Y41" i="74" s="1"/>
  <c r="C28" i="66"/>
  <c r="BU171" i="71"/>
  <c r="C169" i="66"/>
  <c r="BU117" i="71"/>
  <c r="C116" i="66"/>
  <c r="BU154" i="71"/>
  <c r="C152" i="66"/>
  <c r="BV128" i="71"/>
  <c r="Y140" i="74" s="1"/>
  <c r="C127" i="66"/>
  <c r="BV175" i="71"/>
  <c r="Y187" i="74" s="1"/>
  <c r="BU126" i="71"/>
  <c r="U138" i="74" s="1"/>
  <c r="CG4" i="71"/>
  <c r="B158" i="47" s="1"/>
  <c r="BV85" i="71"/>
  <c r="Y97" i="74" s="1"/>
  <c r="C84" i="66"/>
  <c r="BV186" i="71"/>
  <c r="Y198" i="74" s="1"/>
  <c r="C184" i="66"/>
  <c r="BU64" i="71"/>
  <c r="C63" i="66"/>
  <c r="BV193" i="71"/>
  <c r="Y205" i="74" s="1"/>
  <c r="C191" i="66"/>
  <c r="BU95" i="71"/>
  <c r="C94" i="66"/>
  <c r="BU148" i="71"/>
  <c r="C146" i="66"/>
  <c r="BU112" i="71"/>
  <c r="C111" i="66"/>
  <c r="BU125" i="71"/>
  <c r="C124" i="66"/>
  <c r="BU91" i="71"/>
  <c r="C90" i="66"/>
  <c r="BU150" i="71"/>
  <c r="C148" i="66"/>
  <c r="BV78" i="71"/>
  <c r="Y90" i="74" s="1"/>
  <c r="C77" i="66"/>
  <c r="BU50" i="71"/>
  <c r="C49" i="66"/>
  <c r="BV97" i="71"/>
  <c r="Y109" i="74" s="1"/>
  <c r="C96" i="66"/>
  <c r="BV199" i="71"/>
  <c r="Y211" i="74" s="1"/>
  <c r="C197" i="66"/>
  <c r="BV146" i="71"/>
  <c r="Y158" i="74" s="1"/>
  <c r="C144" i="66"/>
  <c r="BV118" i="71"/>
  <c r="Y130" i="74" s="1"/>
  <c r="C117" i="66"/>
  <c r="BU8" i="71"/>
  <c r="C7" i="66"/>
  <c r="BV126" i="71"/>
  <c r="Y138" i="74" s="1"/>
  <c r="BU25" i="71"/>
  <c r="C24" i="66"/>
  <c r="BV208" i="71"/>
  <c r="Y220" i="74" s="1"/>
  <c r="C206" i="66"/>
  <c r="BU66" i="71"/>
  <c r="C65" i="66"/>
  <c r="BV19" i="71"/>
  <c r="Y31" i="74" s="1"/>
  <c r="C18" i="66"/>
  <c r="BU124" i="71"/>
  <c r="C123" i="66"/>
  <c r="BV72" i="71"/>
  <c r="Y84" i="74" s="1"/>
  <c r="C71" i="66"/>
  <c r="BV185" i="71"/>
  <c r="Y197" i="74" s="1"/>
  <c r="C183" i="66"/>
  <c r="BU179" i="71"/>
  <c r="C177" i="66"/>
  <c r="BU26" i="71"/>
  <c r="C25" i="66"/>
  <c r="BV194" i="71"/>
  <c r="Y206" i="74" s="1"/>
  <c r="C192" i="66"/>
  <c r="BU9" i="71"/>
  <c r="C8" i="66"/>
  <c r="BU168" i="71"/>
  <c r="C166" i="66"/>
  <c r="BV181" i="71"/>
  <c r="Y193" i="74" s="1"/>
  <c r="C179" i="66"/>
  <c r="BV184" i="71"/>
  <c r="Y196" i="74" s="1"/>
  <c r="C182" i="66"/>
  <c r="BV158" i="71"/>
  <c r="Y170" i="74" s="1"/>
  <c r="C156" i="66"/>
  <c r="BU90" i="71"/>
  <c r="C89" i="66"/>
  <c r="BU87" i="71"/>
  <c r="C86" i="66"/>
  <c r="BV80" i="71"/>
  <c r="Y92" i="74" s="1"/>
  <c r="C79" i="66"/>
  <c r="BV176" i="71"/>
  <c r="Y188" i="74" s="1"/>
  <c r="C174" i="66"/>
  <c r="BV38" i="71"/>
  <c r="Y50" i="74" s="1"/>
  <c r="C37" i="66"/>
  <c r="BU175" i="71"/>
  <c r="BV154" i="71"/>
  <c r="Y166" i="74" s="1"/>
  <c r="BV203" i="71"/>
  <c r="Y215" i="74" s="1"/>
  <c r="BU187" i="71"/>
  <c r="U199" i="74" s="1"/>
  <c r="BU13" i="71"/>
  <c r="U25" i="74" s="1"/>
  <c r="BU196" i="71"/>
  <c r="U208" i="74" s="1"/>
  <c r="BU198" i="71"/>
  <c r="U210" i="74" s="1"/>
  <c r="BV22" i="71"/>
  <c r="Y34" i="74" s="1"/>
  <c r="BV142" i="71"/>
  <c r="Y154" i="74" s="1"/>
  <c r="C140" i="66"/>
  <c r="BV121" i="71"/>
  <c r="Y133" i="74" s="1"/>
  <c r="C120" i="66"/>
  <c r="BV144" i="71"/>
  <c r="Y156" i="74" s="1"/>
  <c r="C142" i="66"/>
  <c r="BU105" i="71"/>
  <c r="C104" i="66"/>
  <c r="BV120" i="71"/>
  <c r="Y132" i="74" s="1"/>
  <c r="C119" i="66"/>
  <c r="BU23" i="71"/>
  <c r="C22" i="66"/>
  <c r="BV99" i="71"/>
  <c r="Y111" i="74" s="1"/>
  <c r="C98" i="66"/>
  <c r="BU152" i="71"/>
  <c r="C150" i="66"/>
  <c r="BV43" i="71"/>
  <c r="Y55" i="74" s="1"/>
  <c r="C42" i="66"/>
  <c r="BU159" i="71"/>
  <c r="C157" i="66"/>
  <c r="BV96" i="71"/>
  <c r="Y108" i="74" s="1"/>
  <c r="C95" i="66"/>
  <c r="BU80" i="71"/>
  <c r="U92" i="74" s="1"/>
  <c r="BV131" i="71"/>
  <c r="Y143" i="74" s="1"/>
  <c r="C130" i="66"/>
  <c r="BU70" i="71"/>
  <c r="C69" i="66"/>
  <c r="BV180" i="71"/>
  <c r="Y192" i="74" s="1"/>
  <c r="C178" i="66"/>
  <c r="BU76" i="71"/>
  <c r="C75" i="66"/>
  <c r="BU178" i="71"/>
  <c r="C176" i="66"/>
  <c r="BV60" i="71"/>
  <c r="Y72" i="74" s="1"/>
  <c r="C59" i="66"/>
  <c r="BU122" i="71"/>
  <c r="C121" i="66"/>
  <c r="BU47" i="71"/>
  <c r="C46" i="66"/>
  <c r="BU123" i="71"/>
  <c r="C122" i="66"/>
  <c r="BU140" i="71"/>
  <c r="C138" i="66"/>
  <c r="BU45" i="71"/>
  <c r="C44" i="66"/>
  <c r="U16" i="74"/>
  <c r="O156" i="74"/>
  <c r="U187" i="74"/>
  <c r="U152" i="74"/>
  <c r="O34" i="74"/>
  <c r="U129" i="74"/>
  <c r="U80" i="74"/>
  <c r="U102" i="74"/>
  <c r="U150" i="74"/>
  <c r="U164" i="74"/>
  <c r="U105" i="74"/>
  <c r="O66" i="74"/>
  <c r="U37" i="74"/>
  <c r="U176" i="74"/>
  <c r="O32" i="74"/>
  <c r="U101" i="74"/>
  <c r="O19" i="74"/>
  <c r="U119" i="74"/>
  <c r="U175" i="74"/>
  <c r="O173" i="74"/>
  <c r="U110" i="74"/>
  <c r="U177" i="74"/>
  <c r="U178" i="74"/>
  <c r="U54" i="74"/>
  <c r="U60" i="74"/>
  <c r="O35" i="74"/>
  <c r="U107" i="74"/>
  <c r="U95" i="74"/>
  <c r="U78" i="74"/>
  <c r="U166" i="74"/>
  <c r="U167" i="74"/>
  <c r="U57" i="74"/>
  <c r="U215" i="74"/>
  <c r="U65" i="74"/>
  <c r="U82" i="74"/>
  <c r="U203" i="74"/>
  <c r="O62" i="74"/>
  <c r="U124" i="74"/>
  <c r="U35" i="74"/>
  <c r="O46" i="74"/>
  <c r="U99" i="74"/>
  <c r="O53" i="74"/>
  <c r="U18" i="74"/>
  <c r="U64" i="74"/>
  <c r="O21" i="74"/>
  <c r="O110" i="74"/>
  <c r="O178" i="74"/>
  <c r="O177" i="74"/>
  <c r="U214" i="74"/>
  <c r="U74" i="74"/>
  <c r="U69" i="74"/>
  <c r="U40" i="74"/>
  <c r="U209" i="74"/>
  <c r="U144" i="74"/>
  <c r="U216" i="74"/>
  <c r="O51" i="74"/>
  <c r="U66" i="74"/>
  <c r="U87" i="74"/>
  <c r="U75" i="74"/>
  <c r="U38" i="74"/>
  <c r="U136" i="74"/>
  <c r="U20" i="74"/>
  <c r="U160" i="74"/>
  <c r="U147" i="74"/>
  <c r="O38" i="74"/>
  <c r="U123" i="74"/>
  <c r="U59" i="74"/>
  <c r="U165" i="74"/>
  <c r="U213" i="74"/>
  <c r="U19" i="74"/>
  <c r="O36" i="74"/>
  <c r="U32" i="74"/>
  <c r="O39" i="74"/>
  <c r="O56" i="74"/>
  <c r="U137" i="74"/>
  <c r="U180" i="74"/>
  <c r="U103" i="74"/>
  <c r="O65" i="74"/>
  <c r="U134" i="74"/>
  <c r="O94" i="74"/>
  <c r="O107" i="74"/>
  <c r="O40" i="74"/>
  <c r="U173" i="74"/>
  <c r="U45" i="74"/>
  <c r="U85" i="74"/>
  <c r="U204" i="74"/>
  <c r="U182" i="74"/>
  <c r="U135" i="74"/>
  <c r="O50" i="74"/>
  <c r="U88" i="74"/>
  <c r="U117" i="74"/>
  <c r="U189" i="74"/>
  <c r="U36" i="74"/>
  <c r="U106" i="74"/>
  <c r="U183" i="74"/>
  <c r="U76" i="74"/>
  <c r="U62" i="74"/>
  <c r="U34" i="74"/>
  <c r="U174" i="74"/>
  <c r="U71" i="74"/>
  <c r="U171" i="74"/>
  <c r="U219" i="74"/>
  <c r="U21" i="74"/>
  <c r="U155" i="74"/>
  <c r="O105" i="74"/>
  <c r="O67" i="74"/>
  <c r="U162" i="74"/>
  <c r="O41" i="74"/>
  <c r="U190" i="74"/>
  <c r="U191" i="74"/>
  <c r="AI39" i="67"/>
  <c r="AI39" i="68"/>
  <c r="AI38" i="67"/>
  <c r="AI38" i="68"/>
  <c r="AI45" i="67"/>
  <c r="AI45" i="68"/>
  <c r="AI33" i="67"/>
  <c r="AI33" i="68"/>
  <c r="AI26" i="67"/>
  <c r="AI26" i="68"/>
  <c r="AI25" i="67"/>
  <c r="AI25" i="68"/>
  <c r="AI54" i="67"/>
  <c r="AI54" i="68"/>
  <c r="AI10" i="67"/>
  <c r="AI10" i="68"/>
  <c r="AI30" i="67"/>
  <c r="AI30" i="68"/>
  <c r="AI11" i="67"/>
  <c r="AI11" i="68"/>
  <c r="AI40" i="67"/>
  <c r="AI40" i="68"/>
  <c r="AI37" i="67"/>
  <c r="AI37" i="68"/>
  <c r="AI18" i="67"/>
  <c r="AI18" i="68"/>
  <c r="AI5" i="67"/>
  <c r="AI44" i="67"/>
  <c r="AI53" i="67"/>
  <c r="AI12" i="67"/>
  <c r="AI19" i="67"/>
  <c r="AI43" i="67"/>
  <c r="AI22" i="67"/>
  <c r="AI8" i="67"/>
  <c r="AI6" i="67"/>
  <c r="AI49" i="67"/>
  <c r="AI16" i="67"/>
  <c r="AI14" i="67"/>
  <c r="AI52" i="67"/>
  <c r="AI47" i="67"/>
  <c r="AE41" i="74"/>
  <c r="AE17" i="74"/>
  <c r="AA57" i="74"/>
  <c r="AE20" i="74"/>
  <c r="AE59" i="74"/>
  <c r="AE36" i="74"/>
  <c r="AE34" i="74"/>
  <c r="AA43" i="74"/>
  <c r="AA56" i="74"/>
  <c r="AE61" i="74"/>
  <c r="AA18" i="74"/>
  <c r="AA23" i="74"/>
  <c r="AE47" i="74"/>
  <c r="AA35" i="74"/>
  <c r="AA32" i="74"/>
  <c r="AA21" i="74"/>
  <c r="AA51" i="74"/>
  <c r="AE64" i="74"/>
  <c r="AA62" i="74"/>
  <c r="AA49" i="74"/>
  <c r="AE49" i="74"/>
  <c r="AE45" i="74"/>
  <c r="AA45" i="74"/>
  <c r="AE55" i="74"/>
  <c r="AA55" i="74"/>
  <c r="AA28" i="74"/>
  <c r="AE28" i="74"/>
  <c r="AA40" i="74"/>
  <c r="AE40" i="74"/>
  <c r="AA54" i="74"/>
  <c r="AE54" i="74"/>
  <c r="AE30" i="74"/>
  <c r="AA30" i="74"/>
  <c r="AA37" i="74"/>
  <c r="AE37" i="74"/>
  <c r="CL4" i="71" l="1"/>
  <c r="Z16" i="74"/>
  <c r="I167" i="47" s="1"/>
  <c r="Y16" i="74"/>
  <c r="I170" i="47" s="1"/>
  <c r="CM4" i="71"/>
  <c r="AA16" i="74"/>
  <c r="AB16" i="74" s="1"/>
  <c r="AC16" i="74" s="1"/>
  <c r="AD16" i="74" s="1"/>
  <c r="AH3" i="68" s="1"/>
  <c r="AI51" i="67"/>
  <c r="AI51" i="68"/>
  <c r="AI46" i="67"/>
  <c r="AI46" i="68"/>
  <c r="AI15" i="67"/>
  <c r="AI15" i="68"/>
  <c r="AI7" i="67"/>
  <c r="AI7" i="68"/>
  <c r="AI27" i="67"/>
  <c r="AI27" i="68"/>
  <c r="AI24" i="67"/>
  <c r="AI24" i="68"/>
  <c r="AI28" i="67"/>
  <c r="AI28" i="68"/>
  <c r="AI34" i="67"/>
  <c r="AI34" i="68"/>
  <c r="AI4" i="67"/>
  <c r="AI4" i="68"/>
  <c r="AI32" i="67"/>
  <c r="AI32" i="68"/>
  <c r="AI36" i="67"/>
  <c r="AI36" i="68"/>
  <c r="AI48" i="67"/>
  <c r="AI48" i="68"/>
  <c r="AI23" i="67"/>
  <c r="AI23" i="68"/>
  <c r="AI42" i="67"/>
  <c r="AI42" i="68"/>
  <c r="AI17" i="67"/>
  <c r="AI17" i="68"/>
  <c r="AI21" i="67"/>
  <c r="AI21" i="68"/>
  <c r="AI41" i="67"/>
  <c r="AI41" i="68"/>
  <c r="E135" i="52"/>
  <c r="E141" i="52" s="1"/>
  <c r="E195" i="52"/>
  <c r="E196" i="52" s="1"/>
  <c r="AE16" i="74" l="1"/>
  <c r="E244" i="47"/>
  <c r="E142" i="52"/>
  <c r="E136" i="52" s="1"/>
  <c r="E137" i="52" s="1"/>
  <c r="C119" i="52" s="1"/>
  <c r="M208" i="66"/>
  <c r="AI3" i="68" l="1"/>
  <c r="AI3" i="67"/>
  <c r="G214" i="68"/>
  <c r="G220" i="68"/>
  <c r="G223" i="68"/>
  <c r="G219" i="68"/>
  <c r="G217" i="68"/>
  <c r="G215" i="68"/>
  <c r="G226" i="68"/>
  <c r="G225" i="68"/>
  <c r="G218" i="68"/>
  <c r="G227" i="68"/>
  <c r="G222" i="68"/>
  <c r="G228" i="68"/>
  <c r="G221" i="68"/>
  <c r="G224" i="68"/>
  <c r="G211" i="68"/>
  <c r="G216" i="68"/>
  <c r="G213" i="68"/>
  <c r="G212" i="68"/>
  <c r="G90" i="68"/>
  <c r="G3" i="68"/>
  <c r="G71" i="68"/>
  <c r="G101" i="68"/>
  <c r="G66" i="68"/>
  <c r="G112" i="68"/>
  <c r="G108" i="68"/>
  <c r="G134" i="68"/>
  <c r="G107" i="68"/>
  <c r="G172" i="68"/>
  <c r="G20" i="68"/>
  <c r="G139" i="68"/>
  <c r="G67" i="68"/>
  <c r="G73" i="68"/>
  <c r="G138" i="68"/>
  <c r="G136" i="68"/>
  <c r="G69" i="68"/>
  <c r="G62" i="68"/>
  <c r="G49" i="68"/>
  <c r="E190" i="52"/>
  <c r="E191" i="52" s="1"/>
  <c r="C173" i="52" s="1"/>
  <c r="E249" i="52"/>
  <c r="E250" i="52" s="1"/>
  <c r="G143" i="67" l="1"/>
  <c r="G143" i="68"/>
  <c r="G70" i="67"/>
  <c r="G70" i="68"/>
  <c r="G57" i="67"/>
  <c r="G57" i="68"/>
  <c r="G37" i="67"/>
  <c r="G37" i="68"/>
  <c r="G61" i="67"/>
  <c r="G61" i="68"/>
  <c r="G171" i="67"/>
  <c r="G171" i="68"/>
  <c r="G32" i="67"/>
  <c r="G32" i="68"/>
  <c r="G105" i="67"/>
  <c r="G105" i="68"/>
  <c r="G109" i="67"/>
  <c r="G109" i="68"/>
  <c r="G200" i="67"/>
  <c r="G200" i="68"/>
  <c r="G177" i="67"/>
  <c r="G177" i="68"/>
  <c r="G178" i="67"/>
  <c r="G178" i="68"/>
  <c r="G133" i="67"/>
  <c r="G133" i="68"/>
  <c r="G125" i="67"/>
  <c r="G125" i="68"/>
  <c r="G117" i="67"/>
  <c r="G117" i="68"/>
  <c r="G164" i="67"/>
  <c r="G164" i="68"/>
  <c r="G79" i="67"/>
  <c r="G79" i="68"/>
  <c r="G157" i="67"/>
  <c r="G157" i="68"/>
  <c r="G147" i="67"/>
  <c r="G147" i="68"/>
  <c r="G141" i="67"/>
  <c r="G141" i="68"/>
  <c r="G189" i="67"/>
  <c r="G189" i="68"/>
  <c r="G92" i="67"/>
  <c r="G92" i="68"/>
  <c r="G86" i="67"/>
  <c r="G86" i="68"/>
  <c r="G137" i="67"/>
  <c r="G137" i="68"/>
  <c r="G113" i="67"/>
  <c r="G113" i="68"/>
  <c r="G155" i="67"/>
  <c r="G155" i="68"/>
  <c r="G131" i="67"/>
  <c r="G131" i="68"/>
  <c r="G42" i="67"/>
  <c r="G42" i="68"/>
  <c r="G78" i="67"/>
  <c r="G78" i="68"/>
  <c r="G10" i="67"/>
  <c r="G10" i="68"/>
  <c r="G24" i="67"/>
  <c r="G24" i="68"/>
  <c r="G15" i="67"/>
  <c r="G15" i="68"/>
  <c r="G5" i="67"/>
  <c r="G5" i="68"/>
  <c r="G98" i="67"/>
  <c r="G98" i="68"/>
  <c r="G30" i="67"/>
  <c r="G30" i="68"/>
  <c r="G74" i="67"/>
  <c r="G74" i="68"/>
  <c r="G11" i="67"/>
  <c r="G11" i="68"/>
  <c r="G185" i="67"/>
  <c r="G185" i="68"/>
  <c r="G85" i="67"/>
  <c r="G85" i="68"/>
  <c r="G114" i="67"/>
  <c r="G114" i="68"/>
  <c r="G174" i="67"/>
  <c r="G174" i="68"/>
  <c r="G195" i="67"/>
  <c r="G195" i="68"/>
  <c r="G154" i="67"/>
  <c r="G154" i="68"/>
  <c r="G64" i="67"/>
  <c r="G64" i="68"/>
  <c r="G182" i="67"/>
  <c r="G182" i="68"/>
  <c r="G110" i="67"/>
  <c r="G110" i="68"/>
  <c r="G122" i="67"/>
  <c r="G122" i="68"/>
  <c r="G39" i="67"/>
  <c r="G39" i="68"/>
  <c r="G102" i="67"/>
  <c r="G102" i="68"/>
  <c r="G82" i="67"/>
  <c r="G82" i="68"/>
  <c r="G120" i="67"/>
  <c r="G120" i="68"/>
  <c r="G187" i="67"/>
  <c r="G187" i="68"/>
  <c r="G27" i="67"/>
  <c r="G27" i="68"/>
  <c r="G193" i="67"/>
  <c r="G193" i="68"/>
  <c r="G43" i="67"/>
  <c r="G43" i="68"/>
  <c r="G115" i="67"/>
  <c r="G115" i="68"/>
  <c r="G58" i="67"/>
  <c r="G58" i="68"/>
  <c r="G99" i="67"/>
  <c r="G99" i="68"/>
  <c r="G205" i="67"/>
  <c r="G205" i="68"/>
  <c r="G132" i="67"/>
  <c r="G132" i="68"/>
  <c r="G87" i="67"/>
  <c r="G87" i="68"/>
  <c r="G16" i="67"/>
  <c r="G16" i="68"/>
  <c r="G56" i="67"/>
  <c r="G56" i="68"/>
  <c r="G148" i="67"/>
  <c r="G148" i="68"/>
  <c r="G161" i="67"/>
  <c r="G161" i="68"/>
  <c r="G88" i="67"/>
  <c r="G88" i="68"/>
  <c r="G4" i="67"/>
  <c r="G4" i="68"/>
  <c r="G9" i="67"/>
  <c r="G9" i="68"/>
  <c r="G19" i="67"/>
  <c r="G19" i="68"/>
  <c r="G93" i="67"/>
  <c r="G93" i="68"/>
  <c r="G75" i="67"/>
  <c r="G75" i="68"/>
  <c r="G165" i="67"/>
  <c r="G165" i="68"/>
  <c r="G22" i="67"/>
  <c r="G22" i="68"/>
  <c r="G192" i="67"/>
  <c r="G192" i="68"/>
  <c r="G94" i="67"/>
  <c r="G94" i="68"/>
  <c r="G72" i="67"/>
  <c r="G72" i="68"/>
  <c r="G127" i="67"/>
  <c r="G127" i="68"/>
  <c r="G41" i="67"/>
  <c r="G41" i="68"/>
  <c r="G150" i="67"/>
  <c r="G150" i="68"/>
  <c r="G21" i="67"/>
  <c r="G21" i="68"/>
  <c r="G204" i="67"/>
  <c r="G204" i="68"/>
  <c r="G144" i="67"/>
  <c r="G144" i="68"/>
  <c r="G168" i="67"/>
  <c r="G168" i="68"/>
  <c r="G146" i="67"/>
  <c r="G146" i="68"/>
  <c r="G50" i="67"/>
  <c r="G50" i="68"/>
  <c r="G34" i="67"/>
  <c r="G34" i="68"/>
  <c r="G68" i="67"/>
  <c r="G68" i="68"/>
  <c r="G47" i="67"/>
  <c r="G47" i="68"/>
  <c r="G201" i="67"/>
  <c r="G201" i="68"/>
  <c r="G14" i="67"/>
  <c r="G14" i="68"/>
  <c r="G188" i="67"/>
  <c r="G188" i="68"/>
  <c r="G170" i="67"/>
  <c r="G170" i="68"/>
  <c r="G97" i="67"/>
  <c r="G97" i="68"/>
  <c r="G166" i="67"/>
  <c r="G166" i="68"/>
  <c r="G77" i="67"/>
  <c r="G77" i="68"/>
  <c r="G44" i="67"/>
  <c r="G44" i="68"/>
  <c r="G89" i="67"/>
  <c r="G89" i="68"/>
  <c r="G151" i="67"/>
  <c r="G151" i="68"/>
  <c r="G103" i="67"/>
  <c r="G103" i="68"/>
  <c r="G26" i="67"/>
  <c r="G26" i="68"/>
  <c r="G203" i="67"/>
  <c r="G203" i="68"/>
  <c r="G91" i="67"/>
  <c r="G91" i="68"/>
  <c r="G48" i="67"/>
  <c r="G48" i="68"/>
  <c r="G25" i="67"/>
  <c r="G25" i="68"/>
  <c r="G197" i="67"/>
  <c r="G197" i="68"/>
  <c r="G119" i="67"/>
  <c r="G119" i="68"/>
  <c r="G40" i="67"/>
  <c r="G40" i="68"/>
  <c r="G35" i="67"/>
  <c r="G35" i="68"/>
  <c r="G80" i="67"/>
  <c r="G80" i="68"/>
  <c r="G140" i="67"/>
  <c r="G140" i="68"/>
  <c r="G54" i="67"/>
  <c r="G54" i="68"/>
  <c r="G95" i="67"/>
  <c r="G95" i="68"/>
  <c r="G179" i="67"/>
  <c r="G179" i="68"/>
  <c r="G46" i="67"/>
  <c r="G46" i="68"/>
  <c r="G111" i="67"/>
  <c r="G111" i="68"/>
  <c r="G186" i="67"/>
  <c r="G186" i="68"/>
  <c r="G84" i="67"/>
  <c r="G84" i="68"/>
  <c r="G45" i="67"/>
  <c r="G45" i="68"/>
  <c r="G118" i="67"/>
  <c r="G118" i="68"/>
  <c r="G149" i="67"/>
  <c r="G149" i="68"/>
  <c r="G123" i="67"/>
  <c r="G123" i="68"/>
  <c r="G160" i="67"/>
  <c r="G160" i="68"/>
  <c r="G83" i="67"/>
  <c r="G83" i="68"/>
  <c r="G190" i="67"/>
  <c r="G190" i="68"/>
  <c r="G17" i="67"/>
  <c r="G17" i="68"/>
  <c r="G7" i="67"/>
  <c r="G7" i="68"/>
  <c r="G184" i="67"/>
  <c r="G184" i="68"/>
  <c r="G8" i="67"/>
  <c r="G8" i="68"/>
  <c r="G180" i="67"/>
  <c r="G180" i="68"/>
  <c r="G65" i="67"/>
  <c r="G65" i="68"/>
  <c r="G167" i="67"/>
  <c r="G167" i="68"/>
  <c r="G194" i="67"/>
  <c r="G194" i="68"/>
  <c r="G142" i="67"/>
  <c r="G142" i="68"/>
  <c r="G36" i="67"/>
  <c r="G36" i="68"/>
  <c r="G28" i="67"/>
  <c r="G28" i="68"/>
  <c r="G31" i="67"/>
  <c r="G31" i="68"/>
  <c r="G198" i="67"/>
  <c r="G198" i="68"/>
  <c r="G145" i="67"/>
  <c r="G145" i="68"/>
  <c r="G121" i="67"/>
  <c r="G121" i="68"/>
  <c r="G23" i="67"/>
  <c r="G23" i="68"/>
  <c r="G202" i="67"/>
  <c r="G202" i="68"/>
  <c r="G199" i="67"/>
  <c r="G199" i="68"/>
  <c r="G55" i="67"/>
  <c r="G55" i="68"/>
  <c r="G206" i="67"/>
  <c r="G206" i="68"/>
  <c r="G130" i="67"/>
  <c r="G130" i="68"/>
  <c r="G63" i="67"/>
  <c r="G63" i="68"/>
  <c r="G128" i="67"/>
  <c r="G128" i="68"/>
  <c r="G153" i="67"/>
  <c r="G153" i="68"/>
  <c r="G116" i="67"/>
  <c r="G116" i="68"/>
  <c r="G104" i="67"/>
  <c r="G104" i="68"/>
  <c r="G52" i="67"/>
  <c r="G52" i="68"/>
  <c r="G18" i="67"/>
  <c r="G18" i="68"/>
  <c r="G38" i="67"/>
  <c r="G38" i="68"/>
  <c r="G13" i="67"/>
  <c r="G13" i="68"/>
  <c r="G124" i="67"/>
  <c r="G124" i="68"/>
  <c r="G135" i="67"/>
  <c r="G135" i="68"/>
  <c r="G163" i="67"/>
  <c r="G163" i="68"/>
  <c r="G33" i="67"/>
  <c r="G33" i="68"/>
  <c r="G51" i="67"/>
  <c r="G51" i="68"/>
  <c r="G183" i="67"/>
  <c r="G183" i="68"/>
  <c r="G6" i="67"/>
  <c r="G6" i="68"/>
  <c r="G96" i="67"/>
  <c r="G96" i="68"/>
  <c r="G159" i="67"/>
  <c r="G159" i="68"/>
  <c r="G196" i="67"/>
  <c r="G196" i="68"/>
  <c r="G29" i="67"/>
  <c r="G29" i="68"/>
  <c r="G173" i="67"/>
  <c r="G173" i="68"/>
  <c r="G81" i="67"/>
  <c r="G81" i="68"/>
  <c r="G100" i="67"/>
  <c r="G100" i="68"/>
  <c r="G175" i="67"/>
  <c r="G175" i="68"/>
  <c r="G156" i="67"/>
  <c r="G156" i="68"/>
  <c r="G60" i="67"/>
  <c r="G60" i="68"/>
  <c r="G191" i="67"/>
  <c r="G191" i="68"/>
  <c r="G53" i="67"/>
  <c r="G53" i="68"/>
  <c r="G12" i="67"/>
  <c r="G12" i="68"/>
  <c r="G169" i="67"/>
  <c r="G169" i="68"/>
  <c r="G162" i="67"/>
  <c r="G162" i="68"/>
  <c r="G106" i="67"/>
  <c r="G106" i="68"/>
  <c r="G59" i="67"/>
  <c r="G59" i="68"/>
  <c r="G129" i="67"/>
  <c r="G129" i="68"/>
  <c r="G158" i="67"/>
  <c r="G158" i="68"/>
  <c r="G176" i="67"/>
  <c r="G176" i="68"/>
  <c r="G181" i="67"/>
  <c r="G181" i="68"/>
  <c r="G126" i="67"/>
  <c r="G126" i="68"/>
  <c r="G76" i="67"/>
  <c r="G76" i="68"/>
  <c r="G152" i="67"/>
  <c r="G152" i="68"/>
  <c r="G134" i="67"/>
  <c r="G224" i="67"/>
  <c r="G3" i="67"/>
  <c r="G211" i="67"/>
  <c r="G20" i="67"/>
  <c r="G215" i="67"/>
  <c r="G67" i="67"/>
  <c r="G219" i="67"/>
  <c r="G90" i="67"/>
  <c r="G49" i="67"/>
  <c r="G212" i="67"/>
  <c r="G214" i="67"/>
  <c r="G66" i="67"/>
  <c r="G139" i="67"/>
  <c r="G227" i="67"/>
  <c r="G223" i="67"/>
  <c r="G112" i="67"/>
  <c r="G172" i="67"/>
  <c r="G228" i="67"/>
  <c r="G107" i="67"/>
  <c r="G221" i="67"/>
  <c r="G220" i="67"/>
  <c r="G101" i="67"/>
  <c r="G225" i="67"/>
  <c r="G136" i="67"/>
  <c r="G226" i="67"/>
  <c r="G138" i="67"/>
  <c r="G213" i="67"/>
  <c r="G62" i="67"/>
  <c r="G108" i="67"/>
  <c r="G222" i="67"/>
  <c r="G71" i="67"/>
  <c r="G217" i="67"/>
  <c r="G69" i="67"/>
  <c r="G216" i="67"/>
  <c r="G218" i="67"/>
  <c r="G73" i="67"/>
  <c r="E244" i="52"/>
  <c r="E245" i="52" s="1"/>
  <c r="C227" i="52" s="1"/>
  <c r="AF164" i="74" l="1"/>
  <c r="AA164" i="74"/>
  <c r="AE164" i="74"/>
  <c r="AB233" i="74"/>
  <c r="F233" i="74"/>
  <c r="G233" i="74" s="1"/>
  <c r="H233" i="74" s="1"/>
  <c r="AF194" i="74"/>
  <c r="AA194" i="74"/>
  <c r="AE194" i="74"/>
  <c r="AE192" i="74"/>
  <c r="AA192" i="74"/>
  <c r="AF192" i="74"/>
  <c r="AE157" i="74"/>
  <c r="AA157" i="74"/>
  <c r="AF157" i="74"/>
  <c r="AA165" i="74"/>
  <c r="AF165" i="74"/>
  <c r="AE165" i="74"/>
  <c r="AA168" i="74"/>
  <c r="AF168" i="74"/>
  <c r="AE168" i="74"/>
  <c r="AA201" i="74"/>
  <c r="AF201" i="74"/>
  <c r="AE201" i="74"/>
  <c r="AA85" i="74"/>
  <c r="AE85" i="74"/>
  <c r="AF85" i="74"/>
  <c r="AF197" i="74"/>
  <c r="AE197" i="74"/>
  <c r="AA197" i="74"/>
  <c r="AF132" i="74"/>
  <c r="AA132" i="74"/>
  <c r="AE132" i="74"/>
  <c r="AE73" i="74"/>
  <c r="AA73" i="74"/>
  <c r="AF73" i="74"/>
  <c r="AE175" i="74"/>
  <c r="AF175" i="74"/>
  <c r="AA175" i="74"/>
  <c r="AA171" i="74"/>
  <c r="AE171" i="74"/>
  <c r="AF171" i="74"/>
  <c r="AA170" i="74"/>
  <c r="AF170" i="74"/>
  <c r="AE170" i="74"/>
  <c r="F236" i="74"/>
  <c r="G236" i="74" s="1"/>
  <c r="H236" i="74" s="1"/>
  <c r="AB236" i="74"/>
  <c r="AE96" i="74"/>
  <c r="AA96" i="74"/>
  <c r="AF96" i="74"/>
  <c r="AA123" i="74"/>
  <c r="AF123" i="74"/>
  <c r="AE123" i="74"/>
  <c r="AA144" i="74"/>
  <c r="AF144" i="74"/>
  <c r="AE144" i="74"/>
  <c r="AA156" i="74"/>
  <c r="AE156" i="74"/>
  <c r="AF156" i="74"/>
  <c r="AE160" i="74"/>
  <c r="AA160" i="74"/>
  <c r="AF160" i="74"/>
  <c r="AA91" i="74"/>
  <c r="AF91" i="74"/>
  <c r="AE91" i="74"/>
  <c r="F232" i="74"/>
  <c r="G232" i="74" s="1"/>
  <c r="H232" i="74" s="1"/>
  <c r="AB232" i="74"/>
  <c r="AF103" i="74"/>
  <c r="AA103" i="74"/>
  <c r="AE103" i="74"/>
  <c r="AA119" i="74"/>
  <c r="AE119" i="74"/>
  <c r="AF119" i="74"/>
  <c r="AA116" i="74"/>
  <c r="AF116" i="74"/>
  <c r="AE116" i="74"/>
  <c r="AA199" i="74"/>
  <c r="AE199" i="74"/>
  <c r="AF199" i="74"/>
  <c r="AF151" i="74"/>
  <c r="AA151" i="74"/>
  <c r="AE151" i="74"/>
  <c r="AE86" i="74"/>
  <c r="F137" i="74"/>
  <c r="AF86" i="74"/>
  <c r="P137" i="74"/>
  <c r="Q137" i="74" s="1"/>
  <c r="R137" i="74" s="1"/>
  <c r="V137" i="74"/>
  <c r="W137" i="74" s="1"/>
  <c r="X137" i="74" s="1"/>
  <c r="AF190" i="74"/>
  <c r="AE190" i="74"/>
  <c r="AA190" i="74"/>
  <c r="AF150" i="74"/>
  <c r="AE150" i="74"/>
  <c r="AA150" i="74"/>
  <c r="AE79" i="74"/>
  <c r="AA79" i="74"/>
  <c r="AF79" i="74"/>
  <c r="AE72" i="74"/>
  <c r="AF72" i="74"/>
  <c r="AA72" i="74"/>
  <c r="AF94" i="74"/>
  <c r="AA94" i="74"/>
  <c r="AE94" i="74"/>
  <c r="AE211" i="74"/>
  <c r="AA211" i="74"/>
  <c r="AF211" i="74"/>
  <c r="AE214" i="74"/>
  <c r="AF214" i="74"/>
  <c r="AA214" i="74"/>
  <c r="AA195" i="74"/>
  <c r="AE195" i="74"/>
  <c r="AF195" i="74"/>
  <c r="V29" i="74"/>
  <c r="W29" i="74" s="1"/>
  <c r="X29" i="74" s="1"/>
  <c r="P29" i="74"/>
  <c r="Q29" i="74" s="1"/>
  <c r="R29" i="74" s="1"/>
  <c r="AA207" i="74"/>
  <c r="AF207" i="74"/>
  <c r="AE207" i="74"/>
  <c r="P1" i="56"/>
  <c r="N1" i="56"/>
  <c r="M1" i="56"/>
  <c r="L1" i="56"/>
  <c r="O1" i="56"/>
  <c r="T1" i="56"/>
  <c r="R1" i="56"/>
  <c r="Q1" i="56"/>
  <c r="S1" i="56"/>
  <c r="U1" i="56"/>
  <c r="V1" i="56"/>
  <c r="AJ1" i="56"/>
  <c r="AP1" i="56"/>
  <c r="AO1" i="56"/>
  <c r="AU1" i="56"/>
  <c r="AK1" i="56"/>
  <c r="AQ1" i="56"/>
  <c r="AV1" i="56"/>
  <c r="AN1" i="56"/>
  <c r="AD1" i="56"/>
  <c r="AR1" i="56"/>
  <c r="X1" i="56"/>
  <c r="W1" i="56"/>
  <c r="AM1" i="56"/>
  <c r="BA1" i="56"/>
  <c r="AB1" i="56"/>
  <c r="AA1" i="56"/>
  <c r="AW1" i="56"/>
  <c r="AT1" i="56"/>
  <c r="AC1" i="56"/>
  <c r="AI1" i="56"/>
  <c r="AH1" i="56"/>
  <c r="Z1" i="56"/>
  <c r="AE1" i="56"/>
  <c r="AZ1" i="56"/>
  <c r="AF1" i="56"/>
  <c r="AL1" i="56"/>
  <c r="AS1" i="56"/>
  <c r="AY1" i="56"/>
  <c r="AG1" i="56"/>
  <c r="Y1" i="56"/>
  <c r="AX1" i="56"/>
  <c r="AI83" i="67" l="1"/>
  <c r="AI83" i="68"/>
  <c r="AI200" i="67"/>
  <c r="AI200" i="68"/>
  <c r="AI66" i="67"/>
  <c r="AI66" i="68"/>
  <c r="AI137" i="67"/>
  <c r="AI137" i="68"/>
  <c r="AI90" i="67"/>
  <c r="AI90" i="68"/>
  <c r="AI142" i="67"/>
  <c r="AI142" i="68"/>
  <c r="AI60" i="67"/>
  <c r="AI60" i="68"/>
  <c r="AI178" i="67"/>
  <c r="AI178" i="68"/>
  <c r="AI106" i="67"/>
  <c r="AI106" i="68"/>
  <c r="AI180" i="67"/>
  <c r="AI180" i="68"/>
  <c r="AI81" i="67"/>
  <c r="AI81" i="68"/>
  <c r="AI185" i="67"/>
  <c r="AI185" i="68"/>
  <c r="AI151" i="67"/>
  <c r="AI151" i="68"/>
  <c r="AI59" i="67"/>
  <c r="AI59" i="68"/>
  <c r="AI146" i="67"/>
  <c r="AI146" i="68"/>
  <c r="AI193" i="67"/>
  <c r="AI193" i="68"/>
  <c r="AI131" i="67"/>
  <c r="AI131" i="68"/>
  <c r="AI197" i="67"/>
  <c r="AI197" i="68"/>
  <c r="AI78" i="67"/>
  <c r="AI78" i="68"/>
  <c r="AI110" i="67"/>
  <c r="AI110" i="68"/>
  <c r="AI157" i="67"/>
  <c r="AI157" i="68"/>
  <c r="AI183" i="67"/>
  <c r="AI183" i="68"/>
  <c r="AI143" i="67"/>
  <c r="AI143" i="68"/>
  <c r="AI187" i="67"/>
  <c r="AI187" i="68"/>
  <c r="AI73" i="67"/>
  <c r="AI73" i="68"/>
  <c r="AI154" i="67"/>
  <c r="AI154" i="68"/>
  <c r="AI136" i="67"/>
  <c r="AI136" i="68"/>
  <c r="AI176" i="67"/>
  <c r="AI176" i="68"/>
  <c r="AI103" i="67"/>
  <c r="AI103" i="68"/>
  <c r="AI150" i="67"/>
  <c r="AI150" i="68"/>
  <c r="AI119" i="67"/>
  <c r="AI119" i="68"/>
  <c r="AI161" i="67"/>
  <c r="AI161" i="68"/>
  <c r="AI156" i="67"/>
  <c r="AI156" i="68"/>
  <c r="AI181" i="67"/>
  <c r="AI181" i="68"/>
  <c r="AI72" i="67"/>
  <c r="AI72" i="68"/>
  <c r="AA86" i="74"/>
  <c r="G137" i="74"/>
  <c r="H137" i="74" s="1"/>
  <c r="B5" i="52"/>
  <c r="B148" i="52"/>
  <c r="B202" i="52"/>
  <c r="B95" i="52"/>
  <c r="B114" i="52" s="1"/>
  <c r="B222" i="52"/>
  <c r="B168" i="52"/>
  <c r="B24" i="52"/>
  <c r="A74" i="52" s="1"/>
  <c r="AB229" i="74"/>
  <c r="AC229" i="74" s="1"/>
  <c r="AD229" i="74" s="1"/>
  <c r="F229" i="74"/>
  <c r="G229" i="74" s="1"/>
  <c r="H229" i="74" s="1"/>
  <c r="F29" i="74"/>
  <c r="G29" i="74" s="1"/>
  <c r="H29" i="74" s="1"/>
  <c r="P160" i="74"/>
  <c r="Q160" i="74" s="1"/>
  <c r="R160" i="74" s="1"/>
  <c r="AB29" i="74"/>
  <c r="AC29" i="74" s="1"/>
  <c r="AD29" i="74" s="1"/>
  <c r="V160" i="74"/>
  <c r="W160" i="74" s="1"/>
  <c r="X160" i="74" s="1"/>
  <c r="F160" i="74"/>
  <c r="G160" i="74" s="1"/>
  <c r="H160" i="74" s="1"/>
  <c r="AB160" i="74"/>
  <c r="AC160" i="74" s="1"/>
  <c r="AD160" i="74" s="1"/>
  <c r="AH146" i="68" s="1"/>
  <c r="F196" i="74"/>
  <c r="G196" i="74" s="1"/>
  <c r="H196" i="74" s="1"/>
  <c r="AB57" i="74"/>
  <c r="AC57" i="74" s="1"/>
  <c r="AD57" i="74" s="1"/>
  <c r="AH44" i="68" s="1"/>
  <c r="P196" i="74"/>
  <c r="Q196" i="74" s="1"/>
  <c r="R196" i="74" s="1"/>
  <c r="V196" i="74"/>
  <c r="W196" i="74" s="1"/>
  <c r="X196" i="74" s="1"/>
  <c r="F57" i="74"/>
  <c r="G57" i="74" s="1"/>
  <c r="H57" i="74" s="1"/>
  <c r="P57" i="74"/>
  <c r="Q57" i="74" s="1"/>
  <c r="R57" i="74" s="1"/>
  <c r="V57" i="74"/>
  <c r="W57" i="74" s="1"/>
  <c r="X57" i="74" s="1"/>
  <c r="K226" i="66"/>
  <c r="M226" i="66" s="1"/>
  <c r="O226" i="66" s="1"/>
  <c r="AC226" i="66" s="1"/>
  <c r="AC233" i="74"/>
  <c r="AD233" i="74" s="1"/>
  <c r="AC232" i="74"/>
  <c r="AD232" i="74" s="1"/>
  <c r="AC236" i="74"/>
  <c r="AD236" i="74" s="1"/>
  <c r="AF166" i="74"/>
  <c r="AE166" i="74"/>
  <c r="AA166" i="74"/>
  <c r="AA187" i="74"/>
  <c r="AF187" i="74"/>
  <c r="AE187" i="74"/>
  <c r="F231" i="74"/>
  <c r="G231" i="74" s="1"/>
  <c r="H231" i="74" s="1"/>
  <c r="AB231" i="74"/>
  <c r="AF183" i="74"/>
  <c r="AE183" i="74"/>
  <c r="AA183" i="74"/>
  <c r="AE219" i="74"/>
  <c r="F52" i="74"/>
  <c r="G52" i="74" s="1"/>
  <c r="H52" i="74" s="1"/>
  <c r="AF219" i="74"/>
  <c r="AA152" i="74"/>
  <c r="AE152" i="74"/>
  <c r="AF152" i="74"/>
  <c r="AE213" i="74"/>
  <c r="AA213" i="74"/>
  <c r="AF213" i="74"/>
  <c r="F228" i="74"/>
  <c r="G228" i="74" s="1"/>
  <c r="H228" i="74" s="1"/>
  <c r="V156" i="74"/>
  <c r="W156" i="74" s="1"/>
  <c r="X156" i="74" s="1"/>
  <c r="AF162" i="74"/>
  <c r="AE162" i="74"/>
  <c r="AA162" i="74"/>
  <c r="AE216" i="74"/>
  <c r="V219" i="74"/>
  <c r="W219" i="74" s="1"/>
  <c r="X219" i="74" s="1"/>
  <c r="P219" i="74"/>
  <c r="Q219" i="74" s="1"/>
  <c r="R219" i="74" s="1"/>
  <c r="AF216" i="74"/>
  <c r="F219" i="74"/>
  <c r="G219" i="74" s="1"/>
  <c r="H219" i="74" s="1"/>
  <c r="F89" i="74"/>
  <c r="G89" i="74" s="1"/>
  <c r="H89" i="74" s="1"/>
  <c r="AF124" i="74"/>
  <c r="AA124" i="74"/>
  <c r="AE124" i="74"/>
  <c r="AF117" i="74"/>
  <c r="AE117" i="74"/>
  <c r="AA117" i="74"/>
  <c r="AA76" i="74"/>
  <c r="AE76" i="74"/>
  <c r="AF76" i="74"/>
  <c r="AE185" i="74"/>
  <c r="AF185" i="74"/>
  <c r="F144" i="74"/>
  <c r="G144" i="74" s="1"/>
  <c r="H144" i="74" s="1"/>
  <c r="V144" i="74"/>
  <c r="W144" i="74" s="1"/>
  <c r="X144" i="74" s="1"/>
  <c r="P144" i="74"/>
  <c r="Q144" i="74" s="1"/>
  <c r="R144" i="74" s="1"/>
  <c r="F135" i="74"/>
  <c r="G135" i="74" s="1"/>
  <c r="H135" i="74" s="1"/>
  <c r="AF143" i="74"/>
  <c r="AE143" i="74"/>
  <c r="P135" i="74"/>
  <c r="Q135" i="74" s="1"/>
  <c r="R135" i="74" s="1"/>
  <c r="AA220" i="74"/>
  <c r="AF220" i="74"/>
  <c r="AE220" i="74"/>
  <c r="AF205" i="74"/>
  <c r="AE205" i="74"/>
  <c r="AA205" i="74"/>
  <c r="AF128" i="74"/>
  <c r="AE128" i="74"/>
  <c r="AA204" i="74"/>
  <c r="AE204" i="74"/>
  <c r="AF204" i="74"/>
  <c r="I228" i="47" s="1"/>
  <c r="AB230" i="74"/>
  <c r="P198" i="74"/>
  <c r="Q198" i="74" s="1"/>
  <c r="R198" i="74" s="1"/>
  <c r="F198" i="74"/>
  <c r="G198" i="74" s="1"/>
  <c r="H198" i="74" s="1"/>
  <c r="AA101" i="74"/>
  <c r="AF101" i="74"/>
  <c r="AE101" i="74"/>
  <c r="AA90" i="74"/>
  <c r="AF90" i="74"/>
  <c r="AE90" i="74"/>
  <c r="F226" i="74"/>
  <c r="G226" i="74" s="1"/>
  <c r="H226" i="74" s="1"/>
  <c r="AF88" i="74"/>
  <c r="AE88" i="74"/>
  <c r="AF95" i="74"/>
  <c r="AA95" i="74"/>
  <c r="AE95" i="74"/>
  <c r="AE87" i="74"/>
  <c r="AA87" i="74"/>
  <c r="AF87" i="74"/>
  <c r="AF139" i="74"/>
  <c r="AE139" i="74"/>
  <c r="AA139" i="74"/>
  <c r="AE133" i="74"/>
  <c r="AA133" i="74"/>
  <c r="AF133" i="74"/>
  <c r="AE158" i="74"/>
  <c r="AA158" i="74"/>
  <c r="AF158" i="74"/>
  <c r="AF138" i="74"/>
  <c r="AA138" i="74"/>
  <c r="AE138" i="74"/>
  <c r="AE176" i="74"/>
  <c r="AF176" i="74"/>
  <c r="AA176" i="74"/>
  <c r="AE106" i="74"/>
  <c r="AA106" i="74"/>
  <c r="AF106" i="74"/>
  <c r="AB45" i="74"/>
  <c r="P45" i="74"/>
  <c r="Q45" i="74" s="1"/>
  <c r="R45" i="74" s="1"/>
  <c r="F45" i="74"/>
  <c r="G45" i="74" s="1"/>
  <c r="H45" i="74" s="1"/>
  <c r="V45" i="74"/>
  <c r="W45" i="74" s="1"/>
  <c r="X45" i="74" s="1"/>
  <c r="AF93" i="74"/>
  <c r="AE93" i="74"/>
  <c r="F180" i="74"/>
  <c r="G180" i="74" s="1"/>
  <c r="H180" i="74" s="1"/>
  <c r="AA93" i="74"/>
  <c r="AF80" i="74"/>
  <c r="AE80" i="74"/>
  <c r="AA80" i="74"/>
  <c r="AA98" i="74"/>
  <c r="AE98" i="74"/>
  <c r="AF98" i="74"/>
  <c r="AE137" i="74"/>
  <c r="AF137" i="74"/>
  <c r="AA137" i="74"/>
  <c r="AB137" i="74" s="1"/>
  <c r="AC137" i="74" s="1"/>
  <c r="AD137" i="74" s="1"/>
  <c r="AF125" i="74"/>
  <c r="AA125" i="74"/>
  <c r="AE125" i="74"/>
  <c r="V111" i="74"/>
  <c r="W111" i="74" s="1"/>
  <c r="X111" i="74" s="1"/>
  <c r="F111" i="74"/>
  <c r="G111" i="74" s="1"/>
  <c r="H111" i="74" s="1"/>
  <c r="P111" i="74"/>
  <c r="Q111" i="74" s="1"/>
  <c r="R111" i="74" s="1"/>
  <c r="AF179" i="74"/>
  <c r="AA179" i="74"/>
  <c r="V109" i="74"/>
  <c r="W109" i="74" s="1"/>
  <c r="X109" i="74" s="1"/>
  <c r="AE179" i="74"/>
  <c r="AF146" i="74"/>
  <c r="AE146" i="74"/>
  <c r="AA146" i="74"/>
  <c r="AF99" i="74"/>
  <c r="AA99" i="74"/>
  <c r="AE99" i="74"/>
  <c r="AE77" i="74"/>
  <c r="AF77" i="74"/>
  <c r="AA77" i="74"/>
  <c r="AF196" i="74"/>
  <c r="AE196" i="74"/>
  <c r="AA196" i="74"/>
  <c r="AB196" i="74" s="1"/>
  <c r="AC196" i="74" s="1"/>
  <c r="AD196" i="74" s="1"/>
  <c r="AH182" i="68" s="1"/>
  <c r="AF202" i="74"/>
  <c r="AA202" i="74"/>
  <c r="AE202" i="74"/>
  <c r="AF134" i="74"/>
  <c r="AE134" i="74"/>
  <c r="AF203" i="74"/>
  <c r="AE203" i="74"/>
  <c r="AA203" i="74"/>
  <c r="AF174" i="74"/>
  <c r="P182" i="74"/>
  <c r="Q182" i="74" s="1"/>
  <c r="R182" i="74" s="1"/>
  <c r="V182" i="74"/>
  <c r="W182" i="74" s="1"/>
  <c r="X182" i="74" s="1"/>
  <c r="AE174" i="74"/>
  <c r="F182" i="74"/>
  <c r="G182" i="74" s="1"/>
  <c r="H182" i="74" s="1"/>
  <c r="AA69" i="74"/>
  <c r="AF69" i="74"/>
  <c r="AE69" i="74"/>
  <c r="AF177" i="74"/>
  <c r="AE177" i="74"/>
  <c r="AA177" i="74"/>
  <c r="F96" i="74"/>
  <c r="G96" i="74" s="1"/>
  <c r="H96" i="74" s="1"/>
  <c r="AA182" i="74"/>
  <c r="AE182" i="74"/>
  <c r="AF182" i="74"/>
  <c r="AA135" i="74"/>
  <c r="AF135" i="74"/>
  <c r="AE135" i="74"/>
  <c r="AE140" i="74"/>
  <c r="AF140" i="74"/>
  <c r="AA140" i="74"/>
  <c r="AF105" i="74"/>
  <c r="AE105" i="74"/>
  <c r="AA105" i="74"/>
  <c r="AE193" i="74"/>
  <c r="AA193" i="74"/>
  <c r="AF193" i="74"/>
  <c r="AA112" i="74"/>
  <c r="AF112" i="74"/>
  <c r="AE112" i="74"/>
  <c r="AF107" i="74"/>
  <c r="F201" i="74"/>
  <c r="G201" i="74" s="1"/>
  <c r="H201" i="74" s="1"/>
  <c r="V201" i="74"/>
  <c r="W201" i="74" s="1"/>
  <c r="X201" i="74" s="1"/>
  <c r="P201" i="74"/>
  <c r="Q201" i="74" s="1"/>
  <c r="R201" i="74" s="1"/>
  <c r="AE107" i="74"/>
  <c r="AA97" i="74"/>
  <c r="AE97" i="74"/>
  <c r="AF97" i="74"/>
  <c r="AE191" i="74"/>
  <c r="AF191" i="74"/>
  <c r="AA191" i="74"/>
  <c r="AE180" i="74"/>
  <c r="AF180" i="74"/>
  <c r="V166" i="74"/>
  <c r="W166" i="74" s="1"/>
  <c r="X166" i="74" s="1"/>
  <c r="P166" i="74"/>
  <c r="Q166" i="74" s="1"/>
  <c r="R166" i="74" s="1"/>
  <c r="F166" i="74"/>
  <c r="G166" i="74" s="1"/>
  <c r="H166" i="74" s="1"/>
  <c r="AF78" i="74"/>
  <c r="AA78" i="74"/>
  <c r="AE78" i="74"/>
  <c r="AF198" i="74"/>
  <c r="AA198" i="74"/>
  <c r="AE198" i="74"/>
  <c r="P82" i="74"/>
  <c r="Q82" i="74" s="1"/>
  <c r="R82" i="74" s="1"/>
  <c r="V82" i="74"/>
  <c r="W82" i="74" s="1"/>
  <c r="X82" i="74" s="1"/>
  <c r="F82" i="74"/>
  <c r="G82" i="74" s="1"/>
  <c r="H82" i="74" s="1"/>
  <c r="AF215" i="74"/>
  <c r="AA215" i="74"/>
  <c r="AE215" i="74"/>
  <c r="AB238" i="74"/>
  <c r="F238" i="74"/>
  <c r="G238" i="74" s="1"/>
  <c r="H238" i="74" s="1"/>
  <c r="AE74" i="74"/>
  <c r="AF74" i="74"/>
  <c r="V47" i="74"/>
  <c r="W47" i="74" s="1"/>
  <c r="X47" i="74" s="1"/>
  <c r="F47" i="74"/>
  <c r="P47" i="74"/>
  <c r="Q47" i="74" s="1"/>
  <c r="R47" i="74" s="1"/>
  <c r="AE109" i="74"/>
  <c r="P71" i="74"/>
  <c r="Q71" i="74" s="1"/>
  <c r="R71" i="74" s="1"/>
  <c r="F71" i="74"/>
  <c r="G71" i="74" s="1"/>
  <c r="H71" i="74" s="1"/>
  <c r="AF109" i="74"/>
  <c r="AF209" i="74"/>
  <c r="AE209" i="74"/>
  <c r="AF92" i="74"/>
  <c r="AA92" i="74"/>
  <c r="AE92" i="74"/>
  <c r="AA89" i="74"/>
  <c r="AF89" i="74"/>
  <c r="AE89" i="74"/>
  <c r="F34" i="74"/>
  <c r="G34" i="74" s="1"/>
  <c r="H34" i="74" s="1"/>
  <c r="V34" i="74"/>
  <c r="W34" i="74" s="1"/>
  <c r="X34" i="74" s="1"/>
  <c r="AB34" i="74"/>
  <c r="AE208" i="74"/>
  <c r="AA208" i="74"/>
  <c r="AF208" i="74"/>
  <c r="AF100" i="74"/>
  <c r="AA100" i="74"/>
  <c r="AE100" i="74"/>
  <c r="AF161" i="74"/>
  <c r="AE161" i="74"/>
  <c r="AA161" i="74"/>
  <c r="AE141" i="74"/>
  <c r="AA141" i="74"/>
  <c r="AF141" i="74"/>
  <c r="AE131" i="74"/>
  <c r="AF131" i="74"/>
  <c r="AA131" i="74"/>
  <c r="AF83" i="74"/>
  <c r="AE83" i="74"/>
  <c r="AA83" i="74"/>
  <c r="AB35" i="74"/>
  <c r="AB239" i="74"/>
  <c r="F239" i="74"/>
  <c r="G239" i="74" s="1"/>
  <c r="H239" i="74" s="1"/>
  <c r="AE210" i="74"/>
  <c r="AF210" i="74"/>
  <c r="AF75" i="74"/>
  <c r="AA75" i="74"/>
  <c r="AE75" i="74"/>
  <c r="V24" i="74"/>
  <c r="W24" i="74" s="1"/>
  <c r="X24" i="74" s="1"/>
  <c r="F24" i="74"/>
  <c r="G24" i="74" s="1"/>
  <c r="H24" i="74" s="1"/>
  <c r="P24" i="74"/>
  <c r="Q24" i="74" s="1"/>
  <c r="R24" i="74" s="1"/>
  <c r="AE169" i="74"/>
  <c r="AA169" i="74"/>
  <c r="AF169" i="74"/>
  <c r="P31" i="74"/>
  <c r="Q31" i="74" s="1"/>
  <c r="R31" i="74" s="1"/>
  <c r="F31" i="74"/>
  <c r="G31" i="74" s="1"/>
  <c r="H31" i="74" s="1"/>
  <c r="AE130" i="74"/>
  <c r="V31" i="74"/>
  <c r="W31" i="74" s="1"/>
  <c r="X31" i="74" s="1"/>
  <c r="AF130" i="74"/>
  <c r="AE189" i="74"/>
  <c r="AA189" i="74"/>
  <c r="AF189" i="74"/>
  <c r="V101" i="74"/>
  <c r="W101" i="74" s="1"/>
  <c r="X101" i="74" s="1"/>
  <c r="AE108" i="74"/>
  <c r="AF108" i="74"/>
  <c r="AE218" i="74"/>
  <c r="AA218" i="74"/>
  <c r="AF218" i="74"/>
  <c r="P173" i="74"/>
  <c r="Q173" i="74" s="1"/>
  <c r="R173" i="74" s="1"/>
  <c r="AA167" i="74"/>
  <c r="AE167" i="74"/>
  <c r="AF167" i="74"/>
  <c r="AE102" i="74"/>
  <c r="AF102" i="74"/>
  <c r="F218" i="74"/>
  <c r="G218" i="74" s="1"/>
  <c r="H218" i="74" s="1"/>
  <c r="V218" i="74"/>
  <c r="W218" i="74" s="1"/>
  <c r="X218" i="74" s="1"/>
  <c r="P218" i="74"/>
  <c r="Q218" i="74" s="1"/>
  <c r="R218" i="74" s="1"/>
  <c r="AF111" i="74"/>
  <c r="AE111" i="74"/>
  <c r="V87" i="74"/>
  <c r="W87" i="74" s="1"/>
  <c r="X87" i="74" s="1"/>
  <c r="P87" i="74"/>
  <c r="Q87" i="74" s="1"/>
  <c r="R87" i="74" s="1"/>
  <c r="F87" i="74"/>
  <c r="G87" i="74" s="1"/>
  <c r="H87" i="74" s="1"/>
  <c r="AE178" i="74"/>
  <c r="AF178" i="74"/>
  <c r="AA178" i="74"/>
  <c r="AF129" i="74"/>
  <c r="AE129" i="74"/>
  <c r="AA129" i="74"/>
  <c r="AF206" i="74"/>
  <c r="AA206" i="74"/>
  <c r="AE206" i="74"/>
  <c r="S1" i="66"/>
  <c r="Q1" i="66"/>
  <c r="L1" i="66"/>
  <c r="P1" i="66"/>
  <c r="W1" i="66"/>
  <c r="M1" i="66"/>
  <c r="X1" i="66"/>
  <c r="T1" i="66"/>
  <c r="N1" i="66"/>
  <c r="R1" i="66"/>
  <c r="O1" i="66"/>
  <c r="Z1" i="66"/>
  <c r="AA1" i="66"/>
  <c r="AC1" i="66"/>
  <c r="G119" i="78" l="1"/>
  <c r="H119" i="78" s="1"/>
  <c r="I119" i="78" s="1"/>
  <c r="G127" i="78"/>
  <c r="H127" i="78" s="1"/>
  <c r="I127" i="78" s="1"/>
  <c r="G256" i="78"/>
  <c r="H256" i="78" s="1"/>
  <c r="I256" i="78" s="1"/>
  <c r="G90" i="78"/>
  <c r="H90" i="78" s="1"/>
  <c r="I90" i="78" s="1"/>
  <c r="G227" i="78"/>
  <c r="H227" i="78" s="1"/>
  <c r="I227" i="78" s="1"/>
  <c r="G112" i="78"/>
  <c r="H112" i="78" s="1"/>
  <c r="I112" i="78" s="1"/>
  <c r="G106" i="78"/>
  <c r="H106" i="78" s="1"/>
  <c r="I106" i="78" s="1"/>
  <c r="G151" i="78"/>
  <c r="H151" i="78" s="1"/>
  <c r="I151" i="78" s="1"/>
  <c r="G262" i="78"/>
  <c r="H262" i="78" s="1"/>
  <c r="I262" i="78" s="1"/>
  <c r="G224" i="78"/>
  <c r="H224" i="78" s="1"/>
  <c r="I224" i="78" s="1"/>
  <c r="G209" i="78"/>
  <c r="H209" i="78" s="1"/>
  <c r="I209" i="78" s="1"/>
  <c r="G248" i="78"/>
  <c r="H248" i="78" s="1"/>
  <c r="I248" i="78" s="1"/>
  <c r="G176" i="78"/>
  <c r="H176" i="78" s="1"/>
  <c r="I176" i="78" s="1"/>
  <c r="G103" i="78"/>
  <c r="H103" i="78" s="1"/>
  <c r="I103" i="78" s="1"/>
  <c r="G179" i="78"/>
  <c r="H179" i="78" s="1"/>
  <c r="I179" i="78" s="1"/>
  <c r="G157" i="78"/>
  <c r="H157" i="78" s="1"/>
  <c r="I157" i="78" s="1"/>
  <c r="G147" i="78"/>
  <c r="H147" i="78" s="1"/>
  <c r="I147" i="78" s="1"/>
  <c r="G96" i="78"/>
  <c r="H96" i="78" s="1"/>
  <c r="I96" i="78" s="1"/>
  <c r="G188" i="78"/>
  <c r="H188" i="78" s="1"/>
  <c r="I188" i="78" s="1"/>
  <c r="G238" i="78"/>
  <c r="H238" i="78" s="1"/>
  <c r="I238" i="78" s="1"/>
  <c r="G99" i="78"/>
  <c r="H99" i="78" s="1"/>
  <c r="I99" i="78" s="1"/>
  <c r="G156" i="78"/>
  <c r="H156" i="78" s="1"/>
  <c r="I156" i="78" s="1"/>
  <c r="G137" i="78"/>
  <c r="H137" i="78" s="1"/>
  <c r="I137" i="78" s="1"/>
  <c r="G88" i="78"/>
  <c r="H88" i="78" s="1"/>
  <c r="I88" i="78" s="1"/>
  <c r="G252" i="78"/>
  <c r="H252" i="78" s="1"/>
  <c r="I252" i="78" s="1"/>
  <c r="AP209" i="56"/>
  <c r="AF209" i="56"/>
  <c r="T209" i="56"/>
  <c r="AA209" i="56"/>
  <c r="AC209" i="56"/>
  <c r="AG209" i="56"/>
  <c r="AD209" i="56"/>
  <c r="AM209" i="56"/>
  <c r="AI209" i="56"/>
  <c r="AJ209" i="56"/>
  <c r="AH209" i="56"/>
  <c r="AK209" i="56"/>
  <c r="AN209" i="56"/>
  <c r="AQ209" i="56"/>
  <c r="AO209" i="56"/>
  <c r="AL209" i="56"/>
  <c r="AE209" i="56"/>
  <c r="U209" i="56"/>
  <c r="AB209" i="56"/>
  <c r="V209" i="56"/>
  <c r="R209" i="56"/>
  <c r="X209" i="56"/>
  <c r="S209" i="56"/>
  <c r="Y209" i="56"/>
  <c r="W209" i="56"/>
  <c r="Q209" i="56"/>
  <c r="Z209" i="56"/>
  <c r="AI94" i="67"/>
  <c r="AI94" i="68"/>
  <c r="AI67" i="67"/>
  <c r="AI67" i="68"/>
  <c r="AD220" i="67"/>
  <c r="AD220" i="68"/>
  <c r="AI118" i="67"/>
  <c r="AI118" i="68"/>
  <c r="AI121" i="67"/>
  <c r="AI121" i="68"/>
  <c r="AI112" i="67"/>
  <c r="AI112" i="68"/>
  <c r="AI126" i="67"/>
  <c r="AI126" i="68"/>
  <c r="AI56" i="67"/>
  <c r="AI56" i="68"/>
  <c r="AI162" i="67"/>
  <c r="AI162" i="68"/>
  <c r="AI195" i="67"/>
  <c r="AI195" i="68"/>
  <c r="AI120" i="67"/>
  <c r="AI120" i="68"/>
  <c r="AH16" i="67"/>
  <c r="AH16" i="68"/>
  <c r="AI175" i="67"/>
  <c r="AI175" i="68"/>
  <c r="AI62" i="67"/>
  <c r="AI62" i="68"/>
  <c r="AI164" i="67"/>
  <c r="AI164" i="68"/>
  <c r="AI188" i="67"/>
  <c r="AI188" i="68"/>
  <c r="AI80" i="67"/>
  <c r="AI80" i="68"/>
  <c r="AI173" i="67"/>
  <c r="AI173" i="68"/>
  <c r="AI128" i="67"/>
  <c r="AI128" i="68"/>
  <c r="AI132" i="67"/>
  <c r="AI132" i="68"/>
  <c r="AI206" i="67"/>
  <c r="AI206" i="68"/>
  <c r="AI204" i="67"/>
  <c r="AI204" i="68"/>
  <c r="AI147" i="67"/>
  <c r="AI147" i="68"/>
  <c r="AI184" i="67"/>
  <c r="AI184" i="68"/>
  <c r="AI160" i="67"/>
  <c r="AI160" i="68"/>
  <c r="AI165" i="67"/>
  <c r="AI165" i="68"/>
  <c r="AI124" i="67"/>
  <c r="AI124" i="68"/>
  <c r="AI82" i="67"/>
  <c r="AI82" i="68"/>
  <c r="AI63" i="67"/>
  <c r="AI63" i="68"/>
  <c r="AI89" i="67"/>
  <c r="AI89" i="68"/>
  <c r="AI92" i="67"/>
  <c r="AI92" i="68"/>
  <c r="AI111" i="67"/>
  <c r="AI111" i="68"/>
  <c r="AI163" i="67"/>
  <c r="AI163" i="68"/>
  <c r="AI77" i="67"/>
  <c r="AI77" i="68"/>
  <c r="AI194" i="67"/>
  <c r="AI194" i="68"/>
  <c r="AI199" i="67"/>
  <c r="AI199" i="68"/>
  <c r="AI99" i="67"/>
  <c r="AI99" i="68"/>
  <c r="AI76" i="67"/>
  <c r="AI76" i="68"/>
  <c r="AI182" i="67"/>
  <c r="AI182" i="68"/>
  <c r="AI202" i="67"/>
  <c r="AI202" i="68"/>
  <c r="AI152" i="67"/>
  <c r="AI152" i="68"/>
  <c r="AI189" i="67"/>
  <c r="AI189" i="68"/>
  <c r="AI93" i="67"/>
  <c r="AI93" i="68"/>
  <c r="AI201" i="67"/>
  <c r="AI201" i="68"/>
  <c r="AI86" i="67"/>
  <c r="AI86" i="68"/>
  <c r="AI115" i="67"/>
  <c r="AI115" i="68"/>
  <c r="AI153" i="67"/>
  <c r="AI153" i="68"/>
  <c r="AI117" i="67"/>
  <c r="AI117" i="68"/>
  <c r="AI127" i="67"/>
  <c r="AI127" i="68"/>
  <c r="AI125" i="67"/>
  <c r="AI125" i="68"/>
  <c r="AI88" i="67"/>
  <c r="AI88" i="68"/>
  <c r="AD216" i="67"/>
  <c r="AD216" i="68"/>
  <c r="AI96" i="67"/>
  <c r="AI96" i="68"/>
  <c r="AI122" i="67"/>
  <c r="AI122" i="68"/>
  <c r="AI171" i="67"/>
  <c r="AI171" i="68"/>
  <c r="AI98" i="67"/>
  <c r="AI98" i="68"/>
  <c r="AI74" i="67"/>
  <c r="AI74" i="68"/>
  <c r="AI138" i="67"/>
  <c r="AI138" i="68"/>
  <c r="AI177" i="67"/>
  <c r="AI177" i="68"/>
  <c r="AI95" i="67"/>
  <c r="AI95" i="68"/>
  <c r="AI155" i="67"/>
  <c r="AI155" i="68"/>
  <c r="AI87" i="67"/>
  <c r="AI87" i="68"/>
  <c r="AI79" i="67"/>
  <c r="AI79" i="68"/>
  <c r="AI168" i="67"/>
  <c r="AI168" i="68"/>
  <c r="AI85" i="67"/>
  <c r="AI85" i="68"/>
  <c r="AI144" i="67"/>
  <c r="AI144" i="68"/>
  <c r="AI169" i="67"/>
  <c r="AI169" i="68"/>
  <c r="AI191" i="67"/>
  <c r="AI191" i="68"/>
  <c r="AI196" i="67"/>
  <c r="AI196" i="68"/>
  <c r="AH124" i="67"/>
  <c r="AH124" i="68"/>
  <c r="AI61" i="67"/>
  <c r="AI61" i="68"/>
  <c r="AI65" i="67"/>
  <c r="AI65" i="68"/>
  <c r="AI84" i="67"/>
  <c r="AI84" i="68"/>
  <c r="AI179" i="67"/>
  <c r="AI179" i="68"/>
  <c r="AI75" i="67"/>
  <c r="AI75" i="68"/>
  <c r="AI130" i="67"/>
  <c r="AI130" i="68"/>
  <c r="AI104" i="67"/>
  <c r="AI104" i="68"/>
  <c r="AI148" i="67"/>
  <c r="AI148" i="68"/>
  <c r="AI205" i="67"/>
  <c r="AI205" i="68"/>
  <c r="AD223" i="67"/>
  <c r="AD223" i="68"/>
  <c r="AI64" i="67"/>
  <c r="AI64" i="68"/>
  <c r="AI166" i="67"/>
  <c r="AI166" i="68"/>
  <c r="AI192" i="67"/>
  <c r="AI192" i="68"/>
  <c r="AI116" i="67"/>
  <c r="AI116" i="68"/>
  <c r="AI70" i="67"/>
  <c r="AI70" i="68"/>
  <c r="AI190" i="67"/>
  <c r="AI190" i="68"/>
  <c r="AD219" i="67"/>
  <c r="AD219" i="68"/>
  <c r="AH44" i="67"/>
  <c r="AH146" i="67"/>
  <c r="AH182" i="67"/>
  <c r="AB31" i="74"/>
  <c r="AC31" i="74" s="1"/>
  <c r="AD31" i="74" s="1"/>
  <c r="AA130" i="74"/>
  <c r="AB130" i="74" s="1"/>
  <c r="AC130" i="74" s="1"/>
  <c r="AD130" i="74" s="1"/>
  <c r="AH117" i="68" s="1"/>
  <c r="AB87" i="74"/>
  <c r="AC87" i="74" s="1"/>
  <c r="AD87" i="74" s="1"/>
  <c r="AB72" i="74"/>
  <c r="AC72" i="74" s="1"/>
  <c r="AD72" i="74" s="1"/>
  <c r="AH59" i="68" s="1"/>
  <c r="AA111" i="74"/>
  <c r="AB111" i="74" s="1"/>
  <c r="AC111" i="74" s="1"/>
  <c r="AD111" i="74" s="1"/>
  <c r="AA88" i="74"/>
  <c r="AB88" i="74" s="1"/>
  <c r="AC88" i="74" s="1"/>
  <c r="AD88" i="74" s="1"/>
  <c r="AH75" i="68" s="1"/>
  <c r="AB144" i="74"/>
  <c r="AC144" i="74" s="1"/>
  <c r="AD144" i="74" s="1"/>
  <c r="AA185" i="74"/>
  <c r="AB185" i="74" s="1"/>
  <c r="AC185" i="74" s="1"/>
  <c r="AD185" i="74" s="1"/>
  <c r="AH171" i="68" s="1"/>
  <c r="AB47" i="74"/>
  <c r="AC47" i="74" s="1"/>
  <c r="AD47" i="74" s="1"/>
  <c r="AA74" i="74"/>
  <c r="AB74" i="74" s="1"/>
  <c r="AC74" i="74" s="1"/>
  <c r="AD74" i="74" s="1"/>
  <c r="AH61" i="68" s="1"/>
  <c r="AB52" i="74"/>
  <c r="AC52" i="74" s="1"/>
  <c r="AD52" i="74" s="1"/>
  <c r="AH39" i="68" s="1"/>
  <c r="AA219" i="74"/>
  <c r="AB219" i="74" s="1"/>
  <c r="AC219" i="74" s="1"/>
  <c r="AD219" i="74" s="1"/>
  <c r="AA209" i="74"/>
  <c r="AB209" i="74" s="1"/>
  <c r="AC209" i="74" s="1"/>
  <c r="AD209" i="74" s="1"/>
  <c r="AH195" i="68" s="1"/>
  <c r="AA109" i="74"/>
  <c r="AB109" i="74" s="1"/>
  <c r="AC109" i="74" s="1"/>
  <c r="AD109" i="74" s="1"/>
  <c r="AB101" i="74"/>
  <c r="AC101" i="74" s="1"/>
  <c r="AD101" i="74" s="1"/>
  <c r="AA108" i="74"/>
  <c r="AB176" i="74"/>
  <c r="AC176" i="74" s="1"/>
  <c r="AD176" i="74" s="1"/>
  <c r="AH162" i="68" s="1"/>
  <c r="AA134" i="74"/>
  <c r="AA128" i="74"/>
  <c r="AA216" i="74"/>
  <c r="AB218" i="74"/>
  <c r="AC218" i="74" s="1"/>
  <c r="AD218" i="74" s="1"/>
  <c r="AA102" i="74"/>
  <c r="AB102" i="74" s="1"/>
  <c r="AC102" i="74" s="1"/>
  <c r="AD102" i="74" s="1"/>
  <c r="AH89" i="68" s="1"/>
  <c r="AB201" i="74"/>
  <c r="AC201" i="74" s="1"/>
  <c r="AD201" i="74" s="1"/>
  <c r="AA107" i="74"/>
  <c r="AB182" i="74"/>
  <c r="AC182" i="74" s="1"/>
  <c r="AD182" i="74" s="1"/>
  <c r="AA174" i="74"/>
  <c r="AB174" i="74" s="1"/>
  <c r="AC174" i="74" s="1"/>
  <c r="AD174" i="74" s="1"/>
  <c r="AH160" i="68" s="1"/>
  <c r="AA210" i="74"/>
  <c r="AB210" i="74" s="1"/>
  <c r="AC210" i="74" s="1"/>
  <c r="AD210" i="74" s="1"/>
  <c r="AH196" i="68" s="1"/>
  <c r="AB166" i="74"/>
  <c r="AC166" i="74" s="1"/>
  <c r="AD166" i="74" s="1"/>
  <c r="AA180" i="74"/>
  <c r="AB180" i="74" s="1"/>
  <c r="AC180" i="74" s="1"/>
  <c r="AD180" i="74" s="1"/>
  <c r="AH166" i="68" s="1"/>
  <c r="AB135" i="74"/>
  <c r="AC135" i="74" s="1"/>
  <c r="AD135" i="74" s="1"/>
  <c r="AH122" i="68" s="1"/>
  <c r="AA143" i="74"/>
  <c r="AS209" i="56"/>
  <c r="AR209" i="56"/>
  <c r="AZ209" i="56"/>
  <c r="AW209" i="56"/>
  <c r="AY209" i="56"/>
  <c r="AX209" i="56"/>
  <c r="AT209" i="56"/>
  <c r="AV209" i="56"/>
  <c r="BA209" i="56"/>
  <c r="BB209" i="56"/>
  <c r="AU209" i="56"/>
  <c r="G47" i="74"/>
  <c r="H47" i="74" s="1"/>
  <c r="F230" i="74"/>
  <c r="G230" i="74" s="1"/>
  <c r="H230" i="74" s="1"/>
  <c r="AB228" i="74"/>
  <c r="AC228" i="74" s="1"/>
  <c r="AD228" i="74" s="1"/>
  <c r="V185" i="74"/>
  <c r="W185" i="74" s="1"/>
  <c r="X185" i="74" s="1"/>
  <c r="V55" i="74"/>
  <c r="W55" i="74" s="1"/>
  <c r="X55" i="74" s="1"/>
  <c r="AB55" i="74"/>
  <c r="AC55" i="74" s="1"/>
  <c r="AD55" i="74" s="1"/>
  <c r="AH42" i="68" s="1"/>
  <c r="V46" i="74"/>
  <c r="W46" i="74" s="1"/>
  <c r="X46" i="74" s="1"/>
  <c r="P185" i="74"/>
  <c r="Q185" i="74" s="1"/>
  <c r="R185" i="74" s="1"/>
  <c r="P59" i="74"/>
  <c r="Q59" i="74" s="1"/>
  <c r="R59" i="74" s="1"/>
  <c r="P151" i="74"/>
  <c r="Q151" i="74" s="1"/>
  <c r="R151" i="74" s="1"/>
  <c r="F60" i="74"/>
  <c r="G60" i="74" s="1"/>
  <c r="H60" i="74" s="1"/>
  <c r="F59" i="74"/>
  <c r="G59" i="74" s="1"/>
  <c r="H59" i="74" s="1"/>
  <c r="F185" i="74"/>
  <c r="G185" i="74" s="1"/>
  <c r="H185" i="74" s="1"/>
  <c r="V51" i="74"/>
  <c r="W51" i="74" s="1"/>
  <c r="X51" i="74" s="1"/>
  <c r="AB46" i="74"/>
  <c r="AC46" i="74" s="1"/>
  <c r="AD46" i="74" s="1"/>
  <c r="AH33" i="68" s="1"/>
  <c r="AB59" i="74"/>
  <c r="AC59" i="74" s="1"/>
  <c r="AD59" i="74" s="1"/>
  <c r="AH46" i="68" s="1"/>
  <c r="AB151" i="74"/>
  <c r="AC151" i="74" s="1"/>
  <c r="AD151" i="74" s="1"/>
  <c r="AH137" i="68" s="1"/>
  <c r="V53" i="74"/>
  <c r="W53" i="74" s="1"/>
  <c r="X53" i="74" s="1"/>
  <c r="V60" i="74"/>
  <c r="W60" i="74" s="1"/>
  <c r="X60" i="74" s="1"/>
  <c r="AB60" i="74"/>
  <c r="AC60" i="74" s="1"/>
  <c r="AD60" i="74" s="1"/>
  <c r="AH47" i="68" s="1"/>
  <c r="P49" i="74"/>
  <c r="Q49" i="74" s="1"/>
  <c r="R49" i="74" s="1"/>
  <c r="P46" i="74"/>
  <c r="Q46" i="74" s="1"/>
  <c r="R46" i="74" s="1"/>
  <c r="V59" i="74"/>
  <c r="W59" i="74" s="1"/>
  <c r="X59" i="74" s="1"/>
  <c r="F151" i="74"/>
  <c r="G151" i="74" s="1"/>
  <c r="H151" i="74" s="1"/>
  <c r="V49" i="74"/>
  <c r="W49" i="74" s="1"/>
  <c r="X49" i="74" s="1"/>
  <c r="V190" i="74"/>
  <c r="W190" i="74" s="1"/>
  <c r="X190" i="74" s="1"/>
  <c r="AB49" i="74"/>
  <c r="AC49" i="74" s="1"/>
  <c r="AD49" i="74" s="1"/>
  <c r="AH36" i="68" s="1"/>
  <c r="F176" i="74"/>
  <c r="G176" i="74" s="1"/>
  <c r="H176" i="74" s="1"/>
  <c r="P176" i="74"/>
  <c r="Q176" i="74" s="1"/>
  <c r="R176" i="74" s="1"/>
  <c r="V176" i="74"/>
  <c r="W176" i="74" s="1"/>
  <c r="X176" i="74" s="1"/>
  <c r="F64" i="74"/>
  <c r="G64" i="74" s="1"/>
  <c r="H64" i="74" s="1"/>
  <c r="P175" i="74"/>
  <c r="Q175" i="74" s="1"/>
  <c r="R175" i="74" s="1"/>
  <c r="V151" i="74"/>
  <c r="W151" i="74" s="1"/>
  <c r="X151" i="74" s="1"/>
  <c r="F65" i="74"/>
  <c r="G65" i="74" s="1"/>
  <c r="H65" i="74" s="1"/>
  <c r="V123" i="74"/>
  <c r="W123" i="74" s="1"/>
  <c r="X123" i="74" s="1"/>
  <c r="V65" i="74"/>
  <c r="W65" i="74" s="1"/>
  <c r="X65" i="74" s="1"/>
  <c r="P123" i="74"/>
  <c r="Q123" i="74" s="1"/>
  <c r="R123" i="74" s="1"/>
  <c r="AB123" i="74"/>
  <c r="AC123" i="74" s="1"/>
  <c r="AD123" i="74" s="1"/>
  <c r="AH110" i="68" s="1"/>
  <c r="P60" i="74"/>
  <c r="Q60" i="74" s="1"/>
  <c r="R60" i="74" s="1"/>
  <c r="P181" i="74"/>
  <c r="Q181" i="74" s="1"/>
  <c r="R181" i="74" s="1"/>
  <c r="F202" i="74"/>
  <c r="G202" i="74" s="1"/>
  <c r="H202" i="74" s="1"/>
  <c r="F123" i="74"/>
  <c r="F91" i="74"/>
  <c r="G91" i="74" s="1"/>
  <c r="H91" i="74" s="1"/>
  <c r="V116" i="74"/>
  <c r="W116" i="74" s="1"/>
  <c r="X116" i="74" s="1"/>
  <c r="F55" i="74"/>
  <c r="G55" i="74" s="1"/>
  <c r="H55" i="74" s="1"/>
  <c r="F102" i="74"/>
  <c r="G102" i="74" s="1"/>
  <c r="H102" i="74" s="1"/>
  <c r="P189" i="74"/>
  <c r="Q189" i="74" s="1"/>
  <c r="R189" i="74" s="1"/>
  <c r="AB80" i="74"/>
  <c r="AC80" i="74" s="1"/>
  <c r="AD80" i="74" s="1"/>
  <c r="AH67" i="68" s="1"/>
  <c r="V20" i="74"/>
  <c r="W20" i="74" s="1"/>
  <c r="X20" i="74" s="1"/>
  <c r="P210" i="74"/>
  <c r="Q210" i="74" s="1"/>
  <c r="R210" i="74" s="1"/>
  <c r="AB86" i="74"/>
  <c r="AC86" i="74" s="1"/>
  <c r="AD86" i="74" s="1"/>
  <c r="AH73" i="68" s="1"/>
  <c r="P65" i="74"/>
  <c r="Q65" i="74" s="1"/>
  <c r="R65" i="74" s="1"/>
  <c r="V181" i="74"/>
  <c r="W181" i="74" s="1"/>
  <c r="X181" i="74" s="1"/>
  <c r="F98" i="74"/>
  <c r="G98" i="74" s="1"/>
  <c r="H98" i="74" s="1"/>
  <c r="AB98" i="74"/>
  <c r="AC98" i="74" s="1"/>
  <c r="AD98" i="74" s="1"/>
  <c r="AH85" i="68" s="1"/>
  <c r="F179" i="74"/>
  <c r="F129" i="74"/>
  <c r="V175" i="74"/>
  <c r="W175" i="74" s="1"/>
  <c r="X175" i="74" s="1"/>
  <c r="P20" i="74"/>
  <c r="Q20" i="74" s="1"/>
  <c r="R20" i="74" s="1"/>
  <c r="AB116" i="74"/>
  <c r="AC116" i="74" s="1"/>
  <c r="AD116" i="74" s="1"/>
  <c r="AH103" i="68" s="1"/>
  <c r="V207" i="74"/>
  <c r="W207" i="74" s="1"/>
  <c r="X207" i="74" s="1"/>
  <c r="F32" i="74"/>
  <c r="V32" i="74"/>
  <c r="W32" i="74" s="1"/>
  <c r="X32" i="74" s="1"/>
  <c r="F88" i="74"/>
  <c r="G88" i="74" s="1"/>
  <c r="H88" i="74" s="1"/>
  <c r="P86" i="74"/>
  <c r="Q86" i="74" s="1"/>
  <c r="R86" i="74" s="1"/>
  <c r="AB179" i="74"/>
  <c r="AC179" i="74" s="1"/>
  <c r="AD179" i="74" s="1"/>
  <c r="AH165" i="68" s="1"/>
  <c r="V179" i="74"/>
  <c r="W179" i="74" s="1"/>
  <c r="X179" i="74" s="1"/>
  <c r="F190" i="74"/>
  <c r="G190" i="74" s="1"/>
  <c r="H190" i="74" s="1"/>
  <c r="V129" i="74"/>
  <c r="W129" i="74" s="1"/>
  <c r="X129" i="74" s="1"/>
  <c r="AB175" i="74"/>
  <c r="AC175" i="74" s="1"/>
  <c r="AD175" i="74" s="1"/>
  <c r="AH161" i="68" s="1"/>
  <c r="V91" i="74"/>
  <c r="W91" i="74" s="1"/>
  <c r="X91" i="74" s="1"/>
  <c r="AB91" i="74"/>
  <c r="AC91" i="74" s="1"/>
  <c r="AD91" i="74" s="1"/>
  <c r="AH78" i="68" s="1"/>
  <c r="F116" i="74"/>
  <c r="G116" i="74" s="1"/>
  <c r="H116" i="74" s="1"/>
  <c r="AB207" i="74"/>
  <c r="AC207" i="74" s="1"/>
  <c r="AD207" i="74" s="1"/>
  <c r="AH193" i="68" s="1"/>
  <c r="F207" i="74"/>
  <c r="G207" i="74" s="1"/>
  <c r="H207" i="74" s="1"/>
  <c r="P88" i="74"/>
  <c r="Q88" i="74" s="1"/>
  <c r="R88" i="74" s="1"/>
  <c r="F181" i="74"/>
  <c r="G181" i="74" s="1"/>
  <c r="H181" i="74" s="1"/>
  <c r="V202" i="74"/>
  <c r="W202" i="74" s="1"/>
  <c r="X202" i="74" s="1"/>
  <c r="V80" i="74"/>
  <c r="W80" i="74" s="1"/>
  <c r="X80" i="74" s="1"/>
  <c r="P98" i="74"/>
  <c r="Q98" i="74" s="1"/>
  <c r="R98" i="74" s="1"/>
  <c r="AB129" i="74"/>
  <c r="AC129" i="74" s="1"/>
  <c r="AD129" i="74" s="1"/>
  <c r="AH116" i="68" s="1"/>
  <c r="F175" i="74"/>
  <c r="G175" i="74" s="1"/>
  <c r="H175" i="74" s="1"/>
  <c r="F20" i="74"/>
  <c r="G20" i="74" s="1"/>
  <c r="H20" i="74" s="1"/>
  <c r="P116" i="74"/>
  <c r="Q116" i="74" s="1"/>
  <c r="R116" i="74" s="1"/>
  <c r="V86" i="74"/>
  <c r="W86" i="74" s="1"/>
  <c r="X86" i="74" s="1"/>
  <c r="AB65" i="74"/>
  <c r="AC65" i="74" s="1"/>
  <c r="AD65" i="74" s="1"/>
  <c r="AH52" i="68" s="1"/>
  <c r="P179" i="74"/>
  <c r="Q179" i="74" s="1"/>
  <c r="R179" i="74" s="1"/>
  <c r="P23" i="74"/>
  <c r="Q23" i="74" s="1"/>
  <c r="R23" i="74" s="1"/>
  <c r="F66" i="74"/>
  <c r="G66" i="74" s="1"/>
  <c r="H66" i="74" s="1"/>
  <c r="V74" i="74"/>
  <c r="W74" i="74" s="1"/>
  <c r="X74" i="74" s="1"/>
  <c r="P91" i="74"/>
  <c r="Q91" i="74" s="1"/>
  <c r="R91" i="74" s="1"/>
  <c r="AB32" i="74"/>
  <c r="AC32" i="74" s="1"/>
  <c r="AD32" i="74" s="1"/>
  <c r="AH19" i="68" s="1"/>
  <c r="V88" i="74"/>
  <c r="W88" i="74" s="1"/>
  <c r="X88" i="74" s="1"/>
  <c r="F49" i="74"/>
  <c r="G49" i="74" s="1"/>
  <c r="H49" i="74" s="1"/>
  <c r="F86" i="74"/>
  <c r="P102" i="74"/>
  <c r="Q102" i="74" s="1"/>
  <c r="R102" i="74" s="1"/>
  <c r="P55" i="74"/>
  <c r="Q55" i="74" s="1"/>
  <c r="R55" i="74" s="1"/>
  <c r="AB202" i="74"/>
  <c r="AC202" i="74" s="1"/>
  <c r="AD202" i="74" s="1"/>
  <c r="AH188" i="68" s="1"/>
  <c r="F80" i="74"/>
  <c r="G80" i="74" s="1"/>
  <c r="H80" i="74" s="1"/>
  <c r="V92" i="74"/>
  <c r="W92" i="74" s="1"/>
  <c r="X92" i="74" s="1"/>
  <c r="AB23" i="74"/>
  <c r="AC23" i="74" s="1"/>
  <c r="AD23" i="74" s="1"/>
  <c r="AH10" i="68" s="1"/>
  <c r="V210" i="74"/>
  <c r="W210" i="74" s="1"/>
  <c r="X210" i="74" s="1"/>
  <c r="P101" i="74"/>
  <c r="Q101" i="74" s="1"/>
  <c r="R101" i="74" s="1"/>
  <c r="F51" i="74"/>
  <c r="G51" i="74" s="1"/>
  <c r="H51" i="74" s="1"/>
  <c r="V167" i="74"/>
  <c r="W167" i="74" s="1"/>
  <c r="X167" i="74" s="1"/>
  <c r="P202" i="74"/>
  <c r="Q202" i="74" s="1"/>
  <c r="R202" i="74" s="1"/>
  <c r="P80" i="74"/>
  <c r="Q80" i="74" s="1"/>
  <c r="R80" i="74" s="1"/>
  <c r="V98" i="74"/>
  <c r="W98" i="74" s="1"/>
  <c r="X98" i="74" s="1"/>
  <c r="P129" i="74"/>
  <c r="Q129" i="74" s="1"/>
  <c r="R129" i="74" s="1"/>
  <c r="V23" i="74"/>
  <c r="W23" i="74" s="1"/>
  <c r="X23" i="74" s="1"/>
  <c r="P66" i="74"/>
  <c r="Q66" i="74" s="1"/>
  <c r="R66" i="74" s="1"/>
  <c r="AB20" i="74"/>
  <c r="AC20" i="74" s="1"/>
  <c r="AD20" i="74" s="1"/>
  <c r="AH7" i="68" s="1"/>
  <c r="P207" i="74"/>
  <c r="Q207" i="74" s="1"/>
  <c r="R207" i="74" s="1"/>
  <c r="F210" i="74"/>
  <c r="G210" i="74" s="1"/>
  <c r="H210" i="74" s="1"/>
  <c r="F101" i="74"/>
  <c r="G101" i="74" s="1"/>
  <c r="H101" i="74" s="1"/>
  <c r="P32" i="74"/>
  <c r="Q32" i="74" s="1"/>
  <c r="R32" i="74" s="1"/>
  <c r="P213" i="74"/>
  <c r="Q213" i="74" s="1"/>
  <c r="R213" i="74" s="1"/>
  <c r="F93" i="74"/>
  <c r="P168" i="74"/>
  <c r="Q168" i="74" s="1"/>
  <c r="R168" i="74" s="1"/>
  <c r="V85" i="74"/>
  <c r="W85" i="74" s="1"/>
  <c r="X85" i="74" s="1"/>
  <c r="P75" i="74"/>
  <c r="Q75" i="74" s="1"/>
  <c r="R75" i="74" s="1"/>
  <c r="V66" i="74"/>
  <c r="W66" i="74" s="1"/>
  <c r="X66" i="74" s="1"/>
  <c r="V168" i="74"/>
  <c r="W168" i="74" s="1"/>
  <c r="X168" i="74" s="1"/>
  <c r="AB168" i="74"/>
  <c r="AC168" i="74" s="1"/>
  <c r="AD168" i="74" s="1"/>
  <c r="AH154" i="68" s="1"/>
  <c r="V164" i="74"/>
  <c r="W164" i="74" s="1"/>
  <c r="X164" i="74" s="1"/>
  <c r="V93" i="74"/>
  <c r="W93" i="74" s="1"/>
  <c r="X93" i="74" s="1"/>
  <c r="P167" i="74"/>
  <c r="Q167" i="74" s="1"/>
  <c r="R167" i="74" s="1"/>
  <c r="F164" i="74"/>
  <c r="G164" i="74" s="1"/>
  <c r="H164" i="74" s="1"/>
  <c r="AB164" i="74"/>
  <c r="AC164" i="74" s="1"/>
  <c r="AD164" i="74" s="1"/>
  <c r="AH150" i="68" s="1"/>
  <c r="F72" i="74"/>
  <c r="V43" i="74"/>
  <c r="W43" i="74" s="1"/>
  <c r="X43" i="74" s="1"/>
  <c r="AB213" i="74"/>
  <c r="AC213" i="74" s="1"/>
  <c r="AD213" i="74" s="1"/>
  <c r="AH199" i="68" s="1"/>
  <c r="F74" i="74"/>
  <c r="G74" i="74" s="1"/>
  <c r="H74" i="74" s="1"/>
  <c r="V173" i="74"/>
  <c r="W173" i="74" s="1"/>
  <c r="X173" i="74" s="1"/>
  <c r="V78" i="74"/>
  <c r="W78" i="74" s="1"/>
  <c r="X78" i="74" s="1"/>
  <c r="AB24" i="74"/>
  <c r="AC24" i="74" s="1"/>
  <c r="AD24" i="74" s="1"/>
  <c r="AB158" i="74"/>
  <c r="AC158" i="74" s="1"/>
  <c r="AD158" i="74" s="1"/>
  <c r="AH144" i="68" s="1"/>
  <c r="V71" i="74"/>
  <c r="W71" i="74" s="1"/>
  <c r="X71" i="74" s="1"/>
  <c r="AB189" i="74"/>
  <c r="AC189" i="74" s="1"/>
  <c r="AD189" i="74" s="1"/>
  <c r="AH175" i="68" s="1"/>
  <c r="F189" i="74"/>
  <c r="G189" i="74" s="1"/>
  <c r="H189" i="74" s="1"/>
  <c r="AB96" i="74"/>
  <c r="AC96" i="74" s="1"/>
  <c r="AD96" i="74" s="1"/>
  <c r="AH83" i="68" s="1"/>
  <c r="AB38" i="74"/>
  <c r="AC38" i="74" s="1"/>
  <c r="AD38" i="74" s="1"/>
  <c r="AH25" i="68" s="1"/>
  <c r="AB124" i="74"/>
  <c r="AC124" i="74" s="1"/>
  <c r="AD124" i="74" s="1"/>
  <c r="AH111" i="68" s="1"/>
  <c r="F167" i="74"/>
  <c r="V209" i="74"/>
  <c r="W209" i="74" s="1"/>
  <c r="X209" i="74" s="1"/>
  <c r="V188" i="74"/>
  <c r="W188" i="74" s="1"/>
  <c r="X188" i="74" s="1"/>
  <c r="AB17" i="74"/>
  <c r="AC17" i="74" s="1"/>
  <c r="AD17" i="74" s="1"/>
  <c r="AH4" i="68" s="1"/>
  <c r="AB171" i="74"/>
  <c r="AC171" i="74" s="1"/>
  <c r="AD171" i="74" s="1"/>
  <c r="AH157" i="68" s="1"/>
  <c r="P190" i="74"/>
  <c r="Q190" i="74" s="1"/>
  <c r="R190" i="74" s="1"/>
  <c r="AB190" i="74"/>
  <c r="AC190" i="74" s="1"/>
  <c r="AD190" i="74" s="1"/>
  <c r="AH176" i="68" s="1"/>
  <c r="F23" i="74"/>
  <c r="V192" i="74"/>
  <c r="W192" i="74" s="1"/>
  <c r="X192" i="74" s="1"/>
  <c r="V64" i="74"/>
  <c r="W64" i="74" s="1"/>
  <c r="X64" i="74" s="1"/>
  <c r="F150" i="74"/>
  <c r="G150" i="74" s="1"/>
  <c r="H150" i="74" s="1"/>
  <c r="AB77" i="74"/>
  <c r="AC77" i="74" s="1"/>
  <c r="AD77" i="74" s="1"/>
  <c r="AH64" i="68" s="1"/>
  <c r="P89" i="74"/>
  <c r="Q89" i="74" s="1"/>
  <c r="R89" i="74" s="1"/>
  <c r="V100" i="74"/>
  <c r="W100" i="74" s="1"/>
  <c r="X100" i="74" s="1"/>
  <c r="F136" i="74"/>
  <c r="G136" i="74" s="1"/>
  <c r="H136" i="74" s="1"/>
  <c r="F38" i="74"/>
  <c r="G38" i="74" s="1"/>
  <c r="H38" i="74" s="1"/>
  <c r="F124" i="74"/>
  <c r="G124" i="74" s="1"/>
  <c r="H124" i="74" s="1"/>
  <c r="F53" i="74"/>
  <c r="G53" i="74" s="1"/>
  <c r="H53" i="74" s="1"/>
  <c r="V155" i="74"/>
  <c r="W155" i="74" s="1"/>
  <c r="X155" i="74" s="1"/>
  <c r="F85" i="74"/>
  <c r="G85" i="74" s="1"/>
  <c r="H85" i="74" s="1"/>
  <c r="P85" i="74"/>
  <c r="Q85" i="74" s="1"/>
  <c r="R85" i="74" s="1"/>
  <c r="AB78" i="74"/>
  <c r="AC78" i="74" s="1"/>
  <c r="AD78" i="74" s="1"/>
  <c r="AH65" i="68" s="1"/>
  <c r="V158" i="74"/>
  <c r="W158" i="74" s="1"/>
  <c r="X158" i="74" s="1"/>
  <c r="V94" i="74"/>
  <c r="W94" i="74" s="1"/>
  <c r="X94" i="74" s="1"/>
  <c r="V76" i="74"/>
  <c r="W76" i="74" s="1"/>
  <c r="X76" i="74" s="1"/>
  <c r="AB214" i="74"/>
  <c r="AC214" i="74" s="1"/>
  <c r="AD214" i="74" s="1"/>
  <c r="AH200" i="68" s="1"/>
  <c r="V16" i="74"/>
  <c r="W16" i="74" s="1"/>
  <c r="P164" i="74"/>
  <c r="Q164" i="74" s="1"/>
  <c r="R164" i="74" s="1"/>
  <c r="V102" i="74"/>
  <c r="W102" i="74" s="1"/>
  <c r="X102" i="74" s="1"/>
  <c r="AB167" i="74"/>
  <c r="AC167" i="74" s="1"/>
  <c r="AD167" i="74" s="1"/>
  <c r="AH153" i="68" s="1"/>
  <c r="F209" i="74"/>
  <c r="G209" i="74" s="1"/>
  <c r="H209" i="74" s="1"/>
  <c r="F188" i="74"/>
  <c r="G188" i="74" s="1"/>
  <c r="H188" i="74" s="1"/>
  <c r="P17" i="74"/>
  <c r="Q17" i="74" s="1"/>
  <c r="R17" i="74" s="1"/>
  <c r="F171" i="74"/>
  <c r="AB43" i="74"/>
  <c r="AC43" i="74" s="1"/>
  <c r="AD43" i="74" s="1"/>
  <c r="AH30" i="68" s="1"/>
  <c r="F109" i="74"/>
  <c r="G109" i="74" s="1"/>
  <c r="H109" i="74" s="1"/>
  <c r="F100" i="74"/>
  <c r="G100" i="74" s="1"/>
  <c r="H100" i="74" s="1"/>
  <c r="F40" i="74"/>
  <c r="G40" i="74" s="1"/>
  <c r="H40" i="74" s="1"/>
  <c r="F90" i="74"/>
  <c r="G90" i="74" s="1"/>
  <c r="H90" i="74" s="1"/>
  <c r="F194" i="74"/>
  <c r="G194" i="74" s="1"/>
  <c r="H194" i="74" s="1"/>
  <c r="F75" i="74"/>
  <c r="G75" i="74" s="1"/>
  <c r="H75" i="74" s="1"/>
  <c r="F92" i="74"/>
  <c r="G92" i="74" s="1"/>
  <c r="H92" i="74" s="1"/>
  <c r="F83" i="74"/>
  <c r="G83" i="74" s="1"/>
  <c r="H83" i="74" s="1"/>
  <c r="F84" i="74"/>
  <c r="G84" i="74" s="1"/>
  <c r="H84" i="74" s="1"/>
  <c r="P83" i="74"/>
  <c r="Q83" i="74" s="1"/>
  <c r="R83" i="74" s="1"/>
  <c r="P84" i="74"/>
  <c r="Q84" i="74" s="1"/>
  <c r="R84" i="74" s="1"/>
  <c r="F77" i="74"/>
  <c r="G77" i="74" s="1"/>
  <c r="H77" i="74" s="1"/>
  <c r="AB206" i="74"/>
  <c r="AC206" i="74" s="1"/>
  <c r="AD206" i="74" s="1"/>
  <c r="AH192" i="68" s="1"/>
  <c r="P156" i="74"/>
  <c r="Q156" i="74" s="1"/>
  <c r="R156" i="74" s="1"/>
  <c r="AB125" i="74"/>
  <c r="AC125" i="74" s="1"/>
  <c r="AD125" i="74" s="1"/>
  <c r="AH112" i="68" s="1"/>
  <c r="V27" i="74"/>
  <c r="W27" i="74" s="1"/>
  <c r="X27" i="74" s="1"/>
  <c r="V197" i="74"/>
  <c r="W197" i="74" s="1"/>
  <c r="X197" i="74" s="1"/>
  <c r="AB85" i="74"/>
  <c r="AC85" i="74" s="1"/>
  <c r="AD85" i="74" s="1"/>
  <c r="AH72" i="68" s="1"/>
  <c r="P34" i="74"/>
  <c r="Q34" i="74" s="1"/>
  <c r="R34" i="74" s="1"/>
  <c r="F94" i="74"/>
  <c r="F76" i="74"/>
  <c r="G76" i="74" s="1"/>
  <c r="H76" i="74" s="1"/>
  <c r="P36" i="74"/>
  <c r="Q36" i="74" s="1"/>
  <c r="R36" i="74" s="1"/>
  <c r="P58" i="74"/>
  <c r="Q58" i="74" s="1"/>
  <c r="R58" i="74" s="1"/>
  <c r="F214" i="74"/>
  <c r="G214" i="74" s="1"/>
  <c r="H214" i="74" s="1"/>
  <c r="P51" i="74"/>
  <c r="Q51" i="74" s="1"/>
  <c r="R51" i="74" s="1"/>
  <c r="F95" i="74"/>
  <c r="F133" i="74"/>
  <c r="G133" i="74" s="1"/>
  <c r="H133" i="74" s="1"/>
  <c r="P154" i="74"/>
  <c r="Q154" i="74" s="1"/>
  <c r="R154" i="74" s="1"/>
  <c r="P96" i="74"/>
  <c r="Q96" i="74" s="1"/>
  <c r="R96" i="74" s="1"/>
  <c r="V154" i="74"/>
  <c r="W154" i="74" s="1"/>
  <c r="X154" i="74" s="1"/>
  <c r="V96" i="74"/>
  <c r="W96" i="74" s="1"/>
  <c r="X96" i="74" s="1"/>
  <c r="P40" i="74"/>
  <c r="Q40" i="74" s="1"/>
  <c r="R40" i="74" s="1"/>
  <c r="V90" i="74"/>
  <c r="W90" i="74" s="1"/>
  <c r="X90" i="74" s="1"/>
  <c r="V194" i="74"/>
  <c r="W194" i="74" s="1"/>
  <c r="X194" i="74" s="1"/>
  <c r="AB92" i="74"/>
  <c r="AC92" i="74" s="1"/>
  <c r="AD92" i="74" s="1"/>
  <c r="AH79" i="68" s="1"/>
  <c r="F213" i="74"/>
  <c r="P193" i="74"/>
  <c r="Q193" i="74" s="1"/>
  <c r="R193" i="74" s="1"/>
  <c r="AB193" i="74"/>
  <c r="AC193" i="74" s="1"/>
  <c r="AD193" i="74" s="1"/>
  <c r="AH179" i="68" s="1"/>
  <c r="AB132" i="74"/>
  <c r="AC132" i="74" s="1"/>
  <c r="AD132" i="74" s="1"/>
  <c r="AH119" i="68" s="1"/>
  <c r="AB165" i="74"/>
  <c r="AC165" i="74" s="1"/>
  <c r="AD165" i="74" s="1"/>
  <c r="AH151" i="68" s="1"/>
  <c r="V132" i="74"/>
  <c r="W132" i="74" s="1"/>
  <c r="X132" i="74" s="1"/>
  <c r="V165" i="74"/>
  <c r="W165" i="74" s="1"/>
  <c r="X165" i="74" s="1"/>
  <c r="P53" i="74"/>
  <c r="Q53" i="74" s="1"/>
  <c r="R53" i="74" s="1"/>
  <c r="V89" i="74"/>
  <c r="W89" i="74" s="1"/>
  <c r="X89" i="74" s="1"/>
  <c r="P78" i="74"/>
  <c r="Q78" i="74" s="1"/>
  <c r="R78" i="74" s="1"/>
  <c r="F183" i="74"/>
  <c r="G183" i="74" s="1"/>
  <c r="H183" i="74" s="1"/>
  <c r="V180" i="74"/>
  <c r="W180" i="74" s="1"/>
  <c r="X180" i="74" s="1"/>
  <c r="V136" i="74"/>
  <c r="W136" i="74" s="1"/>
  <c r="X136" i="74" s="1"/>
  <c r="V40" i="74"/>
  <c r="W40" i="74" s="1"/>
  <c r="X40" i="74" s="1"/>
  <c r="P90" i="74"/>
  <c r="Q90" i="74" s="1"/>
  <c r="R90" i="74" s="1"/>
  <c r="P194" i="74"/>
  <c r="Q194" i="74" s="1"/>
  <c r="R194" i="74" s="1"/>
  <c r="P132" i="74"/>
  <c r="Q132" i="74" s="1"/>
  <c r="R132" i="74" s="1"/>
  <c r="P165" i="74"/>
  <c r="Q165" i="74" s="1"/>
  <c r="R165" i="74" s="1"/>
  <c r="AB192" i="74"/>
  <c r="AC192" i="74" s="1"/>
  <c r="AD192" i="74" s="1"/>
  <c r="AH178" i="68" s="1"/>
  <c r="AB64" i="74"/>
  <c r="AC64" i="74" s="1"/>
  <c r="AD64" i="74" s="1"/>
  <c r="AH51" i="68" s="1"/>
  <c r="V72" i="74"/>
  <c r="W72" i="74" s="1"/>
  <c r="X72" i="74" s="1"/>
  <c r="F35" i="74"/>
  <c r="F125" i="74"/>
  <c r="G125" i="74" s="1"/>
  <c r="H125" i="74" s="1"/>
  <c r="V35" i="74"/>
  <c r="W35" i="74" s="1"/>
  <c r="X35" i="74" s="1"/>
  <c r="V125" i="74"/>
  <c r="W125" i="74" s="1"/>
  <c r="X125" i="74" s="1"/>
  <c r="P93" i="74"/>
  <c r="Q93" i="74" s="1"/>
  <c r="R93" i="74" s="1"/>
  <c r="AB94" i="74"/>
  <c r="AC94" i="74" s="1"/>
  <c r="AD94" i="74" s="1"/>
  <c r="AH81" i="68" s="1"/>
  <c r="AB76" i="74"/>
  <c r="AC76" i="74" s="1"/>
  <c r="AD76" i="74" s="1"/>
  <c r="AH63" i="68" s="1"/>
  <c r="V36" i="74"/>
  <c r="W36" i="74" s="1"/>
  <c r="X36" i="74" s="1"/>
  <c r="V58" i="74"/>
  <c r="W58" i="74" s="1"/>
  <c r="X58" i="74" s="1"/>
  <c r="AB36" i="74"/>
  <c r="AC36" i="74" s="1"/>
  <c r="AD36" i="74" s="1"/>
  <c r="AH23" i="68" s="1"/>
  <c r="AB58" i="74"/>
  <c r="AC58" i="74" s="1"/>
  <c r="AD58" i="74" s="1"/>
  <c r="AH45" i="68" s="1"/>
  <c r="F73" i="74"/>
  <c r="F69" i="74"/>
  <c r="F199" i="74"/>
  <c r="G199" i="74" s="1"/>
  <c r="H199" i="74" s="1"/>
  <c r="P38" i="74"/>
  <c r="Q38" i="74" s="1"/>
  <c r="R38" i="74" s="1"/>
  <c r="P124" i="74"/>
  <c r="Q124" i="74" s="1"/>
  <c r="R124" i="74" s="1"/>
  <c r="V17" i="74"/>
  <c r="W17" i="74" s="1"/>
  <c r="X17" i="74" s="1"/>
  <c r="F17" i="74"/>
  <c r="G17" i="74" s="1"/>
  <c r="V75" i="74"/>
  <c r="W75" i="74" s="1"/>
  <c r="X75" i="74" s="1"/>
  <c r="F132" i="74"/>
  <c r="G132" i="74" s="1"/>
  <c r="H132" i="74" s="1"/>
  <c r="F165" i="74"/>
  <c r="G165" i="74" s="1"/>
  <c r="H165" i="74" s="1"/>
  <c r="AB198" i="74"/>
  <c r="AC198" i="74" s="1"/>
  <c r="AD198" i="74" s="1"/>
  <c r="AH184" i="68" s="1"/>
  <c r="AB183" i="74"/>
  <c r="AC183" i="74" s="1"/>
  <c r="AD183" i="74" s="1"/>
  <c r="AH169" i="68" s="1"/>
  <c r="P208" i="74"/>
  <c r="Q208" i="74" s="1"/>
  <c r="R208" i="74" s="1"/>
  <c r="F54" i="74"/>
  <c r="G54" i="74" s="1"/>
  <c r="H54" i="74" s="1"/>
  <c r="V28" i="74"/>
  <c r="W28" i="74" s="1"/>
  <c r="X28" i="74" s="1"/>
  <c r="V193" i="74"/>
  <c r="W193" i="74" s="1"/>
  <c r="X193" i="74" s="1"/>
  <c r="AB73" i="74"/>
  <c r="AC73" i="74" s="1"/>
  <c r="AD73" i="74" s="1"/>
  <c r="AH60" i="68" s="1"/>
  <c r="F36" i="74"/>
  <c r="G36" i="74" s="1"/>
  <c r="H36" i="74" s="1"/>
  <c r="F58" i="74"/>
  <c r="G58" i="74" s="1"/>
  <c r="H58" i="74" s="1"/>
  <c r="V189" i="74"/>
  <c r="W189" i="74" s="1"/>
  <c r="X189" i="74" s="1"/>
  <c r="AB95" i="74"/>
  <c r="AC95" i="74" s="1"/>
  <c r="AD95" i="74" s="1"/>
  <c r="AH82" i="68" s="1"/>
  <c r="AB133" i="74"/>
  <c r="AC133" i="74" s="1"/>
  <c r="AD133" i="74" s="1"/>
  <c r="AH120" i="68" s="1"/>
  <c r="V171" i="74"/>
  <c r="W171" i="74" s="1"/>
  <c r="X171" i="74" s="1"/>
  <c r="P43" i="74"/>
  <c r="Q43" i="74" s="1"/>
  <c r="R43" i="74" s="1"/>
  <c r="F193" i="74"/>
  <c r="AB66" i="74"/>
  <c r="AC66" i="74" s="1"/>
  <c r="AD66" i="74" s="1"/>
  <c r="AH53" i="68" s="1"/>
  <c r="F192" i="74"/>
  <c r="G192" i="74" s="1"/>
  <c r="H192" i="74" s="1"/>
  <c r="P192" i="74"/>
  <c r="Q192" i="74" s="1"/>
  <c r="R192" i="74" s="1"/>
  <c r="P64" i="74"/>
  <c r="Q64" i="74" s="1"/>
  <c r="R64" i="74" s="1"/>
  <c r="V83" i="74"/>
  <c r="W83" i="74" s="1"/>
  <c r="X83" i="74" s="1"/>
  <c r="V84" i="74"/>
  <c r="W84" i="74" s="1"/>
  <c r="X84" i="74" s="1"/>
  <c r="P150" i="74"/>
  <c r="Q150" i="74" s="1"/>
  <c r="R150" i="74" s="1"/>
  <c r="P155" i="74"/>
  <c r="Q155" i="74" s="1"/>
  <c r="R155" i="74" s="1"/>
  <c r="F208" i="74"/>
  <c r="G208" i="74" s="1"/>
  <c r="H208" i="74" s="1"/>
  <c r="V146" i="74"/>
  <c r="W146" i="74" s="1"/>
  <c r="X146" i="74" s="1"/>
  <c r="P183" i="74"/>
  <c r="Q183" i="74" s="1"/>
  <c r="R183" i="74" s="1"/>
  <c r="AB40" i="74"/>
  <c r="AC40" i="74" s="1"/>
  <c r="AD40" i="74" s="1"/>
  <c r="AH27" i="68" s="1"/>
  <c r="AB93" i="74"/>
  <c r="AC93" i="74" s="1"/>
  <c r="AD93" i="74" s="1"/>
  <c r="AH80" i="68" s="1"/>
  <c r="P73" i="74"/>
  <c r="Q73" i="74" s="1"/>
  <c r="R73" i="74" s="1"/>
  <c r="Q16" i="74"/>
  <c r="R16" i="74" s="1"/>
  <c r="V69" i="74"/>
  <c r="W69" i="74" s="1"/>
  <c r="X69" i="74" s="1"/>
  <c r="V199" i="74"/>
  <c r="W199" i="74" s="1"/>
  <c r="X199" i="74" s="1"/>
  <c r="F197" i="74"/>
  <c r="G197" i="74" s="1"/>
  <c r="H197" i="74" s="1"/>
  <c r="P27" i="74"/>
  <c r="Q27" i="74" s="1"/>
  <c r="R27" i="74" s="1"/>
  <c r="P197" i="74"/>
  <c r="Q197" i="74" s="1"/>
  <c r="R197" i="74" s="1"/>
  <c r="P72" i="74"/>
  <c r="Q72" i="74" s="1"/>
  <c r="R72" i="74" s="1"/>
  <c r="F46" i="74"/>
  <c r="G46" i="74" s="1"/>
  <c r="H46" i="74" s="1"/>
  <c r="P35" i="74"/>
  <c r="Q35" i="74" s="1"/>
  <c r="R35" i="74" s="1"/>
  <c r="P125" i="74"/>
  <c r="Q125" i="74" s="1"/>
  <c r="R125" i="74" s="1"/>
  <c r="V73" i="74"/>
  <c r="W73" i="74" s="1"/>
  <c r="X73" i="74" s="1"/>
  <c r="AB69" i="74"/>
  <c r="AC69" i="74" s="1"/>
  <c r="AD69" i="74" s="1"/>
  <c r="AH56" i="68" s="1"/>
  <c r="AB199" i="74"/>
  <c r="AC199" i="74" s="1"/>
  <c r="AD199" i="74" s="1"/>
  <c r="AH185" i="68" s="1"/>
  <c r="AB90" i="74"/>
  <c r="AC90" i="74" s="1"/>
  <c r="AD90" i="74" s="1"/>
  <c r="AH77" i="68" s="1"/>
  <c r="AB75" i="74"/>
  <c r="AC75" i="74" s="1"/>
  <c r="AD75" i="74" s="1"/>
  <c r="AH62" i="68" s="1"/>
  <c r="V213" i="74"/>
  <c r="W213" i="74" s="1"/>
  <c r="X213" i="74" s="1"/>
  <c r="V198" i="74"/>
  <c r="W198" i="74" s="1"/>
  <c r="X198" i="74" s="1"/>
  <c r="V183" i="74"/>
  <c r="W183" i="74" s="1"/>
  <c r="X183" i="74" s="1"/>
  <c r="P74" i="74"/>
  <c r="Q74" i="74" s="1"/>
  <c r="R74" i="74" s="1"/>
  <c r="AB83" i="74"/>
  <c r="AC83" i="74" s="1"/>
  <c r="AD83" i="74" s="1"/>
  <c r="AH70" i="68" s="1"/>
  <c r="AB53" i="74"/>
  <c r="AC53" i="74" s="1"/>
  <c r="AD53" i="74" s="1"/>
  <c r="AH40" i="68" s="1"/>
  <c r="V150" i="74"/>
  <c r="W150" i="74" s="1"/>
  <c r="X150" i="74" s="1"/>
  <c r="P77" i="74"/>
  <c r="Q77" i="74" s="1"/>
  <c r="R77" i="74" s="1"/>
  <c r="V77" i="74"/>
  <c r="W77" i="74" s="1"/>
  <c r="X77" i="74" s="1"/>
  <c r="V206" i="74"/>
  <c r="W206" i="74" s="1"/>
  <c r="X206" i="74" s="1"/>
  <c r="F138" i="74"/>
  <c r="G138" i="74" s="1"/>
  <c r="H138" i="74" s="1"/>
  <c r="F130" i="74"/>
  <c r="G130" i="74" s="1"/>
  <c r="H130" i="74" s="1"/>
  <c r="V95" i="74"/>
  <c r="W95" i="74" s="1"/>
  <c r="X95" i="74" s="1"/>
  <c r="V133" i="74"/>
  <c r="W133" i="74" s="1"/>
  <c r="X133" i="74" s="1"/>
  <c r="AB27" i="74"/>
  <c r="AC27" i="74" s="1"/>
  <c r="AD27" i="74" s="1"/>
  <c r="AH14" i="68" s="1"/>
  <c r="AB197" i="74"/>
  <c r="AC197" i="74" s="1"/>
  <c r="AD197" i="74" s="1"/>
  <c r="AH183" i="68" s="1"/>
  <c r="F173" i="74"/>
  <c r="F78" i="74"/>
  <c r="G78" i="74" s="1"/>
  <c r="H78" i="74" s="1"/>
  <c r="P158" i="74"/>
  <c r="Q158" i="74" s="1"/>
  <c r="R158" i="74" s="1"/>
  <c r="P94" i="74"/>
  <c r="Q94" i="74" s="1"/>
  <c r="R94" i="74" s="1"/>
  <c r="P76" i="74"/>
  <c r="Q76" i="74" s="1"/>
  <c r="R76" i="74" s="1"/>
  <c r="V214" i="74"/>
  <c r="W214" i="74" s="1"/>
  <c r="X214" i="74" s="1"/>
  <c r="P214" i="74"/>
  <c r="Q214" i="74" s="1"/>
  <c r="R214" i="74" s="1"/>
  <c r="AB51" i="74"/>
  <c r="AC51" i="74" s="1"/>
  <c r="AD51" i="74" s="1"/>
  <c r="AH38" i="68" s="1"/>
  <c r="F168" i="74"/>
  <c r="G168" i="74" s="1"/>
  <c r="H168" i="74" s="1"/>
  <c r="P69" i="74"/>
  <c r="Q69" i="74" s="1"/>
  <c r="R69" i="74" s="1"/>
  <c r="P199" i="74"/>
  <c r="Q199" i="74" s="1"/>
  <c r="R199" i="74" s="1"/>
  <c r="P95" i="74"/>
  <c r="Q95" i="74" s="1"/>
  <c r="R95" i="74" s="1"/>
  <c r="P133" i="74"/>
  <c r="Q133" i="74" s="1"/>
  <c r="R133" i="74" s="1"/>
  <c r="F154" i="74"/>
  <c r="V38" i="74"/>
  <c r="W38" i="74" s="1"/>
  <c r="X38" i="74" s="1"/>
  <c r="V124" i="74"/>
  <c r="W124" i="74" s="1"/>
  <c r="X124" i="74" s="1"/>
  <c r="P209" i="74"/>
  <c r="Q209" i="74" s="1"/>
  <c r="R209" i="74" s="1"/>
  <c r="P188" i="74"/>
  <c r="Q188" i="74" s="1"/>
  <c r="R188" i="74" s="1"/>
  <c r="F43" i="74"/>
  <c r="AB100" i="74"/>
  <c r="AC100" i="74" s="1"/>
  <c r="AD100" i="74" s="1"/>
  <c r="AH87" i="68" s="1"/>
  <c r="P109" i="74"/>
  <c r="Q109" i="74" s="1"/>
  <c r="R109" i="74" s="1"/>
  <c r="P100" i="74"/>
  <c r="Q100" i="74" s="1"/>
  <c r="R100" i="74" s="1"/>
  <c r="P180" i="74"/>
  <c r="Q180" i="74" s="1"/>
  <c r="R180" i="74" s="1"/>
  <c r="P136" i="74"/>
  <c r="Q136" i="74" s="1"/>
  <c r="R136" i="74" s="1"/>
  <c r="P92" i="74"/>
  <c r="Q92" i="74" s="1"/>
  <c r="R92" i="74" s="1"/>
  <c r="AB150" i="74"/>
  <c r="AC150" i="74" s="1"/>
  <c r="AD150" i="74" s="1"/>
  <c r="AH136" i="68" s="1"/>
  <c r="V135" i="74"/>
  <c r="W135" i="74" s="1"/>
  <c r="X135" i="74" s="1"/>
  <c r="F155" i="74"/>
  <c r="G155" i="74" s="1"/>
  <c r="H155" i="74" s="1"/>
  <c r="AB208" i="74"/>
  <c r="AC208" i="74" s="1"/>
  <c r="AD208" i="74" s="1"/>
  <c r="AH194" i="68" s="1"/>
  <c r="AB89" i="74"/>
  <c r="AC89" i="74" s="1"/>
  <c r="AD89" i="74" s="1"/>
  <c r="AH76" i="68" s="1"/>
  <c r="F158" i="74"/>
  <c r="AB194" i="74"/>
  <c r="AC194" i="74" s="1"/>
  <c r="AD194" i="74" s="1"/>
  <c r="AH180" i="68" s="1"/>
  <c r="P171" i="74"/>
  <c r="Q171" i="74" s="1"/>
  <c r="R171" i="74" s="1"/>
  <c r="P138" i="74"/>
  <c r="Q138" i="74" s="1"/>
  <c r="R138" i="74" s="1"/>
  <c r="P28" i="74"/>
  <c r="Q28" i="74" s="1"/>
  <c r="R28" i="74" s="1"/>
  <c r="P174" i="74"/>
  <c r="Q174" i="74" s="1"/>
  <c r="R174" i="74" s="1"/>
  <c r="P146" i="74"/>
  <c r="Q146" i="74" s="1"/>
  <c r="R146" i="74" s="1"/>
  <c r="P130" i="74"/>
  <c r="Q130" i="74" s="1"/>
  <c r="R130" i="74" s="1"/>
  <c r="V208" i="74"/>
  <c r="W208" i="74" s="1"/>
  <c r="X208" i="74" s="1"/>
  <c r="P54" i="74"/>
  <c r="Q54" i="74" s="1"/>
  <c r="R54" i="74" s="1"/>
  <c r="V138" i="74"/>
  <c r="W138" i="74" s="1"/>
  <c r="X138" i="74" s="1"/>
  <c r="AB28" i="74"/>
  <c r="AC28" i="74" s="1"/>
  <c r="AD28" i="74" s="1"/>
  <c r="AH15" i="68" s="1"/>
  <c r="V174" i="74"/>
  <c r="W174" i="74" s="1"/>
  <c r="X174" i="74" s="1"/>
  <c r="P153" i="74"/>
  <c r="Q153" i="74" s="1"/>
  <c r="R153" i="74" s="1"/>
  <c r="AB156" i="74"/>
  <c r="AC156" i="74" s="1"/>
  <c r="AD156" i="74" s="1"/>
  <c r="V130" i="74"/>
  <c r="W130" i="74" s="1"/>
  <c r="X130" i="74" s="1"/>
  <c r="F28" i="74"/>
  <c r="G28" i="74" s="1"/>
  <c r="H28" i="74" s="1"/>
  <c r="AB146" i="74"/>
  <c r="AC146" i="74" s="1"/>
  <c r="AD146" i="74" s="1"/>
  <c r="AH132" i="68" s="1"/>
  <c r="P52" i="74"/>
  <c r="Q52" i="74" s="1"/>
  <c r="R52" i="74" s="1"/>
  <c r="P206" i="74"/>
  <c r="Q206" i="74" s="1"/>
  <c r="R206" i="74" s="1"/>
  <c r="F153" i="74"/>
  <c r="G153" i="74" s="1"/>
  <c r="H153" i="74" s="1"/>
  <c r="V153" i="74"/>
  <c r="W153" i="74" s="1"/>
  <c r="X153" i="74" s="1"/>
  <c r="F146" i="74"/>
  <c r="G146" i="74" s="1"/>
  <c r="H146" i="74" s="1"/>
  <c r="F156" i="74"/>
  <c r="F206" i="74"/>
  <c r="G206" i="74" s="1"/>
  <c r="H206" i="74" s="1"/>
  <c r="V54" i="74"/>
  <c r="W54" i="74" s="1"/>
  <c r="X54" i="74" s="1"/>
  <c r="AB54" i="74"/>
  <c r="AC54" i="74" s="1"/>
  <c r="AD54" i="74" s="1"/>
  <c r="AH41" i="68" s="1"/>
  <c r="AB138" i="74"/>
  <c r="AC138" i="74" s="1"/>
  <c r="AD138" i="74" s="1"/>
  <c r="AH125" i="68" s="1"/>
  <c r="F174" i="74"/>
  <c r="G174" i="74" s="1"/>
  <c r="H174" i="74" s="1"/>
  <c r="V52" i="74"/>
  <c r="W52" i="74" s="1"/>
  <c r="X52" i="74" s="1"/>
  <c r="AC238" i="74"/>
  <c r="AD238" i="74" s="1"/>
  <c r="AC231" i="74"/>
  <c r="AD231" i="74" s="1"/>
  <c r="AC230" i="74"/>
  <c r="AD230" i="74" s="1"/>
  <c r="AC239" i="74"/>
  <c r="AD239" i="74" s="1"/>
  <c r="AC35" i="74"/>
  <c r="AD35" i="74" s="1"/>
  <c r="AH22" i="68" s="1"/>
  <c r="AC34" i="74"/>
  <c r="AD34" i="74" s="1"/>
  <c r="AC45" i="74"/>
  <c r="AD45" i="74" s="1"/>
  <c r="G174" i="78" l="1"/>
  <c r="H174" i="78" s="1"/>
  <c r="I174" i="78" s="1"/>
  <c r="G109" i="78"/>
  <c r="H109" i="78" s="1"/>
  <c r="I109" i="78" s="1"/>
  <c r="G196" i="78"/>
  <c r="H196" i="78" s="1"/>
  <c r="I196" i="78" s="1"/>
  <c r="G184" i="78"/>
  <c r="H184" i="78" s="1"/>
  <c r="I184" i="78" s="1"/>
  <c r="G124" i="78"/>
  <c r="H124" i="78" s="1"/>
  <c r="I124" i="78" s="1"/>
  <c r="G208" i="78"/>
  <c r="H208" i="78" s="1"/>
  <c r="I208" i="78" s="1"/>
  <c r="G144" i="78"/>
  <c r="H144" i="78" s="1"/>
  <c r="I144" i="78" s="1"/>
  <c r="G154" i="78"/>
  <c r="H154" i="78" s="1"/>
  <c r="I154" i="78" s="1"/>
  <c r="G259" i="78"/>
  <c r="H259" i="78" s="1"/>
  <c r="I259" i="78" s="1"/>
  <c r="G169" i="78"/>
  <c r="H169" i="78" s="1"/>
  <c r="I169" i="78" s="1"/>
  <c r="G249" i="78"/>
  <c r="H249" i="78" s="1"/>
  <c r="I249" i="78" s="1"/>
  <c r="G186" i="78"/>
  <c r="H186" i="78" s="1"/>
  <c r="I186" i="78" s="1"/>
  <c r="D42" i="78" s="1"/>
  <c r="F42" i="78" s="1"/>
  <c r="G178" i="78"/>
  <c r="H178" i="78" s="1"/>
  <c r="I178" i="78" s="1"/>
  <c r="G219" i="78"/>
  <c r="H219" i="78" s="1"/>
  <c r="I219" i="78" s="1"/>
  <c r="G180" i="78"/>
  <c r="H180" i="78" s="1"/>
  <c r="I180" i="78" s="1"/>
  <c r="G166" i="78"/>
  <c r="H166" i="78" s="1"/>
  <c r="I166" i="78" s="1"/>
  <c r="G120" i="78"/>
  <c r="H120" i="78" s="1"/>
  <c r="I120" i="78" s="1"/>
  <c r="G149" i="78"/>
  <c r="H149" i="78" s="1"/>
  <c r="I149" i="78" s="1"/>
  <c r="G197" i="78"/>
  <c r="H197" i="78" s="1"/>
  <c r="I197" i="78" s="1"/>
  <c r="G229" i="78"/>
  <c r="H229" i="78" s="1"/>
  <c r="I229" i="78" s="1"/>
  <c r="G175" i="78"/>
  <c r="H175" i="78" s="1"/>
  <c r="I175" i="78" s="1"/>
  <c r="D53" i="78" s="1"/>
  <c r="F53" i="78" s="1"/>
  <c r="G104" i="78"/>
  <c r="H104" i="78" s="1"/>
  <c r="I104" i="78" s="1"/>
  <c r="G253" i="78"/>
  <c r="H253" i="78" s="1"/>
  <c r="I253" i="78" s="1"/>
  <c r="G131" i="78"/>
  <c r="H131" i="78" s="1"/>
  <c r="I131" i="78" s="1"/>
  <c r="G163" i="78"/>
  <c r="H163" i="78" s="1"/>
  <c r="I163" i="78" s="1"/>
  <c r="G255" i="78"/>
  <c r="H255" i="78" s="1"/>
  <c r="I255" i="78" s="1"/>
  <c r="G194" i="78"/>
  <c r="H194" i="78" s="1"/>
  <c r="I194" i="78" s="1"/>
  <c r="G118" i="78"/>
  <c r="H118" i="78" s="1"/>
  <c r="I118" i="78" s="1"/>
  <c r="G191" i="78"/>
  <c r="H191" i="78" s="1"/>
  <c r="I191" i="78" s="1"/>
  <c r="G200" i="78"/>
  <c r="H200" i="78" s="1"/>
  <c r="I200" i="78" s="1"/>
  <c r="D52" i="78" s="1"/>
  <c r="F52" i="78" s="1"/>
  <c r="G195" i="78"/>
  <c r="H195" i="78" s="1"/>
  <c r="I195" i="78" s="1"/>
  <c r="G153" i="78"/>
  <c r="H153" i="78" s="1"/>
  <c r="I153" i="78" s="1"/>
  <c r="G221" i="78"/>
  <c r="H221" i="78" s="1"/>
  <c r="I221" i="78" s="1"/>
  <c r="G243" i="78"/>
  <c r="H243" i="78" s="1"/>
  <c r="I243" i="78" s="1"/>
  <c r="G204" i="78"/>
  <c r="H204" i="78" s="1"/>
  <c r="I204" i="78" s="1"/>
  <c r="G130" i="78"/>
  <c r="H130" i="78" s="1"/>
  <c r="I130" i="78" s="1"/>
  <c r="G97" i="78"/>
  <c r="H97" i="78" s="1"/>
  <c r="I97" i="78" s="1"/>
  <c r="G143" i="78"/>
  <c r="H143" i="78" s="1"/>
  <c r="I143" i="78" s="1"/>
  <c r="G116" i="78"/>
  <c r="H116" i="78" s="1"/>
  <c r="I116" i="78" s="1"/>
  <c r="G181" i="78"/>
  <c r="H181" i="78" s="1"/>
  <c r="I181" i="78" s="1"/>
  <c r="G141" i="78"/>
  <c r="H141" i="78" s="1"/>
  <c r="I141" i="78" s="1"/>
  <c r="G199" i="78"/>
  <c r="H199" i="78" s="1"/>
  <c r="I199" i="78" s="1"/>
  <c r="G235" i="78"/>
  <c r="H235" i="78" s="1"/>
  <c r="I235" i="78" s="1"/>
  <c r="G150" i="78"/>
  <c r="H150" i="78" s="1"/>
  <c r="I150" i="78" s="1"/>
  <c r="G218" i="78"/>
  <c r="H218" i="78" s="1"/>
  <c r="I218" i="78" s="1"/>
  <c r="G148" i="78"/>
  <c r="H148" i="78" s="1"/>
  <c r="I148" i="78" s="1"/>
  <c r="G173" i="78"/>
  <c r="H173" i="78" s="1"/>
  <c r="I173" i="78" s="1"/>
  <c r="G140" i="78"/>
  <c r="H140" i="78" s="1"/>
  <c r="I140" i="78" s="1"/>
  <c r="G98" i="78"/>
  <c r="H98" i="78" s="1"/>
  <c r="I98" i="78" s="1"/>
  <c r="G233" i="78"/>
  <c r="H233" i="78" s="1"/>
  <c r="I233" i="78" s="1"/>
  <c r="G135" i="78"/>
  <c r="H135" i="78" s="1"/>
  <c r="I135" i="78" s="1"/>
  <c r="G101" i="78"/>
  <c r="H101" i="78" s="1"/>
  <c r="I101" i="78" s="1"/>
  <c r="G108" i="78"/>
  <c r="H108" i="78" s="1"/>
  <c r="I108" i="78" s="1"/>
  <c r="G206" i="78"/>
  <c r="H206" i="78" s="1"/>
  <c r="I206" i="78" s="1"/>
  <c r="G232" i="78"/>
  <c r="H232" i="78" s="1"/>
  <c r="I232" i="78" s="1"/>
  <c r="G207" i="78"/>
  <c r="H207" i="78" s="1"/>
  <c r="I207" i="78" s="1"/>
  <c r="G115" i="78"/>
  <c r="H115" i="78" s="1"/>
  <c r="I115" i="78" s="1"/>
  <c r="G210" i="78"/>
  <c r="H210" i="78" s="1"/>
  <c r="I210" i="78" s="1"/>
  <c r="G202" i="78"/>
  <c r="H202" i="78" s="1"/>
  <c r="I202" i="78" s="1"/>
  <c r="D32" i="78" s="1"/>
  <c r="F32" i="78" s="1"/>
  <c r="G110" i="78"/>
  <c r="H110" i="78" s="1"/>
  <c r="I110" i="78" s="1"/>
  <c r="G240" i="78"/>
  <c r="H240" i="78" s="1"/>
  <c r="I240" i="78" s="1"/>
  <c r="G155" i="78"/>
  <c r="H155" i="78" s="1"/>
  <c r="I155" i="78" s="1"/>
  <c r="G113" i="78"/>
  <c r="H113" i="78" s="1"/>
  <c r="I113" i="78" s="1"/>
  <c r="G239" i="78"/>
  <c r="H239" i="78" s="1"/>
  <c r="I239" i="78" s="1"/>
  <c r="G159" i="78"/>
  <c r="H159" i="78" s="1"/>
  <c r="I159" i="78" s="1"/>
  <c r="G133" i="78"/>
  <c r="H133" i="78" s="1"/>
  <c r="I133" i="78" s="1"/>
  <c r="G247" i="78"/>
  <c r="H247" i="78" s="1"/>
  <c r="I247" i="78" s="1"/>
  <c r="D37" i="78" s="1"/>
  <c r="F37" i="78" s="1"/>
  <c r="G250" i="78"/>
  <c r="H250" i="78" s="1"/>
  <c r="I250" i="78" s="1"/>
  <c r="G100" i="78"/>
  <c r="H100" i="78" s="1"/>
  <c r="I100" i="78" s="1"/>
  <c r="G182" i="78"/>
  <c r="H182" i="78" s="1"/>
  <c r="I182" i="78" s="1"/>
  <c r="G146" i="78"/>
  <c r="H146" i="78" s="1"/>
  <c r="I146" i="78" s="1"/>
  <c r="G189" i="78"/>
  <c r="H189" i="78" s="1"/>
  <c r="I189" i="78" s="1"/>
  <c r="H17" i="74"/>
  <c r="AH96" i="67"/>
  <c r="AH96" i="68"/>
  <c r="AD226" i="67"/>
  <c r="AD226" i="68"/>
  <c r="AH204" i="67"/>
  <c r="AH204" i="68"/>
  <c r="AH34" i="67"/>
  <c r="AH34" i="68"/>
  <c r="AH74" i="67"/>
  <c r="AH74" i="68"/>
  <c r="AH142" i="67"/>
  <c r="AH142" i="68"/>
  <c r="AD217" i="67"/>
  <c r="AD217" i="68"/>
  <c r="AH21" i="67"/>
  <c r="AH21" i="68"/>
  <c r="AH187" i="67"/>
  <c r="AH187" i="68"/>
  <c r="AD218" i="67"/>
  <c r="AD218" i="68"/>
  <c r="AH196" i="67"/>
  <c r="AH131" i="67"/>
  <c r="AH131" i="68"/>
  <c r="AH88" i="67"/>
  <c r="AH88" i="68"/>
  <c r="AD215" i="67"/>
  <c r="AD215" i="68"/>
  <c r="AH32" i="67"/>
  <c r="AH32" i="68"/>
  <c r="AH205" i="67"/>
  <c r="AH205" i="68"/>
  <c r="AD225" i="67"/>
  <c r="AD225" i="68"/>
  <c r="AH18" i="67"/>
  <c r="AH18" i="68"/>
  <c r="AH11" i="67"/>
  <c r="AH11" i="68"/>
  <c r="AH61" i="67"/>
  <c r="AH98" i="67"/>
  <c r="AH98" i="68"/>
  <c r="AH168" i="67"/>
  <c r="AH168" i="68"/>
  <c r="AH152" i="67"/>
  <c r="AH152" i="68"/>
  <c r="AH65" i="67"/>
  <c r="AH79" i="67"/>
  <c r="AH188" i="67"/>
  <c r="AH33" i="67"/>
  <c r="AH56" i="67"/>
  <c r="AH185" i="67"/>
  <c r="AH27" i="67"/>
  <c r="AH23" i="67"/>
  <c r="AH171" i="67"/>
  <c r="AH166" i="67"/>
  <c r="AH169" i="67"/>
  <c r="AH122" i="67"/>
  <c r="AH70" i="67"/>
  <c r="AH183" i="67"/>
  <c r="AH82" i="67"/>
  <c r="AH199" i="67"/>
  <c r="AH53" i="67"/>
  <c r="AH40" i="67"/>
  <c r="AH47" i="67"/>
  <c r="AH10" i="67"/>
  <c r="AH72" i="67"/>
  <c r="AH22" i="67"/>
  <c r="AH144" i="67"/>
  <c r="AH85" i="67"/>
  <c r="AH176" i="67"/>
  <c r="AH19" i="67"/>
  <c r="AH51" i="67"/>
  <c r="AH125" i="67"/>
  <c r="AH178" i="67"/>
  <c r="AH162" i="67"/>
  <c r="AH120" i="67"/>
  <c r="AH154" i="67"/>
  <c r="AH63" i="67"/>
  <c r="AH160" i="67"/>
  <c r="AH119" i="67"/>
  <c r="AH112" i="67"/>
  <c r="AH192" i="67"/>
  <c r="AH30" i="67"/>
  <c r="AH194" i="67"/>
  <c r="AH193" i="67"/>
  <c r="AH38" i="67"/>
  <c r="AH136" i="67"/>
  <c r="AH59" i="67"/>
  <c r="AH52" i="67"/>
  <c r="AH153" i="67"/>
  <c r="AH78" i="67"/>
  <c r="AH110" i="67"/>
  <c r="AH4" i="67"/>
  <c r="AH200" i="67"/>
  <c r="AH64" i="67"/>
  <c r="AH60" i="67"/>
  <c r="AH73" i="67"/>
  <c r="AH36" i="67"/>
  <c r="AH25" i="67"/>
  <c r="AH76" i="67"/>
  <c r="AH157" i="67"/>
  <c r="AH151" i="67"/>
  <c r="AH161" i="67"/>
  <c r="AH46" i="67"/>
  <c r="AH87" i="67"/>
  <c r="AH195" i="67"/>
  <c r="AH42" i="67"/>
  <c r="AH179" i="67"/>
  <c r="AH180" i="67"/>
  <c r="AH7" i="67"/>
  <c r="AH39" i="67"/>
  <c r="AH77" i="67"/>
  <c r="AH132" i="67"/>
  <c r="AH83" i="67"/>
  <c r="AH117" i="67"/>
  <c r="AH45" i="67"/>
  <c r="AH89" i="67"/>
  <c r="AH80" i="67"/>
  <c r="AH75" i="67"/>
  <c r="AH116" i="67"/>
  <c r="AH137" i="67"/>
  <c r="AH81" i="67"/>
  <c r="AH15" i="67"/>
  <c r="AH111" i="67"/>
  <c r="AH150" i="67"/>
  <c r="AH103" i="67"/>
  <c r="AH41" i="67"/>
  <c r="AH184" i="67"/>
  <c r="AH175" i="67"/>
  <c r="AH62" i="67"/>
  <c r="AH14" i="67"/>
  <c r="AH67" i="67"/>
  <c r="AH165" i="67"/>
  <c r="X16" i="74"/>
  <c r="G156" i="74"/>
  <c r="H156" i="74" s="1"/>
  <c r="G73" i="74"/>
  <c r="H73" i="74" s="1"/>
  <c r="G95" i="74"/>
  <c r="H95" i="74" s="1"/>
  <c r="G72" i="74"/>
  <c r="H72" i="74" s="1"/>
  <c r="G94" i="74"/>
  <c r="H94" i="74" s="1"/>
  <c r="G167" i="74"/>
  <c r="H167" i="74" s="1"/>
  <c r="G35" i="74"/>
  <c r="H35" i="74" s="1"/>
  <c r="G173" i="74"/>
  <c r="H173" i="74" s="1"/>
  <c r="G23" i="74"/>
  <c r="H23" i="74" s="1"/>
  <c r="G32" i="74"/>
  <c r="H32" i="74" s="1"/>
  <c r="G123" i="74"/>
  <c r="H123" i="74" s="1"/>
  <c r="G69" i="74"/>
  <c r="H69" i="74" s="1"/>
  <c r="G43" i="74"/>
  <c r="H43" i="74" s="1"/>
  <c r="G154" i="74"/>
  <c r="H154" i="74" s="1"/>
  <c r="G193" i="74"/>
  <c r="H193" i="74" s="1"/>
  <c r="G158" i="74"/>
  <c r="H158" i="74" s="1"/>
  <c r="G171" i="74"/>
  <c r="H171" i="74" s="1"/>
  <c r="G86" i="74"/>
  <c r="H86" i="74" s="1"/>
  <c r="G129" i="74"/>
  <c r="H129" i="74" s="1"/>
  <c r="G213" i="74"/>
  <c r="H213" i="74" s="1"/>
  <c r="G93" i="74"/>
  <c r="H93" i="74" s="1"/>
  <c r="G179" i="74"/>
  <c r="H179" i="74" s="1"/>
  <c r="I231" i="47"/>
  <c r="E183" i="47"/>
  <c r="E122" i="47"/>
  <c r="D26" i="78" l="1"/>
  <c r="F26" i="78" s="1"/>
  <c r="G193" i="78"/>
  <c r="H193" i="78" s="1"/>
  <c r="I193" i="78" s="1"/>
  <c r="G177" i="78"/>
  <c r="H177" i="78" s="1"/>
  <c r="G142" i="78"/>
  <c r="H142" i="78" s="1"/>
  <c r="I142" i="78" s="1"/>
  <c r="G261" i="78"/>
  <c r="H261" i="78" s="1"/>
  <c r="I261" i="78" s="1"/>
  <c r="G168" i="78"/>
  <c r="H168" i="78" s="1"/>
  <c r="I168" i="78" s="1"/>
  <c r="G242" i="78"/>
  <c r="H242" i="78" s="1"/>
  <c r="I242" i="78" s="1"/>
  <c r="D49" i="78" s="1"/>
  <c r="F49" i="78" s="1"/>
  <c r="G254" i="78"/>
  <c r="H254" i="78" s="1"/>
  <c r="I254" i="78" s="1"/>
  <c r="G92" i="78"/>
  <c r="H92" i="78" s="1"/>
  <c r="I92" i="78" s="1"/>
  <c r="G111" i="78"/>
  <c r="H111" i="78" s="1"/>
  <c r="I111" i="78" s="1"/>
  <c r="G228" i="78"/>
  <c r="H228" i="78" s="1"/>
  <c r="I228" i="78" s="1"/>
  <c r="G187" i="78"/>
  <c r="H187" i="78" s="1"/>
  <c r="I187" i="78" s="1"/>
  <c r="G251" i="78"/>
  <c r="H251" i="78" s="1"/>
  <c r="I251" i="78" s="1"/>
  <c r="G107" i="78"/>
  <c r="H107" i="78" s="1"/>
  <c r="I107" i="78" s="1"/>
  <c r="G171" i="78"/>
  <c r="H171" i="78" s="1"/>
  <c r="I171" i="78" s="1"/>
  <c r="G236" i="78"/>
  <c r="H236" i="78" s="1"/>
  <c r="I236" i="78" s="1"/>
  <c r="D41" i="78" s="1"/>
  <c r="F41" i="78" s="1"/>
  <c r="G211" i="78"/>
  <c r="H211" i="78" s="1"/>
  <c r="I211" i="78" s="1"/>
  <c r="G134" i="78"/>
  <c r="H134" i="78" s="1"/>
  <c r="I134" i="78" s="1"/>
  <c r="G95" i="78"/>
  <c r="H95" i="78" s="1"/>
  <c r="I95" i="78" s="1"/>
  <c r="G136" i="78"/>
  <c r="H136" i="78" s="1"/>
  <c r="I136" i="78" s="1"/>
  <c r="G105" i="78"/>
  <c r="H105" i="78" s="1"/>
  <c r="I105" i="78" s="1"/>
  <c r="G183" i="78"/>
  <c r="H183" i="78" s="1"/>
  <c r="I183" i="78" s="1"/>
  <c r="D45" i="78" s="1"/>
  <c r="F45" i="78" s="1"/>
  <c r="G123" i="78"/>
  <c r="H123" i="78" s="1"/>
  <c r="I123" i="78" s="1"/>
  <c r="G87" i="78"/>
  <c r="H87" i="78" s="1"/>
  <c r="I87" i="78" s="1"/>
  <c r="AH3" i="67"/>
  <c r="V219" i="66"/>
  <c r="W219" i="66" s="1"/>
  <c r="AA219" i="66" s="1"/>
  <c r="AB219" i="66" s="1"/>
  <c r="X219" i="66" s="1"/>
  <c r="Y219" i="66" s="1"/>
  <c r="I219" i="66" s="1"/>
  <c r="I177" i="78" l="1"/>
  <c r="D27" i="78" s="1"/>
  <c r="F27" i="78" s="1"/>
  <c r="V221" i="66"/>
  <c r="W221" i="66" s="1"/>
  <c r="AA221" i="66" s="1"/>
  <c r="AB221" i="66" s="1"/>
  <c r="X221" i="66" s="1"/>
  <c r="Y221" i="66" s="1"/>
  <c r="I221" i="66" s="1"/>
  <c r="V212" i="66"/>
  <c r="W212" i="66" s="1"/>
  <c r="AA212" i="66" s="1"/>
  <c r="AB212" i="66" s="1"/>
  <c r="X212" i="66" s="1"/>
  <c r="Y212" i="66" s="1"/>
  <c r="I212" i="66" s="1"/>
  <c r="AA210" i="66"/>
  <c r="AB210" i="66" s="1"/>
  <c r="X210" i="66" s="1"/>
  <c r="Y210" i="66" s="1"/>
  <c r="I210" i="66" s="1"/>
  <c r="V223" i="66"/>
  <c r="W223" i="66" s="1"/>
  <c r="AA223" i="66" s="1"/>
  <c r="AB223" i="66" s="1"/>
  <c r="X223" i="66" s="1"/>
  <c r="Y223" i="66" s="1"/>
  <c r="I223" i="66" s="1"/>
  <c r="V224" i="66"/>
  <c r="W224" i="66" s="1"/>
  <c r="AA224" i="66" s="1"/>
  <c r="AB224" i="66" s="1"/>
  <c r="X224" i="66" s="1"/>
  <c r="Y224" i="66" s="1"/>
  <c r="I224" i="66" s="1"/>
  <c r="V218" i="66"/>
  <c r="W218" i="66" s="1"/>
  <c r="AA218" i="66" s="1"/>
  <c r="AB218" i="66" s="1"/>
  <c r="X218" i="66" s="1"/>
  <c r="Y218" i="66" s="1"/>
  <c r="I218" i="66" s="1"/>
  <c r="V225" i="66"/>
  <c r="W225" i="66" s="1"/>
  <c r="V222" i="66"/>
  <c r="W222" i="66" s="1"/>
  <c r="AA222" i="66" s="1"/>
  <c r="AB222" i="66" s="1"/>
  <c r="X222" i="66" s="1"/>
  <c r="Y222" i="66" s="1"/>
  <c r="I222" i="66" s="1"/>
  <c r="AA225" i="66" l="1"/>
  <c r="AB225" i="66" s="1"/>
  <c r="X225" i="66" s="1"/>
  <c r="Y225" i="66" s="1"/>
  <c r="I225" i="66" s="1"/>
  <c r="V211" i="66" l="1"/>
  <c r="W211" i="66" s="1"/>
  <c r="AA211" i="66" s="1"/>
  <c r="AB211" i="66" s="1"/>
  <c r="X211" i="66" s="1"/>
  <c r="Y211" i="66" s="1"/>
  <c r="I211" i="66" s="1"/>
  <c r="K211" i="66" s="1"/>
  <c r="V216" i="66" l="1"/>
  <c r="W216" i="66" s="1"/>
  <c r="V215" i="66"/>
  <c r="W215" i="66" s="1"/>
  <c r="AA215" i="66" s="1"/>
  <c r="AB215" i="66" s="1"/>
  <c r="X215" i="66" s="1"/>
  <c r="Y215" i="66" s="1"/>
  <c r="I215" i="66" s="1"/>
  <c r="V214" i="66"/>
  <c r="W214" i="66" s="1"/>
  <c r="AA214" i="66" s="1"/>
  <c r="AB214" i="66" s="1"/>
  <c r="X214" i="66" s="1"/>
  <c r="Y214" i="66" s="1"/>
  <c r="I214" i="66" s="1"/>
  <c r="V220" i="66"/>
  <c r="W220" i="66" s="1"/>
  <c r="AA220" i="66" s="1"/>
  <c r="AB220" i="66" s="1"/>
  <c r="X220" i="66" s="1"/>
  <c r="Y220" i="66" s="1"/>
  <c r="I220" i="66" s="1"/>
  <c r="V217" i="66"/>
  <c r="W217" i="66" s="1"/>
  <c r="AA217" i="66" s="1"/>
  <c r="AB217" i="66" s="1"/>
  <c r="X217" i="66" s="1"/>
  <c r="Y217" i="66" s="1"/>
  <c r="I217" i="66" s="1"/>
  <c r="AA216" i="66" l="1"/>
  <c r="AB216" i="66" s="1"/>
  <c r="X216" i="66" s="1"/>
  <c r="Y216" i="66" s="1"/>
  <c r="I216" i="66" s="1"/>
  <c r="C116" i="52" l="1"/>
  <c r="C224" i="52"/>
  <c r="C170" i="52"/>
  <c r="E181" i="47"/>
  <c r="E242" i="47"/>
  <c r="E120" i="47"/>
  <c r="E182" i="47" l="1"/>
  <c r="E121" i="47"/>
  <c r="E243" i="47"/>
  <c r="E11" i="47" l="1"/>
  <c r="BB1" i="56"/>
  <c r="E274" i="47"/>
  <c r="E227" i="47" s="1"/>
  <c r="I227" i="47" s="1"/>
  <c r="E213" i="47"/>
  <c r="E166" i="47" s="1"/>
  <c r="I166" i="47" s="1"/>
  <c r="I11" i="47" l="1"/>
  <c r="I13" i="47" s="1"/>
  <c r="E268" i="47"/>
  <c r="E269" i="47"/>
  <c r="E207" i="47"/>
  <c r="E202" i="47"/>
  <c r="E208" i="47" s="1"/>
  <c r="E147" i="47"/>
  <c r="E270" i="47" l="1"/>
  <c r="E264" i="47" s="1"/>
  <c r="E265" i="47" s="1"/>
  <c r="E245" i="47" s="1"/>
  <c r="E273" i="47" s="1"/>
  <c r="E226" i="47" s="1"/>
  <c r="I230" i="47" s="1"/>
  <c r="E148" i="47"/>
  <c r="E209" i="47"/>
  <c r="E203" i="47" s="1"/>
  <c r="E204" i="47" s="1"/>
  <c r="E184" i="47" s="1"/>
  <c r="E212" i="47" s="1"/>
  <c r="E165" i="47" s="1"/>
  <c r="I169" i="47" s="1"/>
  <c r="E142" i="47" l="1"/>
  <c r="E143" i="47" s="1"/>
  <c r="E123" i="47" s="1"/>
  <c r="I168" i="47"/>
  <c r="E247" i="47"/>
  <c r="E249" i="47" s="1"/>
  <c r="E186" i="47"/>
  <c r="E188" i="47" s="1"/>
  <c r="E164" i="47" s="1"/>
  <c r="I162" i="47" s="1"/>
  <c r="B118" i="47"/>
  <c r="B240" i="47"/>
  <c r="B220" i="47"/>
  <c r="B159" i="47"/>
  <c r="B179" i="47"/>
  <c r="V213" i="66"/>
  <c r="W213" i="66" s="1"/>
  <c r="E225" i="47" l="1"/>
  <c r="I223" i="47" s="1"/>
  <c r="E125" i="47"/>
  <c r="E127" i="47" s="1"/>
  <c r="E151" i="47"/>
  <c r="AA213" i="66"/>
  <c r="AB213" i="66" s="1"/>
  <c r="X213" i="66" s="1"/>
  <c r="Y213" i="66" s="1"/>
  <c r="I213" i="66" s="1"/>
  <c r="E71" i="52" l="1"/>
  <c r="C28" i="52" s="1"/>
  <c r="C31" i="52" s="1"/>
  <c r="C33" i="52" s="1"/>
  <c r="AF136" i="74"/>
  <c r="P128" i="74"/>
  <c r="Q128" i="74" s="1"/>
  <c r="R128" i="74" s="1"/>
  <c r="V128" i="74"/>
  <c r="W128" i="74" s="1"/>
  <c r="X128" i="74" s="1"/>
  <c r="AE136" i="74"/>
  <c r="F128" i="74"/>
  <c r="AE71" i="74"/>
  <c r="AF71" i="74"/>
  <c r="AE184" i="74"/>
  <c r="P184" i="74"/>
  <c r="Q184" i="74" s="1"/>
  <c r="R184" i="74" s="1"/>
  <c r="AF184" i="74"/>
  <c r="V184" i="74"/>
  <c r="W184" i="74" s="1"/>
  <c r="X184" i="74" s="1"/>
  <c r="F184" i="74"/>
  <c r="F141" i="74"/>
  <c r="G141" i="74" s="1"/>
  <c r="H141" i="74" s="1"/>
  <c r="AF149" i="74"/>
  <c r="AE149" i="74"/>
  <c r="V141" i="74"/>
  <c r="W141" i="74" s="1"/>
  <c r="X141" i="74" s="1"/>
  <c r="P141" i="74"/>
  <c r="Q141" i="74" s="1"/>
  <c r="R141" i="74" s="1"/>
  <c r="AF84" i="74"/>
  <c r="AA84" i="74"/>
  <c r="AB84" i="74" s="1"/>
  <c r="AC84" i="74" s="1"/>
  <c r="AD84" i="74" s="1"/>
  <c r="AE84" i="74"/>
  <c r="AE153" i="74"/>
  <c r="P147" i="74"/>
  <c r="Q147" i="74" s="1"/>
  <c r="R147" i="74" s="1"/>
  <c r="F147" i="74"/>
  <c r="G147" i="74" s="1"/>
  <c r="H147" i="74" s="1"/>
  <c r="V147" i="74"/>
  <c r="W147" i="74" s="1"/>
  <c r="X147" i="74" s="1"/>
  <c r="AF153" i="74"/>
  <c r="F240" i="74"/>
  <c r="G240" i="74" s="1"/>
  <c r="H240" i="74" s="1"/>
  <c r="AB240" i="74"/>
  <c r="V67" i="74"/>
  <c r="W67" i="74" s="1"/>
  <c r="X67" i="74" s="1"/>
  <c r="AB67" i="74"/>
  <c r="AC67" i="74" s="1"/>
  <c r="AD67" i="74" s="1"/>
  <c r="AH54" i="68" s="1"/>
  <c r="F67" i="74"/>
  <c r="P67" i="74"/>
  <c r="Q67" i="74" s="1"/>
  <c r="R67" i="74" s="1"/>
  <c r="AE81" i="74"/>
  <c r="P79" i="74"/>
  <c r="Q79" i="74" s="1"/>
  <c r="R79" i="74" s="1"/>
  <c r="AF81" i="74"/>
  <c r="V79" i="74"/>
  <c r="W79" i="74" s="1"/>
  <c r="X79" i="74" s="1"/>
  <c r="F79" i="74"/>
  <c r="G79" i="74" s="1"/>
  <c r="H79" i="74" s="1"/>
  <c r="AB50" i="74"/>
  <c r="AC50" i="74" s="1"/>
  <c r="AD50" i="74" s="1"/>
  <c r="AH37" i="68" s="1"/>
  <c r="P50" i="74"/>
  <c r="Q50" i="74" s="1"/>
  <c r="R50" i="74" s="1"/>
  <c r="F50" i="74"/>
  <c r="G50" i="74" s="1"/>
  <c r="H50" i="74" s="1"/>
  <c r="V50" i="74"/>
  <c r="W50" i="74" s="1"/>
  <c r="X50" i="74" s="1"/>
  <c r="AA181" i="74"/>
  <c r="AB181" i="74" s="1"/>
  <c r="AC181" i="74" s="1"/>
  <c r="AD181" i="74" s="1"/>
  <c r="AE181" i="74"/>
  <c r="AF181" i="74"/>
  <c r="V149" i="74"/>
  <c r="W149" i="74" s="1"/>
  <c r="X149" i="74" s="1"/>
  <c r="AE155" i="74"/>
  <c r="AF155" i="74"/>
  <c r="F149" i="74"/>
  <c r="P149" i="74"/>
  <c r="Q149" i="74" s="1"/>
  <c r="R149" i="74" s="1"/>
  <c r="AE173" i="74"/>
  <c r="P170" i="74"/>
  <c r="Q170" i="74" s="1"/>
  <c r="R170" i="74" s="1"/>
  <c r="AF173" i="74"/>
  <c r="F170" i="74"/>
  <c r="G170" i="74" s="1"/>
  <c r="H170" i="74" s="1"/>
  <c r="V170" i="74"/>
  <c r="W170" i="74" s="1"/>
  <c r="X170" i="74" s="1"/>
  <c r="AF110" i="74"/>
  <c r="AE110" i="74"/>
  <c r="AA110" i="74"/>
  <c r="AF114" i="74"/>
  <c r="P106" i="74"/>
  <c r="Q106" i="74" s="1"/>
  <c r="R106" i="74" s="1"/>
  <c r="AE114" i="74"/>
  <c r="F106" i="74"/>
  <c r="G106" i="74" s="1"/>
  <c r="H106" i="74" s="1"/>
  <c r="V106" i="74"/>
  <c r="W106" i="74" s="1"/>
  <c r="X106" i="74" s="1"/>
  <c r="AA154" i="74"/>
  <c r="AB154" i="74" s="1"/>
  <c r="AC154" i="74" s="1"/>
  <c r="AD154" i="74" s="1"/>
  <c r="AE154" i="74"/>
  <c r="AF154" i="74"/>
  <c r="AE82" i="74"/>
  <c r="P61" i="74"/>
  <c r="Q61" i="74" s="1"/>
  <c r="R61" i="74" s="1"/>
  <c r="V61" i="74"/>
  <c r="W61" i="74" s="1"/>
  <c r="X61" i="74" s="1"/>
  <c r="F61" i="74"/>
  <c r="G61" i="74" s="1"/>
  <c r="H61" i="74" s="1"/>
  <c r="AF82" i="74"/>
  <c r="AF188" i="74"/>
  <c r="P191" i="74"/>
  <c r="Q191" i="74" s="1"/>
  <c r="R191" i="74" s="1"/>
  <c r="F191" i="74"/>
  <c r="V191" i="74"/>
  <c r="W191" i="74" s="1"/>
  <c r="X191" i="74" s="1"/>
  <c r="AE188" i="74"/>
  <c r="AF147" i="74"/>
  <c r="AE147" i="74"/>
  <c r="F139" i="74"/>
  <c r="V139" i="74"/>
  <c r="W139" i="74" s="1"/>
  <c r="X139" i="74" s="1"/>
  <c r="P139" i="74"/>
  <c r="Q139" i="74" s="1"/>
  <c r="R139" i="74" s="1"/>
  <c r="G226" i="78" l="1"/>
  <c r="H226" i="78" s="1"/>
  <c r="I226" i="78" s="1"/>
  <c r="G201" i="78"/>
  <c r="H201" i="78" s="1"/>
  <c r="I201" i="78" s="1"/>
  <c r="G258" i="78"/>
  <c r="H258" i="78" s="1"/>
  <c r="I258" i="78" s="1"/>
  <c r="G198" i="78"/>
  <c r="H198" i="78" s="1"/>
  <c r="I198" i="78" s="1"/>
  <c r="G223" i="78"/>
  <c r="H223" i="78" s="1"/>
  <c r="I223" i="78" s="1"/>
  <c r="G213" i="78"/>
  <c r="H213" i="78" s="1"/>
  <c r="I213" i="78" s="1"/>
  <c r="G205" i="78"/>
  <c r="H205" i="78" s="1"/>
  <c r="I205" i="78" s="1"/>
  <c r="AI133" i="67"/>
  <c r="AI133" i="68"/>
  <c r="AI140" i="67"/>
  <c r="AI140" i="68"/>
  <c r="AI135" i="67"/>
  <c r="AI135" i="68"/>
  <c r="AI167" i="67"/>
  <c r="AI167" i="68"/>
  <c r="AI69" i="67"/>
  <c r="AI69" i="68"/>
  <c r="AH140" i="67"/>
  <c r="AH140" i="68"/>
  <c r="AI101" i="67"/>
  <c r="AI101" i="68"/>
  <c r="AI174" i="67"/>
  <c r="AI174" i="68"/>
  <c r="AI159" i="67"/>
  <c r="AI159" i="68"/>
  <c r="AI58" i="67"/>
  <c r="AI58" i="68"/>
  <c r="AI123" i="67"/>
  <c r="AI123" i="68"/>
  <c r="AI141" i="67"/>
  <c r="AI141" i="68"/>
  <c r="AI139" i="67"/>
  <c r="AI139" i="68"/>
  <c r="AI68" i="67"/>
  <c r="AI68" i="68"/>
  <c r="AI71" i="67"/>
  <c r="AI71" i="68"/>
  <c r="AI170" i="67"/>
  <c r="AI170" i="68"/>
  <c r="AH167" i="67"/>
  <c r="AH167" i="68"/>
  <c r="AI97" i="67"/>
  <c r="AI97" i="68"/>
  <c r="AH71" i="67"/>
  <c r="AH71" i="68"/>
  <c r="AH37" i="67"/>
  <c r="AH54" i="67"/>
  <c r="AB106" i="74"/>
  <c r="AC106" i="74" s="1"/>
  <c r="AD106" i="74" s="1"/>
  <c r="AA114" i="74"/>
  <c r="AB114" i="74" s="1"/>
  <c r="AC114" i="74" s="1"/>
  <c r="AD114" i="74" s="1"/>
  <c r="AH101" i="68" s="1"/>
  <c r="AB139" i="74"/>
  <c r="AC139" i="74" s="1"/>
  <c r="AD139" i="74" s="1"/>
  <c r="AA147" i="74"/>
  <c r="AB147" i="74" s="1"/>
  <c r="AC147" i="74" s="1"/>
  <c r="AD147" i="74" s="1"/>
  <c r="AA153" i="74"/>
  <c r="AB153" i="74" s="1"/>
  <c r="AC153" i="74" s="1"/>
  <c r="AD153" i="74" s="1"/>
  <c r="AA71" i="74"/>
  <c r="AB71" i="74" s="1"/>
  <c r="AC71" i="74" s="1"/>
  <c r="AD71" i="74" s="1"/>
  <c r="AB170" i="74"/>
  <c r="AC170" i="74" s="1"/>
  <c r="AD170" i="74" s="1"/>
  <c r="AA173" i="74"/>
  <c r="AB173" i="74" s="1"/>
  <c r="AC173" i="74" s="1"/>
  <c r="AD173" i="74" s="1"/>
  <c r="AB61" i="74"/>
  <c r="AC61" i="74" s="1"/>
  <c r="AD61" i="74" s="1"/>
  <c r="AA82" i="74"/>
  <c r="AB82" i="74" s="1"/>
  <c r="AC82" i="74" s="1"/>
  <c r="AD82" i="74" s="1"/>
  <c r="AB128" i="74"/>
  <c r="AC128" i="74" s="1"/>
  <c r="AD128" i="74" s="1"/>
  <c r="AA136" i="74"/>
  <c r="AB136" i="74" s="1"/>
  <c r="AC136" i="74" s="1"/>
  <c r="AD136" i="74" s="1"/>
  <c r="AB79" i="74"/>
  <c r="AC79" i="74" s="1"/>
  <c r="AD79" i="74" s="1"/>
  <c r="AA81" i="74"/>
  <c r="AB81" i="74" s="1"/>
  <c r="AC81" i="74" s="1"/>
  <c r="AD81" i="74" s="1"/>
  <c r="AH68" i="68" s="1"/>
  <c r="AB141" i="74"/>
  <c r="AC141" i="74" s="1"/>
  <c r="AD141" i="74" s="1"/>
  <c r="AA149" i="74"/>
  <c r="AB149" i="74" s="1"/>
  <c r="AC149" i="74" s="1"/>
  <c r="AD149" i="74" s="1"/>
  <c r="AA155" i="74"/>
  <c r="AB155" i="74" s="1"/>
  <c r="AC155" i="74" s="1"/>
  <c r="AD155" i="74" s="1"/>
  <c r="AB191" i="74"/>
  <c r="AC191" i="74" s="1"/>
  <c r="AD191" i="74" s="1"/>
  <c r="AA188" i="74"/>
  <c r="AB188" i="74" s="1"/>
  <c r="AC188" i="74" s="1"/>
  <c r="AD188" i="74" s="1"/>
  <c r="AA184" i="74"/>
  <c r="AB184" i="74" s="1"/>
  <c r="AC184" i="74" s="1"/>
  <c r="AD184" i="74" s="1"/>
  <c r="G191" i="74"/>
  <c r="H191" i="74" s="1"/>
  <c r="G184" i="74"/>
  <c r="H184" i="74" s="1"/>
  <c r="G128" i="74"/>
  <c r="H128" i="74" s="1"/>
  <c r="G139" i="74"/>
  <c r="H139" i="74" s="1"/>
  <c r="G67" i="74"/>
  <c r="H67" i="74" s="1"/>
  <c r="G149" i="74"/>
  <c r="H149" i="74" s="1"/>
  <c r="C226" i="52"/>
  <c r="C118" i="52"/>
  <c r="C172" i="52"/>
  <c r="F152" i="74"/>
  <c r="G152" i="74" s="1"/>
  <c r="H152" i="74" s="1"/>
  <c r="F195" i="74"/>
  <c r="AB204" i="74"/>
  <c r="AC204" i="74" s="1"/>
  <c r="AD204" i="74" s="1"/>
  <c r="AB62" i="74"/>
  <c r="V152" i="74"/>
  <c r="W152" i="74" s="1"/>
  <c r="X152" i="74" s="1"/>
  <c r="V195" i="74"/>
  <c r="W195" i="74" s="1"/>
  <c r="X195" i="74" s="1"/>
  <c r="P152" i="74"/>
  <c r="Q152" i="74" s="1"/>
  <c r="R152" i="74" s="1"/>
  <c r="P195" i="74"/>
  <c r="Q195" i="74" s="1"/>
  <c r="R195" i="74" s="1"/>
  <c r="F204" i="74"/>
  <c r="G204" i="74" s="1"/>
  <c r="H204" i="74" s="1"/>
  <c r="G263" i="78" s="1"/>
  <c r="F62" i="74"/>
  <c r="G62" i="74" s="1"/>
  <c r="H62" i="74" s="1"/>
  <c r="P187" i="74"/>
  <c r="Q187" i="74" s="1"/>
  <c r="R187" i="74" s="1"/>
  <c r="AB152" i="74"/>
  <c r="AC152" i="74" s="1"/>
  <c r="AD152" i="74" s="1"/>
  <c r="AH138" i="68" s="1"/>
  <c r="AB195" i="74"/>
  <c r="AC195" i="74" s="1"/>
  <c r="AD195" i="74" s="1"/>
  <c r="AH181" i="68" s="1"/>
  <c r="AB187" i="74"/>
  <c r="AC187" i="74" s="1"/>
  <c r="AD187" i="74" s="1"/>
  <c r="AH173" i="68" s="1"/>
  <c r="P204" i="74"/>
  <c r="Q204" i="74" s="1"/>
  <c r="R204" i="74" s="1"/>
  <c r="I102" i="47" s="1"/>
  <c r="P62" i="74"/>
  <c r="Q62" i="74" s="1"/>
  <c r="R62" i="74" s="1"/>
  <c r="V204" i="74"/>
  <c r="W204" i="74" s="1"/>
  <c r="X204" i="74" s="1"/>
  <c r="I163" i="47" s="1"/>
  <c r="V62" i="74"/>
  <c r="W62" i="74" s="1"/>
  <c r="X62" i="74" s="1"/>
  <c r="V187" i="74"/>
  <c r="W187" i="74" s="1"/>
  <c r="X187" i="74" s="1"/>
  <c r="F187" i="74"/>
  <c r="AB110" i="74"/>
  <c r="AC110" i="74" s="1"/>
  <c r="AD110" i="74" s="1"/>
  <c r="AH97" i="68" s="1"/>
  <c r="AB99" i="74"/>
  <c r="AB41" i="74"/>
  <c r="AC41" i="74" s="1"/>
  <c r="AD41" i="74" s="1"/>
  <c r="AH28" i="68" s="1"/>
  <c r="AB117" i="74"/>
  <c r="AC117" i="74" s="1"/>
  <c r="AD117" i="74" s="1"/>
  <c r="AH104" i="68" s="1"/>
  <c r="V134" i="74"/>
  <c r="W134" i="74" s="1"/>
  <c r="X134" i="74" s="1"/>
  <c r="V211" i="74"/>
  <c r="W211" i="74" s="1"/>
  <c r="X211" i="74" s="1"/>
  <c r="AB134" i="74"/>
  <c r="AC134" i="74" s="1"/>
  <c r="AD134" i="74" s="1"/>
  <c r="AH121" i="68" s="1"/>
  <c r="AB211" i="74"/>
  <c r="AB177" i="74"/>
  <c r="AC177" i="74" s="1"/>
  <c r="AD177" i="74" s="1"/>
  <c r="AH163" i="68" s="1"/>
  <c r="AB103" i="74"/>
  <c r="AC103" i="74" s="1"/>
  <c r="AD103" i="74" s="1"/>
  <c r="AH90" i="68" s="1"/>
  <c r="AB25" i="74"/>
  <c r="AC25" i="74" s="1"/>
  <c r="AD25" i="74" s="1"/>
  <c r="AH12" i="68" s="1"/>
  <c r="AB205" i="74"/>
  <c r="AC205" i="74" s="1"/>
  <c r="AD205" i="74" s="1"/>
  <c r="AH191" i="68" s="1"/>
  <c r="F215" i="74"/>
  <c r="V30" i="74"/>
  <c r="W30" i="74" s="1"/>
  <c r="X30" i="74" s="1"/>
  <c r="P162" i="74"/>
  <c r="Q162" i="74" s="1"/>
  <c r="R162" i="74" s="1"/>
  <c r="P178" i="74"/>
  <c r="Q178" i="74" s="1"/>
  <c r="R178" i="74" s="1"/>
  <c r="AB105" i="74"/>
  <c r="AC105" i="74" s="1"/>
  <c r="AD105" i="74" s="1"/>
  <c r="AH92" i="68" s="1"/>
  <c r="AB203" i="74"/>
  <c r="AC203" i="74" s="1"/>
  <c r="AD203" i="74" s="1"/>
  <c r="AH189" i="68" s="1"/>
  <c r="F41" i="74"/>
  <c r="G41" i="74" s="1"/>
  <c r="H41" i="74" s="1"/>
  <c r="F117" i="74"/>
  <c r="G117" i="74" s="1"/>
  <c r="H117" i="74" s="1"/>
  <c r="P97" i="74"/>
  <c r="Q97" i="74" s="1"/>
  <c r="R97" i="74" s="1"/>
  <c r="V97" i="74"/>
  <c r="W97" i="74" s="1"/>
  <c r="X97" i="74" s="1"/>
  <c r="P107" i="74"/>
  <c r="Q107" i="74" s="1"/>
  <c r="R107" i="74" s="1"/>
  <c r="P161" i="74"/>
  <c r="Q161" i="74" s="1"/>
  <c r="R161" i="74" s="1"/>
  <c r="AB107" i="74"/>
  <c r="AC107" i="74" s="1"/>
  <c r="AD107" i="74" s="1"/>
  <c r="AH94" i="68" s="1"/>
  <c r="AB161" i="74"/>
  <c r="AC161" i="74" s="1"/>
  <c r="AD161" i="74" s="1"/>
  <c r="AH147" i="68" s="1"/>
  <c r="F25" i="74"/>
  <c r="F205" i="74"/>
  <c r="G205" i="74" s="1"/>
  <c r="H205" i="74" s="1"/>
  <c r="F220" i="74"/>
  <c r="G220" i="74" s="1"/>
  <c r="H220" i="74" s="1"/>
  <c r="F81" i="74"/>
  <c r="G81" i="74" s="1"/>
  <c r="H81" i="74" s="1"/>
  <c r="P119" i="74"/>
  <c r="Q119" i="74" s="1"/>
  <c r="R119" i="74" s="1"/>
  <c r="P143" i="74"/>
  <c r="Q143" i="74" s="1"/>
  <c r="R143" i="74" s="1"/>
  <c r="F21" i="74"/>
  <c r="G21" i="74" s="1"/>
  <c r="H21" i="74" s="1"/>
  <c r="F108" i="74"/>
  <c r="F105" i="74"/>
  <c r="G105" i="74" s="1"/>
  <c r="H105" i="74" s="1"/>
  <c r="F203" i="74"/>
  <c r="G203" i="74" s="1"/>
  <c r="H203" i="74" s="1"/>
  <c r="F56" i="74"/>
  <c r="P39" i="74"/>
  <c r="Q39" i="74" s="1"/>
  <c r="R39" i="74" s="1"/>
  <c r="P216" i="74"/>
  <c r="Q216" i="74" s="1"/>
  <c r="R216" i="74" s="1"/>
  <c r="P114" i="74"/>
  <c r="Q114" i="74" s="1"/>
  <c r="R114" i="74" s="1"/>
  <c r="P131" i="74"/>
  <c r="Q131" i="74" s="1"/>
  <c r="R131" i="74" s="1"/>
  <c r="F177" i="74"/>
  <c r="F103" i="74"/>
  <c r="G103" i="74" s="1"/>
  <c r="H103" i="74" s="1"/>
  <c r="AB220" i="74"/>
  <c r="AC220" i="74" s="1"/>
  <c r="AD220" i="74" s="1"/>
  <c r="AH206" i="68" s="1"/>
  <c r="F119" i="74"/>
  <c r="G119" i="74" s="1"/>
  <c r="H119" i="74" s="1"/>
  <c r="F143" i="74"/>
  <c r="G143" i="74" s="1"/>
  <c r="H143" i="74" s="1"/>
  <c r="P215" i="74"/>
  <c r="Q215" i="74" s="1"/>
  <c r="R215" i="74" s="1"/>
  <c r="AB30" i="74"/>
  <c r="AC30" i="74" s="1"/>
  <c r="AD30" i="74" s="1"/>
  <c r="AH17" i="68" s="1"/>
  <c r="F162" i="74"/>
  <c r="G162" i="74" s="1"/>
  <c r="H162" i="74" s="1"/>
  <c r="F178" i="74"/>
  <c r="AB37" i="74"/>
  <c r="AC37" i="74" s="1"/>
  <c r="AD37" i="74" s="1"/>
  <c r="AH24" i="68" s="1"/>
  <c r="V114" i="74"/>
  <c r="W114" i="74" s="1"/>
  <c r="X114" i="74" s="1"/>
  <c r="V131" i="74"/>
  <c r="W131" i="74" s="1"/>
  <c r="X131" i="74" s="1"/>
  <c r="F97" i="74"/>
  <c r="G97" i="74" s="1"/>
  <c r="H97" i="74" s="1"/>
  <c r="AB97" i="74"/>
  <c r="AC97" i="74" s="1"/>
  <c r="AD97" i="74" s="1"/>
  <c r="AH84" i="68" s="1"/>
  <c r="P177" i="74"/>
  <c r="Q177" i="74" s="1"/>
  <c r="R177" i="74" s="1"/>
  <c r="P103" i="74"/>
  <c r="Q103" i="74" s="1"/>
  <c r="R103" i="74" s="1"/>
  <c r="AB215" i="74"/>
  <c r="AC215" i="74" s="1"/>
  <c r="AD215" i="74" s="1"/>
  <c r="AH201" i="68" s="1"/>
  <c r="F30" i="74"/>
  <c r="G30" i="74" s="1"/>
  <c r="H30" i="74" s="1"/>
  <c r="AB162" i="74"/>
  <c r="AC162" i="74" s="1"/>
  <c r="AD162" i="74" s="1"/>
  <c r="AH148" i="68" s="1"/>
  <c r="AB178" i="74"/>
  <c r="AC178" i="74" s="1"/>
  <c r="AD178" i="74" s="1"/>
  <c r="AH164" i="68" s="1"/>
  <c r="AB140" i="74"/>
  <c r="AC140" i="74" s="1"/>
  <c r="AD140" i="74" s="1"/>
  <c r="AH127" i="68" s="1"/>
  <c r="AB157" i="74"/>
  <c r="AC157" i="74" s="1"/>
  <c r="AD157" i="74" s="1"/>
  <c r="AH143" i="68" s="1"/>
  <c r="V119" i="74"/>
  <c r="W119" i="74" s="1"/>
  <c r="X119" i="74" s="1"/>
  <c r="V143" i="74"/>
  <c r="W143" i="74" s="1"/>
  <c r="X143" i="74" s="1"/>
  <c r="V21" i="74"/>
  <c r="W21" i="74" s="1"/>
  <c r="X21" i="74" s="1"/>
  <c r="V108" i="74"/>
  <c r="W108" i="74" s="1"/>
  <c r="X108" i="74" s="1"/>
  <c r="AB56" i="74"/>
  <c r="AC56" i="74" s="1"/>
  <c r="AD56" i="74" s="1"/>
  <c r="AH43" i="68" s="1"/>
  <c r="P56" i="74"/>
  <c r="Q56" i="74" s="1"/>
  <c r="R56" i="74" s="1"/>
  <c r="F39" i="74"/>
  <c r="F216" i="74"/>
  <c r="P110" i="74"/>
  <c r="Q110" i="74" s="1"/>
  <c r="R110" i="74" s="1"/>
  <c r="P99" i="74"/>
  <c r="Q99" i="74" s="1"/>
  <c r="R99" i="74" s="1"/>
  <c r="F110" i="74"/>
  <c r="G110" i="74" s="1"/>
  <c r="H110" i="74" s="1"/>
  <c r="F99" i="74"/>
  <c r="P169" i="74"/>
  <c r="Q169" i="74" s="1"/>
  <c r="R169" i="74" s="1"/>
  <c r="P18" i="74"/>
  <c r="Q18" i="74" s="1"/>
  <c r="R18" i="74" s="1"/>
  <c r="AB21" i="74"/>
  <c r="AC21" i="74" s="1"/>
  <c r="AD21" i="74" s="1"/>
  <c r="AH8" i="68" s="1"/>
  <c r="AB108" i="74"/>
  <c r="AC108" i="74" s="1"/>
  <c r="AD108" i="74" s="1"/>
  <c r="AH95" i="68" s="1"/>
  <c r="F37" i="74"/>
  <c r="P21" i="74"/>
  <c r="Q21" i="74" s="1"/>
  <c r="R21" i="74" s="1"/>
  <c r="P108" i="74"/>
  <c r="Q108" i="74" s="1"/>
  <c r="R108" i="74" s="1"/>
  <c r="AB39" i="74"/>
  <c r="AC39" i="74" s="1"/>
  <c r="AD39" i="74" s="1"/>
  <c r="AH26" i="68" s="1"/>
  <c r="AB216" i="74"/>
  <c r="AC216" i="74" s="1"/>
  <c r="AD216" i="74" s="1"/>
  <c r="AH202" i="68" s="1"/>
  <c r="F169" i="74"/>
  <c r="G169" i="74" s="1"/>
  <c r="H169" i="74" s="1"/>
  <c r="F18" i="74"/>
  <c r="V41" i="74"/>
  <c r="W41" i="74" s="1"/>
  <c r="X41" i="74" s="1"/>
  <c r="V117" i="74"/>
  <c r="W117" i="74" s="1"/>
  <c r="X117" i="74" s="1"/>
  <c r="P134" i="74"/>
  <c r="Q134" i="74" s="1"/>
  <c r="R134" i="74" s="1"/>
  <c r="P211" i="74"/>
  <c r="Q211" i="74" s="1"/>
  <c r="R211" i="74" s="1"/>
  <c r="P30" i="74"/>
  <c r="Q30" i="74" s="1"/>
  <c r="R30" i="74" s="1"/>
  <c r="F140" i="74"/>
  <c r="F157" i="74"/>
  <c r="AB119" i="74"/>
  <c r="AC119" i="74" s="1"/>
  <c r="AD119" i="74" s="1"/>
  <c r="AH106" i="68" s="1"/>
  <c r="AB143" i="74"/>
  <c r="AC143" i="74" s="1"/>
  <c r="AD143" i="74" s="1"/>
  <c r="AH130" i="68" s="1"/>
  <c r="V25" i="74"/>
  <c r="W25" i="74" s="1"/>
  <c r="X25" i="74" s="1"/>
  <c r="V205" i="74"/>
  <c r="W205" i="74" s="1"/>
  <c r="X205" i="74" s="1"/>
  <c r="V215" i="74"/>
  <c r="W215" i="74" s="1"/>
  <c r="X215" i="74" s="1"/>
  <c r="P220" i="74"/>
  <c r="Q220" i="74" s="1"/>
  <c r="R220" i="74" s="1"/>
  <c r="P81" i="74"/>
  <c r="Q81" i="74" s="1"/>
  <c r="R81" i="74" s="1"/>
  <c r="V162" i="74"/>
  <c r="W162" i="74" s="1"/>
  <c r="X162" i="74" s="1"/>
  <c r="V178" i="74"/>
  <c r="W178" i="74" s="1"/>
  <c r="X178" i="74" s="1"/>
  <c r="V140" i="74"/>
  <c r="W140" i="74" s="1"/>
  <c r="X140" i="74" s="1"/>
  <c r="V157" i="74"/>
  <c r="W157" i="74" s="1"/>
  <c r="X157" i="74" s="1"/>
  <c r="V105" i="74"/>
  <c r="W105" i="74" s="1"/>
  <c r="X105" i="74" s="1"/>
  <c r="V203" i="74"/>
  <c r="W203" i="74" s="1"/>
  <c r="X203" i="74" s="1"/>
  <c r="P37" i="74"/>
  <c r="Q37" i="74" s="1"/>
  <c r="R37" i="74" s="1"/>
  <c r="V110" i="74"/>
  <c r="W110" i="74" s="1"/>
  <c r="X110" i="74" s="1"/>
  <c r="V99" i="74"/>
  <c r="W99" i="74" s="1"/>
  <c r="X99" i="74" s="1"/>
  <c r="F112" i="74"/>
  <c r="F19" i="74"/>
  <c r="G19" i="74" s="1"/>
  <c r="H19" i="74" s="1"/>
  <c r="P112" i="74"/>
  <c r="Q112" i="74" s="1"/>
  <c r="R112" i="74" s="1"/>
  <c r="P19" i="74"/>
  <c r="Q19" i="74" s="1"/>
  <c r="R19" i="74" s="1"/>
  <c r="AB169" i="74"/>
  <c r="AC169" i="74" s="1"/>
  <c r="AD169" i="74" s="1"/>
  <c r="AH155" i="68" s="1"/>
  <c r="AB18" i="74"/>
  <c r="AB131" i="74"/>
  <c r="AC131" i="74" s="1"/>
  <c r="AD131" i="74" s="1"/>
  <c r="AH118" i="68" s="1"/>
  <c r="V107" i="74"/>
  <c r="W107" i="74" s="1"/>
  <c r="X107" i="74" s="1"/>
  <c r="V161" i="74"/>
  <c r="W161" i="74" s="1"/>
  <c r="X161" i="74" s="1"/>
  <c r="F134" i="74"/>
  <c r="G134" i="74" s="1"/>
  <c r="H134" i="74" s="1"/>
  <c r="F211" i="74"/>
  <c r="G211" i="74" s="1"/>
  <c r="H211" i="74" s="1"/>
  <c r="V177" i="74"/>
  <c r="W177" i="74" s="1"/>
  <c r="X177" i="74" s="1"/>
  <c r="V103" i="74"/>
  <c r="W103" i="74" s="1"/>
  <c r="X103" i="74" s="1"/>
  <c r="F107" i="74"/>
  <c r="G107" i="74" s="1"/>
  <c r="H107" i="74" s="1"/>
  <c r="F161" i="74"/>
  <c r="P25" i="74"/>
  <c r="Q25" i="74" s="1"/>
  <c r="R25" i="74" s="1"/>
  <c r="P205" i="74"/>
  <c r="Q205" i="74" s="1"/>
  <c r="R205" i="74" s="1"/>
  <c r="V220" i="74"/>
  <c r="W220" i="74" s="1"/>
  <c r="X220" i="74" s="1"/>
  <c r="V81" i="74"/>
  <c r="W81" i="74" s="1"/>
  <c r="X81" i="74" s="1"/>
  <c r="P140" i="74"/>
  <c r="Q140" i="74" s="1"/>
  <c r="R140" i="74" s="1"/>
  <c r="P157" i="74"/>
  <c r="Q157" i="74" s="1"/>
  <c r="R157" i="74" s="1"/>
  <c r="P105" i="74"/>
  <c r="Q105" i="74" s="1"/>
  <c r="R105" i="74" s="1"/>
  <c r="P203" i="74"/>
  <c r="Q203" i="74" s="1"/>
  <c r="R203" i="74" s="1"/>
  <c r="V56" i="74"/>
  <c r="W56" i="74" s="1"/>
  <c r="X56" i="74" s="1"/>
  <c r="V37" i="74"/>
  <c r="W37" i="74" s="1"/>
  <c r="X37" i="74" s="1"/>
  <c r="V39" i="74"/>
  <c r="W39" i="74" s="1"/>
  <c r="X39" i="74" s="1"/>
  <c r="V216" i="74"/>
  <c r="W216" i="74" s="1"/>
  <c r="X216" i="74" s="1"/>
  <c r="F114" i="74"/>
  <c r="F131" i="74"/>
  <c r="G131" i="74" s="1"/>
  <c r="H131" i="74" s="1"/>
  <c r="AB112" i="74"/>
  <c r="AC112" i="74" s="1"/>
  <c r="AD112" i="74" s="1"/>
  <c r="AH99" i="68" s="1"/>
  <c r="AB19" i="74"/>
  <c r="V112" i="74"/>
  <c r="W112" i="74" s="1"/>
  <c r="X112" i="74" s="1"/>
  <c r="V19" i="74"/>
  <c r="W19" i="74" s="1"/>
  <c r="X19" i="74" s="1"/>
  <c r="V169" i="74"/>
  <c r="W169" i="74" s="1"/>
  <c r="X169" i="74" s="1"/>
  <c r="V18" i="74"/>
  <c r="W18" i="74" s="1"/>
  <c r="X18" i="74" s="1"/>
  <c r="P41" i="74"/>
  <c r="Q41" i="74" s="1"/>
  <c r="R41" i="74" s="1"/>
  <c r="P117" i="74"/>
  <c r="Q117" i="74" s="1"/>
  <c r="R117" i="74" s="1"/>
  <c r="AC240" i="74"/>
  <c r="AD240" i="74" s="1"/>
  <c r="G265" i="78" l="1"/>
  <c r="H265" i="78" s="1"/>
  <c r="I265" i="78" s="1"/>
  <c r="G132" i="78"/>
  <c r="H132" i="78" s="1"/>
  <c r="I132" i="78" s="1"/>
  <c r="G214" i="78"/>
  <c r="H214" i="78" s="1"/>
  <c r="I214" i="78" s="1"/>
  <c r="G246" i="78"/>
  <c r="H246" i="78" s="1"/>
  <c r="G264" i="78"/>
  <c r="H264" i="78" s="1"/>
  <c r="I264" i="78" s="1"/>
  <c r="G185" i="78"/>
  <c r="H185" i="78" s="1"/>
  <c r="G164" i="78"/>
  <c r="H164" i="78" s="1"/>
  <c r="I164" i="78" s="1"/>
  <c r="G230" i="78"/>
  <c r="H230" i="78" s="1"/>
  <c r="I230" i="78" s="1"/>
  <c r="D50" i="78" s="1"/>
  <c r="F50" i="78" s="1"/>
  <c r="G139" i="78"/>
  <c r="H139" i="78" s="1"/>
  <c r="I139" i="78" s="1"/>
  <c r="G129" i="78"/>
  <c r="H129" i="78" s="1"/>
  <c r="I129" i="78" s="1"/>
  <c r="G241" i="78"/>
  <c r="H241" i="78" s="1"/>
  <c r="I241" i="78" s="1"/>
  <c r="D51" i="78" s="1"/>
  <c r="F51" i="78" s="1"/>
  <c r="G152" i="78"/>
  <c r="H152" i="78" s="1"/>
  <c r="I152" i="78" s="1"/>
  <c r="G165" i="78"/>
  <c r="H165" i="78" s="1"/>
  <c r="I165" i="78" s="1"/>
  <c r="G220" i="78"/>
  <c r="H220" i="78" s="1"/>
  <c r="I220" i="78" s="1"/>
  <c r="D28" i="78" s="1"/>
  <c r="F28" i="78" s="1"/>
  <c r="G91" i="78"/>
  <c r="H91" i="78" s="1"/>
  <c r="I91" i="78" s="1"/>
  <c r="G117" i="78"/>
  <c r="H117" i="78" s="1"/>
  <c r="I117" i="78" s="1"/>
  <c r="G222" i="78"/>
  <c r="H222" i="78" s="1"/>
  <c r="I222" i="78" s="1"/>
  <c r="G128" i="78"/>
  <c r="H128" i="78" s="1"/>
  <c r="I128" i="78" s="1"/>
  <c r="G125" i="78"/>
  <c r="H125" i="78" s="1"/>
  <c r="I125" i="78" s="1"/>
  <c r="G122" i="78"/>
  <c r="H122" i="78" s="1"/>
  <c r="I122" i="78" s="1"/>
  <c r="G161" i="78"/>
  <c r="H161" i="78" s="1"/>
  <c r="I161" i="78" s="1"/>
  <c r="G172" i="78"/>
  <c r="H172" i="78" s="1"/>
  <c r="I172" i="78" s="1"/>
  <c r="G121" i="78"/>
  <c r="H121" i="78" s="1"/>
  <c r="I121" i="78" s="1"/>
  <c r="G234" i="78"/>
  <c r="H234" i="78" s="1"/>
  <c r="I234" i="78" s="1"/>
  <c r="D36" i="78" s="1"/>
  <c r="F36" i="78" s="1"/>
  <c r="G212" i="78"/>
  <c r="H212" i="78" s="1"/>
  <c r="I212" i="78" s="1"/>
  <c r="G94" i="78"/>
  <c r="H94" i="78" s="1"/>
  <c r="I94" i="78" s="1"/>
  <c r="G126" i="78"/>
  <c r="H126" i="78" s="1"/>
  <c r="I126" i="78" s="1"/>
  <c r="G158" i="78"/>
  <c r="H158" i="78" s="1"/>
  <c r="I158" i="78" s="1"/>
  <c r="G167" i="78"/>
  <c r="H167" i="78" s="1"/>
  <c r="I167" i="78" s="1"/>
  <c r="D34" i="78" s="1"/>
  <c r="F34" i="78" s="1"/>
  <c r="I8" i="47"/>
  <c r="H263" i="78"/>
  <c r="I263" i="78" s="1"/>
  <c r="AH190" i="68"/>
  <c r="I224" i="47"/>
  <c r="AH101" i="67"/>
  <c r="AH156" i="67"/>
  <c r="AH156" i="68"/>
  <c r="AH177" i="67"/>
  <c r="AH177" i="68"/>
  <c r="AH141" i="67"/>
  <c r="AH141" i="68"/>
  <c r="AH159" i="67"/>
  <c r="AH159" i="68"/>
  <c r="AH135" i="67"/>
  <c r="AH135" i="68"/>
  <c r="AH128" i="67"/>
  <c r="AH128" i="68"/>
  <c r="AH66" i="67"/>
  <c r="AH66" i="68"/>
  <c r="AH93" i="67"/>
  <c r="AH93" i="68"/>
  <c r="AH170" i="67"/>
  <c r="AH170" i="68"/>
  <c r="AH58" i="67"/>
  <c r="AH58" i="68"/>
  <c r="AH139" i="67"/>
  <c r="AH139" i="68"/>
  <c r="AH133" i="67"/>
  <c r="AH133" i="68"/>
  <c r="AH123" i="67"/>
  <c r="AH123" i="68"/>
  <c r="AD227" i="67"/>
  <c r="AD227" i="68"/>
  <c r="AH126" i="67"/>
  <c r="AH126" i="68"/>
  <c r="AH115" i="67"/>
  <c r="AH115" i="68"/>
  <c r="AH174" i="67"/>
  <c r="AH174" i="68"/>
  <c r="AH69" i="67"/>
  <c r="AH69" i="68"/>
  <c r="AH48" i="67"/>
  <c r="AH48" i="68"/>
  <c r="AH94" i="67"/>
  <c r="AH99" i="67"/>
  <c r="AH17" i="67"/>
  <c r="AH106" i="67"/>
  <c r="AH189" i="67"/>
  <c r="AH68" i="67"/>
  <c r="AH127" i="67"/>
  <c r="AH164" i="67"/>
  <c r="AH202" i="67"/>
  <c r="AH173" i="67"/>
  <c r="AH181" i="67"/>
  <c r="AH92" i="67"/>
  <c r="AH143" i="67"/>
  <c r="AH206" i="67"/>
  <c r="AH24" i="67"/>
  <c r="AH130" i="67"/>
  <c r="AH190" i="67"/>
  <c r="AH95" i="67"/>
  <c r="AH90" i="67"/>
  <c r="AH191" i="67"/>
  <c r="AH97" i="67"/>
  <c r="AH104" i="67"/>
  <c r="AH8" i="67"/>
  <c r="AH201" i="67"/>
  <c r="AH163" i="67"/>
  <c r="AH155" i="67"/>
  <c r="AH148" i="67"/>
  <c r="AH26" i="67"/>
  <c r="AH28" i="67"/>
  <c r="AH84" i="67"/>
  <c r="AH138" i="67"/>
  <c r="AH43" i="67"/>
  <c r="AH118" i="67"/>
  <c r="AH12" i="67"/>
  <c r="AH147" i="67"/>
  <c r="AH121" i="67"/>
  <c r="G56" i="74"/>
  <c r="H56" i="74" s="1"/>
  <c r="G215" i="74"/>
  <c r="H215" i="74" s="1"/>
  <c r="G187" i="74"/>
  <c r="H187" i="74" s="1"/>
  <c r="G112" i="74"/>
  <c r="H112" i="74" s="1"/>
  <c r="G25" i="74"/>
  <c r="H25" i="74" s="1"/>
  <c r="G195" i="74"/>
  <c r="H195" i="74" s="1"/>
  <c r="G18" i="74"/>
  <c r="G99" i="74"/>
  <c r="H99" i="74" s="1"/>
  <c r="G216" i="74"/>
  <c r="H216" i="74" s="1"/>
  <c r="G108" i="74"/>
  <c r="H108" i="74" s="1"/>
  <c r="G114" i="74"/>
  <c r="H114" i="74" s="1"/>
  <c r="G37" i="74"/>
  <c r="H37" i="74" s="1"/>
  <c r="G39" i="74"/>
  <c r="H39" i="74" s="1"/>
  <c r="G157" i="74"/>
  <c r="H157" i="74" s="1"/>
  <c r="G140" i="74"/>
  <c r="H140" i="74" s="1"/>
  <c r="G177" i="74"/>
  <c r="H177" i="74" s="1"/>
  <c r="G161" i="74"/>
  <c r="H161" i="74" s="1"/>
  <c r="G178" i="74"/>
  <c r="H178" i="74" s="1"/>
  <c r="AC62" i="74"/>
  <c r="AD62" i="74" s="1"/>
  <c r="AC19" i="74"/>
  <c r="AD19" i="74" s="1"/>
  <c r="AC211" i="74"/>
  <c r="AD211" i="74" s="1"/>
  <c r="AC18" i="74"/>
  <c r="AD18" i="74" s="1"/>
  <c r="AC99" i="74"/>
  <c r="AD99" i="74" s="1"/>
  <c r="I185" i="78" l="1"/>
  <c r="I246" i="78"/>
  <c r="G89" i="78"/>
  <c r="H89" i="78" s="1"/>
  <c r="I89" i="78" s="1"/>
  <c r="G145" i="78"/>
  <c r="H145" i="78" s="1"/>
  <c r="I145" i="78" s="1"/>
  <c r="G216" i="78"/>
  <c r="H216" i="78" s="1"/>
  <c r="I216" i="78" s="1"/>
  <c r="G257" i="78"/>
  <c r="H257" i="78" s="1"/>
  <c r="G138" i="78"/>
  <c r="H138" i="78" s="1"/>
  <c r="I138" i="78" s="1"/>
  <c r="G170" i="78"/>
  <c r="H170" i="78" s="1"/>
  <c r="I170" i="78" s="1"/>
  <c r="D43" i="78" s="1"/>
  <c r="F43" i="78" s="1"/>
  <c r="G244" i="78"/>
  <c r="H244" i="78" s="1"/>
  <c r="I244" i="78" s="1"/>
  <c r="G260" i="78"/>
  <c r="H260" i="78" s="1"/>
  <c r="I260" i="78" s="1"/>
  <c r="D31" i="78" s="1"/>
  <c r="F31" i="78" s="1"/>
  <c r="G93" i="78"/>
  <c r="H93" i="78" s="1"/>
  <c r="I93" i="78" s="1"/>
  <c r="G231" i="78"/>
  <c r="H231" i="78" s="1"/>
  <c r="I231" i="78" s="1"/>
  <c r="G102" i="78"/>
  <c r="H102" i="78" s="1"/>
  <c r="I102" i="78" s="1"/>
  <c r="G162" i="78"/>
  <c r="H162" i="78" s="1"/>
  <c r="I162" i="78" s="1"/>
  <c r="G237" i="78"/>
  <c r="H237" i="78" s="1"/>
  <c r="I237" i="78" s="1"/>
  <c r="G217" i="78"/>
  <c r="H217" i="78" s="1"/>
  <c r="I217" i="78" s="1"/>
  <c r="G215" i="78"/>
  <c r="H215" i="78" s="1"/>
  <c r="G245" i="78"/>
  <c r="H245" i="78" s="1"/>
  <c r="I245" i="78" s="1"/>
  <c r="D40" i="78" s="1"/>
  <c r="F40" i="78" s="1"/>
  <c r="G114" i="78"/>
  <c r="H114" i="78" s="1"/>
  <c r="I114" i="78" s="1"/>
  <c r="D47" i="78" s="1"/>
  <c r="F47" i="78" s="1"/>
  <c r="H18" i="74"/>
  <c r="AH5" i="67"/>
  <c r="AH5" i="68"/>
  <c r="AH6" i="67"/>
  <c r="AH6" i="68"/>
  <c r="AH86" i="67"/>
  <c r="AH86" i="68"/>
  <c r="AH49" i="67"/>
  <c r="AH49" i="68"/>
  <c r="AH197" i="67"/>
  <c r="AH197" i="68"/>
  <c r="K7" i="78" l="1"/>
  <c r="L6" i="78"/>
  <c r="L7" i="78"/>
  <c r="K6" i="78"/>
  <c r="I257" i="78"/>
  <c r="D38" i="78" s="1"/>
  <c r="F38" i="78" s="1"/>
  <c r="P7" i="78"/>
  <c r="O7" i="78"/>
  <c r="I7" i="78"/>
  <c r="M7" i="78"/>
  <c r="N7" i="78"/>
  <c r="H7" i="78"/>
  <c r="J7" i="78"/>
  <c r="I215" i="78"/>
  <c r="M6" i="78"/>
  <c r="P6" i="78"/>
  <c r="J6" i="78"/>
  <c r="I6" i="78"/>
  <c r="O6" i="78"/>
  <c r="N6" i="78"/>
  <c r="H6" i="78"/>
  <c r="G160" i="78"/>
  <c r="H160" i="78" s="1"/>
  <c r="Z31" i="66"/>
  <c r="AB31" i="66" s="1"/>
  <c r="X31" i="66" s="1"/>
  <c r="Y31" i="66" s="1"/>
  <c r="I31" i="66" s="1"/>
  <c r="Z120" i="66"/>
  <c r="AB120" i="66" s="1"/>
  <c r="X120" i="66" s="1"/>
  <c r="Y120" i="66" s="1"/>
  <c r="I120" i="66" s="1"/>
  <c r="Z159" i="66"/>
  <c r="AB159" i="66" s="1"/>
  <c r="X159" i="66" s="1"/>
  <c r="Y159" i="66" s="1"/>
  <c r="I159" i="66" s="1"/>
  <c r="Z88" i="66"/>
  <c r="AB88" i="66" s="1"/>
  <c r="X88" i="66" s="1"/>
  <c r="Y88" i="66" s="1"/>
  <c r="I88" i="66" s="1"/>
  <c r="Z61" i="66"/>
  <c r="AB61" i="66" s="1"/>
  <c r="X61" i="66" s="1"/>
  <c r="Y61" i="66" s="1"/>
  <c r="I61" i="66" s="1"/>
  <c r="Z191" i="66"/>
  <c r="AB191" i="66" s="1"/>
  <c r="X191" i="66" s="1"/>
  <c r="Y191" i="66" s="1"/>
  <c r="I191" i="66" s="1"/>
  <c r="Z171" i="66"/>
  <c r="AB171" i="66" s="1"/>
  <c r="X171" i="66" s="1"/>
  <c r="Y171" i="66" s="1"/>
  <c r="I171" i="66" s="1"/>
  <c r="Z70" i="66"/>
  <c r="AB70" i="66" s="1"/>
  <c r="X70" i="66" s="1"/>
  <c r="Y70" i="66" s="1"/>
  <c r="I70" i="66" s="1"/>
  <c r="Z55" i="66"/>
  <c r="AB55" i="66" s="1"/>
  <c r="X55" i="66" s="1"/>
  <c r="Y55" i="66" s="1"/>
  <c r="I55" i="66" s="1"/>
  <c r="Z13" i="66"/>
  <c r="AB13" i="66" s="1"/>
  <c r="X13" i="66" s="1"/>
  <c r="Y13" i="66" s="1"/>
  <c r="I13" i="66" s="1"/>
  <c r="Z66" i="66"/>
  <c r="AB66" i="66" s="1"/>
  <c r="X66" i="66" s="1"/>
  <c r="Y66" i="66" s="1"/>
  <c r="I66" i="66" s="1"/>
  <c r="Z9" i="66"/>
  <c r="AB9" i="66" s="1"/>
  <c r="X9" i="66" s="1"/>
  <c r="Y9" i="66" s="1"/>
  <c r="I9" i="66" s="1"/>
  <c r="Z145" i="66"/>
  <c r="AB145" i="66" s="1"/>
  <c r="X145" i="66" s="1"/>
  <c r="Y145" i="66" s="1"/>
  <c r="I145" i="66" s="1"/>
  <c r="Z133" i="66"/>
  <c r="AB133" i="66" s="1"/>
  <c r="X133" i="66" s="1"/>
  <c r="Y133" i="66" s="1"/>
  <c r="I133" i="66" s="1"/>
  <c r="Z48" i="66"/>
  <c r="AB48" i="66" s="1"/>
  <c r="X48" i="66" s="1"/>
  <c r="Y48" i="66" s="1"/>
  <c r="I48" i="66" s="1"/>
  <c r="Z134" i="66"/>
  <c r="AB134" i="66" s="1"/>
  <c r="X134" i="66" s="1"/>
  <c r="Y134" i="66" s="1"/>
  <c r="I134" i="66" s="1"/>
  <c r="Z62" i="66"/>
  <c r="AB62" i="66" s="1"/>
  <c r="X62" i="66" s="1"/>
  <c r="Y62" i="66" s="1"/>
  <c r="I62" i="66" s="1"/>
  <c r="Z131" i="66"/>
  <c r="AB131" i="66" s="1"/>
  <c r="X131" i="66" s="1"/>
  <c r="Y131" i="66" s="1"/>
  <c r="I131" i="66" s="1"/>
  <c r="Z87" i="66"/>
  <c r="AB87" i="66" s="1"/>
  <c r="X87" i="66" s="1"/>
  <c r="Y87" i="66" s="1"/>
  <c r="I87" i="66" s="1"/>
  <c r="Z42" i="66"/>
  <c r="AB42" i="66" s="1"/>
  <c r="X42" i="66" s="1"/>
  <c r="Y42" i="66" s="1"/>
  <c r="I42" i="66" s="1"/>
  <c r="Z190" i="66"/>
  <c r="AB190" i="66" s="1"/>
  <c r="X190" i="66" s="1"/>
  <c r="Y190" i="66" s="1"/>
  <c r="I190" i="66" s="1"/>
  <c r="Z41" i="66"/>
  <c r="AB41" i="66" s="1"/>
  <c r="X41" i="66" s="1"/>
  <c r="Y41" i="66" s="1"/>
  <c r="I41" i="66" s="1"/>
  <c r="Z21" i="66"/>
  <c r="AB21" i="66" s="1"/>
  <c r="X21" i="66" s="1"/>
  <c r="Y21" i="66" s="1"/>
  <c r="I21" i="66" s="1"/>
  <c r="Z43" i="66"/>
  <c r="AB43" i="66" s="1"/>
  <c r="X43" i="66" s="1"/>
  <c r="Y43" i="66" s="1"/>
  <c r="I43" i="66" s="1"/>
  <c r="Z179" i="66"/>
  <c r="AB179" i="66" s="1"/>
  <c r="X179" i="66" s="1"/>
  <c r="Y179" i="66" s="1"/>
  <c r="I179" i="66" s="1"/>
  <c r="Z169" i="66"/>
  <c r="AB169" i="66" s="1"/>
  <c r="X169" i="66" s="1"/>
  <c r="Y169" i="66" s="1"/>
  <c r="I169" i="66" s="1"/>
  <c r="Z149" i="66"/>
  <c r="AB149" i="66" s="1"/>
  <c r="X149" i="66" s="1"/>
  <c r="Y149" i="66" s="1"/>
  <c r="I149" i="66" s="1"/>
  <c r="Z150" i="66"/>
  <c r="AB150" i="66" s="1"/>
  <c r="X150" i="66" s="1"/>
  <c r="Y150" i="66" s="1"/>
  <c r="I150" i="66" s="1"/>
  <c r="Z78" i="66"/>
  <c r="AB78" i="66" s="1"/>
  <c r="X78" i="66" s="1"/>
  <c r="Y78" i="66" s="1"/>
  <c r="I78" i="66" s="1"/>
  <c r="Z114" i="66"/>
  <c r="AB114" i="66" s="1"/>
  <c r="X114" i="66" s="1"/>
  <c r="Y114" i="66" s="1"/>
  <c r="I114" i="66" s="1"/>
  <c r="Z121" i="66"/>
  <c r="AB121" i="66" s="1"/>
  <c r="X121" i="66" s="1"/>
  <c r="Y121" i="66" s="1"/>
  <c r="I121" i="66" s="1"/>
  <c r="Z206" i="66"/>
  <c r="AB206" i="66" s="1"/>
  <c r="X206" i="66" s="1"/>
  <c r="Y206" i="66" s="1"/>
  <c r="I206" i="66" s="1"/>
  <c r="Z82" i="66"/>
  <c r="AB82" i="66" s="1"/>
  <c r="X82" i="66" s="1"/>
  <c r="Y82" i="66" s="1"/>
  <c r="I82" i="66" s="1"/>
  <c r="Z130" i="66"/>
  <c r="AB130" i="66" s="1"/>
  <c r="X130" i="66" s="1"/>
  <c r="Y130" i="66" s="1"/>
  <c r="I130" i="66" s="1"/>
  <c r="Z12" i="66"/>
  <c r="AB12" i="66" s="1"/>
  <c r="X12" i="66" s="1"/>
  <c r="Y12" i="66" s="1"/>
  <c r="I12" i="66" s="1"/>
  <c r="Z11" i="66"/>
  <c r="AB11" i="66" s="1"/>
  <c r="X11" i="66" s="1"/>
  <c r="Y11" i="66" s="1"/>
  <c r="I11" i="66" s="1"/>
  <c r="Z25" i="66"/>
  <c r="AB25" i="66" s="1"/>
  <c r="X25" i="66" s="1"/>
  <c r="Y25" i="66" s="1"/>
  <c r="I25" i="66" s="1"/>
  <c r="Z122" i="66"/>
  <c r="AB122" i="66" s="1"/>
  <c r="X122" i="66" s="1"/>
  <c r="Y122" i="66" s="1"/>
  <c r="I122" i="66" s="1"/>
  <c r="Z129" i="66"/>
  <c r="AB129" i="66" s="1"/>
  <c r="X129" i="66" s="1"/>
  <c r="Y129" i="66" s="1"/>
  <c r="I129" i="66" s="1"/>
  <c r="Z158" i="66"/>
  <c r="AB158" i="66" s="1"/>
  <c r="X158" i="66" s="1"/>
  <c r="Y158" i="66" s="1"/>
  <c r="I158" i="66" s="1"/>
  <c r="Z161" i="66"/>
  <c r="AB161" i="66" s="1"/>
  <c r="X161" i="66" s="1"/>
  <c r="Y161" i="66" s="1"/>
  <c r="I161" i="66" s="1"/>
  <c r="Z69" i="66"/>
  <c r="AB69" i="66" s="1"/>
  <c r="X69" i="66" s="1"/>
  <c r="Y69" i="66" s="1"/>
  <c r="I69" i="66" s="1"/>
  <c r="Z63" i="66"/>
  <c r="AB63" i="66" s="1"/>
  <c r="X63" i="66" s="1"/>
  <c r="Y63" i="66" s="1"/>
  <c r="I63" i="66" s="1"/>
  <c r="Z65" i="66"/>
  <c r="AB65" i="66" s="1"/>
  <c r="X65" i="66" s="1"/>
  <c r="Y65" i="66" s="1"/>
  <c r="I65" i="66" s="1"/>
  <c r="Z192" i="66"/>
  <c r="AB192" i="66" s="1"/>
  <c r="X192" i="66" s="1"/>
  <c r="Y192" i="66" s="1"/>
  <c r="I192" i="66" s="1"/>
  <c r="Z127" i="66"/>
  <c r="AB127" i="66" s="1"/>
  <c r="X127" i="66" s="1"/>
  <c r="Y127" i="66" s="1"/>
  <c r="I127" i="66" s="1"/>
  <c r="Z98" i="66"/>
  <c r="AB98" i="66" s="1"/>
  <c r="X98" i="66" s="1"/>
  <c r="Y98" i="66" s="1"/>
  <c r="I98" i="66" s="1"/>
  <c r="Z102" i="66"/>
  <c r="AB102" i="66" s="1"/>
  <c r="X102" i="66" s="1"/>
  <c r="Y102" i="66" s="1"/>
  <c r="I102" i="66" s="1"/>
  <c r="Z128" i="66"/>
  <c r="AB128" i="66" s="1"/>
  <c r="X128" i="66" s="1"/>
  <c r="Y128" i="66" s="1"/>
  <c r="I128" i="66" s="1"/>
  <c r="Z199" i="66"/>
  <c r="AB199" i="66" s="1"/>
  <c r="X199" i="66" s="1"/>
  <c r="Y199" i="66" s="1"/>
  <c r="I199" i="66" s="1"/>
  <c r="Z105" i="66"/>
  <c r="AB105" i="66" s="1"/>
  <c r="X105" i="66" s="1"/>
  <c r="Y105" i="66" s="1"/>
  <c r="I105" i="66" s="1"/>
  <c r="Z170" i="66"/>
  <c r="AB170" i="66" s="1"/>
  <c r="X170" i="66" s="1"/>
  <c r="Y170" i="66" s="1"/>
  <c r="I170" i="66" s="1"/>
  <c r="Z80" i="66"/>
  <c r="AB80" i="66" s="1"/>
  <c r="X80" i="66" s="1"/>
  <c r="Y80" i="66" s="1"/>
  <c r="I80" i="66" s="1"/>
  <c r="Z140" i="66"/>
  <c r="AB140" i="66" s="1"/>
  <c r="X140" i="66" s="1"/>
  <c r="Y140" i="66" s="1"/>
  <c r="I140" i="66" s="1"/>
  <c r="Z152" i="66"/>
  <c r="AB152" i="66" s="1"/>
  <c r="X152" i="66" s="1"/>
  <c r="Y152" i="66" s="1"/>
  <c r="I152" i="66" s="1"/>
  <c r="Z204" i="66"/>
  <c r="AB204" i="66" s="1"/>
  <c r="X204" i="66" s="1"/>
  <c r="Y204" i="66" s="1"/>
  <c r="I204" i="66" s="1"/>
  <c r="Z197" i="66"/>
  <c r="AB197" i="66" s="1"/>
  <c r="X197" i="66" s="1"/>
  <c r="Y197" i="66" s="1"/>
  <c r="I197" i="66" s="1"/>
  <c r="Z86" i="66"/>
  <c r="AB86" i="66" s="1"/>
  <c r="X86" i="66" s="1"/>
  <c r="Y86" i="66" s="1"/>
  <c r="I86" i="66" s="1"/>
  <c r="Z189" i="66"/>
  <c r="AB189" i="66" s="1"/>
  <c r="X189" i="66" s="1"/>
  <c r="Y189" i="66" s="1"/>
  <c r="I189" i="66" s="1"/>
  <c r="Z156" i="66"/>
  <c r="AB156" i="66" s="1"/>
  <c r="X156" i="66" s="1"/>
  <c r="Y156" i="66" s="1"/>
  <c r="I156" i="66" s="1"/>
  <c r="Z108" i="66"/>
  <c r="AB108" i="66" s="1"/>
  <c r="X108" i="66" s="1"/>
  <c r="Y108" i="66" s="1"/>
  <c r="I108" i="66" s="1"/>
  <c r="Z81" i="66"/>
  <c r="AB81" i="66" s="1"/>
  <c r="X81" i="66" s="1"/>
  <c r="Y81" i="66" s="1"/>
  <c r="I81" i="66" s="1"/>
  <c r="Z26" i="66"/>
  <c r="AB26" i="66" s="1"/>
  <c r="X26" i="66" s="1"/>
  <c r="Y26" i="66" s="1"/>
  <c r="I26" i="66" s="1"/>
  <c r="Z16" i="66"/>
  <c r="AB16" i="66" s="1"/>
  <c r="X16" i="66" s="1"/>
  <c r="Y16" i="66" s="1"/>
  <c r="I16" i="66" s="1"/>
  <c r="Z168" i="66"/>
  <c r="AB168" i="66" s="1"/>
  <c r="X168" i="66" s="1"/>
  <c r="Y168" i="66" s="1"/>
  <c r="I168" i="66" s="1"/>
  <c r="Z29" i="66"/>
  <c r="AB29" i="66" s="1"/>
  <c r="X29" i="66" s="1"/>
  <c r="Y29" i="66" s="1"/>
  <c r="I29" i="66" s="1"/>
  <c r="Z124" i="66"/>
  <c r="AB124" i="66" s="1"/>
  <c r="X124" i="66" s="1"/>
  <c r="Y124" i="66" s="1"/>
  <c r="I124" i="66" s="1"/>
  <c r="Z92" i="66"/>
  <c r="AB92" i="66" s="1"/>
  <c r="X92" i="66" s="1"/>
  <c r="Y92" i="66" s="1"/>
  <c r="I92" i="66" s="1"/>
  <c r="Z194" i="66"/>
  <c r="AB194" i="66" s="1"/>
  <c r="X194" i="66" s="1"/>
  <c r="Y194" i="66" s="1"/>
  <c r="I194" i="66" s="1"/>
  <c r="Z89" i="66"/>
  <c r="AB89" i="66" s="1"/>
  <c r="X89" i="66" s="1"/>
  <c r="Y89" i="66" s="1"/>
  <c r="I89" i="66" s="1"/>
  <c r="Z101" i="66"/>
  <c r="AB101" i="66" s="1"/>
  <c r="X101" i="66" s="1"/>
  <c r="Y101" i="66" s="1"/>
  <c r="I101" i="66" s="1"/>
  <c r="Z76" i="66"/>
  <c r="AB76" i="66" s="1"/>
  <c r="X76" i="66" s="1"/>
  <c r="Y76" i="66" s="1"/>
  <c r="I76" i="66" s="1"/>
  <c r="Z95" i="66"/>
  <c r="AB95" i="66" s="1"/>
  <c r="X95" i="66" s="1"/>
  <c r="Y95" i="66" s="1"/>
  <c r="I95" i="66" s="1"/>
  <c r="Z85" i="66"/>
  <c r="AB85" i="66" s="1"/>
  <c r="X85" i="66" s="1"/>
  <c r="Y85" i="66" s="1"/>
  <c r="I85" i="66" s="1"/>
  <c r="Z83" i="66"/>
  <c r="AB83" i="66" s="1"/>
  <c r="X83" i="66" s="1"/>
  <c r="Y83" i="66" s="1"/>
  <c r="I83" i="66" s="1"/>
  <c r="Z163" i="66"/>
  <c r="AB163" i="66" s="1"/>
  <c r="X163" i="66" s="1"/>
  <c r="Y163" i="66" s="1"/>
  <c r="I163" i="66" s="1"/>
  <c r="Z126" i="66"/>
  <c r="AB126" i="66" s="1"/>
  <c r="X126" i="66" s="1"/>
  <c r="Y126" i="66" s="1"/>
  <c r="I126" i="66" s="1"/>
  <c r="Z198" i="66"/>
  <c r="AB198" i="66" s="1"/>
  <c r="X198" i="66" s="1"/>
  <c r="Y198" i="66" s="1"/>
  <c r="I198" i="66" s="1"/>
  <c r="Z173" i="66"/>
  <c r="AB173" i="66" s="1"/>
  <c r="X173" i="66" s="1"/>
  <c r="Y173" i="66" s="1"/>
  <c r="I173" i="66" s="1"/>
  <c r="Z38" i="66"/>
  <c r="AB38" i="66" s="1"/>
  <c r="X38" i="66" s="1"/>
  <c r="Y38" i="66" s="1"/>
  <c r="I38" i="66" s="1"/>
  <c r="Z74" i="66"/>
  <c r="AB74" i="66" s="1"/>
  <c r="X74" i="66" s="1"/>
  <c r="Y74" i="66" s="1"/>
  <c r="I74" i="66" s="1"/>
  <c r="Z91" i="66"/>
  <c r="AB91" i="66" s="1"/>
  <c r="X91" i="66" s="1"/>
  <c r="Y91" i="66" s="1"/>
  <c r="I91" i="66" s="1"/>
  <c r="Z184" i="66"/>
  <c r="AB184" i="66" s="1"/>
  <c r="X184" i="66" s="1"/>
  <c r="Y184" i="66" s="1"/>
  <c r="I184" i="66" s="1"/>
  <c r="Z125" i="66"/>
  <c r="AB125" i="66" s="1"/>
  <c r="X125" i="66" s="1"/>
  <c r="Y125" i="66" s="1"/>
  <c r="I125" i="66" s="1"/>
  <c r="Z144" i="66"/>
  <c r="AB144" i="66" s="1"/>
  <c r="X144" i="66" s="1"/>
  <c r="Y144" i="66" s="1"/>
  <c r="I144" i="66" s="1"/>
  <c r="Z135" i="66"/>
  <c r="AB135" i="66" s="1"/>
  <c r="X135" i="66" s="1"/>
  <c r="Y135" i="66" s="1"/>
  <c r="I135" i="66" s="1"/>
  <c r="Z113" i="66"/>
  <c r="AB113" i="66" s="1"/>
  <c r="X113" i="66" s="1"/>
  <c r="Y113" i="66" s="1"/>
  <c r="I113" i="66" s="1"/>
  <c r="Z94" i="66"/>
  <c r="AB94" i="66" s="1"/>
  <c r="X94" i="66" s="1"/>
  <c r="Y94" i="66" s="1"/>
  <c r="I94" i="66" s="1"/>
  <c r="Z143" i="66"/>
  <c r="AB143" i="66" s="1"/>
  <c r="X143" i="66" s="1"/>
  <c r="Y143" i="66" s="1"/>
  <c r="I143" i="66" s="1"/>
  <c r="Z118" i="66"/>
  <c r="AB118" i="66" s="1"/>
  <c r="X118" i="66" s="1"/>
  <c r="Y118" i="66" s="1"/>
  <c r="I118" i="66" s="1"/>
  <c r="Z205" i="66"/>
  <c r="AB205" i="66" s="1"/>
  <c r="X205" i="66" s="1"/>
  <c r="Y205" i="66" s="1"/>
  <c r="I205" i="66" s="1"/>
  <c r="Z54" i="66"/>
  <c r="AB54" i="66" s="1"/>
  <c r="X54" i="66" s="1"/>
  <c r="Y54" i="66" s="1"/>
  <c r="I54" i="66" s="1"/>
  <c r="Z68" i="66"/>
  <c r="AB68" i="66" s="1"/>
  <c r="X68" i="66" s="1"/>
  <c r="Y68" i="66" s="1"/>
  <c r="I68" i="66" s="1"/>
  <c r="Z153" i="66"/>
  <c r="AB153" i="66" s="1"/>
  <c r="X153" i="66" s="1"/>
  <c r="Y153" i="66" s="1"/>
  <c r="I153" i="66" s="1"/>
  <c r="Z123" i="66"/>
  <c r="AB123" i="66" s="1"/>
  <c r="X123" i="66" s="1"/>
  <c r="Y123" i="66" s="1"/>
  <c r="I123" i="66" s="1"/>
  <c r="Z32" i="66"/>
  <c r="AB32" i="66" s="1"/>
  <c r="X32" i="66" s="1"/>
  <c r="Y32" i="66" s="1"/>
  <c r="I32" i="66" s="1"/>
  <c r="Z40" i="66"/>
  <c r="AB40" i="66" s="1"/>
  <c r="X40" i="66" s="1"/>
  <c r="Y40" i="66" s="1"/>
  <c r="I40" i="66" s="1"/>
  <c r="Z157" i="66"/>
  <c r="AB157" i="66" s="1"/>
  <c r="X157" i="66" s="1"/>
  <c r="Y157" i="66" s="1"/>
  <c r="I157" i="66" s="1"/>
  <c r="Z17" i="66"/>
  <c r="AB17" i="66" s="1"/>
  <c r="X17" i="66" s="1"/>
  <c r="Y17" i="66" s="1"/>
  <c r="I17" i="66" s="1"/>
  <c r="Z142" i="66"/>
  <c r="AB142" i="66" s="1"/>
  <c r="X142" i="66" s="1"/>
  <c r="Y142" i="66" s="1"/>
  <c r="I142" i="66" s="1"/>
  <c r="Z84" i="66"/>
  <c r="AB84" i="66" s="1"/>
  <c r="X84" i="66" s="1"/>
  <c r="Y84" i="66" s="1"/>
  <c r="I84" i="66" s="1"/>
  <c r="Z107" i="66"/>
  <c r="AB107" i="66" s="1"/>
  <c r="X107" i="66" s="1"/>
  <c r="Y107" i="66" s="1"/>
  <c r="I107" i="66" s="1"/>
  <c r="Z60" i="66"/>
  <c r="AB60" i="66" s="1"/>
  <c r="X60" i="66" s="1"/>
  <c r="Y60" i="66" s="1"/>
  <c r="I60" i="66" s="1"/>
  <c r="Z195" i="66"/>
  <c r="AB195" i="66" s="1"/>
  <c r="X195" i="66" s="1"/>
  <c r="Y195" i="66" s="1"/>
  <c r="I195" i="66" s="1"/>
  <c r="Z64" i="66"/>
  <c r="AB64" i="66" s="1"/>
  <c r="X64" i="66" s="1"/>
  <c r="Y64" i="66" s="1"/>
  <c r="I64" i="66" s="1"/>
  <c r="Z56" i="66"/>
  <c r="AB56" i="66" s="1"/>
  <c r="X56" i="66" s="1"/>
  <c r="Y56" i="66" s="1"/>
  <c r="I56" i="66" s="1"/>
  <c r="Z99" i="66"/>
  <c r="AB99" i="66" s="1"/>
  <c r="X99" i="66" s="1"/>
  <c r="Y99" i="66" s="1"/>
  <c r="I99" i="66" s="1"/>
  <c r="Z33" i="66"/>
  <c r="AB33" i="66" s="1"/>
  <c r="X33" i="66" s="1"/>
  <c r="Y33" i="66" s="1"/>
  <c r="I33" i="66" s="1"/>
  <c r="Z58" i="66"/>
  <c r="AB58" i="66" s="1"/>
  <c r="X58" i="66" s="1"/>
  <c r="Y58" i="66" s="1"/>
  <c r="I58" i="66" s="1"/>
  <c r="Z96" i="66"/>
  <c r="AB96" i="66" s="1"/>
  <c r="X96" i="66" s="1"/>
  <c r="Y96" i="66" s="1"/>
  <c r="I96" i="66" s="1"/>
  <c r="Z174" i="66"/>
  <c r="AB174" i="66" s="1"/>
  <c r="X174" i="66" s="1"/>
  <c r="Y174" i="66" s="1"/>
  <c r="I174" i="66" s="1"/>
  <c r="Z57" i="66"/>
  <c r="AB57" i="66" s="1"/>
  <c r="X57" i="66" s="1"/>
  <c r="Y57" i="66" s="1"/>
  <c r="I57" i="66" s="1"/>
  <c r="Z155" i="66"/>
  <c r="AB155" i="66" s="1"/>
  <c r="X155" i="66" s="1"/>
  <c r="Y155" i="66" s="1"/>
  <c r="I155" i="66" s="1"/>
  <c r="Z196" i="66"/>
  <c r="AB196" i="66" s="1"/>
  <c r="X196" i="66" s="1"/>
  <c r="Y196" i="66" s="1"/>
  <c r="I196" i="66" s="1"/>
  <c r="Z148" i="66"/>
  <c r="AB148" i="66" s="1"/>
  <c r="X148" i="66" s="1"/>
  <c r="Y148" i="66" s="1"/>
  <c r="I148" i="66" s="1"/>
  <c r="Z147" i="66"/>
  <c r="AB147" i="66" s="1"/>
  <c r="X147" i="66" s="1"/>
  <c r="Y147" i="66" s="1"/>
  <c r="I147" i="66" s="1"/>
  <c r="Z50" i="66"/>
  <c r="AB50" i="66" s="1"/>
  <c r="X50" i="66" s="1"/>
  <c r="Y50" i="66" s="1"/>
  <c r="I50" i="66" s="1"/>
  <c r="Z111" i="66"/>
  <c r="AB111" i="66" s="1"/>
  <c r="X111" i="66" s="1"/>
  <c r="Y111" i="66" s="1"/>
  <c r="I111" i="66" s="1"/>
  <c r="Z97" i="66"/>
  <c r="AB97" i="66" s="1"/>
  <c r="X97" i="66" s="1"/>
  <c r="Y97" i="66" s="1"/>
  <c r="I97" i="66" s="1"/>
  <c r="Z5" i="66"/>
  <c r="AB5" i="66" s="1"/>
  <c r="X5" i="66" s="1"/>
  <c r="Y5" i="66" s="1"/>
  <c r="I5" i="66" s="1"/>
  <c r="Z79" i="66"/>
  <c r="AB79" i="66" s="1"/>
  <c r="X79" i="66" s="1"/>
  <c r="Y79" i="66" s="1"/>
  <c r="I79" i="66" s="1"/>
  <c r="Z36" i="66"/>
  <c r="AB36" i="66" s="1"/>
  <c r="X36" i="66" s="1"/>
  <c r="Y36" i="66" s="1"/>
  <c r="I36" i="66" s="1"/>
  <c r="Z178" i="66"/>
  <c r="AB178" i="66" s="1"/>
  <c r="X178" i="66" s="1"/>
  <c r="Y178" i="66" s="1"/>
  <c r="I178" i="66" s="1"/>
  <c r="Z202" i="66"/>
  <c r="AB202" i="66" s="1"/>
  <c r="X202" i="66" s="1"/>
  <c r="Y202" i="66" s="1"/>
  <c r="I202" i="66" s="1"/>
  <c r="Z14" i="66"/>
  <c r="AB14" i="66" s="1"/>
  <c r="X14" i="66" s="1"/>
  <c r="Y14" i="66" s="1"/>
  <c r="I14" i="66" s="1"/>
  <c r="Z185" i="66"/>
  <c r="AB185" i="66" s="1"/>
  <c r="X185" i="66" s="1"/>
  <c r="Y185" i="66" s="1"/>
  <c r="I185" i="66" s="1"/>
  <c r="Z112" i="66"/>
  <c r="AB112" i="66" s="1"/>
  <c r="X112" i="66" s="1"/>
  <c r="Y112" i="66" s="1"/>
  <c r="I112" i="66" s="1"/>
  <c r="Z6" i="66"/>
  <c r="AB6" i="66" s="1"/>
  <c r="X6" i="66" s="1"/>
  <c r="Y6" i="66" s="1"/>
  <c r="I6" i="66" s="1"/>
  <c r="Z166" i="66"/>
  <c r="AB166" i="66" s="1"/>
  <c r="X166" i="66" s="1"/>
  <c r="Y166" i="66" s="1"/>
  <c r="I166" i="66" s="1"/>
  <c r="Z18" i="66"/>
  <c r="AB18" i="66" s="1"/>
  <c r="X18" i="66" s="1"/>
  <c r="Y18" i="66" s="1"/>
  <c r="I18" i="66" s="1"/>
  <c r="Z100" i="66"/>
  <c r="AB100" i="66" s="1"/>
  <c r="X100" i="66" s="1"/>
  <c r="Y100" i="66" s="1"/>
  <c r="I100" i="66" s="1"/>
  <c r="Z8" i="66"/>
  <c r="AB8" i="66" s="1"/>
  <c r="X8" i="66" s="1"/>
  <c r="Y8" i="66" s="1"/>
  <c r="I8" i="66" s="1"/>
  <c r="Z20" i="66"/>
  <c r="AB20" i="66" s="1"/>
  <c r="X20" i="66" s="1"/>
  <c r="Y20" i="66" s="1"/>
  <c r="I20" i="66" s="1"/>
  <c r="Z51" i="66"/>
  <c r="AB51" i="66" s="1"/>
  <c r="X51" i="66" s="1"/>
  <c r="Y51" i="66" s="1"/>
  <c r="I51" i="66" s="1"/>
  <c r="Z137" i="66"/>
  <c r="AB137" i="66" s="1"/>
  <c r="X137" i="66" s="1"/>
  <c r="Y137" i="66" s="1"/>
  <c r="I137" i="66" s="1"/>
  <c r="Z77" i="66"/>
  <c r="AB77" i="66" s="1"/>
  <c r="X77" i="66" s="1"/>
  <c r="Y77" i="66" s="1"/>
  <c r="I77" i="66" s="1"/>
  <c r="Z34" i="66"/>
  <c r="AB34" i="66" s="1"/>
  <c r="X34" i="66" s="1"/>
  <c r="Y34" i="66" s="1"/>
  <c r="I34" i="66" s="1"/>
  <c r="Z10" i="66"/>
  <c r="AB10" i="66" s="1"/>
  <c r="X10" i="66" s="1"/>
  <c r="Y10" i="66" s="1"/>
  <c r="I10" i="66" s="1"/>
  <c r="Z203" i="66"/>
  <c r="AB203" i="66" s="1"/>
  <c r="X203" i="66" s="1"/>
  <c r="Y203" i="66" s="1"/>
  <c r="I203" i="66" s="1"/>
  <c r="Z45" i="66"/>
  <c r="AB45" i="66" s="1"/>
  <c r="X45" i="66" s="1"/>
  <c r="Y45" i="66" s="1"/>
  <c r="I45" i="66" s="1"/>
  <c r="Z200" i="66"/>
  <c r="AB200" i="66" s="1"/>
  <c r="X200" i="66" s="1"/>
  <c r="Y200" i="66" s="1"/>
  <c r="I200" i="66" s="1"/>
  <c r="Z139" i="66"/>
  <c r="AB139" i="66" s="1"/>
  <c r="X139" i="66" s="1"/>
  <c r="Y139" i="66" s="1"/>
  <c r="I139" i="66" s="1"/>
  <c r="Z75" i="66"/>
  <c r="AB75" i="66" s="1"/>
  <c r="X75" i="66" s="1"/>
  <c r="Y75" i="66" s="1"/>
  <c r="I75" i="66" s="1"/>
  <c r="Z71" i="66"/>
  <c r="AB71" i="66" s="1"/>
  <c r="X71" i="66" s="1"/>
  <c r="Y71" i="66" s="1"/>
  <c r="I71" i="66" s="1"/>
  <c r="Z110" i="66"/>
  <c r="AB110" i="66" s="1"/>
  <c r="X110" i="66" s="1"/>
  <c r="Y110" i="66" s="1"/>
  <c r="I110" i="66" s="1"/>
  <c r="Z181" i="66"/>
  <c r="AB181" i="66" s="1"/>
  <c r="X181" i="66" s="1"/>
  <c r="Y181" i="66" s="1"/>
  <c r="I181" i="66" s="1"/>
  <c r="Z90" i="66"/>
  <c r="AB90" i="66" s="1"/>
  <c r="X90" i="66" s="1"/>
  <c r="Y90" i="66" s="1"/>
  <c r="I90" i="66" s="1"/>
  <c r="Z175" i="66"/>
  <c r="AB175" i="66" s="1"/>
  <c r="X175" i="66" s="1"/>
  <c r="Y175" i="66" s="1"/>
  <c r="I175" i="66" s="1"/>
  <c r="Z160" i="66"/>
  <c r="AB160" i="66" s="1"/>
  <c r="X160" i="66" s="1"/>
  <c r="Y160" i="66" s="1"/>
  <c r="I160" i="66" s="1"/>
  <c r="Z27" i="66"/>
  <c r="AB27" i="66" s="1"/>
  <c r="X27" i="66" s="1"/>
  <c r="Y27" i="66" s="1"/>
  <c r="I27" i="66" s="1"/>
  <c r="Z35" i="66"/>
  <c r="AB35" i="66" s="1"/>
  <c r="X35" i="66" s="1"/>
  <c r="Y35" i="66" s="1"/>
  <c r="I35" i="66" s="1"/>
  <c r="Z109" i="66"/>
  <c r="AB109" i="66" s="1"/>
  <c r="X109" i="66" s="1"/>
  <c r="Y109" i="66" s="1"/>
  <c r="I109" i="66" s="1"/>
  <c r="Z44" i="66"/>
  <c r="AB44" i="66" s="1"/>
  <c r="X44" i="66" s="1"/>
  <c r="Y44" i="66" s="1"/>
  <c r="I44" i="66" s="1"/>
  <c r="Z22" i="66"/>
  <c r="AB22" i="66" s="1"/>
  <c r="X22" i="66" s="1"/>
  <c r="Y22" i="66" s="1"/>
  <c r="I22" i="66" s="1"/>
  <c r="Z193" i="66"/>
  <c r="AB193" i="66" s="1"/>
  <c r="X193" i="66" s="1"/>
  <c r="Y193" i="66" s="1"/>
  <c r="I193" i="66" s="1"/>
  <c r="Z93" i="66"/>
  <c r="AB93" i="66" s="1"/>
  <c r="X93" i="66" s="1"/>
  <c r="Y93" i="66" s="1"/>
  <c r="I93" i="66" s="1"/>
  <c r="Z201" i="66"/>
  <c r="AB201" i="66" s="1"/>
  <c r="X201" i="66" s="1"/>
  <c r="Y201" i="66" s="1"/>
  <c r="I201" i="66" s="1"/>
  <c r="Z104" i="66"/>
  <c r="AB104" i="66" s="1"/>
  <c r="X104" i="66" s="1"/>
  <c r="Y104" i="66" s="1"/>
  <c r="I104" i="66" s="1"/>
  <c r="Z53" i="66"/>
  <c r="AB53" i="66" s="1"/>
  <c r="X53" i="66" s="1"/>
  <c r="Y53" i="66" s="1"/>
  <c r="I53" i="66" s="1"/>
  <c r="Z59" i="66"/>
  <c r="AB59" i="66" s="1"/>
  <c r="X59" i="66" s="1"/>
  <c r="Y59" i="66" s="1"/>
  <c r="I59" i="66" s="1"/>
  <c r="Z172" i="66"/>
  <c r="AB172" i="66" s="1"/>
  <c r="X172" i="66" s="1"/>
  <c r="Y172" i="66" s="1"/>
  <c r="I172" i="66" s="1"/>
  <c r="Z182" i="66"/>
  <c r="AB182" i="66" s="1"/>
  <c r="X182" i="66" s="1"/>
  <c r="Y182" i="66" s="1"/>
  <c r="I182" i="66" s="1"/>
  <c r="Z103" i="66"/>
  <c r="AB103" i="66" s="1"/>
  <c r="X103" i="66" s="1"/>
  <c r="Y103" i="66" s="1"/>
  <c r="I103" i="66" s="1"/>
  <c r="Z73" i="66"/>
  <c r="AB73" i="66" s="1"/>
  <c r="X73" i="66" s="1"/>
  <c r="Y73" i="66" s="1"/>
  <c r="I73" i="66" s="1"/>
  <c r="Z177" i="66"/>
  <c r="AB177" i="66" s="1"/>
  <c r="X177" i="66" s="1"/>
  <c r="Y177" i="66" s="1"/>
  <c r="I177" i="66" s="1"/>
  <c r="Z116" i="66"/>
  <c r="AB116" i="66" s="1"/>
  <c r="X116" i="66" s="1"/>
  <c r="Y116" i="66" s="1"/>
  <c r="I116" i="66" s="1"/>
  <c r="Z154" i="66"/>
  <c r="AB154" i="66" s="1"/>
  <c r="X154" i="66" s="1"/>
  <c r="Y154" i="66" s="1"/>
  <c r="I154" i="66" s="1"/>
  <c r="Z180" i="66"/>
  <c r="AB180" i="66" s="1"/>
  <c r="X180" i="66" s="1"/>
  <c r="Y180" i="66" s="1"/>
  <c r="I180" i="66" s="1"/>
  <c r="Z30" i="66"/>
  <c r="AB30" i="66" s="1"/>
  <c r="X30" i="66" s="1"/>
  <c r="Y30" i="66" s="1"/>
  <c r="I30" i="66" s="1"/>
  <c r="Z106" i="66"/>
  <c r="AB106" i="66" s="1"/>
  <c r="X106" i="66" s="1"/>
  <c r="Y106" i="66" s="1"/>
  <c r="I106" i="66" s="1"/>
  <c r="Z138" i="66"/>
  <c r="AB138" i="66" s="1"/>
  <c r="X138" i="66" s="1"/>
  <c r="Y138" i="66" s="1"/>
  <c r="I138" i="66" s="1"/>
  <c r="Z146" i="66"/>
  <c r="AB146" i="66" s="1"/>
  <c r="X146" i="66" s="1"/>
  <c r="Y146" i="66" s="1"/>
  <c r="I146" i="66" s="1"/>
  <c r="Z67" i="66"/>
  <c r="AB67" i="66" s="1"/>
  <c r="X67" i="66" s="1"/>
  <c r="Y67" i="66" s="1"/>
  <c r="I67" i="66" s="1"/>
  <c r="Z15" i="66"/>
  <c r="AB15" i="66" s="1"/>
  <c r="X15" i="66" s="1"/>
  <c r="Y15" i="66" s="1"/>
  <c r="I15" i="66" s="1"/>
  <c r="Z37" i="66"/>
  <c r="AB37" i="66" s="1"/>
  <c r="X37" i="66" s="1"/>
  <c r="Y37" i="66" s="1"/>
  <c r="I37" i="66" s="1"/>
  <c r="Z119" i="66"/>
  <c r="AB119" i="66" s="1"/>
  <c r="X119" i="66" s="1"/>
  <c r="Y119" i="66" s="1"/>
  <c r="I119" i="66" s="1"/>
  <c r="Z72" i="66"/>
  <c r="AB72" i="66" s="1"/>
  <c r="X72" i="66" s="1"/>
  <c r="Y72" i="66" s="1"/>
  <c r="I72" i="66" s="1"/>
  <c r="Z188" i="66"/>
  <c r="AB188" i="66" s="1"/>
  <c r="X188" i="66" s="1"/>
  <c r="Y188" i="66" s="1"/>
  <c r="I188" i="66" s="1"/>
  <c r="Z49" i="66"/>
  <c r="AB49" i="66" s="1"/>
  <c r="X49" i="66" s="1"/>
  <c r="Y49" i="66" s="1"/>
  <c r="I49" i="66" s="1"/>
  <c r="Z151" i="66"/>
  <c r="AB151" i="66" s="1"/>
  <c r="X151" i="66" s="1"/>
  <c r="Y151" i="66" s="1"/>
  <c r="I151" i="66" s="1"/>
  <c r="Z24" i="66"/>
  <c r="AB24" i="66" s="1"/>
  <c r="X24" i="66" s="1"/>
  <c r="Y24" i="66" s="1"/>
  <c r="I24" i="66" s="1"/>
  <c r="Z115" i="66"/>
  <c r="AB115" i="66" s="1"/>
  <c r="X115" i="66" s="1"/>
  <c r="Y115" i="66" s="1"/>
  <c r="I115" i="66" s="1"/>
  <c r="Z47" i="66"/>
  <c r="AB47" i="66" s="1"/>
  <c r="X47" i="66" s="1"/>
  <c r="Y47" i="66" s="1"/>
  <c r="I47" i="66" s="1"/>
  <c r="Z136" i="66"/>
  <c r="AB136" i="66" s="1"/>
  <c r="X136" i="66" s="1"/>
  <c r="Y136" i="66" s="1"/>
  <c r="I136" i="66" s="1"/>
  <c r="Z141" i="66"/>
  <c r="AB141" i="66" s="1"/>
  <c r="X141" i="66" s="1"/>
  <c r="Y141" i="66" s="1"/>
  <c r="I141" i="66" s="1"/>
  <c r="Z52" i="66"/>
  <c r="AB52" i="66" s="1"/>
  <c r="X52" i="66" s="1"/>
  <c r="Y52" i="66" s="1"/>
  <c r="I52" i="66" s="1"/>
  <c r="Z176" i="66"/>
  <c r="AB176" i="66" s="1"/>
  <c r="X176" i="66" s="1"/>
  <c r="Y176" i="66" s="1"/>
  <c r="I176" i="66" s="1"/>
  <c r="Z183" i="66"/>
  <c r="AB183" i="66" s="1"/>
  <c r="X183" i="66" s="1"/>
  <c r="Y183" i="66" s="1"/>
  <c r="I183" i="66" s="1"/>
  <c r="Z7" i="66"/>
  <c r="AB7" i="66" s="1"/>
  <c r="X7" i="66" s="1"/>
  <c r="Y7" i="66" s="1"/>
  <c r="I7" i="66" s="1"/>
  <c r="Z23" i="66"/>
  <c r="AB23" i="66" s="1"/>
  <c r="X23" i="66" s="1"/>
  <c r="Y23" i="66" s="1"/>
  <c r="I23" i="66" s="1"/>
  <c r="Z186" i="66"/>
  <c r="AB186" i="66" s="1"/>
  <c r="X186" i="66" s="1"/>
  <c r="Y186" i="66" s="1"/>
  <c r="I186" i="66" s="1"/>
  <c r="Z19" i="66"/>
  <c r="AB19" i="66" s="1"/>
  <c r="X19" i="66" s="1"/>
  <c r="Y19" i="66" s="1"/>
  <c r="I19" i="66" s="1"/>
  <c r="Z4" i="66"/>
  <c r="AB4" i="66" s="1"/>
  <c r="X4" i="66" s="1"/>
  <c r="Y4" i="66" s="1"/>
  <c r="I4" i="66" s="1"/>
  <c r="Z46" i="66"/>
  <c r="AB46" i="66" s="1"/>
  <c r="X46" i="66" s="1"/>
  <c r="Y46" i="66" s="1"/>
  <c r="I46" i="66" s="1"/>
  <c r="Z165" i="66"/>
  <c r="AB165" i="66" s="1"/>
  <c r="X165" i="66" s="1"/>
  <c r="Y165" i="66" s="1"/>
  <c r="I165" i="66" s="1"/>
  <c r="Z39" i="66"/>
  <c r="AB39" i="66" s="1"/>
  <c r="X39" i="66" s="1"/>
  <c r="Y39" i="66" s="1"/>
  <c r="I39" i="66" s="1"/>
  <c r="Z162" i="66"/>
  <c r="AB162" i="66" s="1"/>
  <c r="X162" i="66" s="1"/>
  <c r="Y162" i="66" s="1"/>
  <c r="I162" i="66" s="1"/>
  <c r="Z164" i="66"/>
  <c r="AB164" i="66" s="1"/>
  <c r="X164" i="66" s="1"/>
  <c r="Y164" i="66" s="1"/>
  <c r="I164" i="66" s="1"/>
  <c r="Z132" i="66"/>
  <c r="AB132" i="66" s="1"/>
  <c r="X132" i="66" s="1"/>
  <c r="Y132" i="66" s="1"/>
  <c r="I132" i="66" s="1"/>
  <c r="Z187" i="66"/>
  <c r="AB187" i="66" s="1"/>
  <c r="X187" i="66" s="1"/>
  <c r="Y187" i="66" s="1"/>
  <c r="I187" i="66" s="1"/>
  <c r="Z167" i="66"/>
  <c r="AB167" i="66" s="1"/>
  <c r="X167" i="66" s="1"/>
  <c r="Y167" i="66" s="1"/>
  <c r="I167" i="66" s="1"/>
  <c r="Z3" i="66"/>
  <c r="AB3" i="66" s="1"/>
  <c r="X3" i="66" s="1"/>
  <c r="Y3" i="66" s="1"/>
  <c r="I3" i="66" s="1"/>
  <c r="K3" i="66" s="1"/>
  <c r="M3" i="66" s="1"/>
  <c r="L5" i="78" l="1"/>
  <c r="K5" i="78"/>
  <c r="I160" i="78"/>
  <c r="N5" i="78"/>
  <c r="M5" i="78"/>
  <c r="J5" i="78"/>
  <c r="P5" i="78"/>
  <c r="H5" i="78"/>
  <c r="I5" i="78"/>
  <c r="O5" i="78"/>
  <c r="I225" i="47"/>
  <c r="F214" i="68" l="1"/>
  <c r="F55" i="68"/>
  <c r="F220" i="68"/>
  <c r="F223" i="68"/>
  <c r="F219" i="68"/>
  <c r="F217" i="68"/>
  <c r="F216" i="68"/>
  <c r="F213" i="68"/>
  <c r="F212" i="68"/>
  <c r="F215" i="68"/>
  <c r="F226" i="68"/>
  <c r="F225" i="68"/>
  <c r="F218" i="68"/>
  <c r="F227" i="68"/>
  <c r="F200" i="68"/>
  <c r="F174" i="68"/>
  <c r="F181" i="68"/>
  <c r="F152" i="68"/>
  <c r="F173" i="68"/>
  <c r="F112" i="68"/>
  <c r="F120" i="68"/>
  <c r="F179" i="68"/>
  <c r="F94" i="68"/>
  <c r="F23" i="68"/>
  <c r="F72" i="68"/>
  <c r="F3" i="68"/>
  <c r="F128" i="68"/>
  <c r="F14" i="68"/>
  <c r="F75" i="68"/>
  <c r="F201" i="68"/>
  <c r="F48" i="68"/>
  <c r="AD48" i="68" s="1"/>
  <c r="F37" i="68"/>
  <c r="F195" i="68"/>
  <c r="F202" i="68"/>
  <c r="F101" i="68"/>
  <c r="F154" i="68"/>
  <c r="F47" i="68"/>
  <c r="F177" i="68"/>
  <c r="F19" i="68"/>
  <c r="F176" i="68"/>
  <c r="F133" i="68"/>
  <c r="F7" i="68"/>
  <c r="F95" i="68"/>
  <c r="F76" i="68"/>
  <c r="F82" i="68"/>
  <c r="F99" i="68"/>
  <c r="F34" i="68"/>
  <c r="F51" i="68"/>
  <c r="F126" i="68"/>
  <c r="F182" i="68"/>
  <c r="F155" i="68"/>
  <c r="F197" i="68"/>
  <c r="F42" i="68"/>
  <c r="F178" i="68"/>
  <c r="F125" i="68"/>
  <c r="F25" i="68"/>
  <c r="F193" i="68"/>
  <c r="F199" i="68"/>
  <c r="F131" i="68"/>
  <c r="F71" i="68"/>
  <c r="F78" i="68"/>
  <c r="F64" i="68"/>
  <c r="F121" i="68"/>
  <c r="F153" i="68"/>
  <c r="F66" i="68"/>
  <c r="F93" i="68"/>
  <c r="F33" i="68"/>
  <c r="F144" i="68"/>
  <c r="F80" i="68"/>
  <c r="F180" i="68"/>
  <c r="F10" i="68"/>
  <c r="F46" i="68"/>
  <c r="F77" i="68"/>
  <c r="F21" i="68"/>
  <c r="F6" i="68"/>
  <c r="F188" i="68"/>
  <c r="F83" i="68"/>
  <c r="F84" i="68"/>
  <c r="F132" i="68"/>
  <c r="F18" i="68"/>
  <c r="F156" i="68"/>
  <c r="F160" i="68"/>
  <c r="F8" i="68"/>
  <c r="F183" i="68"/>
  <c r="F81" i="68"/>
  <c r="F127" i="68"/>
  <c r="F24" i="68"/>
  <c r="F5" i="68"/>
  <c r="F60" i="68"/>
  <c r="F97" i="68"/>
  <c r="F124" i="68"/>
  <c r="F54" i="68"/>
  <c r="F52" i="68"/>
  <c r="F205" i="68"/>
  <c r="F166" i="68"/>
  <c r="F191" i="68"/>
  <c r="F119" i="68"/>
  <c r="F68" i="68"/>
  <c r="F157" i="68"/>
  <c r="F27" i="68"/>
  <c r="F79" i="68"/>
  <c r="F69" i="68"/>
  <c r="F123" i="68"/>
  <c r="F190" i="68"/>
  <c r="F61" i="68"/>
  <c r="F49" i="68"/>
  <c r="F65" i="68"/>
  <c r="F53" i="68"/>
  <c r="F184" i="68"/>
  <c r="F206" i="68"/>
  <c r="F62" i="68"/>
  <c r="F143" i="68"/>
  <c r="F116" i="68"/>
  <c r="F164" i="68"/>
  <c r="F175" i="68"/>
  <c r="F15" i="68"/>
  <c r="F117" i="68"/>
  <c r="F165" i="68"/>
  <c r="F170" i="68"/>
  <c r="F87" i="68"/>
  <c r="F148" i="68"/>
  <c r="F85" i="68"/>
  <c r="F56" i="68"/>
  <c r="F58" i="68"/>
  <c r="F86" i="68"/>
  <c r="F30" i="68"/>
  <c r="F161" i="68"/>
  <c r="F168" i="68"/>
  <c r="F159" i="68"/>
  <c r="F22" i="68"/>
  <c r="F115" i="68"/>
  <c r="F59" i="68"/>
  <c r="F151" i="68"/>
  <c r="F88" i="68"/>
  <c r="F141" i="68"/>
  <c r="F98" i="68"/>
  <c r="F106" i="68"/>
  <c r="F41" i="68"/>
  <c r="F138" i="68"/>
  <c r="F104" i="68"/>
  <c r="F4" i="68"/>
  <c r="F92" i="68"/>
  <c r="F118" i="68"/>
  <c r="F17" i="68"/>
  <c r="F43" i="68"/>
  <c r="F89" i="68"/>
  <c r="F135" i="68"/>
  <c r="F16" i="68"/>
  <c r="F171" i="68"/>
  <c r="F189" i="68"/>
  <c r="F139" i="68"/>
  <c r="F140" i="68"/>
  <c r="F192" i="68"/>
  <c r="F39" i="68"/>
  <c r="F67" i="68"/>
  <c r="F111" i="68"/>
  <c r="F63" i="68"/>
  <c r="F36" i="68"/>
  <c r="F74" i="68"/>
  <c r="F204" i="68"/>
  <c r="F70" i="68"/>
  <c r="F162" i="68"/>
  <c r="F40" i="68"/>
  <c r="F110" i="68"/>
  <c r="F32" i="68"/>
  <c r="F12" i="68"/>
  <c r="F11" i="68"/>
  <c r="F142" i="68"/>
  <c r="F103" i="68"/>
  <c r="F28" i="68"/>
  <c r="F38" i="68"/>
  <c r="F130" i="68"/>
  <c r="F163" i="68"/>
  <c r="F137" i="68"/>
  <c r="F150" i="68"/>
  <c r="F147" i="68"/>
  <c r="F187" i="68"/>
  <c r="F45" i="68"/>
  <c r="F167" i="68"/>
  <c r="F146" i="68"/>
  <c r="F136" i="68"/>
  <c r="F169" i="68"/>
  <c r="F196" i="68"/>
  <c r="F73" i="68"/>
  <c r="F185" i="68"/>
  <c r="F194" i="68"/>
  <c r="F26" i="68"/>
  <c r="F44" i="68"/>
  <c r="F122" i="68"/>
  <c r="F96" i="68"/>
  <c r="F90" i="68"/>
  <c r="I232" i="47"/>
  <c r="I229" i="47"/>
  <c r="AD87" i="68" l="1"/>
  <c r="AD51" i="68"/>
  <c r="AD154" i="68"/>
  <c r="AD23" i="68"/>
  <c r="AD90" i="68"/>
  <c r="AD167" i="68"/>
  <c r="AD11" i="68"/>
  <c r="AD67" i="68"/>
  <c r="AD118" i="68"/>
  <c r="AD115" i="68"/>
  <c r="AD170" i="68"/>
  <c r="AD65" i="68"/>
  <c r="AD166" i="68"/>
  <c r="AD8" i="68"/>
  <c r="AD10" i="68"/>
  <c r="AD131" i="68"/>
  <c r="AD34" i="68"/>
  <c r="AD101" i="68"/>
  <c r="AD94" i="68"/>
  <c r="AD142" i="68"/>
  <c r="AD53" i="68"/>
  <c r="AD71" i="68"/>
  <c r="AD96" i="68"/>
  <c r="AD45" i="68"/>
  <c r="AD12" i="68"/>
  <c r="AD39" i="68"/>
  <c r="AD92" i="68"/>
  <c r="AD22" i="68"/>
  <c r="AD165" i="68"/>
  <c r="AD49" i="68"/>
  <c r="AD205" i="68"/>
  <c r="AD160" i="68"/>
  <c r="AD180" i="68"/>
  <c r="AD199" i="68"/>
  <c r="AD99" i="68"/>
  <c r="AD202" i="68"/>
  <c r="AD179" i="68"/>
  <c r="AD103" i="68"/>
  <c r="AD59" i="68"/>
  <c r="AD187" i="68"/>
  <c r="AD4" i="68"/>
  <c r="AD159" i="68"/>
  <c r="AD117" i="68"/>
  <c r="AD61" i="68"/>
  <c r="AD52" i="68"/>
  <c r="AD156" i="68"/>
  <c r="AD80" i="68"/>
  <c r="AD193" i="68"/>
  <c r="AD82" i="68"/>
  <c r="AD195" i="68"/>
  <c r="AD120" i="68"/>
  <c r="AD111" i="68"/>
  <c r="AD46" i="68"/>
  <c r="AD192" i="68"/>
  <c r="AD44" i="68"/>
  <c r="AD147" i="68"/>
  <c r="AD110" i="68"/>
  <c r="AD140" i="68"/>
  <c r="AD104" i="68"/>
  <c r="AD168" i="68"/>
  <c r="AD15" i="68"/>
  <c r="AD190" i="68"/>
  <c r="AD54" i="68"/>
  <c r="AD18" i="68"/>
  <c r="AD144" i="68"/>
  <c r="AD25" i="68"/>
  <c r="AD76" i="68"/>
  <c r="AD37" i="68"/>
  <c r="AD112" i="68"/>
  <c r="AD40" i="68"/>
  <c r="AD139" i="68"/>
  <c r="AD138" i="68"/>
  <c r="AD161" i="68"/>
  <c r="AD175" i="68"/>
  <c r="AD123" i="68"/>
  <c r="AD124" i="68"/>
  <c r="AD132" i="68"/>
  <c r="AD33" i="68"/>
  <c r="AD125" i="68"/>
  <c r="AD95" i="68"/>
  <c r="AG48" i="68"/>
  <c r="AD173" i="68"/>
  <c r="AD146" i="68"/>
  <c r="AD183" i="68"/>
  <c r="AD26" i="68"/>
  <c r="AD194" i="68"/>
  <c r="AD137" i="68"/>
  <c r="AD189" i="68"/>
  <c r="AD41" i="68"/>
  <c r="AD30" i="68"/>
  <c r="AD164" i="68"/>
  <c r="AD97" i="68"/>
  <c r="AD84" i="68"/>
  <c r="AD93" i="68"/>
  <c r="AD178" i="68"/>
  <c r="AD7" i="68"/>
  <c r="AD201" i="68"/>
  <c r="AD152" i="68"/>
  <c r="AD150" i="68"/>
  <c r="AD162" i="68"/>
  <c r="AD69" i="68"/>
  <c r="AD185" i="68"/>
  <c r="AD163" i="68"/>
  <c r="AD70" i="68"/>
  <c r="AD171" i="68"/>
  <c r="AD106" i="68"/>
  <c r="AD86" i="68"/>
  <c r="AD116" i="68"/>
  <c r="AD79" i="68"/>
  <c r="AD60" i="68"/>
  <c r="AD83" i="68"/>
  <c r="AD66" i="68"/>
  <c r="AD42" i="68"/>
  <c r="AD133" i="68"/>
  <c r="AD75" i="68"/>
  <c r="AD181" i="68"/>
  <c r="AD204" i="68"/>
  <c r="AD16" i="68"/>
  <c r="AD98" i="68"/>
  <c r="AD58" i="68"/>
  <c r="AD143" i="68"/>
  <c r="AD27" i="68"/>
  <c r="AD5" i="68"/>
  <c r="AD188" i="68"/>
  <c r="AD153" i="68"/>
  <c r="AD197" i="68"/>
  <c r="AD176" i="68"/>
  <c r="AD14" i="68"/>
  <c r="AD174" i="68"/>
  <c r="AD17" i="68"/>
  <c r="AD122" i="68"/>
  <c r="AD73" i="68"/>
  <c r="AD196" i="68"/>
  <c r="AD38" i="68"/>
  <c r="AD74" i="68"/>
  <c r="AD135" i="68"/>
  <c r="AD141" i="68"/>
  <c r="AD56" i="68"/>
  <c r="AD62" i="68"/>
  <c r="AD157" i="68"/>
  <c r="AD24" i="68"/>
  <c r="AD6" i="68"/>
  <c r="AD121" i="68"/>
  <c r="AD155" i="68"/>
  <c r="AD19" i="68"/>
  <c r="AD128" i="68"/>
  <c r="AD200" i="68"/>
  <c r="AD136" i="68"/>
  <c r="AD191" i="68"/>
  <c r="AD32" i="68"/>
  <c r="AD130" i="68"/>
  <c r="AD169" i="68"/>
  <c r="AD28" i="68"/>
  <c r="AD36" i="68"/>
  <c r="AD89" i="68"/>
  <c r="AD88" i="68"/>
  <c r="AD85" i="68"/>
  <c r="AD206" i="68"/>
  <c r="AD68" i="68"/>
  <c r="AD127" i="68"/>
  <c r="AD21" i="68"/>
  <c r="AD64" i="68"/>
  <c r="AD182" i="68"/>
  <c r="AD177" i="68"/>
  <c r="AD3" i="68"/>
  <c r="AD55" i="68"/>
  <c r="AD63" i="68"/>
  <c r="AD43" i="68"/>
  <c r="AD151" i="68"/>
  <c r="AD148" i="68"/>
  <c r="AD184" i="68"/>
  <c r="AD119" i="68"/>
  <c r="AD81" i="68"/>
  <c r="AD77" i="68"/>
  <c r="AD78" i="68"/>
  <c r="AD126" i="68"/>
  <c r="AD47" i="68"/>
  <c r="AD72" i="68"/>
  <c r="F146" i="67"/>
  <c r="AD146" i="67" s="1"/>
  <c r="F142" i="67"/>
  <c r="AD142" i="67" s="1"/>
  <c r="F111" i="67"/>
  <c r="AD111" i="67" s="1"/>
  <c r="F17" i="67"/>
  <c r="AD17" i="67" s="1"/>
  <c r="F59" i="67"/>
  <c r="AD59" i="67" s="1"/>
  <c r="F87" i="67"/>
  <c r="AD87" i="67" s="1"/>
  <c r="F53" i="67"/>
  <c r="AD53" i="67" s="1"/>
  <c r="F191" i="67"/>
  <c r="F183" i="67"/>
  <c r="F46" i="67"/>
  <c r="AD46" i="67" s="1"/>
  <c r="F71" i="67"/>
  <c r="AD71" i="67" s="1"/>
  <c r="F217" i="67"/>
  <c r="F51" i="67"/>
  <c r="AD51" i="67" s="1"/>
  <c r="F154" i="67"/>
  <c r="AD154" i="67" s="1"/>
  <c r="F23" i="67"/>
  <c r="AD23" i="67" s="1"/>
  <c r="F215" i="67"/>
  <c r="F67" i="67"/>
  <c r="AD67" i="67" s="1"/>
  <c r="F118" i="67"/>
  <c r="AD118" i="67" s="1"/>
  <c r="F115" i="67"/>
  <c r="AD115" i="67" s="1"/>
  <c r="F170" i="67"/>
  <c r="F65" i="67"/>
  <c r="AD65" i="67" s="1"/>
  <c r="F166" i="67"/>
  <c r="F8" i="67"/>
  <c r="AD8" i="67" s="1"/>
  <c r="F10" i="67"/>
  <c r="AD10" i="67" s="1"/>
  <c r="F131" i="67"/>
  <c r="AD131" i="67" s="1"/>
  <c r="F34" i="67"/>
  <c r="AD34" i="67" s="1"/>
  <c r="F220" i="67"/>
  <c r="F101" i="67"/>
  <c r="AD101" i="67" s="1"/>
  <c r="F94" i="67"/>
  <c r="AD94" i="67" s="1"/>
  <c r="F96" i="67"/>
  <c r="AD96" i="67" s="1"/>
  <c r="F45" i="67"/>
  <c r="AD45" i="67" s="1"/>
  <c r="F12" i="67"/>
  <c r="AD12" i="67" s="1"/>
  <c r="F39" i="67"/>
  <c r="AD39" i="67" s="1"/>
  <c r="F92" i="67"/>
  <c r="AD92" i="67" s="1"/>
  <c r="F22" i="67"/>
  <c r="AD22" i="67" s="1"/>
  <c r="F165" i="67"/>
  <c r="F49" i="67"/>
  <c r="AD49" i="67" s="1"/>
  <c r="F212" i="67"/>
  <c r="F205" i="67"/>
  <c r="F160" i="67"/>
  <c r="AD160" i="67" s="1"/>
  <c r="F180" i="67"/>
  <c r="F199" i="67"/>
  <c r="F99" i="67"/>
  <c r="AD99" i="67" s="1"/>
  <c r="F202" i="67"/>
  <c r="F179" i="67"/>
  <c r="F187" i="67"/>
  <c r="F32" i="67"/>
  <c r="AD32" i="67" s="1"/>
  <c r="F192" i="67"/>
  <c r="F4" i="67"/>
  <c r="AD4" i="67" s="1"/>
  <c r="F159" i="67"/>
  <c r="AD159" i="67" s="1"/>
  <c r="F117" i="67"/>
  <c r="AD117" i="67" s="1"/>
  <c r="F61" i="67"/>
  <c r="AD61" i="67" s="1"/>
  <c r="F52" i="67"/>
  <c r="AD52" i="67" s="1"/>
  <c r="F156" i="67"/>
  <c r="AD156" i="67" s="1"/>
  <c r="F80" i="67"/>
  <c r="AD80" i="67" s="1"/>
  <c r="F193" i="67"/>
  <c r="F82" i="67"/>
  <c r="AD82" i="67" s="1"/>
  <c r="F195" i="67"/>
  <c r="F120" i="67"/>
  <c r="AD120" i="67" s="1"/>
  <c r="F44" i="67"/>
  <c r="AD44" i="67" s="1"/>
  <c r="F147" i="67"/>
  <c r="AD147" i="67" s="1"/>
  <c r="F110" i="67"/>
  <c r="AD110" i="67" s="1"/>
  <c r="F140" i="67"/>
  <c r="AD140" i="67" s="1"/>
  <c r="F104" i="67"/>
  <c r="AD104" i="67" s="1"/>
  <c r="F168" i="67"/>
  <c r="F15" i="67"/>
  <c r="AD15" i="67" s="1"/>
  <c r="F190" i="67"/>
  <c r="F54" i="67"/>
  <c r="AD54" i="67" s="1"/>
  <c r="F18" i="67"/>
  <c r="AD18" i="67" s="1"/>
  <c r="F144" i="67"/>
  <c r="AD144" i="67" s="1"/>
  <c r="F25" i="67"/>
  <c r="AD25" i="67" s="1"/>
  <c r="F76" i="67"/>
  <c r="AD76" i="67" s="1"/>
  <c r="F37" i="67"/>
  <c r="AD37" i="67" s="1"/>
  <c r="F112" i="67"/>
  <c r="AD112" i="67" s="1"/>
  <c r="F223" i="67"/>
  <c r="F26" i="67"/>
  <c r="AD26" i="67" s="1"/>
  <c r="F150" i="67"/>
  <c r="AD150" i="67" s="1"/>
  <c r="F40" i="67"/>
  <c r="AD40" i="67" s="1"/>
  <c r="F227" i="67"/>
  <c r="F139" i="67"/>
  <c r="AD139" i="67" s="1"/>
  <c r="F226" i="67"/>
  <c r="F138" i="67"/>
  <c r="AD138" i="67" s="1"/>
  <c r="F161" i="67"/>
  <c r="AD161" i="67" s="1"/>
  <c r="F175" i="67"/>
  <c r="F123" i="67"/>
  <c r="AD123" i="67" s="1"/>
  <c r="F124" i="67"/>
  <c r="AD124" i="67" s="1"/>
  <c r="F132" i="67"/>
  <c r="AD132" i="67" s="1"/>
  <c r="F33" i="67"/>
  <c r="AD33" i="67" s="1"/>
  <c r="F125" i="67"/>
  <c r="AD125" i="67" s="1"/>
  <c r="F95" i="67"/>
  <c r="AD95" i="67" s="1"/>
  <c r="F48" i="67"/>
  <c r="AD48" i="67" s="1"/>
  <c r="F173" i="67"/>
  <c r="F194" i="67"/>
  <c r="F137" i="67"/>
  <c r="AD137" i="67" s="1"/>
  <c r="F162" i="67"/>
  <c r="F189" i="67"/>
  <c r="F41" i="67"/>
  <c r="AD41" i="67" s="1"/>
  <c r="F30" i="67"/>
  <c r="AD30" i="67" s="1"/>
  <c r="F164" i="67"/>
  <c r="F69" i="67"/>
  <c r="AD69" i="67" s="1"/>
  <c r="F216" i="67"/>
  <c r="F97" i="67"/>
  <c r="AD97" i="67" s="1"/>
  <c r="F84" i="67"/>
  <c r="AD84" i="67" s="1"/>
  <c r="F93" i="67"/>
  <c r="AD93" i="67" s="1"/>
  <c r="F178" i="67"/>
  <c r="F7" i="67"/>
  <c r="AD7" i="67" s="1"/>
  <c r="F201" i="67"/>
  <c r="F152" i="67"/>
  <c r="AD152" i="67" s="1"/>
  <c r="F122" i="67"/>
  <c r="AD122" i="67" s="1"/>
  <c r="F185" i="67"/>
  <c r="F163" i="67"/>
  <c r="F70" i="67"/>
  <c r="AD70" i="67" s="1"/>
  <c r="F171" i="67"/>
  <c r="F106" i="67"/>
  <c r="AD106" i="67" s="1"/>
  <c r="F86" i="67"/>
  <c r="AD86" i="67" s="1"/>
  <c r="F116" i="67"/>
  <c r="AD116" i="67" s="1"/>
  <c r="F79" i="67"/>
  <c r="AD79" i="67" s="1"/>
  <c r="F60" i="67"/>
  <c r="AD60" i="67" s="1"/>
  <c r="F83" i="67"/>
  <c r="AD83" i="67" s="1"/>
  <c r="F214" i="67"/>
  <c r="F66" i="67"/>
  <c r="AD66" i="67" s="1"/>
  <c r="F42" i="67"/>
  <c r="AD42" i="67" s="1"/>
  <c r="F133" i="67"/>
  <c r="AD133" i="67" s="1"/>
  <c r="F75" i="67"/>
  <c r="AD75" i="67" s="1"/>
  <c r="F181" i="67"/>
  <c r="F11" i="67"/>
  <c r="AD11" i="67" s="1"/>
  <c r="F218" i="67"/>
  <c r="F73" i="67"/>
  <c r="AD73" i="67" s="1"/>
  <c r="F130" i="67"/>
  <c r="AD130" i="67" s="1"/>
  <c r="F204" i="67"/>
  <c r="F16" i="67"/>
  <c r="AD16" i="67" s="1"/>
  <c r="F98" i="67"/>
  <c r="AD98" i="67" s="1"/>
  <c r="F58" i="67"/>
  <c r="AD58" i="67" s="1"/>
  <c r="F143" i="67"/>
  <c r="AD143" i="67" s="1"/>
  <c r="F27" i="67"/>
  <c r="AD27" i="67" s="1"/>
  <c r="F5" i="67"/>
  <c r="AD5" i="67" s="1"/>
  <c r="F188" i="67"/>
  <c r="F153" i="67"/>
  <c r="AD153" i="67" s="1"/>
  <c r="F197" i="67"/>
  <c r="F176" i="67"/>
  <c r="F14" i="67"/>
  <c r="AD14" i="67" s="1"/>
  <c r="F174" i="67"/>
  <c r="F167" i="67"/>
  <c r="F196" i="67"/>
  <c r="F38" i="67"/>
  <c r="AD38" i="67" s="1"/>
  <c r="F74" i="67"/>
  <c r="AD74" i="67" s="1"/>
  <c r="F135" i="67"/>
  <c r="AD135" i="67" s="1"/>
  <c r="F141" i="67"/>
  <c r="AD141" i="67" s="1"/>
  <c r="F56" i="67"/>
  <c r="AD56" i="67" s="1"/>
  <c r="F213" i="67"/>
  <c r="F62" i="67"/>
  <c r="AD62" i="67" s="1"/>
  <c r="F157" i="67"/>
  <c r="AD157" i="67" s="1"/>
  <c r="F24" i="67"/>
  <c r="AD24" i="67" s="1"/>
  <c r="F6" i="67"/>
  <c r="AD6" i="67" s="1"/>
  <c r="F121" i="67"/>
  <c r="AD121" i="67" s="1"/>
  <c r="F155" i="67"/>
  <c r="AD155" i="67" s="1"/>
  <c r="F19" i="67"/>
  <c r="AD19" i="67" s="1"/>
  <c r="F128" i="67"/>
  <c r="AD128" i="67" s="1"/>
  <c r="F200" i="67"/>
  <c r="F169" i="67"/>
  <c r="F28" i="67"/>
  <c r="AD28" i="67" s="1"/>
  <c r="F36" i="67"/>
  <c r="AD36" i="67" s="1"/>
  <c r="F89" i="67"/>
  <c r="AD89" i="67" s="1"/>
  <c r="F88" i="67"/>
  <c r="AD88" i="67" s="1"/>
  <c r="F85" i="67"/>
  <c r="AD85" i="67" s="1"/>
  <c r="F206" i="67"/>
  <c r="F68" i="67"/>
  <c r="AD68" i="67" s="1"/>
  <c r="F127" i="67"/>
  <c r="AD127" i="67" s="1"/>
  <c r="F21" i="67"/>
  <c r="AD21" i="67" s="1"/>
  <c r="F64" i="67"/>
  <c r="AD64" i="67" s="1"/>
  <c r="F182" i="67"/>
  <c r="F177" i="67"/>
  <c r="F3" i="67"/>
  <c r="F55" i="67"/>
  <c r="AD55" i="67" s="1"/>
  <c r="F219" i="67"/>
  <c r="F90" i="67"/>
  <c r="AD90" i="67" s="1"/>
  <c r="F225" i="67"/>
  <c r="F136" i="67"/>
  <c r="AD136" i="67" s="1"/>
  <c r="F103" i="67"/>
  <c r="AD103" i="67" s="1"/>
  <c r="F63" i="67"/>
  <c r="AD63" i="67" s="1"/>
  <c r="F43" i="67"/>
  <c r="AD43" i="67" s="1"/>
  <c r="F151" i="67"/>
  <c r="AD151" i="67" s="1"/>
  <c r="F148" i="67"/>
  <c r="AD148" i="67" s="1"/>
  <c r="F184" i="67"/>
  <c r="F119" i="67"/>
  <c r="AD119" i="67" s="1"/>
  <c r="F81" i="67"/>
  <c r="AD81" i="67" s="1"/>
  <c r="F77" i="67"/>
  <c r="AD77" i="67" s="1"/>
  <c r="F78" i="67"/>
  <c r="AD78" i="67" s="1"/>
  <c r="F126" i="67"/>
  <c r="AD126" i="67" s="1"/>
  <c r="F47" i="67"/>
  <c r="AD47" i="67" s="1"/>
  <c r="F72" i="67"/>
  <c r="AD72" i="67" s="1"/>
  <c r="F217" i="47"/>
  <c r="E152" i="47"/>
  <c r="AG65" i="68" l="1"/>
  <c r="AG63" i="68"/>
  <c r="AG89" i="68"/>
  <c r="AG121" i="68"/>
  <c r="AG122" i="68"/>
  <c r="AG98" i="68"/>
  <c r="AG86" i="68"/>
  <c r="AG178" i="68"/>
  <c r="AG146" i="68"/>
  <c r="AG139" i="68"/>
  <c r="AG104" i="68"/>
  <c r="AG80" i="68"/>
  <c r="AG99" i="68"/>
  <c r="AG96" i="68"/>
  <c r="AG170" i="68"/>
  <c r="AG43" i="68"/>
  <c r="AG193" i="68"/>
  <c r="AG72" i="68"/>
  <c r="AG55" i="68"/>
  <c r="AG36" i="68"/>
  <c r="AG17" i="68"/>
  <c r="AG16" i="68"/>
  <c r="AG106" i="68"/>
  <c r="AG93" i="68"/>
  <c r="AG173" i="68"/>
  <c r="AG40" i="68"/>
  <c r="AG140" i="68"/>
  <c r="AG156" i="68"/>
  <c r="AG199" i="68"/>
  <c r="AG71" i="68"/>
  <c r="AG115" i="68"/>
  <c r="AG45" i="68"/>
  <c r="AG47" i="68"/>
  <c r="AG28" i="68"/>
  <c r="AG24" i="68"/>
  <c r="AG174" i="68"/>
  <c r="AG204" i="68"/>
  <c r="AG171" i="68"/>
  <c r="AG84" i="68"/>
  <c r="AG112" i="68"/>
  <c r="AG110" i="68"/>
  <c r="AG52" i="68"/>
  <c r="AG180" i="68"/>
  <c r="AG53" i="68"/>
  <c r="AG118" i="68"/>
  <c r="AG202" i="68"/>
  <c r="AG126" i="68"/>
  <c r="AG177" i="68"/>
  <c r="AG169" i="68"/>
  <c r="AG157" i="68"/>
  <c r="AG14" i="68"/>
  <c r="AG181" i="68"/>
  <c r="AG70" i="68"/>
  <c r="AG97" i="68"/>
  <c r="AG95" i="68"/>
  <c r="AG37" i="68"/>
  <c r="AG147" i="68"/>
  <c r="AG61" i="68"/>
  <c r="AG160" i="68"/>
  <c r="AG142" i="68"/>
  <c r="AG67" i="68"/>
  <c r="AG168" i="68"/>
  <c r="AG78" i="68"/>
  <c r="AG182" i="68"/>
  <c r="AG130" i="68"/>
  <c r="AG62" i="68"/>
  <c r="AG176" i="68"/>
  <c r="AG75" i="68"/>
  <c r="AG163" i="68"/>
  <c r="AG164" i="68"/>
  <c r="AG125" i="68"/>
  <c r="AG76" i="68"/>
  <c r="AG44" i="68"/>
  <c r="AG117" i="68"/>
  <c r="AG205" i="68"/>
  <c r="AG94" i="68"/>
  <c r="AG11" i="68"/>
  <c r="AG138" i="68"/>
  <c r="AG77" i="68"/>
  <c r="AG64" i="68"/>
  <c r="AG32" i="68"/>
  <c r="AG56" i="68"/>
  <c r="AG197" i="68"/>
  <c r="AG133" i="68"/>
  <c r="AG185" i="68"/>
  <c r="AG30" i="68"/>
  <c r="AG33" i="68"/>
  <c r="AG25" i="68"/>
  <c r="AG192" i="68"/>
  <c r="AG159" i="68"/>
  <c r="AG49" i="68"/>
  <c r="AG101" i="68"/>
  <c r="AG167" i="68"/>
  <c r="AG183" i="68"/>
  <c r="AG81" i="68"/>
  <c r="AG21" i="68"/>
  <c r="AG191" i="68"/>
  <c r="AG141" i="68"/>
  <c r="AG153" i="68"/>
  <c r="AG42" i="68"/>
  <c r="AG69" i="68"/>
  <c r="AG41" i="68"/>
  <c r="AG132" i="68"/>
  <c r="AG144" i="68"/>
  <c r="AG46" i="68"/>
  <c r="AG165" i="68"/>
  <c r="AG34" i="68"/>
  <c r="AG90" i="68"/>
  <c r="AG7" i="68"/>
  <c r="AG119" i="68"/>
  <c r="AG127" i="68"/>
  <c r="AG136" i="68"/>
  <c r="AG135" i="68"/>
  <c r="AG188" i="68"/>
  <c r="AG66" i="68"/>
  <c r="AG162" i="68"/>
  <c r="AG189" i="68"/>
  <c r="AG124" i="68"/>
  <c r="AG18" i="68"/>
  <c r="AG111" i="68"/>
  <c r="AG187" i="68"/>
  <c r="AG22" i="68"/>
  <c r="AG131" i="68"/>
  <c r="AG23" i="68"/>
  <c r="AG116" i="68"/>
  <c r="AG184" i="68"/>
  <c r="AG68" i="68"/>
  <c r="AG200" i="68"/>
  <c r="AG74" i="68"/>
  <c r="AG83" i="68"/>
  <c r="AG150" i="68"/>
  <c r="AG137" i="68"/>
  <c r="AG123" i="68"/>
  <c r="AG54" i="68"/>
  <c r="AG120" i="68"/>
  <c r="AG59" i="68"/>
  <c r="AG92" i="68"/>
  <c r="AG10" i="68"/>
  <c r="AG154" i="68"/>
  <c r="AG73" i="68"/>
  <c r="AG148" i="68"/>
  <c r="AG206" i="68"/>
  <c r="AG128" i="68"/>
  <c r="AG38" i="68"/>
  <c r="AG27" i="68"/>
  <c r="AG60" i="68"/>
  <c r="AG152" i="68"/>
  <c r="AG194" i="68"/>
  <c r="AG175" i="68"/>
  <c r="AG190" i="68"/>
  <c r="AG195" i="68"/>
  <c r="AG103" i="68"/>
  <c r="AG39" i="68"/>
  <c r="AG8" i="68"/>
  <c r="AG51" i="68"/>
  <c r="AG88" i="68"/>
  <c r="AG155" i="68"/>
  <c r="AG58" i="68"/>
  <c r="AG151" i="68"/>
  <c r="AG85" i="68"/>
  <c r="AG19" i="68"/>
  <c r="AG196" i="68"/>
  <c r="AG143" i="68"/>
  <c r="AG79" i="68"/>
  <c r="AG201" i="68"/>
  <c r="AG26" i="68"/>
  <c r="AG161" i="68"/>
  <c r="AG15" i="68"/>
  <c r="AG82" i="68"/>
  <c r="AG179" i="68"/>
  <c r="AG12" i="68"/>
  <c r="AG166" i="68"/>
  <c r="AG87" i="68"/>
  <c r="AG6" i="68"/>
  <c r="AG5" i="68"/>
  <c r="AG4" i="68"/>
  <c r="AG3" i="68"/>
  <c r="AD3" i="67"/>
  <c r="E105" i="47" l="1"/>
  <c r="I105" i="47" s="1"/>
  <c r="E104" i="47"/>
  <c r="I108" i="47" s="1"/>
  <c r="E103" i="47"/>
  <c r="I101" i="47" s="1"/>
  <c r="K216" i="66"/>
  <c r="M216" i="66" s="1"/>
  <c r="O216" i="66" s="1"/>
  <c r="AC216" i="66" s="1"/>
  <c r="K143" i="66"/>
  <c r="M143" i="66" s="1"/>
  <c r="AE143" i="66" s="1"/>
  <c r="K66" i="66"/>
  <c r="M66" i="66" s="1"/>
  <c r="AE66" i="66" s="1"/>
  <c r="K32" i="66"/>
  <c r="M32" i="66" s="1"/>
  <c r="AE32" i="66" s="1"/>
  <c r="K76" i="66" l="1"/>
  <c r="M76" i="66" s="1"/>
  <c r="AE76" i="66" s="1"/>
  <c r="AD135" i="66"/>
  <c r="AG135" i="66" s="1"/>
  <c r="AC116" i="66"/>
  <c r="AF116" i="66" s="1"/>
  <c r="AD125" i="66"/>
  <c r="AG125" i="66" s="1"/>
  <c r="K152" i="66"/>
  <c r="M152" i="66" s="1"/>
  <c r="AE152" i="66" s="1"/>
  <c r="AG64" i="67"/>
  <c r="K64" i="66"/>
  <c r="M64" i="66" s="1"/>
  <c r="AE64" i="66" s="1"/>
  <c r="K153" i="66"/>
  <c r="M153" i="66" s="1"/>
  <c r="AE153" i="66" s="1"/>
  <c r="K54" i="66"/>
  <c r="M54" i="66" s="1"/>
  <c r="AE54" i="66" s="1"/>
  <c r="K190" i="66"/>
  <c r="M190" i="66" s="1"/>
  <c r="AE190" i="66" s="1"/>
  <c r="K150" i="66"/>
  <c r="M150" i="66" s="1"/>
  <c r="AE150" i="66" s="1"/>
  <c r="AG150" i="67"/>
  <c r="K206" i="66"/>
  <c r="M206" i="66" s="1"/>
  <c r="AE206" i="66" s="1"/>
  <c r="AG88" i="67"/>
  <c r="K138" i="66"/>
  <c r="M138" i="66" s="1"/>
  <c r="AE138" i="66" s="1"/>
  <c r="K88" i="66"/>
  <c r="M88" i="66" s="1"/>
  <c r="AE88" i="66" s="1"/>
  <c r="K212" i="66"/>
  <c r="M212" i="66" s="1"/>
  <c r="O212" i="66" s="1"/>
  <c r="AC212" i="66" s="1"/>
  <c r="K131" i="66"/>
  <c r="M131" i="66" s="1"/>
  <c r="AE131" i="66" s="1"/>
  <c r="K12" i="66"/>
  <c r="M12" i="66" s="1"/>
  <c r="AE12" i="66" s="1"/>
  <c r="AD136" i="66"/>
  <c r="AG136" i="66" s="1"/>
  <c r="AG136" i="67"/>
  <c r="K43" i="66"/>
  <c r="M43" i="66" s="1"/>
  <c r="AE43" i="66" s="1"/>
  <c r="K215" i="66"/>
  <c r="M215" i="66" s="1"/>
  <c r="O215" i="66" s="1"/>
  <c r="AC215" i="66" s="1"/>
  <c r="AC47" i="66"/>
  <c r="AF47" i="66" s="1"/>
  <c r="AD183" i="67"/>
  <c r="AG183" i="67" s="1"/>
  <c r="AD38" i="66"/>
  <c r="AG38" i="66" s="1"/>
  <c r="AD37" i="66"/>
  <c r="AG37" i="66" s="1"/>
  <c r="AC178" i="66"/>
  <c r="AF178" i="66" s="1"/>
  <c r="K163" i="66"/>
  <c r="M163" i="66" s="1"/>
  <c r="AE163" i="66" s="1"/>
  <c r="K119" i="66"/>
  <c r="M119" i="66" s="1"/>
  <c r="AE119" i="66" s="1"/>
  <c r="K11" i="66"/>
  <c r="M11" i="66" s="1"/>
  <c r="AE11" i="66" s="1"/>
  <c r="AD181" i="67"/>
  <c r="AG181" i="67" s="1"/>
  <c r="K123" i="66"/>
  <c r="M123" i="66" s="1"/>
  <c r="AE123" i="66" s="1"/>
  <c r="AG119" i="67"/>
  <c r="K15" i="66"/>
  <c r="M15" i="66" s="1"/>
  <c r="AE15" i="66" s="1"/>
  <c r="AD46" i="66"/>
  <c r="AG46" i="66" s="1"/>
  <c r="K71" i="66"/>
  <c r="M71" i="66" s="1"/>
  <c r="AE71" i="66" s="1"/>
  <c r="K224" i="66"/>
  <c r="M224" i="66" s="1"/>
  <c r="O224" i="66" s="1"/>
  <c r="AC224" i="66" s="1"/>
  <c r="K104" i="66"/>
  <c r="M104" i="66" s="1"/>
  <c r="AE104" i="66" s="1"/>
  <c r="AG104" i="67"/>
  <c r="K177" i="66"/>
  <c r="M177" i="66" s="1"/>
  <c r="AE177" i="66" s="1"/>
  <c r="K217" i="66"/>
  <c r="M217" i="66" s="1"/>
  <c r="O217" i="66" s="1"/>
  <c r="AC217" i="66" s="1"/>
  <c r="K79" i="66"/>
  <c r="M79" i="66" s="1"/>
  <c r="AE79" i="66" s="1"/>
  <c r="AC185" i="66"/>
  <c r="AF185" i="66" s="1"/>
  <c r="K51" i="66"/>
  <c r="M51" i="66" s="1"/>
  <c r="AE51" i="66" s="1"/>
  <c r="AD184" i="67"/>
  <c r="AG184" i="67" s="1"/>
  <c r="AC184" i="66"/>
  <c r="AF184" i="66" s="1"/>
  <c r="AD49" i="66"/>
  <c r="AG49" i="66" s="1"/>
  <c r="AD5" i="66"/>
  <c r="AG5" i="66" s="1"/>
  <c r="K140" i="66"/>
  <c r="M140" i="66" s="1"/>
  <c r="AE140" i="66" s="1"/>
  <c r="AG5" i="67"/>
  <c r="K68" i="66"/>
  <c r="M68" i="66" s="1"/>
  <c r="AE68" i="66" s="1"/>
  <c r="AD167" i="67"/>
  <c r="AG167" i="67" s="1"/>
  <c r="AC155" i="66"/>
  <c r="AF155" i="66" s="1"/>
  <c r="AD130" i="66"/>
  <c r="AG130" i="66" s="1"/>
  <c r="AC167" i="66"/>
  <c r="AF167" i="66" s="1"/>
  <c r="AG42" i="67"/>
  <c r="AC128" i="66"/>
  <c r="AF128" i="66" s="1"/>
  <c r="K4" i="66"/>
  <c r="M4" i="66" s="1"/>
  <c r="AE4" i="66" s="1"/>
  <c r="K159" i="66"/>
  <c r="M159" i="66" s="1"/>
  <c r="AE159" i="66" s="1"/>
  <c r="K218" i="66"/>
  <c r="M218" i="66" s="1"/>
  <c r="O218" i="66" s="1"/>
  <c r="AC218" i="66" s="1"/>
  <c r="K85" i="66"/>
  <c r="M85" i="66" s="1"/>
  <c r="AE85" i="66" s="1"/>
  <c r="AG68" i="67"/>
  <c r="K171" i="66"/>
  <c r="M171" i="66" s="1"/>
  <c r="AE171" i="66" s="1"/>
  <c r="K225" i="66"/>
  <c r="M225" i="66" s="1"/>
  <c r="O225" i="66" s="1"/>
  <c r="AC225" i="66" s="1"/>
  <c r="AD22" i="66"/>
  <c r="AG22" i="66" s="1"/>
  <c r="K222" i="66"/>
  <c r="M222" i="66" s="1"/>
  <c r="O222" i="66" s="1"/>
  <c r="AC222" i="66" s="1"/>
  <c r="AC111" i="66"/>
  <c r="AF111" i="66" s="1"/>
  <c r="K94" i="66"/>
  <c r="M94" i="66" s="1"/>
  <c r="AE94" i="66" s="1"/>
  <c r="AG4" i="67"/>
  <c r="K65" i="66"/>
  <c r="M65" i="66" s="1"/>
  <c r="AE65" i="66" s="1"/>
  <c r="AG126" i="67"/>
  <c r="K48" i="66"/>
  <c r="M48" i="66" s="1"/>
  <c r="AE48" i="66" s="1"/>
  <c r="K40" i="66"/>
  <c r="M40" i="66" s="1"/>
  <c r="AE40" i="66" s="1"/>
  <c r="K121" i="66"/>
  <c r="M121" i="66" s="1"/>
  <c r="AE121" i="66" s="1"/>
  <c r="AG83" i="67"/>
  <c r="AG93" i="67"/>
  <c r="AG95" i="67"/>
  <c r="K83" i="66"/>
  <c r="M83" i="66" s="1"/>
  <c r="AE83" i="66" s="1"/>
  <c r="AG159" i="67"/>
  <c r="AC70" i="66"/>
  <c r="AF70" i="66" s="1"/>
  <c r="AC168" i="66"/>
  <c r="AF168" i="66" s="1"/>
  <c r="K37" i="66"/>
  <c r="M37" i="66" s="1"/>
  <c r="AE37" i="66" s="1"/>
  <c r="AC99" i="66"/>
  <c r="AF99" i="66" s="1"/>
  <c r="AC37" i="66"/>
  <c r="AF37" i="66" s="1"/>
  <c r="AG99" i="67"/>
  <c r="AC56" i="66"/>
  <c r="AF56" i="66" s="1"/>
  <c r="AD96" i="66"/>
  <c r="AG96" i="66" s="1"/>
  <c r="AG147" i="67"/>
  <c r="AC58" i="66"/>
  <c r="AF58" i="66" s="1"/>
  <c r="AD195" i="66"/>
  <c r="AG195" i="66" s="1"/>
  <c r="AG148" i="67"/>
  <c r="AD147" i="66"/>
  <c r="AG147" i="66" s="1"/>
  <c r="K120" i="66"/>
  <c r="M120" i="66" s="1"/>
  <c r="AE120" i="66" s="1"/>
  <c r="AC97" i="66"/>
  <c r="AF97" i="66" s="1"/>
  <c r="K196" i="66"/>
  <c r="M196" i="66" s="1"/>
  <c r="AE196" i="66" s="1"/>
  <c r="AD196" i="66"/>
  <c r="AG196" i="66" s="1"/>
  <c r="AC196" i="66"/>
  <c r="AF196" i="66" s="1"/>
  <c r="K174" i="66"/>
  <c r="M174" i="66" s="1"/>
  <c r="AE174" i="66" s="1"/>
  <c r="AD174" i="66"/>
  <c r="AG174" i="66" s="1"/>
  <c r="AC174" i="66"/>
  <c r="AF174" i="66" s="1"/>
  <c r="AG111" i="67"/>
  <c r="AG155" i="67"/>
  <c r="AC148" i="66"/>
  <c r="AF148" i="66" s="1"/>
  <c r="K148" i="66"/>
  <c r="M148" i="66" s="1"/>
  <c r="AE148" i="66" s="1"/>
  <c r="AD148" i="66"/>
  <c r="AG148" i="66" s="1"/>
  <c r="AD174" i="67"/>
  <c r="AG174" i="67" s="1"/>
  <c r="AG60" i="67"/>
  <c r="AD196" i="67"/>
  <c r="AG196" i="67" s="1"/>
  <c r="K60" i="66"/>
  <c r="M60" i="66" s="1"/>
  <c r="AE60" i="66" s="1"/>
  <c r="AC60" i="66"/>
  <c r="AF60" i="66" s="1"/>
  <c r="AD60" i="66"/>
  <c r="AG60" i="66" s="1"/>
  <c r="AG97" i="67"/>
  <c r="AC133" i="66"/>
  <c r="AF133" i="66" s="1"/>
  <c r="AC193" i="66"/>
  <c r="AF193" i="66" s="1"/>
  <c r="AD193" i="66"/>
  <c r="AG193" i="66" s="1"/>
  <c r="K193" i="66"/>
  <c r="M193" i="66" s="1"/>
  <c r="AE193" i="66" s="1"/>
  <c r="K200" i="66"/>
  <c r="M200" i="66" s="1"/>
  <c r="AE200" i="66" s="1"/>
  <c r="AD200" i="66"/>
  <c r="AG200" i="66" s="1"/>
  <c r="AC200" i="66"/>
  <c r="AF200" i="66" s="1"/>
  <c r="AG138" i="67"/>
  <c r="K53" i="66"/>
  <c r="M53" i="66" s="1"/>
  <c r="AE53" i="66" s="1"/>
  <c r="AC53" i="66"/>
  <c r="AF53" i="66" s="1"/>
  <c r="AD53" i="66"/>
  <c r="AG53" i="66" s="1"/>
  <c r="K112" i="66"/>
  <c r="M112" i="66" s="1"/>
  <c r="AE112" i="66" s="1"/>
  <c r="AD112" i="66"/>
  <c r="AG112" i="66" s="1"/>
  <c r="AC112" i="66"/>
  <c r="AF112" i="66" s="1"/>
  <c r="AD25" i="66"/>
  <c r="AG25" i="66" s="1"/>
  <c r="AG78" i="67"/>
  <c r="AG15" i="67"/>
  <c r="K59" i="66"/>
  <c r="M59" i="66" s="1"/>
  <c r="AE59" i="66" s="1"/>
  <c r="AD59" i="66"/>
  <c r="AG59" i="66" s="1"/>
  <c r="AC59" i="66"/>
  <c r="AF59" i="66" s="1"/>
  <c r="AD201" i="67"/>
  <c r="AG201" i="67" s="1"/>
  <c r="K202" i="66"/>
  <c r="M202" i="66" s="1"/>
  <c r="AE202" i="66" s="1"/>
  <c r="AC202" i="66"/>
  <c r="AF202" i="66" s="1"/>
  <c r="AD202" i="66"/>
  <c r="AG202" i="66" s="1"/>
  <c r="AD166" i="67"/>
  <c r="AG166" i="67" s="1"/>
  <c r="K77" i="66"/>
  <c r="M77" i="66" s="1"/>
  <c r="AE77" i="66" s="1"/>
  <c r="AD77" i="66"/>
  <c r="AG77" i="66" s="1"/>
  <c r="AC77" i="66"/>
  <c r="AF77" i="66" s="1"/>
  <c r="AG53" i="67"/>
  <c r="AD141" i="66"/>
  <c r="AG141" i="66" s="1"/>
  <c r="K6" i="66"/>
  <c r="M6" i="66" s="1"/>
  <c r="AE6" i="66" s="1"/>
  <c r="AC6" i="66"/>
  <c r="AF6" i="66" s="1"/>
  <c r="AD6" i="66"/>
  <c r="AG6" i="66" s="1"/>
  <c r="AD185" i="67"/>
  <c r="AG185" i="67" s="1"/>
  <c r="AC201" i="66"/>
  <c r="AF201" i="66" s="1"/>
  <c r="K201" i="66"/>
  <c r="M201" i="66" s="1"/>
  <c r="AE201" i="66" s="1"/>
  <c r="AD201" i="66"/>
  <c r="AG201" i="66" s="1"/>
  <c r="K14" i="66"/>
  <c r="M14" i="66" s="1"/>
  <c r="AE14" i="66" s="1"/>
  <c r="AC14" i="66"/>
  <c r="AF14" i="66" s="1"/>
  <c r="AD14" i="66"/>
  <c r="AG14" i="66" s="1"/>
  <c r="AD106" i="66"/>
  <c r="AG106" i="66" s="1"/>
  <c r="AC106" i="66"/>
  <c r="AF106" i="66" s="1"/>
  <c r="K106" i="66"/>
  <c r="M106" i="66" s="1"/>
  <c r="AE106" i="66" s="1"/>
  <c r="K27" i="66"/>
  <c r="M27" i="66" s="1"/>
  <c r="AE27" i="66" s="1"/>
  <c r="AC27" i="66"/>
  <c r="AF27" i="66" s="1"/>
  <c r="AD27" i="66"/>
  <c r="AG27" i="66" s="1"/>
  <c r="AD202" i="67"/>
  <c r="AG202" i="67" s="1"/>
  <c r="K93" i="66"/>
  <c r="M93" i="66" s="1"/>
  <c r="AE93" i="66" s="1"/>
  <c r="AD93" i="66"/>
  <c r="AG93" i="66" s="1"/>
  <c r="AC93" i="66"/>
  <c r="AF93" i="66" s="1"/>
  <c r="AG3" i="67"/>
  <c r="AG75" i="67"/>
  <c r="AG59" i="67"/>
  <c r="AG27" i="67"/>
  <c r="AC71" i="66"/>
  <c r="AF71" i="66" s="1"/>
  <c r="AD71" i="66"/>
  <c r="AG71" i="66" s="1"/>
  <c r="K67" i="66"/>
  <c r="M67" i="66" s="1"/>
  <c r="AE67" i="66" s="1"/>
  <c r="AD67" i="66"/>
  <c r="AG67" i="66" s="1"/>
  <c r="AC67" i="66"/>
  <c r="AF67" i="66" s="1"/>
  <c r="AG77" i="67"/>
  <c r="K139" i="66"/>
  <c r="M139" i="66" s="1"/>
  <c r="AE139" i="66" s="1"/>
  <c r="AD139" i="66"/>
  <c r="AG139" i="66" s="1"/>
  <c r="AC139" i="66"/>
  <c r="AF139" i="66" s="1"/>
  <c r="K75" i="66"/>
  <c r="M75" i="66" s="1"/>
  <c r="AE75" i="66" s="1"/>
  <c r="AD75" i="66"/>
  <c r="AG75" i="66" s="1"/>
  <c r="AC75" i="66"/>
  <c r="AF75" i="66" s="1"/>
  <c r="AD178" i="66"/>
  <c r="AG178" i="66" s="1"/>
  <c r="AD181" i="66"/>
  <c r="AG181" i="66" s="1"/>
  <c r="K181" i="66"/>
  <c r="M181" i="66" s="1"/>
  <c r="AE181" i="66" s="1"/>
  <c r="AC181" i="66"/>
  <c r="AF181" i="66" s="1"/>
  <c r="AG14" i="67"/>
  <c r="AG106" i="67"/>
  <c r="AG30" i="67"/>
  <c r="AD45" i="66"/>
  <c r="AG45" i="66" s="1"/>
  <c r="AC45" i="66"/>
  <c r="AF45" i="66" s="1"/>
  <c r="K45" i="66"/>
  <c r="M45" i="66" s="1"/>
  <c r="AE45" i="66" s="1"/>
  <c r="AG49" i="67"/>
  <c r="K180" i="66"/>
  <c r="M180" i="66" s="1"/>
  <c r="AE180" i="66" s="1"/>
  <c r="AD180" i="66"/>
  <c r="AG180" i="66" s="1"/>
  <c r="AC180" i="66"/>
  <c r="AF180" i="66" s="1"/>
  <c r="AG89" i="67"/>
  <c r="AD178" i="67"/>
  <c r="AG178" i="67" s="1"/>
  <c r="K151" i="66"/>
  <c r="M151" i="66" s="1"/>
  <c r="AE151" i="66" s="1"/>
  <c r="AD151" i="66"/>
  <c r="AG151" i="66" s="1"/>
  <c r="AC151" i="66"/>
  <c r="AF151" i="66" s="1"/>
  <c r="K160" i="66"/>
  <c r="M160" i="66" s="1"/>
  <c r="AE160" i="66" s="1"/>
  <c r="AD160" i="66"/>
  <c r="AG160" i="66" s="1"/>
  <c r="AC160" i="66"/>
  <c r="AF160" i="66" s="1"/>
  <c r="AD116" i="66"/>
  <c r="AG116" i="66" s="1"/>
  <c r="K30" i="66"/>
  <c r="M30" i="66" s="1"/>
  <c r="AE30" i="66" s="1"/>
  <c r="AC30" i="66"/>
  <c r="AF30" i="66" s="1"/>
  <c r="AD30" i="66"/>
  <c r="AG30" i="66" s="1"/>
  <c r="AG45" i="67"/>
  <c r="AD188" i="66"/>
  <c r="AG188" i="66" s="1"/>
  <c r="AC188" i="66"/>
  <c r="AF188" i="66" s="1"/>
  <c r="K188" i="66"/>
  <c r="M188" i="66" s="1"/>
  <c r="AE188" i="66" s="1"/>
  <c r="AG67" i="67"/>
  <c r="K146" i="66"/>
  <c r="M146" i="66" s="1"/>
  <c r="AE146" i="66" s="1"/>
  <c r="AD146" i="66"/>
  <c r="AG146" i="66" s="1"/>
  <c r="AC146" i="66"/>
  <c r="AF146" i="66" s="1"/>
  <c r="AG139" i="67"/>
  <c r="AG18" i="67"/>
  <c r="AE3" i="66"/>
  <c r="AC3" i="66"/>
  <c r="AF3" i="66" s="1"/>
  <c r="AD3" i="66"/>
  <c r="AG3" i="66" s="1"/>
  <c r="K136" i="66"/>
  <c r="M136" i="66" s="1"/>
  <c r="AE136" i="66" s="1"/>
  <c r="AD18" i="66"/>
  <c r="AG18" i="66" s="1"/>
  <c r="AC18" i="66"/>
  <c r="AF18" i="66" s="1"/>
  <c r="K18" i="66"/>
  <c r="M18" i="66" s="1"/>
  <c r="AE18" i="66" s="1"/>
  <c r="AD193" i="67"/>
  <c r="AG193" i="67" s="1"/>
  <c r="AD180" i="67"/>
  <c r="AG180" i="67" s="1"/>
  <c r="AG112" i="67"/>
  <c r="AD188" i="67"/>
  <c r="AG188" i="67" s="1"/>
  <c r="K166" i="66"/>
  <c r="M166" i="66" s="1"/>
  <c r="AE166" i="66" s="1"/>
  <c r="AD166" i="66"/>
  <c r="AG166" i="66" s="1"/>
  <c r="AC166" i="66"/>
  <c r="AF166" i="66" s="1"/>
  <c r="AG7" i="67"/>
  <c r="K187" i="66"/>
  <c r="M187" i="66" s="1"/>
  <c r="AE187" i="66" s="1"/>
  <c r="AC187" i="66"/>
  <c r="AF187" i="66" s="1"/>
  <c r="AD187" i="66"/>
  <c r="AG187" i="66" s="1"/>
  <c r="AD187" i="67"/>
  <c r="AG187" i="67" s="1"/>
  <c r="K19" i="66"/>
  <c r="M19" i="66" s="1"/>
  <c r="AE19" i="66" s="1"/>
  <c r="AC19" i="66"/>
  <c r="AF19" i="66" s="1"/>
  <c r="AD19" i="66"/>
  <c r="AG19" i="66" s="1"/>
  <c r="AD165" i="67"/>
  <c r="AG165" i="67" s="1"/>
  <c r="K165" i="66"/>
  <c r="M165" i="66" s="1"/>
  <c r="AE165" i="66" s="1"/>
  <c r="AC165" i="66"/>
  <c r="AF165" i="66" s="1"/>
  <c r="AD165" i="66"/>
  <c r="AG165" i="66" s="1"/>
  <c r="K39" i="66"/>
  <c r="M39" i="66" s="1"/>
  <c r="AE39" i="66" s="1"/>
  <c r="AC39" i="66"/>
  <c r="AF39" i="66" s="1"/>
  <c r="AD39" i="66"/>
  <c r="AG39" i="66" s="1"/>
  <c r="K7" i="66"/>
  <c r="M7" i="66" s="1"/>
  <c r="AE7" i="66" s="1"/>
  <c r="AC7" i="66"/>
  <c r="AF7" i="66" s="1"/>
  <c r="AD7" i="66"/>
  <c r="AG7" i="66" s="1"/>
  <c r="AD176" i="66"/>
  <c r="AG176" i="66" s="1"/>
  <c r="K189" i="66"/>
  <c r="M189" i="66" s="1"/>
  <c r="AE189" i="66" s="1"/>
  <c r="AC189" i="66"/>
  <c r="AF189" i="66" s="1"/>
  <c r="AD32" i="66"/>
  <c r="AG32" i="66" s="1"/>
  <c r="AC32" i="66"/>
  <c r="AF32" i="66" s="1"/>
  <c r="AC40" i="66"/>
  <c r="AF40" i="66" s="1"/>
  <c r="AC122" i="66"/>
  <c r="AF122" i="66" s="1"/>
  <c r="K122" i="66"/>
  <c r="M122" i="66" s="1"/>
  <c r="AE122" i="66" s="1"/>
  <c r="AD152" i="66"/>
  <c r="AG152" i="66" s="1"/>
  <c r="AC152" i="66"/>
  <c r="AF152" i="66" s="1"/>
  <c r="K127" i="66"/>
  <c r="M127" i="66" s="1"/>
  <c r="AE127" i="66" s="1"/>
  <c r="AC127" i="66"/>
  <c r="AF127" i="66" s="1"/>
  <c r="AD127" i="66"/>
  <c r="AG127" i="66" s="1"/>
  <c r="AG11" i="67"/>
  <c r="K84" i="66"/>
  <c r="M84" i="66" s="1"/>
  <c r="AE84" i="66" s="1"/>
  <c r="AD84" i="66"/>
  <c r="AG84" i="66" s="1"/>
  <c r="AC84" i="66"/>
  <c r="AF84" i="66" s="1"/>
  <c r="AD206" i="67"/>
  <c r="AG206" i="67" s="1"/>
  <c r="AG62" i="67"/>
  <c r="AG32" i="67"/>
  <c r="AG121" i="67"/>
  <c r="AG66" i="67"/>
  <c r="AG152" i="67"/>
  <c r="K173" i="66"/>
  <c r="M173" i="66" s="1"/>
  <c r="AE173" i="66" s="1"/>
  <c r="AD173" i="66"/>
  <c r="AG173" i="66" s="1"/>
  <c r="AC173" i="66"/>
  <c r="AF173" i="66" s="1"/>
  <c r="AG76" i="67"/>
  <c r="K55" i="66"/>
  <c r="M55" i="66" s="1"/>
  <c r="AE55" i="66" s="1"/>
  <c r="AC55" i="66"/>
  <c r="AF55" i="66" s="1"/>
  <c r="AD55" i="66"/>
  <c r="AG55" i="66" s="1"/>
  <c r="AD199" i="67"/>
  <c r="AG199" i="67" s="1"/>
  <c r="K98" i="66"/>
  <c r="M98" i="66" s="1"/>
  <c r="AE98" i="66" s="1"/>
  <c r="AD98" i="66"/>
  <c r="AG98" i="66" s="1"/>
  <c r="AC98" i="66"/>
  <c r="AF98" i="66" s="1"/>
  <c r="AG125" i="67"/>
  <c r="AG144" i="67"/>
  <c r="AC66" i="66"/>
  <c r="AF66" i="66" s="1"/>
  <c r="AG161" i="67"/>
  <c r="AD153" i="66"/>
  <c r="AG153" i="66" s="1"/>
  <c r="AC153" i="66"/>
  <c r="AF153" i="66" s="1"/>
  <c r="K194" i="66"/>
  <c r="M194" i="66" s="1"/>
  <c r="AE194" i="66" s="1"/>
  <c r="AC194" i="66"/>
  <c r="AF194" i="66" s="1"/>
  <c r="AD194" i="66"/>
  <c r="AG194" i="66" s="1"/>
  <c r="AG84" i="67"/>
  <c r="AG55" i="67"/>
  <c r="K199" i="66"/>
  <c r="M199" i="66" s="1"/>
  <c r="AE199" i="66" s="1"/>
  <c r="AC199" i="66"/>
  <c r="AF199" i="66" s="1"/>
  <c r="AD199" i="66"/>
  <c r="AG199" i="66" s="1"/>
  <c r="K101" i="66"/>
  <c r="M101" i="66" s="1"/>
  <c r="AE101" i="66" s="1"/>
  <c r="AD101" i="66"/>
  <c r="AG101" i="66" s="1"/>
  <c r="AC101" i="66"/>
  <c r="AF101" i="66" s="1"/>
  <c r="K38" i="66"/>
  <c r="M38" i="66" s="1"/>
  <c r="AE38" i="66" s="1"/>
  <c r="AC38" i="66"/>
  <c r="AF38" i="66" s="1"/>
  <c r="AD12" i="66"/>
  <c r="AG12" i="66" s="1"/>
  <c r="AC12" i="66"/>
  <c r="AF12" i="66" s="1"/>
  <c r="K62" i="66"/>
  <c r="M62" i="66" s="1"/>
  <c r="AE62" i="66" s="1"/>
  <c r="AD62" i="66"/>
  <c r="AG62" i="66" s="1"/>
  <c r="AC62" i="66"/>
  <c r="AF62" i="66" s="1"/>
  <c r="AD163" i="67"/>
  <c r="AG163" i="67" s="1"/>
  <c r="AG98" i="67"/>
  <c r="AG26" i="67"/>
  <c r="AD192" i="67"/>
  <c r="AG192" i="67" s="1"/>
  <c r="AC206" i="66"/>
  <c r="AF206" i="66" s="1"/>
  <c r="AG12" i="67"/>
  <c r="K161" i="66"/>
  <c r="M161" i="66" s="1"/>
  <c r="AE161" i="66" s="1"/>
  <c r="AC161" i="66"/>
  <c r="AF161" i="66" s="1"/>
  <c r="AD161" i="66"/>
  <c r="AG161" i="66" s="1"/>
  <c r="AG16" i="67"/>
  <c r="K126" i="66"/>
  <c r="M126" i="66" s="1"/>
  <c r="AE126" i="66" s="1"/>
  <c r="AC126" i="66"/>
  <c r="AF126" i="66" s="1"/>
  <c r="AD126" i="66"/>
  <c r="AG126" i="66" s="1"/>
  <c r="AG135" i="67"/>
  <c r="K21" i="66"/>
  <c r="M21" i="66" s="1"/>
  <c r="AE21" i="66" s="1"/>
  <c r="AC21" i="66"/>
  <c r="AF21" i="66" s="1"/>
  <c r="AD21" i="66"/>
  <c r="AG21" i="66" s="1"/>
  <c r="K26" i="66"/>
  <c r="M26" i="66" s="1"/>
  <c r="AE26" i="66" s="1"/>
  <c r="AC26" i="66"/>
  <c r="AF26" i="66" s="1"/>
  <c r="AD26" i="66"/>
  <c r="AG26" i="66" s="1"/>
  <c r="AD169" i="67"/>
  <c r="AG169" i="67" s="1"/>
  <c r="K144" i="66"/>
  <c r="M144" i="66" s="1"/>
  <c r="AE144" i="66" s="1"/>
  <c r="AD144" i="66"/>
  <c r="AG144" i="66" s="1"/>
  <c r="AC144" i="66"/>
  <c r="AF144" i="66" s="1"/>
  <c r="AD206" i="66"/>
  <c r="AG206" i="66" s="1"/>
  <c r="K82" i="66"/>
  <c r="M82" i="66" s="1"/>
  <c r="AE82" i="66" s="1"/>
  <c r="AC82" i="66"/>
  <c r="AF82" i="66" s="1"/>
  <c r="AD82" i="66"/>
  <c r="AG82" i="66" s="1"/>
  <c r="AG153" i="67"/>
  <c r="AD150" i="66"/>
  <c r="AG150" i="66" s="1"/>
  <c r="AC150" i="66"/>
  <c r="AF150" i="66" s="1"/>
  <c r="AD194" i="67"/>
  <c r="AG194" i="67" s="1"/>
  <c r="K80" i="66"/>
  <c r="M80" i="66" s="1"/>
  <c r="AE80" i="66" s="1"/>
  <c r="AC80" i="66"/>
  <c r="AF80" i="66" s="1"/>
  <c r="AD80" i="66"/>
  <c r="AG80" i="66" s="1"/>
  <c r="K16" i="66"/>
  <c r="M16" i="66" s="1"/>
  <c r="AE16" i="66" s="1"/>
  <c r="AC16" i="66"/>
  <c r="AF16" i="66" s="1"/>
  <c r="AD16" i="66"/>
  <c r="AG16" i="66" s="1"/>
  <c r="K95" i="66"/>
  <c r="M95" i="66" s="1"/>
  <c r="AE95" i="66" s="1"/>
  <c r="AD95" i="66"/>
  <c r="AG95" i="66" s="1"/>
  <c r="AC95" i="66"/>
  <c r="AF95" i="66" s="1"/>
  <c r="AG101" i="67"/>
  <c r="AC140" i="66"/>
  <c r="AF140" i="66" s="1"/>
  <c r="AD140" i="66"/>
  <c r="AG140" i="66" s="1"/>
  <c r="AD68" i="66"/>
  <c r="AG68" i="66" s="1"/>
  <c r="AC68" i="66"/>
  <c r="AF68" i="66" s="1"/>
  <c r="AG143" i="67"/>
  <c r="AG21" i="67"/>
  <c r="AD204" i="67"/>
  <c r="AG204" i="67" s="1"/>
  <c r="AG92" i="67"/>
  <c r="K204" i="66"/>
  <c r="M204" i="66" s="1"/>
  <c r="AE204" i="66" s="1"/>
  <c r="AC204" i="66"/>
  <c r="AF204" i="66" s="1"/>
  <c r="AD204" i="66"/>
  <c r="AG204" i="66" s="1"/>
  <c r="AD190" i="67"/>
  <c r="AG190" i="67" s="1"/>
  <c r="K42" i="66"/>
  <c r="M42" i="66" s="1"/>
  <c r="AE42" i="66" s="1"/>
  <c r="AD42" i="66"/>
  <c r="AG42" i="66" s="1"/>
  <c r="AC42" i="66"/>
  <c r="AF42" i="66" s="1"/>
  <c r="AC63" i="66"/>
  <c r="AF63" i="66" s="1"/>
  <c r="AD179" i="67"/>
  <c r="AG179" i="67" s="1"/>
  <c r="AD122" i="66"/>
  <c r="AG122" i="66" s="1"/>
  <c r="K192" i="66"/>
  <c r="M192" i="66" s="1"/>
  <c r="AE192" i="66" s="1"/>
  <c r="AD192" i="66"/>
  <c r="AG192" i="66" s="1"/>
  <c r="AC192" i="66"/>
  <c r="AF192" i="66" s="1"/>
  <c r="K179" i="66"/>
  <c r="M179" i="66" s="1"/>
  <c r="AE179" i="66" s="1"/>
  <c r="AC179" i="66"/>
  <c r="AF179" i="66" s="1"/>
  <c r="AD179" i="66"/>
  <c r="AG179" i="66" s="1"/>
  <c r="K169" i="66"/>
  <c r="M169" i="66" s="1"/>
  <c r="AE169" i="66" s="1"/>
  <c r="AC169" i="66"/>
  <c r="AF169" i="66" s="1"/>
  <c r="AD169" i="66"/>
  <c r="AG169" i="66" s="1"/>
  <c r="AC143" i="66"/>
  <c r="AF143" i="66" s="1"/>
  <c r="AD143" i="66"/>
  <c r="AG143" i="66" s="1"/>
  <c r="AD190" i="66"/>
  <c r="AG190" i="66" s="1"/>
  <c r="AC88" i="66"/>
  <c r="AF88" i="66" s="1"/>
  <c r="AD40" i="66"/>
  <c r="AG40" i="66" s="1"/>
  <c r="AD170" i="67"/>
  <c r="AG170" i="67" s="1"/>
  <c r="K92" i="66"/>
  <c r="M92" i="66" s="1"/>
  <c r="AE92" i="66" s="1"/>
  <c r="AD92" i="66"/>
  <c r="AG92" i="66" s="1"/>
  <c r="AC92" i="66"/>
  <c r="AF92" i="66" s="1"/>
  <c r="K89" i="66"/>
  <c r="M89" i="66" s="1"/>
  <c r="AE89" i="66" s="1"/>
  <c r="AD89" i="66"/>
  <c r="AG89" i="66" s="1"/>
  <c r="AC89" i="66"/>
  <c r="AF89" i="66" s="1"/>
  <c r="K170" i="66"/>
  <c r="M170" i="66" s="1"/>
  <c r="AE170" i="66" s="1"/>
  <c r="AD170" i="66"/>
  <c r="AG170" i="66" s="1"/>
  <c r="AC170" i="66"/>
  <c r="AF170" i="66" s="1"/>
  <c r="AC190" i="66"/>
  <c r="AF190" i="66" s="1"/>
  <c r="AG43" i="67"/>
  <c r="AD88" i="66"/>
  <c r="AG88" i="66" s="1"/>
  <c r="AG82" i="67"/>
  <c r="AD66" i="66"/>
  <c r="AG66" i="66" s="1"/>
  <c r="AD76" i="66" l="1"/>
  <c r="AG76" i="66" s="1"/>
  <c r="AD86" i="66"/>
  <c r="AG86" i="66" s="1"/>
  <c r="AC76" i="66"/>
  <c r="AF76" i="66" s="1"/>
  <c r="K135" i="66"/>
  <c r="M135" i="66" s="1"/>
  <c r="AE135" i="66" s="1"/>
  <c r="AC135" i="66"/>
  <c r="AF135" i="66" s="1"/>
  <c r="K41" i="66"/>
  <c r="M41" i="66" s="1"/>
  <c r="AE41" i="66" s="1"/>
  <c r="AG157" i="67"/>
  <c r="AC54" i="66"/>
  <c r="AF54" i="66" s="1"/>
  <c r="AC125" i="66"/>
  <c r="AF125" i="66" s="1"/>
  <c r="K125" i="66"/>
  <c r="M125" i="66" s="1"/>
  <c r="AE125" i="66" s="1"/>
  <c r="AD54" i="66"/>
  <c r="AG54" i="66" s="1"/>
  <c r="AG65" i="67"/>
  <c r="AC74" i="66"/>
  <c r="AF74" i="66" s="1"/>
  <c r="AG54" i="67"/>
  <c r="AD176" i="67"/>
  <c r="AG176" i="67" s="1"/>
  <c r="K219" i="66"/>
  <c r="M219" i="66" s="1"/>
  <c r="O219" i="66" s="1"/>
  <c r="AC219" i="66" s="1"/>
  <c r="K78" i="66"/>
  <c r="M78" i="66" s="1"/>
  <c r="AE78" i="66" s="1"/>
  <c r="AG87" i="67"/>
  <c r="AD34" i="66"/>
  <c r="AG34" i="66" s="1"/>
  <c r="K87" i="66"/>
  <c r="M87" i="66" s="1"/>
  <c r="AE87" i="66" s="1"/>
  <c r="K214" i="66"/>
  <c r="M214" i="66" s="1"/>
  <c r="O214" i="66" s="1"/>
  <c r="AC214" i="66" s="1"/>
  <c r="M211" i="66"/>
  <c r="O211" i="66" s="1"/>
  <c r="AC211" i="66" s="1"/>
  <c r="K124" i="66"/>
  <c r="M124" i="66" s="1"/>
  <c r="AE124" i="66" s="1"/>
  <c r="AC176" i="66"/>
  <c r="AF176" i="66" s="1"/>
  <c r="K63" i="66"/>
  <c r="M63" i="66" s="1"/>
  <c r="AE63" i="66" s="1"/>
  <c r="AD183" i="66"/>
  <c r="AG183" i="66" s="1"/>
  <c r="AD63" i="66"/>
  <c r="AG63" i="66" s="1"/>
  <c r="K176" i="66"/>
  <c r="M176" i="66" s="1"/>
  <c r="AE176" i="66" s="1"/>
  <c r="K116" i="66"/>
  <c r="M116" i="66" s="1"/>
  <c r="AE116" i="66" s="1"/>
  <c r="AC43" i="66"/>
  <c r="AF43" i="66" s="1"/>
  <c r="AG74" i="67"/>
  <c r="AG142" i="67"/>
  <c r="AC182" i="66"/>
  <c r="AF182" i="66" s="1"/>
  <c r="AC191" i="66"/>
  <c r="AF191" i="66" s="1"/>
  <c r="AD191" i="66"/>
  <c r="AG191" i="66" s="1"/>
  <c r="AG123" i="67"/>
  <c r="K183" i="66"/>
  <c r="M183" i="66" s="1"/>
  <c r="AE183" i="66" s="1"/>
  <c r="K191" i="66"/>
  <c r="M191" i="66" s="1"/>
  <c r="AE191" i="66" s="1"/>
  <c r="K61" i="66"/>
  <c r="M61" i="66" s="1"/>
  <c r="AE61" i="66" s="1"/>
  <c r="AC124" i="66"/>
  <c r="AF124" i="66" s="1"/>
  <c r="K142" i="66"/>
  <c r="M142" i="66" s="1"/>
  <c r="AE142" i="66" s="1"/>
  <c r="AD197" i="66"/>
  <c r="AG197" i="66" s="1"/>
  <c r="AG131" i="67"/>
  <c r="AG33" i="67"/>
  <c r="AC64" i="66"/>
  <c r="AF64" i="66" s="1"/>
  <c r="AD64" i="66"/>
  <c r="AG64" i="66" s="1"/>
  <c r="K213" i="66"/>
  <c r="M213" i="66" s="1"/>
  <c r="O213" i="66" s="1"/>
  <c r="AC213" i="66" s="1"/>
  <c r="AC33" i="66"/>
  <c r="AF33" i="66" s="1"/>
  <c r="AD124" i="66"/>
  <c r="AG124" i="66" s="1"/>
  <c r="AC197" i="66"/>
  <c r="AF197" i="66" s="1"/>
  <c r="AC61" i="66"/>
  <c r="AF61" i="66" s="1"/>
  <c r="AD61" i="66"/>
  <c r="AG61" i="66" s="1"/>
  <c r="AC141" i="66"/>
  <c r="AF141" i="66" s="1"/>
  <c r="AG141" i="67"/>
  <c r="AG90" i="67"/>
  <c r="AC183" i="66"/>
  <c r="AF183" i="66" s="1"/>
  <c r="AD43" i="66"/>
  <c r="AG43" i="66" s="1"/>
  <c r="K157" i="66"/>
  <c r="M157" i="66" s="1"/>
  <c r="AE157" i="66" s="1"/>
  <c r="AG51" i="67"/>
  <c r="AD177" i="67"/>
  <c r="AG177" i="67" s="1"/>
  <c r="AC119" i="66"/>
  <c r="AF119" i="66" s="1"/>
  <c r="K69" i="66"/>
  <c r="M69" i="66" s="1"/>
  <c r="AE69" i="66" s="1"/>
  <c r="K132" i="66"/>
  <c r="M132" i="66" s="1"/>
  <c r="AE132" i="66" s="1"/>
  <c r="AD47" i="66"/>
  <c r="AG47" i="66" s="1"/>
  <c r="K47" i="66"/>
  <c r="M47" i="66" s="1"/>
  <c r="AE47" i="66" s="1"/>
  <c r="K185" i="66"/>
  <c r="M185" i="66" s="1"/>
  <c r="AE185" i="66" s="1"/>
  <c r="AC81" i="66"/>
  <c r="AF81" i="66" s="1"/>
  <c r="K156" i="66"/>
  <c r="M156" i="66" s="1"/>
  <c r="AE156" i="66" s="1"/>
  <c r="K17" i="66"/>
  <c r="M17" i="66" s="1"/>
  <c r="AE17" i="66" s="1"/>
  <c r="K184" i="66"/>
  <c r="M184" i="66" s="1"/>
  <c r="AE184" i="66" s="1"/>
  <c r="K52" i="66"/>
  <c r="M52" i="66" s="1"/>
  <c r="AE52" i="66" s="1"/>
  <c r="K197" i="66"/>
  <c r="M197" i="66" s="1"/>
  <c r="AE197" i="66" s="1"/>
  <c r="AG22" i="67"/>
  <c r="AG19" i="67"/>
  <c r="AD173" i="67"/>
  <c r="AG173" i="67" s="1"/>
  <c r="AD52" i="66"/>
  <c r="AG52" i="66" s="1"/>
  <c r="AG39" i="67"/>
  <c r="AC52" i="66"/>
  <c r="AF52" i="66" s="1"/>
  <c r="AD138" i="66"/>
  <c r="AG138" i="66" s="1"/>
  <c r="AC138" i="66"/>
  <c r="AF138" i="66" s="1"/>
  <c r="AC90" i="66"/>
  <c r="AF90" i="66" s="1"/>
  <c r="AD131" i="66"/>
  <c r="AG131" i="66" s="1"/>
  <c r="AC136" i="66"/>
  <c r="AF136" i="66" s="1"/>
  <c r="K178" i="66"/>
  <c r="M178" i="66" s="1"/>
  <c r="AE178" i="66" s="1"/>
  <c r="AG146" i="67"/>
  <c r="K34" i="66"/>
  <c r="M34" i="66" s="1"/>
  <c r="AE34" i="66" s="1"/>
  <c r="AC34" i="66"/>
  <c r="AF34" i="66" s="1"/>
  <c r="K205" i="66"/>
  <c r="M205" i="66" s="1"/>
  <c r="AE205" i="66" s="1"/>
  <c r="AD205" i="67"/>
  <c r="AG205" i="67" s="1"/>
  <c r="AD164" i="66"/>
  <c r="AG164" i="66" s="1"/>
  <c r="AC131" i="66"/>
  <c r="AF131" i="66" s="1"/>
  <c r="AD85" i="66"/>
  <c r="AG85" i="66" s="1"/>
  <c r="AD119" i="66"/>
  <c r="AG119" i="66" s="1"/>
  <c r="AD163" i="66"/>
  <c r="AG163" i="66" s="1"/>
  <c r="AG140" i="67"/>
  <c r="AC163" i="66"/>
  <c r="AF163" i="66" s="1"/>
  <c r="AG130" i="67"/>
  <c r="AD182" i="67"/>
  <c r="AG182" i="67" s="1"/>
  <c r="AC46" i="66"/>
  <c r="AF46" i="66" s="1"/>
  <c r="K182" i="66"/>
  <c r="M182" i="66" s="1"/>
  <c r="AE182" i="66" s="1"/>
  <c r="K46" i="66"/>
  <c r="M46" i="66" s="1"/>
  <c r="AE46" i="66" s="1"/>
  <c r="AD182" i="66"/>
  <c r="AG182" i="66" s="1"/>
  <c r="AG38" i="67"/>
  <c r="AG47" i="67"/>
  <c r="AG46" i="67"/>
  <c r="K74" i="66"/>
  <c r="M74" i="66" s="1"/>
  <c r="AE74" i="66" s="1"/>
  <c r="AC15" i="66"/>
  <c r="AF15" i="66" s="1"/>
  <c r="AD15" i="66"/>
  <c r="AG15" i="66" s="1"/>
  <c r="AC11" i="66"/>
  <c r="AF11" i="66" s="1"/>
  <c r="AD11" i="66"/>
  <c r="AG11" i="66" s="1"/>
  <c r="AD51" i="66"/>
  <c r="AG51" i="66" s="1"/>
  <c r="AC48" i="66"/>
  <c r="AF48" i="66" s="1"/>
  <c r="AD48" i="66"/>
  <c r="AG48" i="66" s="1"/>
  <c r="AD189" i="67"/>
  <c r="AG189" i="67" s="1"/>
  <c r="AC123" i="66"/>
  <c r="AF123" i="66" s="1"/>
  <c r="AC65" i="66"/>
  <c r="AF65" i="66" s="1"/>
  <c r="AD94" i="66"/>
  <c r="AG94" i="66" s="1"/>
  <c r="AD65" i="66"/>
  <c r="AG65" i="66" s="1"/>
  <c r="AD123" i="66"/>
  <c r="AG123" i="66" s="1"/>
  <c r="AG37" i="67"/>
  <c r="AC51" i="66"/>
  <c r="AF51" i="66" s="1"/>
  <c r="AC157" i="66"/>
  <c r="AF157" i="66" s="1"/>
  <c r="AD200" i="67"/>
  <c r="AG200" i="67" s="1"/>
  <c r="AD157" i="66"/>
  <c r="AG157" i="66" s="1"/>
  <c r="AD4" i="66"/>
  <c r="AG4" i="66" s="1"/>
  <c r="AG71" i="67"/>
  <c r="AC4" i="66"/>
  <c r="AF4" i="66" s="1"/>
  <c r="AC94" i="66"/>
  <c r="AF94" i="66" s="1"/>
  <c r="AG127" i="67"/>
  <c r="AD79" i="66"/>
  <c r="AG79" i="66" s="1"/>
  <c r="AD191" i="67"/>
  <c r="AG191" i="67" s="1"/>
  <c r="AD104" i="66"/>
  <c r="AG104" i="66" s="1"/>
  <c r="AC104" i="66"/>
  <c r="AF104" i="66" s="1"/>
  <c r="AG79" i="67"/>
  <c r="AG40" i="67"/>
  <c r="K128" i="66"/>
  <c r="M128" i="66" s="1"/>
  <c r="AE128" i="66" s="1"/>
  <c r="AD171" i="67"/>
  <c r="AG171" i="67" s="1"/>
  <c r="AG80" i="67"/>
  <c r="AG86" i="67"/>
  <c r="AG85" i="67"/>
  <c r="AG48" i="67"/>
  <c r="AG128" i="67"/>
  <c r="AD184" i="66"/>
  <c r="AG184" i="66" s="1"/>
  <c r="AD185" i="66"/>
  <c r="AG185" i="66" s="1"/>
  <c r="AC85" i="66"/>
  <c r="AF85" i="66" s="1"/>
  <c r="K22" i="66"/>
  <c r="M22" i="66" s="1"/>
  <c r="AE22" i="66" s="1"/>
  <c r="AC79" i="66"/>
  <c r="AF79" i="66" s="1"/>
  <c r="AG124" i="67"/>
  <c r="AC22" i="66"/>
  <c r="AF22" i="66" s="1"/>
  <c r="AD155" i="66"/>
  <c r="AG155" i="66" s="1"/>
  <c r="K155" i="66"/>
  <c r="M155" i="66" s="1"/>
  <c r="AE155" i="66" s="1"/>
  <c r="K96" i="66"/>
  <c r="M96" i="66" s="1"/>
  <c r="AE96" i="66" s="1"/>
  <c r="AG151" i="67"/>
  <c r="K111" i="66"/>
  <c r="M111" i="66" s="1"/>
  <c r="AE111" i="66" s="1"/>
  <c r="AC17" i="66"/>
  <c r="AF17" i="66" s="1"/>
  <c r="AD177" i="66"/>
  <c r="AG177" i="66" s="1"/>
  <c r="AD17" i="66"/>
  <c r="AG17" i="66" s="1"/>
  <c r="AD168" i="67"/>
  <c r="AG168" i="67" s="1"/>
  <c r="K130" i="66"/>
  <c r="M130" i="66" s="1"/>
  <c r="AE130" i="66" s="1"/>
  <c r="AG160" i="67"/>
  <c r="AC177" i="66"/>
  <c r="AF177" i="66" s="1"/>
  <c r="K5" i="66"/>
  <c r="M5" i="66" s="1"/>
  <c r="AE5" i="66" s="1"/>
  <c r="AG122" i="67"/>
  <c r="AC5" i="66"/>
  <c r="AF5" i="66" s="1"/>
  <c r="AC120" i="66"/>
  <c r="AF120" i="66" s="1"/>
  <c r="AG94" i="67"/>
  <c r="K133" i="66"/>
  <c r="M133" i="66" s="1"/>
  <c r="AE133" i="66" s="1"/>
  <c r="AD120" i="66"/>
  <c r="AG120" i="66" s="1"/>
  <c r="AC130" i="66"/>
  <c r="AF130" i="66" s="1"/>
  <c r="AC86" i="66"/>
  <c r="AF86" i="66" s="1"/>
  <c r="AD142" i="66"/>
  <c r="AG142" i="66" s="1"/>
  <c r="K86" i="66"/>
  <c r="M86" i="66" s="1"/>
  <c r="AE86" i="66" s="1"/>
  <c r="AC142" i="66"/>
  <c r="AF142" i="66" s="1"/>
  <c r="AC159" i="66"/>
  <c r="AF159" i="66" s="1"/>
  <c r="AD167" i="66"/>
  <c r="AG167" i="66" s="1"/>
  <c r="AD159" i="66"/>
  <c r="AG159" i="66" s="1"/>
  <c r="K167" i="66"/>
  <c r="M167" i="66" s="1"/>
  <c r="AE167" i="66" s="1"/>
  <c r="AC49" i="66"/>
  <c r="AF49" i="66" s="1"/>
  <c r="K49" i="66"/>
  <c r="M49" i="66" s="1"/>
  <c r="AE49" i="66" s="1"/>
  <c r="AG41" i="67"/>
  <c r="AD128" i="66"/>
  <c r="AG128" i="66" s="1"/>
  <c r="AD171" i="66"/>
  <c r="AG171" i="66" s="1"/>
  <c r="AD111" i="66"/>
  <c r="AG111" i="66" s="1"/>
  <c r="AC171" i="66"/>
  <c r="AF171" i="66" s="1"/>
  <c r="AG120" i="67"/>
  <c r="AG58" i="67"/>
  <c r="AD74" i="66"/>
  <c r="AG74" i="66" s="1"/>
  <c r="AC83" i="66"/>
  <c r="AF83" i="66" s="1"/>
  <c r="AC78" i="66"/>
  <c r="AF78" i="66" s="1"/>
  <c r="AD83" i="66"/>
  <c r="AG83" i="66" s="1"/>
  <c r="AD78" i="66"/>
  <c r="AG78" i="66" s="1"/>
  <c r="AG70" i="67"/>
  <c r="AD121" i="66"/>
  <c r="AG121" i="66" s="1"/>
  <c r="AC121" i="66"/>
  <c r="AF121" i="66" s="1"/>
  <c r="AD70" i="66"/>
  <c r="AG70" i="66" s="1"/>
  <c r="K70" i="66"/>
  <c r="M70" i="66" s="1"/>
  <c r="AE70" i="66" s="1"/>
  <c r="AG25" i="67"/>
  <c r="K147" i="66"/>
  <c r="M147" i="66" s="1"/>
  <c r="AE147" i="66" s="1"/>
  <c r="AD56" i="66"/>
  <c r="AG56" i="66" s="1"/>
  <c r="AD168" i="66"/>
  <c r="AG168" i="66" s="1"/>
  <c r="K56" i="66"/>
  <c r="M56" i="66" s="1"/>
  <c r="AE56" i="66" s="1"/>
  <c r="K97" i="66"/>
  <c r="M97" i="66" s="1"/>
  <c r="AE97" i="66" s="1"/>
  <c r="AD99" i="66"/>
  <c r="AG99" i="66" s="1"/>
  <c r="K168" i="66"/>
  <c r="M168" i="66" s="1"/>
  <c r="AE168" i="66" s="1"/>
  <c r="K99" i="66"/>
  <c r="M99" i="66" s="1"/>
  <c r="AE99" i="66" s="1"/>
  <c r="K195" i="66"/>
  <c r="M195" i="66" s="1"/>
  <c r="AE195" i="66" s="1"/>
  <c r="K33" i="66"/>
  <c r="M33" i="66" s="1"/>
  <c r="AE33" i="66" s="1"/>
  <c r="AC195" i="66"/>
  <c r="AF195" i="66" s="1"/>
  <c r="K58" i="66"/>
  <c r="M58" i="66" s="1"/>
  <c r="AE58" i="66" s="1"/>
  <c r="AD133" i="66"/>
  <c r="AG133" i="66" s="1"/>
  <c r="AC96" i="66"/>
  <c r="AF96" i="66" s="1"/>
  <c r="AD33" i="66"/>
  <c r="AG33" i="66" s="1"/>
  <c r="AD195" i="67"/>
  <c r="AG195" i="67" s="1"/>
  <c r="AC147" i="66"/>
  <c r="AF147" i="66" s="1"/>
  <c r="AD97" i="66"/>
  <c r="AG97" i="66" s="1"/>
  <c r="AD58" i="66"/>
  <c r="AG58" i="66" s="1"/>
  <c r="AG96" i="67"/>
  <c r="AC25" i="66"/>
  <c r="AF25" i="66" s="1"/>
  <c r="K25" i="66"/>
  <c r="M25" i="66" s="1"/>
  <c r="AE25" i="66" s="1"/>
  <c r="AC41" i="66"/>
  <c r="AF41" i="66" s="1"/>
  <c r="AD41" i="66"/>
  <c r="AG41" i="66" s="1"/>
  <c r="AG63" i="67" l="1"/>
  <c r="AG17" i="67"/>
  <c r="AG61" i="67"/>
  <c r="AG81" i="67"/>
  <c r="AD69" i="66"/>
  <c r="AG69" i="66" s="1"/>
  <c r="AD87" i="66"/>
  <c r="AG87" i="66" s="1"/>
  <c r="AC87" i="66"/>
  <c r="AF87" i="66" s="1"/>
  <c r="AD132" i="66"/>
  <c r="AG132" i="66" s="1"/>
  <c r="AC69" i="66"/>
  <c r="AF69" i="66" s="1"/>
  <c r="AC132" i="66"/>
  <c r="AF132" i="66" s="1"/>
  <c r="AG69" i="67"/>
  <c r="AG23" i="67"/>
  <c r="AG34" i="67"/>
  <c r="AG36" i="67"/>
  <c r="AD36" i="66"/>
  <c r="AG36" i="66" s="1"/>
  <c r="AC36" i="66"/>
  <c r="AF36" i="66" s="1"/>
  <c r="K36" i="66"/>
  <c r="M36" i="66" s="1"/>
  <c r="AE36" i="66" s="1"/>
  <c r="K90" i="66"/>
  <c r="M90" i="66" s="1"/>
  <c r="AE90" i="66" s="1"/>
  <c r="AD23" i="66"/>
  <c r="AG23" i="66" s="1"/>
  <c r="K23" i="66"/>
  <c r="M23" i="66" s="1"/>
  <c r="AE23" i="66" s="1"/>
  <c r="AC23" i="66"/>
  <c r="AF23" i="66" s="1"/>
  <c r="AG132" i="67"/>
  <c r="AD156" i="66"/>
  <c r="AG156" i="66" s="1"/>
  <c r="AG116" i="67"/>
  <c r="AG156" i="67"/>
  <c r="AD205" i="66"/>
  <c r="AG205" i="66" s="1"/>
  <c r="AC156" i="66"/>
  <c r="AF156" i="66" s="1"/>
  <c r="AC205" i="66"/>
  <c r="AF205" i="66" s="1"/>
  <c r="AG8" i="67"/>
  <c r="AC8" i="66"/>
  <c r="AF8" i="66" s="1"/>
  <c r="K8" i="66"/>
  <c r="M8" i="66" s="1"/>
  <c r="AE8" i="66" s="1"/>
  <c r="AD8" i="66"/>
  <c r="AG8" i="66" s="1"/>
  <c r="AG154" i="67"/>
  <c r="K103" i="66"/>
  <c r="M103" i="66" s="1"/>
  <c r="AE103" i="66" s="1"/>
  <c r="AD103" i="66"/>
  <c r="AG103" i="66" s="1"/>
  <c r="AC103" i="66"/>
  <c r="AF103" i="66" s="1"/>
  <c r="AG118" i="67"/>
  <c r="AG103" i="67"/>
  <c r="AD118" i="66"/>
  <c r="AG118" i="66" s="1"/>
  <c r="AC118" i="66"/>
  <c r="AF118" i="66" s="1"/>
  <c r="K118" i="66"/>
  <c r="M118" i="66" s="1"/>
  <c r="AE118" i="66" s="1"/>
  <c r="AC154" i="66"/>
  <c r="AF154" i="66" s="1"/>
  <c r="K154" i="66"/>
  <c r="M154" i="66" s="1"/>
  <c r="AE154" i="66" s="1"/>
  <c r="AD154" i="66"/>
  <c r="AG154" i="66" s="1"/>
  <c r="AD81" i="66"/>
  <c r="AG81" i="66" s="1"/>
  <c r="K81" i="66"/>
  <c r="M81" i="66" s="1"/>
  <c r="AE81" i="66" s="1"/>
  <c r="AG56" i="67"/>
  <c r="AG52" i="67"/>
  <c r="AG6" i="67"/>
  <c r="AD90" i="66"/>
  <c r="AG90" i="66" s="1"/>
  <c r="AD197" i="67"/>
  <c r="AG197" i="67" s="1"/>
  <c r="AC162" i="66"/>
  <c r="AF162" i="66" s="1"/>
  <c r="K162" i="66"/>
  <c r="M162" i="66" s="1"/>
  <c r="AE162" i="66" s="1"/>
  <c r="AD162" i="66"/>
  <c r="AG162" i="66" s="1"/>
  <c r="AD162" i="67"/>
  <c r="AG162" i="67" s="1"/>
  <c r="AD73" i="66"/>
  <c r="AG73" i="66" s="1"/>
  <c r="AC73" i="66"/>
  <c r="AF73" i="66" s="1"/>
  <c r="K73" i="66"/>
  <c r="M73" i="66" s="1"/>
  <c r="AE73" i="66" s="1"/>
  <c r="AG73" i="67"/>
  <c r="K115" i="66"/>
  <c r="M115" i="66" s="1"/>
  <c r="AE115" i="66" s="1"/>
  <c r="AC115" i="66"/>
  <c r="AF115" i="66" s="1"/>
  <c r="AD115" i="66"/>
  <c r="AG115" i="66" s="1"/>
  <c r="K24" i="66"/>
  <c r="M24" i="66" s="1"/>
  <c r="AE24" i="66" s="1"/>
  <c r="AC24" i="66"/>
  <c r="AF24" i="66" s="1"/>
  <c r="AD24" i="66"/>
  <c r="AG24" i="66" s="1"/>
  <c r="AC164" i="66"/>
  <c r="AF164" i="66" s="1"/>
  <c r="AG115" i="67"/>
  <c r="AG24" i="67"/>
  <c r="K72" i="66"/>
  <c r="M72" i="66" s="1"/>
  <c r="AE72" i="66" s="1"/>
  <c r="AC72" i="66"/>
  <c r="AF72" i="66" s="1"/>
  <c r="AD72" i="66"/>
  <c r="AG72" i="66" s="1"/>
  <c r="AG110" i="67"/>
  <c r="AG72" i="67"/>
  <c r="AD110" i="66"/>
  <c r="AG110" i="66" s="1"/>
  <c r="AC110" i="66"/>
  <c r="AF110" i="66" s="1"/>
  <c r="K110" i="66"/>
  <c r="M110" i="66" s="1"/>
  <c r="AE110" i="66" s="1"/>
  <c r="AC10" i="66"/>
  <c r="AF10" i="66" s="1"/>
  <c r="AD10" i="66"/>
  <c r="AG10" i="66" s="1"/>
  <c r="K10" i="66"/>
  <c r="M10" i="66" s="1"/>
  <c r="AE10" i="66" s="1"/>
  <c r="K164" i="66"/>
  <c r="M164" i="66" s="1"/>
  <c r="AE164" i="66" s="1"/>
  <c r="AG10" i="67"/>
  <c r="AG137" i="67"/>
  <c r="AD175" i="67"/>
  <c r="AG175" i="67" s="1"/>
  <c r="K137" i="66"/>
  <c r="M137" i="66" s="1"/>
  <c r="AE137" i="66" s="1"/>
  <c r="AD137" i="66"/>
  <c r="AG137" i="66" s="1"/>
  <c r="AC137" i="66"/>
  <c r="AF137" i="66" s="1"/>
  <c r="AD175" i="66"/>
  <c r="AG175" i="66" s="1"/>
  <c r="AC175" i="66"/>
  <c r="AF175" i="66" s="1"/>
  <c r="K175" i="66"/>
  <c r="M175" i="66" s="1"/>
  <c r="AE175" i="66" s="1"/>
  <c r="AG44" i="67"/>
  <c r="K44" i="66"/>
  <c r="M44" i="66" s="1"/>
  <c r="AE44" i="66" s="1"/>
  <c r="AD44" i="66"/>
  <c r="AG44" i="66" s="1"/>
  <c r="AC44" i="66"/>
  <c r="AF44" i="66" s="1"/>
  <c r="AD164" i="67"/>
  <c r="AG164" i="67" s="1"/>
  <c r="Z117" i="66" l="1"/>
  <c r="AB117" i="66" s="1"/>
  <c r="X117" i="66" s="1"/>
  <c r="Y117" i="66" s="1"/>
  <c r="I117" i="66" s="1"/>
  <c r="Z28" i="66"/>
  <c r="AB28" i="66" s="1"/>
  <c r="X28" i="66" s="1"/>
  <c r="Y28" i="66" s="1"/>
  <c r="I28" i="66" s="1"/>
  <c r="R10" i="67" l="1"/>
  <c r="S10" i="67" s="1"/>
  <c r="Z10" i="67" s="1"/>
  <c r="R22" i="67"/>
  <c r="S22" i="67" s="1"/>
  <c r="Z22" i="67" s="1"/>
  <c r="R34" i="67"/>
  <c r="S34" i="67" s="1"/>
  <c r="Z34" i="67" s="1"/>
  <c r="R46" i="67"/>
  <c r="S46" i="67" s="1"/>
  <c r="Z46" i="67" s="1"/>
  <c r="R58" i="67"/>
  <c r="S58" i="67" s="1"/>
  <c r="Z58" i="67" s="1"/>
  <c r="R70" i="67"/>
  <c r="S70" i="67" s="1"/>
  <c r="Z70" i="67" s="1"/>
  <c r="R82" i="67"/>
  <c r="S82" i="67" s="1"/>
  <c r="Z82" i="67" s="1"/>
  <c r="R94" i="67"/>
  <c r="S94" i="67" s="1"/>
  <c r="Z94" i="67" s="1"/>
  <c r="R106" i="67"/>
  <c r="S106" i="67" s="1"/>
  <c r="Z106" i="67" s="1"/>
  <c r="R118" i="67"/>
  <c r="S118" i="67" s="1"/>
  <c r="Z118" i="67" s="1"/>
  <c r="R130" i="67"/>
  <c r="S130" i="67" s="1"/>
  <c r="Z130" i="67" s="1"/>
  <c r="R142" i="67"/>
  <c r="S142" i="67" s="1"/>
  <c r="Z142" i="67" s="1"/>
  <c r="R154" i="67"/>
  <c r="S154" i="67" s="1"/>
  <c r="Z154" i="67" s="1"/>
  <c r="R166" i="67"/>
  <c r="S166" i="67" s="1"/>
  <c r="Z166" i="67" s="1"/>
  <c r="R178" i="67"/>
  <c r="S178" i="67" s="1"/>
  <c r="Z178" i="67" s="1"/>
  <c r="R190" i="67"/>
  <c r="S190" i="67" s="1"/>
  <c r="Z190" i="67" s="1"/>
  <c r="R202" i="67"/>
  <c r="S202" i="67" s="1"/>
  <c r="Z202" i="67" s="1"/>
  <c r="R11" i="67"/>
  <c r="S11" i="67" s="1"/>
  <c r="Z11" i="67" s="1"/>
  <c r="R23" i="67"/>
  <c r="S23" i="67" s="1"/>
  <c r="Z23" i="67" s="1"/>
  <c r="R35" i="67"/>
  <c r="S35" i="67" s="1"/>
  <c r="Z35" i="67" s="1"/>
  <c r="R47" i="67"/>
  <c r="S47" i="67" s="1"/>
  <c r="Z47" i="67" s="1"/>
  <c r="R59" i="67"/>
  <c r="S59" i="67" s="1"/>
  <c r="Z59" i="67" s="1"/>
  <c r="R71" i="67"/>
  <c r="S71" i="67" s="1"/>
  <c r="Z71" i="67" s="1"/>
  <c r="R83" i="67"/>
  <c r="S83" i="67" s="1"/>
  <c r="Z83" i="67" s="1"/>
  <c r="R95" i="67"/>
  <c r="S95" i="67" s="1"/>
  <c r="Z95" i="67" s="1"/>
  <c r="R107" i="67"/>
  <c r="S107" i="67" s="1"/>
  <c r="Z107" i="67" s="1"/>
  <c r="R119" i="67"/>
  <c r="S119" i="67" s="1"/>
  <c r="Z119" i="67" s="1"/>
  <c r="R131" i="67"/>
  <c r="S131" i="67" s="1"/>
  <c r="Z131" i="67" s="1"/>
  <c r="R143" i="67"/>
  <c r="S143" i="67" s="1"/>
  <c r="Z143" i="67" s="1"/>
  <c r="R155" i="67"/>
  <c r="S155" i="67" s="1"/>
  <c r="Z155" i="67" s="1"/>
  <c r="R167" i="67"/>
  <c r="S167" i="67" s="1"/>
  <c r="Z167" i="67" s="1"/>
  <c r="R179" i="67"/>
  <c r="S179" i="67" s="1"/>
  <c r="Z179" i="67" s="1"/>
  <c r="R191" i="67"/>
  <c r="S191" i="67" s="1"/>
  <c r="Z191" i="67" s="1"/>
  <c r="R203" i="67"/>
  <c r="S203" i="67" s="1"/>
  <c r="Z203" i="67" s="1"/>
  <c r="R12" i="67"/>
  <c r="S12" i="67" s="1"/>
  <c r="Z12" i="67" s="1"/>
  <c r="R24" i="67"/>
  <c r="S24" i="67" s="1"/>
  <c r="Z24" i="67" s="1"/>
  <c r="R36" i="67"/>
  <c r="S36" i="67" s="1"/>
  <c r="Z36" i="67" s="1"/>
  <c r="R48" i="67"/>
  <c r="S48" i="67" s="1"/>
  <c r="Z48" i="67" s="1"/>
  <c r="R60" i="67"/>
  <c r="S60" i="67" s="1"/>
  <c r="Z60" i="67" s="1"/>
  <c r="R72" i="67"/>
  <c r="S72" i="67" s="1"/>
  <c r="Z72" i="67" s="1"/>
  <c r="R84" i="67"/>
  <c r="S84" i="67" s="1"/>
  <c r="Z84" i="67" s="1"/>
  <c r="R96" i="67"/>
  <c r="S96" i="67" s="1"/>
  <c r="Z96" i="67" s="1"/>
  <c r="R108" i="67"/>
  <c r="S108" i="67" s="1"/>
  <c r="Z108" i="67" s="1"/>
  <c r="R120" i="67"/>
  <c r="S120" i="67" s="1"/>
  <c r="Z120" i="67" s="1"/>
  <c r="R132" i="67"/>
  <c r="S132" i="67" s="1"/>
  <c r="Z132" i="67" s="1"/>
  <c r="R144" i="67"/>
  <c r="S144" i="67" s="1"/>
  <c r="Z144" i="67" s="1"/>
  <c r="R156" i="67"/>
  <c r="S156" i="67" s="1"/>
  <c r="Z156" i="67" s="1"/>
  <c r="R168" i="67"/>
  <c r="S168" i="67" s="1"/>
  <c r="Z168" i="67" s="1"/>
  <c r="R180" i="67"/>
  <c r="S180" i="67" s="1"/>
  <c r="Z180" i="67" s="1"/>
  <c r="R192" i="67"/>
  <c r="S192" i="67" s="1"/>
  <c r="Z192" i="67" s="1"/>
  <c r="R204" i="67"/>
  <c r="S204" i="67" s="1"/>
  <c r="Z204" i="67" s="1"/>
  <c r="R13" i="67"/>
  <c r="S13" i="67" s="1"/>
  <c r="Z13" i="67" s="1"/>
  <c r="R25" i="67"/>
  <c r="S25" i="67" s="1"/>
  <c r="Z25" i="67" s="1"/>
  <c r="R37" i="67"/>
  <c r="S37" i="67" s="1"/>
  <c r="Z37" i="67" s="1"/>
  <c r="R49" i="67"/>
  <c r="S49" i="67" s="1"/>
  <c r="Z49" i="67" s="1"/>
  <c r="R61" i="67"/>
  <c r="S61" i="67" s="1"/>
  <c r="Z61" i="67" s="1"/>
  <c r="R73" i="67"/>
  <c r="S73" i="67" s="1"/>
  <c r="Z73" i="67" s="1"/>
  <c r="R85" i="67"/>
  <c r="S85" i="67" s="1"/>
  <c r="Z85" i="67" s="1"/>
  <c r="R97" i="67"/>
  <c r="S97" i="67" s="1"/>
  <c r="Z97" i="67" s="1"/>
  <c r="R109" i="67"/>
  <c r="S109" i="67" s="1"/>
  <c r="Z109" i="67" s="1"/>
  <c r="R121" i="67"/>
  <c r="S121" i="67" s="1"/>
  <c r="Z121" i="67" s="1"/>
  <c r="R133" i="67"/>
  <c r="S133" i="67" s="1"/>
  <c r="Z133" i="67" s="1"/>
  <c r="R145" i="67"/>
  <c r="S145" i="67" s="1"/>
  <c r="Z145" i="67" s="1"/>
  <c r="R157" i="67"/>
  <c r="S157" i="67" s="1"/>
  <c r="Z157" i="67" s="1"/>
  <c r="R169" i="67"/>
  <c r="S169" i="67" s="1"/>
  <c r="Z169" i="67" s="1"/>
  <c r="R181" i="67"/>
  <c r="S181" i="67" s="1"/>
  <c r="Z181" i="67" s="1"/>
  <c r="R193" i="67"/>
  <c r="S193" i="67" s="1"/>
  <c r="Z193" i="67" s="1"/>
  <c r="R205" i="67"/>
  <c r="S205" i="67" s="1"/>
  <c r="Z205" i="67" s="1"/>
  <c r="R14" i="67"/>
  <c r="S14" i="67" s="1"/>
  <c r="Z14" i="67" s="1"/>
  <c r="R26" i="67"/>
  <c r="S26" i="67" s="1"/>
  <c r="Z26" i="67" s="1"/>
  <c r="R38" i="67"/>
  <c r="S38" i="67" s="1"/>
  <c r="Z38" i="67" s="1"/>
  <c r="R50" i="67"/>
  <c r="S50" i="67" s="1"/>
  <c r="Z50" i="67" s="1"/>
  <c r="R62" i="67"/>
  <c r="S62" i="67" s="1"/>
  <c r="Z62" i="67" s="1"/>
  <c r="R74" i="67"/>
  <c r="S74" i="67" s="1"/>
  <c r="Z74" i="67" s="1"/>
  <c r="R86" i="67"/>
  <c r="S86" i="67" s="1"/>
  <c r="Z86" i="67" s="1"/>
  <c r="R98" i="67"/>
  <c r="S98" i="67" s="1"/>
  <c r="Z98" i="67" s="1"/>
  <c r="R110" i="67"/>
  <c r="S110" i="67" s="1"/>
  <c r="Z110" i="67" s="1"/>
  <c r="R122" i="67"/>
  <c r="S122" i="67" s="1"/>
  <c r="Z122" i="67" s="1"/>
  <c r="R134" i="67"/>
  <c r="S134" i="67" s="1"/>
  <c r="Z134" i="67" s="1"/>
  <c r="R146" i="67"/>
  <c r="S146" i="67" s="1"/>
  <c r="Z146" i="67" s="1"/>
  <c r="R158" i="67"/>
  <c r="S158" i="67" s="1"/>
  <c r="Z158" i="67" s="1"/>
  <c r="R170" i="67"/>
  <c r="S170" i="67" s="1"/>
  <c r="Z170" i="67" s="1"/>
  <c r="R182" i="67"/>
  <c r="S182" i="67" s="1"/>
  <c r="Z182" i="67" s="1"/>
  <c r="R194" i="67"/>
  <c r="S194" i="67" s="1"/>
  <c r="Z194" i="67" s="1"/>
  <c r="R206" i="67"/>
  <c r="S206" i="67" s="1"/>
  <c r="Z206" i="67" s="1"/>
  <c r="R15" i="67"/>
  <c r="S15" i="67" s="1"/>
  <c r="Z15" i="67" s="1"/>
  <c r="R27" i="67"/>
  <c r="S27" i="67" s="1"/>
  <c r="Z27" i="67" s="1"/>
  <c r="R39" i="67"/>
  <c r="S39" i="67" s="1"/>
  <c r="Z39" i="67" s="1"/>
  <c r="R51" i="67"/>
  <c r="S51" i="67" s="1"/>
  <c r="Z51" i="67" s="1"/>
  <c r="R63" i="67"/>
  <c r="S63" i="67" s="1"/>
  <c r="Z63" i="67" s="1"/>
  <c r="R75" i="67"/>
  <c r="S75" i="67" s="1"/>
  <c r="Z75" i="67" s="1"/>
  <c r="R87" i="67"/>
  <c r="S87" i="67" s="1"/>
  <c r="Z87" i="67" s="1"/>
  <c r="R99" i="67"/>
  <c r="S99" i="67" s="1"/>
  <c r="Z99" i="67" s="1"/>
  <c r="R111" i="67"/>
  <c r="S111" i="67" s="1"/>
  <c r="Z111" i="67" s="1"/>
  <c r="R123" i="67"/>
  <c r="S123" i="67" s="1"/>
  <c r="Z123" i="67" s="1"/>
  <c r="R135" i="67"/>
  <c r="S135" i="67" s="1"/>
  <c r="Z135" i="67" s="1"/>
  <c r="R147" i="67"/>
  <c r="S147" i="67" s="1"/>
  <c r="Z147" i="67" s="1"/>
  <c r="R159" i="67"/>
  <c r="S159" i="67" s="1"/>
  <c r="Z159" i="67" s="1"/>
  <c r="R171" i="67"/>
  <c r="S171" i="67" s="1"/>
  <c r="Z171" i="67" s="1"/>
  <c r="R183" i="67"/>
  <c r="S183" i="67" s="1"/>
  <c r="Z183" i="67" s="1"/>
  <c r="R195" i="67"/>
  <c r="S195" i="67" s="1"/>
  <c r="Z195" i="67" s="1"/>
  <c r="R3" i="67"/>
  <c r="S3" i="67" s="1"/>
  <c r="Z3" i="67" s="1"/>
  <c r="R4" i="67"/>
  <c r="S4" i="67" s="1"/>
  <c r="Z4" i="67" s="1"/>
  <c r="R16" i="67"/>
  <c r="S16" i="67" s="1"/>
  <c r="Z16" i="67" s="1"/>
  <c r="R28" i="67"/>
  <c r="S28" i="67" s="1"/>
  <c r="Z28" i="67" s="1"/>
  <c r="R40" i="67"/>
  <c r="S40" i="67" s="1"/>
  <c r="Z40" i="67" s="1"/>
  <c r="R52" i="67"/>
  <c r="S52" i="67" s="1"/>
  <c r="Z52" i="67" s="1"/>
  <c r="R64" i="67"/>
  <c r="S64" i="67" s="1"/>
  <c r="Z64" i="67" s="1"/>
  <c r="R76" i="67"/>
  <c r="S76" i="67" s="1"/>
  <c r="Z76" i="67" s="1"/>
  <c r="R88" i="67"/>
  <c r="S88" i="67" s="1"/>
  <c r="Z88" i="67" s="1"/>
  <c r="R100" i="67"/>
  <c r="S100" i="67" s="1"/>
  <c r="Z100" i="67" s="1"/>
  <c r="R112" i="67"/>
  <c r="S112" i="67" s="1"/>
  <c r="Z112" i="67" s="1"/>
  <c r="R124" i="67"/>
  <c r="S124" i="67" s="1"/>
  <c r="Z124" i="67" s="1"/>
  <c r="R136" i="67"/>
  <c r="S136" i="67" s="1"/>
  <c r="Z136" i="67" s="1"/>
  <c r="R148" i="67"/>
  <c r="S148" i="67" s="1"/>
  <c r="Z148" i="67" s="1"/>
  <c r="R160" i="67"/>
  <c r="S160" i="67" s="1"/>
  <c r="Z160" i="67" s="1"/>
  <c r="R172" i="67"/>
  <c r="S172" i="67" s="1"/>
  <c r="Z172" i="67" s="1"/>
  <c r="R184" i="67"/>
  <c r="S184" i="67" s="1"/>
  <c r="Z184" i="67" s="1"/>
  <c r="R196" i="67"/>
  <c r="S196" i="67" s="1"/>
  <c r="Z196" i="67" s="1"/>
  <c r="R9" i="67"/>
  <c r="S9" i="67" s="1"/>
  <c r="Z9" i="67" s="1"/>
  <c r="R21" i="67"/>
  <c r="S21" i="67" s="1"/>
  <c r="Z21" i="67" s="1"/>
  <c r="R45" i="67"/>
  <c r="S45" i="67" s="1"/>
  <c r="Z45" i="67" s="1"/>
  <c r="R57" i="67"/>
  <c r="S57" i="67" s="1"/>
  <c r="Z57" i="67" s="1"/>
  <c r="R69" i="67"/>
  <c r="S69" i="67" s="1"/>
  <c r="Z69" i="67" s="1"/>
  <c r="R81" i="67"/>
  <c r="S81" i="67" s="1"/>
  <c r="Z81" i="67" s="1"/>
  <c r="R117" i="67"/>
  <c r="S117" i="67" s="1"/>
  <c r="Z117" i="67" s="1"/>
  <c r="R129" i="67"/>
  <c r="S129" i="67" s="1"/>
  <c r="Z129" i="67" s="1"/>
  <c r="R141" i="67"/>
  <c r="S141" i="67" s="1"/>
  <c r="Z141" i="67" s="1"/>
  <c r="R165" i="67"/>
  <c r="S165" i="67" s="1"/>
  <c r="Z165" i="67" s="1"/>
  <c r="R189" i="67"/>
  <c r="S189" i="67" s="1"/>
  <c r="Z189" i="67" s="1"/>
  <c r="R5" i="67"/>
  <c r="S5" i="67" s="1"/>
  <c r="Z5" i="67" s="1"/>
  <c r="R17" i="67"/>
  <c r="S17" i="67" s="1"/>
  <c r="Z17" i="67" s="1"/>
  <c r="R29" i="67"/>
  <c r="S29" i="67" s="1"/>
  <c r="Z29" i="67" s="1"/>
  <c r="R41" i="67"/>
  <c r="S41" i="67" s="1"/>
  <c r="Z41" i="67" s="1"/>
  <c r="R53" i="67"/>
  <c r="S53" i="67" s="1"/>
  <c r="Z53" i="67" s="1"/>
  <c r="R65" i="67"/>
  <c r="S65" i="67" s="1"/>
  <c r="Z65" i="67" s="1"/>
  <c r="R77" i="67"/>
  <c r="S77" i="67" s="1"/>
  <c r="Z77" i="67" s="1"/>
  <c r="R89" i="67"/>
  <c r="S89" i="67" s="1"/>
  <c r="Z89" i="67" s="1"/>
  <c r="R101" i="67"/>
  <c r="S101" i="67" s="1"/>
  <c r="Z101" i="67" s="1"/>
  <c r="R113" i="67"/>
  <c r="S113" i="67" s="1"/>
  <c r="Z113" i="67" s="1"/>
  <c r="R125" i="67"/>
  <c r="S125" i="67" s="1"/>
  <c r="Z125" i="67" s="1"/>
  <c r="R137" i="67"/>
  <c r="S137" i="67" s="1"/>
  <c r="Z137" i="67" s="1"/>
  <c r="R149" i="67"/>
  <c r="S149" i="67" s="1"/>
  <c r="Z149" i="67" s="1"/>
  <c r="R161" i="67"/>
  <c r="S161" i="67" s="1"/>
  <c r="Z161" i="67" s="1"/>
  <c r="R173" i="67"/>
  <c r="S173" i="67" s="1"/>
  <c r="Z173" i="67" s="1"/>
  <c r="R185" i="67"/>
  <c r="S185" i="67" s="1"/>
  <c r="Z185" i="67" s="1"/>
  <c r="R197" i="67"/>
  <c r="S197" i="67" s="1"/>
  <c r="Z197" i="67" s="1"/>
  <c r="R33" i="67"/>
  <c r="S33" i="67" s="1"/>
  <c r="Z33" i="67" s="1"/>
  <c r="R105" i="67"/>
  <c r="S105" i="67" s="1"/>
  <c r="Z105" i="67" s="1"/>
  <c r="R153" i="67"/>
  <c r="S153" i="67" s="1"/>
  <c r="Z153" i="67" s="1"/>
  <c r="R201" i="67"/>
  <c r="S201" i="67" s="1"/>
  <c r="Z201" i="67" s="1"/>
  <c r="R6" i="67"/>
  <c r="S6" i="67" s="1"/>
  <c r="Z6" i="67" s="1"/>
  <c r="R18" i="67"/>
  <c r="S18" i="67" s="1"/>
  <c r="Z18" i="67" s="1"/>
  <c r="R30" i="67"/>
  <c r="S30" i="67" s="1"/>
  <c r="Z30" i="67" s="1"/>
  <c r="R42" i="67"/>
  <c r="S42" i="67" s="1"/>
  <c r="Z42" i="67" s="1"/>
  <c r="R54" i="67"/>
  <c r="S54" i="67" s="1"/>
  <c r="Z54" i="67" s="1"/>
  <c r="R66" i="67"/>
  <c r="S66" i="67" s="1"/>
  <c r="Z66" i="67" s="1"/>
  <c r="R78" i="67"/>
  <c r="S78" i="67" s="1"/>
  <c r="Z78" i="67" s="1"/>
  <c r="R90" i="67"/>
  <c r="S90" i="67" s="1"/>
  <c r="Z90" i="67" s="1"/>
  <c r="R102" i="67"/>
  <c r="S102" i="67" s="1"/>
  <c r="Z102" i="67" s="1"/>
  <c r="R114" i="67"/>
  <c r="S114" i="67" s="1"/>
  <c r="Z114" i="67" s="1"/>
  <c r="R126" i="67"/>
  <c r="S126" i="67" s="1"/>
  <c r="Z126" i="67" s="1"/>
  <c r="R138" i="67"/>
  <c r="S138" i="67" s="1"/>
  <c r="Z138" i="67" s="1"/>
  <c r="R150" i="67"/>
  <c r="S150" i="67" s="1"/>
  <c r="Z150" i="67" s="1"/>
  <c r="R162" i="67"/>
  <c r="S162" i="67" s="1"/>
  <c r="Z162" i="67" s="1"/>
  <c r="R174" i="67"/>
  <c r="S174" i="67" s="1"/>
  <c r="Z174" i="67" s="1"/>
  <c r="R186" i="67"/>
  <c r="S186" i="67" s="1"/>
  <c r="Z186" i="67" s="1"/>
  <c r="R198" i="67"/>
  <c r="S198" i="67" s="1"/>
  <c r="Z198" i="67" s="1"/>
  <c r="R7" i="67"/>
  <c r="S7" i="67" s="1"/>
  <c r="Z7" i="67" s="1"/>
  <c r="R19" i="67"/>
  <c r="S19" i="67" s="1"/>
  <c r="Z19" i="67" s="1"/>
  <c r="R31" i="67"/>
  <c r="S31" i="67" s="1"/>
  <c r="Z31" i="67" s="1"/>
  <c r="R43" i="67"/>
  <c r="S43" i="67" s="1"/>
  <c r="Z43" i="67" s="1"/>
  <c r="R55" i="67"/>
  <c r="S55" i="67" s="1"/>
  <c r="Z55" i="67" s="1"/>
  <c r="R67" i="67"/>
  <c r="S67" i="67" s="1"/>
  <c r="Z67" i="67" s="1"/>
  <c r="R79" i="67"/>
  <c r="S79" i="67" s="1"/>
  <c r="Z79" i="67" s="1"/>
  <c r="R91" i="67"/>
  <c r="S91" i="67" s="1"/>
  <c r="Z91" i="67" s="1"/>
  <c r="R103" i="67"/>
  <c r="S103" i="67" s="1"/>
  <c r="Z103" i="67" s="1"/>
  <c r="R115" i="67"/>
  <c r="S115" i="67" s="1"/>
  <c r="Z115" i="67" s="1"/>
  <c r="R127" i="67"/>
  <c r="S127" i="67" s="1"/>
  <c r="Z127" i="67" s="1"/>
  <c r="R139" i="67"/>
  <c r="S139" i="67" s="1"/>
  <c r="Z139" i="67" s="1"/>
  <c r="R151" i="67"/>
  <c r="S151" i="67" s="1"/>
  <c r="Z151" i="67" s="1"/>
  <c r="R163" i="67"/>
  <c r="S163" i="67" s="1"/>
  <c r="Z163" i="67" s="1"/>
  <c r="R175" i="67"/>
  <c r="S175" i="67" s="1"/>
  <c r="Z175" i="67" s="1"/>
  <c r="R187" i="67"/>
  <c r="S187" i="67" s="1"/>
  <c r="Z187" i="67" s="1"/>
  <c r="R199" i="67"/>
  <c r="S199" i="67" s="1"/>
  <c r="Z199" i="67" s="1"/>
  <c r="R8" i="67"/>
  <c r="S8" i="67" s="1"/>
  <c r="Z8" i="67" s="1"/>
  <c r="R20" i="67"/>
  <c r="S20" i="67" s="1"/>
  <c r="Z20" i="67" s="1"/>
  <c r="R32" i="67"/>
  <c r="S32" i="67" s="1"/>
  <c r="Z32" i="67" s="1"/>
  <c r="R44" i="67"/>
  <c r="S44" i="67" s="1"/>
  <c r="Z44" i="67" s="1"/>
  <c r="R56" i="67"/>
  <c r="S56" i="67" s="1"/>
  <c r="Z56" i="67" s="1"/>
  <c r="R68" i="67"/>
  <c r="S68" i="67" s="1"/>
  <c r="Z68" i="67" s="1"/>
  <c r="R80" i="67"/>
  <c r="S80" i="67" s="1"/>
  <c r="Z80" i="67" s="1"/>
  <c r="R92" i="67"/>
  <c r="S92" i="67" s="1"/>
  <c r="Z92" i="67" s="1"/>
  <c r="R104" i="67"/>
  <c r="S104" i="67" s="1"/>
  <c r="Z104" i="67" s="1"/>
  <c r="R116" i="67"/>
  <c r="S116" i="67" s="1"/>
  <c r="Z116" i="67" s="1"/>
  <c r="R128" i="67"/>
  <c r="S128" i="67" s="1"/>
  <c r="Z128" i="67" s="1"/>
  <c r="R140" i="67"/>
  <c r="S140" i="67" s="1"/>
  <c r="Z140" i="67" s="1"/>
  <c r="R152" i="67"/>
  <c r="S152" i="67" s="1"/>
  <c r="Z152" i="67" s="1"/>
  <c r="R164" i="67"/>
  <c r="S164" i="67" s="1"/>
  <c r="Z164" i="67" s="1"/>
  <c r="R176" i="67"/>
  <c r="S176" i="67" s="1"/>
  <c r="Z176" i="67" s="1"/>
  <c r="R188" i="67"/>
  <c r="S188" i="67" s="1"/>
  <c r="Z188" i="67" s="1"/>
  <c r="R200" i="67"/>
  <c r="S200" i="67" s="1"/>
  <c r="Z200" i="67" s="1"/>
  <c r="R93" i="67"/>
  <c r="S93" i="67" s="1"/>
  <c r="Z93" i="67" s="1"/>
  <c r="R177" i="67"/>
  <c r="S177" i="67" s="1"/>
  <c r="Z177" i="67" s="1"/>
  <c r="K117" i="66"/>
  <c r="M117" i="66" s="1"/>
  <c r="AE117" i="66" s="1"/>
  <c r="AD117" i="66"/>
  <c r="AG117" i="66" s="1"/>
  <c r="AC117" i="66"/>
  <c r="AF117" i="66" s="1"/>
  <c r="AG28" i="67"/>
  <c r="AG117" i="67"/>
  <c r="AC28" i="66"/>
  <c r="AF28" i="66" s="1"/>
  <c r="K28" i="66"/>
  <c r="M28" i="66" s="1"/>
  <c r="AE28" i="66" s="1"/>
  <c r="AD28" i="66"/>
  <c r="AG28" i="66" s="1"/>
  <c r="R7" i="68" l="1"/>
  <c r="S7" i="68" s="1"/>
  <c r="Z7" i="68" s="1"/>
  <c r="R19" i="68"/>
  <c r="S19" i="68" s="1"/>
  <c r="Z19" i="68" s="1"/>
  <c r="R31" i="68"/>
  <c r="S31" i="68" s="1"/>
  <c r="Z31" i="68" s="1"/>
  <c r="R43" i="68"/>
  <c r="S43" i="68" s="1"/>
  <c r="Z43" i="68" s="1"/>
  <c r="R55" i="68"/>
  <c r="S55" i="68" s="1"/>
  <c r="Z55" i="68" s="1"/>
  <c r="R67" i="68"/>
  <c r="S67" i="68" s="1"/>
  <c r="Z67" i="68" s="1"/>
  <c r="R79" i="68"/>
  <c r="S79" i="68" s="1"/>
  <c r="Z79" i="68" s="1"/>
  <c r="R91" i="68"/>
  <c r="S91" i="68" s="1"/>
  <c r="Z91" i="68" s="1"/>
  <c r="R103" i="68"/>
  <c r="S103" i="68" s="1"/>
  <c r="Z103" i="68" s="1"/>
  <c r="R115" i="68"/>
  <c r="S115" i="68" s="1"/>
  <c r="Z115" i="68" s="1"/>
  <c r="R127" i="68"/>
  <c r="S127" i="68" s="1"/>
  <c r="Z127" i="68" s="1"/>
  <c r="R139" i="68"/>
  <c r="S139" i="68" s="1"/>
  <c r="Z139" i="68" s="1"/>
  <c r="R151" i="68"/>
  <c r="S151" i="68" s="1"/>
  <c r="Z151" i="68" s="1"/>
  <c r="R163" i="68"/>
  <c r="S163" i="68" s="1"/>
  <c r="Z163" i="68" s="1"/>
  <c r="R175" i="68"/>
  <c r="S175" i="68" s="1"/>
  <c r="Z175" i="68" s="1"/>
  <c r="R187" i="68"/>
  <c r="S187" i="68" s="1"/>
  <c r="Z187" i="68" s="1"/>
  <c r="R199" i="68"/>
  <c r="S199" i="68" s="1"/>
  <c r="Z199" i="68" s="1"/>
  <c r="R52" i="68"/>
  <c r="S52" i="68" s="1"/>
  <c r="Z52" i="68" s="1"/>
  <c r="R8" i="68"/>
  <c r="S8" i="68" s="1"/>
  <c r="Z8" i="68" s="1"/>
  <c r="R20" i="68"/>
  <c r="S20" i="68" s="1"/>
  <c r="Z20" i="68" s="1"/>
  <c r="R32" i="68"/>
  <c r="S32" i="68" s="1"/>
  <c r="Z32" i="68" s="1"/>
  <c r="R44" i="68"/>
  <c r="S44" i="68" s="1"/>
  <c r="Z44" i="68" s="1"/>
  <c r="R56" i="68"/>
  <c r="S56" i="68" s="1"/>
  <c r="Z56" i="68" s="1"/>
  <c r="R68" i="68"/>
  <c r="S68" i="68" s="1"/>
  <c r="Z68" i="68" s="1"/>
  <c r="R80" i="68"/>
  <c r="S80" i="68" s="1"/>
  <c r="Z80" i="68" s="1"/>
  <c r="R92" i="68"/>
  <c r="S92" i="68" s="1"/>
  <c r="Z92" i="68" s="1"/>
  <c r="R104" i="68"/>
  <c r="S104" i="68" s="1"/>
  <c r="Z104" i="68" s="1"/>
  <c r="R116" i="68"/>
  <c r="S116" i="68" s="1"/>
  <c r="Z116" i="68" s="1"/>
  <c r="R128" i="68"/>
  <c r="S128" i="68" s="1"/>
  <c r="Z128" i="68" s="1"/>
  <c r="R140" i="68"/>
  <c r="S140" i="68" s="1"/>
  <c r="Z140" i="68" s="1"/>
  <c r="R152" i="68"/>
  <c r="S152" i="68" s="1"/>
  <c r="Z152" i="68" s="1"/>
  <c r="R164" i="68"/>
  <c r="S164" i="68" s="1"/>
  <c r="Z164" i="68" s="1"/>
  <c r="R176" i="68"/>
  <c r="S176" i="68" s="1"/>
  <c r="Z176" i="68" s="1"/>
  <c r="R188" i="68"/>
  <c r="S188" i="68" s="1"/>
  <c r="Z188" i="68" s="1"/>
  <c r="R200" i="68"/>
  <c r="S200" i="68" s="1"/>
  <c r="Z200" i="68" s="1"/>
  <c r="R16" i="68"/>
  <c r="S16" i="68" s="1"/>
  <c r="Z16" i="68" s="1"/>
  <c r="R76" i="68"/>
  <c r="S76" i="68" s="1"/>
  <c r="Z76" i="68" s="1"/>
  <c r="R136" i="68"/>
  <c r="S136" i="68" s="1"/>
  <c r="Z136" i="68" s="1"/>
  <c r="R196" i="68"/>
  <c r="S196" i="68" s="1"/>
  <c r="Z196" i="68" s="1"/>
  <c r="R9" i="68"/>
  <c r="S9" i="68" s="1"/>
  <c r="Z9" i="68" s="1"/>
  <c r="R21" i="68"/>
  <c r="S21" i="68" s="1"/>
  <c r="Z21" i="68" s="1"/>
  <c r="R33" i="68"/>
  <c r="S33" i="68" s="1"/>
  <c r="Z33" i="68" s="1"/>
  <c r="R45" i="68"/>
  <c r="S45" i="68" s="1"/>
  <c r="Z45" i="68" s="1"/>
  <c r="R57" i="68"/>
  <c r="S57" i="68" s="1"/>
  <c r="Z57" i="68" s="1"/>
  <c r="R69" i="68"/>
  <c r="S69" i="68" s="1"/>
  <c r="Z69" i="68" s="1"/>
  <c r="R81" i="68"/>
  <c r="S81" i="68" s="1"/>
  <c r="Z81" i="68" s="1"/>
  <c r="R93" i="68"/>
  <c r="S93" i="68" s="1"/>
  <c r="Z93" i="68" s="1"/>
  <c r="R105" i="68"/>
  <c r="S105" i="68" s="1"/>
  <c r="Z105" i="68" s="1"/>
  <c r="R117" i="68"/>
  <c r="S117" i="68" s="1"/>
  <c r="Z117" i="68" s="1"/>
  <c r="R129" i="68"/>
  <c r="S129" i="68" s="1"/>
  <c r="Z129" i="68" s="1"/>
  <c r="R141" i="68"/>
  <c r="S141" i="68" s="1"/>
  <c r="Z141" i="68" s="1"/>
  <c r="R153" i="68"/>
  <c r="S153" i="68" s="1"/>
  <c r="Z153" i="68" s="1"/>
  <c r="R165" i="68"/>
  <c r="S165" i="68" s="1"/>
  <c r="Z165" i="68" s="1"/>
  <c r="R177" i="68"/>
  <c r="S177" i="68" s="1"/>
  <c r="Z177" i="68" s="1"/>
  <c r="R189" i="68"/>
  <c r="S189" i="68" s="1"/>
  <c r="Z189" i="68" s="1"/>
  <c r="R201" i="68"/>
  <c r="S201" i="68" s="1"/>
  <c r="Z201" i="68" s="1"/>
  <c r="R4" i="68"/>
  <c r="S4" i="68" s="1"/>
  <c r="Z4" i="68" s="1"/>
  <c r="R88" i="68"/>
  <c r="S88" i="68" s="1"/>
  <c r="Z88" i="68" s="1"/>
  <c r="R160" i="68"/>
  <c r="S160" i="68" s="1"/>
  <c r="Z160" i="68" s="1"/>
  <c r="R10" i="68"/>
  <c r="S10" i="68" s="1"/>
  <c r="Z10" i="68" s="1"/>
  <c r="R22" i="68"/>
  <c r="S22" i="68" s="1"/>
  <c r="Z22" i="68" s="1"/>
  <c r="R34" i="68"/>
  <c r="S34" i="68" s="1"/>
  <c r="Z34" i="68" s="1"/>
  <c r="R46" i="68"/>
  <c r="S46" i="68" s="1"/>
  <c r="Z46" i="68" s="1"/>
  <c r="R58" i="68"/>
  <c r="S58" i="68" s="1"/>
  <c r="Z58" i="68" s="1"/>
  <c r="R70" i="68"/>
  <c r="S70" i="68" s="1"/>
  <c r="Z70" i="68" s="1"/>
  <c r="R82" i="68"/>
  <c r="S82" i="68" s="1"/>
  <c r="Z82" i="68" s="1"/>
  <c r="R94" i="68"/>
  <c r="S94" i="68" s="1"/>
  <c r="Z94" i="68" s="1"/>
  <c r="R106" i="68"/>
  <c r="S106" i="68" s="1"/>
  <c r="Z106" i="68" s="1"/>
  <c r="R118" i="68"/>
  <c r="S118" i="68" s="1"/>
  <c r="Z118" i="68" s="1"/>
  <c r="R130" i="68"/>
  <c r="S130" i="68" s="1"/>
  <c r="Z130" i="68" s="1"/>
  <c r="R142" i="68"/>
  <c r="S142" i="68" s="1"/>
  <c r="Z142" i="68" s="1"/>
  <c r="R154" i="68"/>
  <c r="S154" i="68" s="1"/>
  <c r="Z154" i="68" s="1"/>
  <c r="R166" i="68"/>
  <c r="S166" i="68" s="1"/>
  <c r="Z166" i="68" s="1"/>
  <c r="R178" i="68"/>
  <c r="S178" i="68" s="1"/>
  <c r="Z178" i="68" s="1"/>
  <c r="R190" i="68"/>
  <c r="S190" i="68" s="1"/>
  <c r="Z190" i="68" s="1"/>
  <c r="R202" i="68"/>
  <c r="S202" i="68" s="1"/>
  <c r="Z202" i="68" s="1"/>
  <c r="R40" i="68"/>
  <c r="S40" i="68" s="1"/>
  <c r="Z40" i="68" s="1"/>
  <c r="R100" i="68"/>
  <c r="S100" i="68" s="1"/>
  <c r="Z100" i="68" s="1"/>
  <c r="R172" i="68"/>
  <c r="S172" i="68" s="1"/>
  <c r="Z172" i="68" s="1"/>
  <c r="R11" i="68"/>
  <c r="S11" i="68" s="1"/>
  <c r="Z11" i="68" s="1"/>
  <c r="R23" i="68"/>
  <c r="S23" i="68" s="1"/>
  <c r="Z23" i="68" s="1"/>
  <c r="R35" i="68"/>
  <c r="S35" i="68" s="1"/>
  <c r="Z35" i="68" s="1"/>
  <c r="R47" i="68"/>
  <c r="S47" i="68" s="1"/>
  <c r="Z47" i="68" s="1"/>
  <c r="R59" i="68"/>
  <c r="S59" i="68" s="1"/>
  <c r="Z59" i="68" s="1"/>
  <c r="R71" i="68"/>
  <c r="S71" i="68" s="1"/>
  <c r="Z71" i="68" s="1"/>
  <c r="R83" i="68"/>
  <c r="S83" i="68" s="1"/>
  <c r="Z83" i="68" s="1"/>
  <c r="R95" i="68"/>
  <c r="S95" i="68" s="1"/>
  <c r="Z95" i="68" s="1"/>
  <c r="R107" i="68"/>
  <c r="S107" i="68" s="1"/>
  <c r="Z107" i="68" s="1"/>
  <c r="R119" i="68"/>
  <c r="S119" i="68" s="1"/>
  <c r="Z119" i="68" s="1"/>
  <c r="R131" i="68"/>
  <c r="S131" i="68" s="1"/>
  <c r="Z131" i="68" s="1"/>
  <c r="R143" i="68"/>
  <c r="S143" i="68" s="1"/>
  <c r="Z143" i="68" s="1"/>
  <c r="R155" i="68"/>
  <c r="S155" i="68" s="1"/>
  <c r="Z155" i="68" s="1"/>
  <c r="R167" i="68"/>
  <c r="S167" i="68" s="1"/>
  <c r="Z167" i="68" s="1"/>
  <c r="R179" i="68"/>
  <c r="S179" i="68" s="1"/>
  <c r="Z179" i="68" s="1"/>
  <c r="R191" i="68"/>
  <c r="S191" i="68" s="1"/>
  <c r="Z191" i="68" s="1"/>
  <c r="R203" i="68"/>
  <c r="S203" i="68" s="1"/>
  <c r="Z203" i="68" s="1"/>
  <c r="R12" i="68"/>
  <c r="S12" i="68" s="1"/>
  <c r="Z12" i="68" s="1"/>
  <c r="R24" i="68"/>
  <c r="S24" i="68" s="1"/>
  <c r="Z24" i="68" s="1"/>
  <c r="R36" i="68"/>
  <c r="S36" i="68" s="1"/>
  <c r="Z36" i="68" s="1"/>
  <c r="R48" i="68"/>
  <c r="S48" i="68" s="1"/>
  <c r="Z48" i="68" s="1"/>
  <c r="R60" i="68"/>
  <c r="S60" i="68" s="1"/>
  <c r="Z60" i="68" s="1"/>
  <c r="R72" i="68"/>
  <c r="S72" i="68" s="1"/>
  <c r="Z72" i="68" s="1"/>
  <c r="R84" i="68"/>
  <c r="S84" i="68" s="1"/>
  <c r="Z84" i="68" s="1"/>
  <c r="R96" i="68"/>
  <c r="S96" i="68" s="1"/>
  <c r="Z96" i="68" s="1"/>
  <c r="R108" i="68"/>
  <c r="S108" i="68" s="1"/>
  <c r="Z108" i="68" s="1"/>
  <c r="R120" i="68"/>
  <c r="S120" i="68" s="1"/>
  <c r="Z120" i="68" s="1"/>
  <c r="R132" i="68"/>
  <c r="S132" i="68" s="1"/>
  <c r="Z132" i="68" s="1"/>
  <c r="R144" i="68"/>
  <c r="S144" i="68" s="1"/>
  <c r="Z144" i="68" s="1"/>
  <c r="R156" i="68"/>
  <c r="S156" i="68" s="1"/>
  <c r="Z156" i="68" s="1"/>
  <c r="R168" i="68"/>
  <c r="S168" i="68" s="1"/>
  <c r="Z168" i="68" s="1"/>
  <c r="R180" i="68"/>
  <c r="S180" i="68" s="1"/>
  <c r="Z180" i="68" s="1"/>
  <c r="R192" i="68"/>
  <c r="S192" i="68" s="1"/>
  <c r="Z192" i="68" s="1"/>
  <c r="R204" i="68"/>
  <c r="S204" i="68" s="1"/>
  <c r="Z204" i="68" s="1"/>
  <c r="R15" i="68"/>
  <c r="S15" i="68" s="1"/>
  <c r="Z15" i="68" s="1"/>
  <c r="R51" i="68"/>
  <c r="S51" i="68" s="1"/>
  <c r="Z51" i="68" s="1"/>
  <c r="R75" i="68"/>
  <c r="S75" i="68" s="1"/>
  <c r="Z75" i="68" s="1"/>
  <c r="R99" i="68"/>
  <c r="S99" i="68" s="1"/>
  <c r="Z99" i="68" s="1"/>
  <c r="R123" i="68"/>
  <c r="S123" i="68" s="1"/>
  <c r="Z123" i="68" s="1"/>
  <c r="R147" i="68"/>
  <c r="S147" i="68" s="1"/>
  <c r="Z147" i="68" s="1"/>
  <c r="R171" i="68"/>
  <c r="S171" i="68" s="1"/>
  <c r="Z171" i="68" s="1"/>
  <c r="R195" i="68"/>
  <c r="S195" i="68" s="1"/>
  <c r="Z195" i="68" s="1"/>
  <c r="R28" i="68"/>
  <c r="S28" i="68" s="1"/>
  <c r="Z28" i="68" s="1"/>
  <c r="R124" i="68"/>
  <c r="S124" i="68" s="1"/>
  <c r="Z124" i="68" s="1"/>
  <c r="R184" i="68"/>
  <c r="S184" i="68" s="1"/>
  <c r="Z184" i="68" s="1"/>
  <c r="R13" i="68"/>
  <c r="S13" i="68" s="1"/>
  <c r="Z13" i="68" s="1"/>
  <c r="R25" i="68"/>
  <c r="S25" i="68" s="1"/>
  <c r="Z25" i="68" s="1"/>
  <c r="R37" i="68"/>
  <c r="S37" i="68" s="1"/>
  <c r="Z37" i="68" s="1"/>
  <c r="R49" i="68"/>
  <c r="S49" i="68" s="1"/>
  <c r="Z49" i="68" s="1"/>
  <c r="R61" i="68"/>
  <c r="S61" i="68" s="1"/>
  <c r="Z61" i="68" s="1"/>
  <c r="R73" i="68"/>
  <c r="S73" i="68" s="1"/>
  <c r="Z73" i="68" s="1"/>
  <c r="R85" i="68"/>
  <c r="S85" i="68" s="1"/>
  <c r="Z85" i="68" s="1"/>
  <c r="R97" i="68"/>
  <c r="S97" i="68" s="1"/>
  <c r="Z97" i="68" s="1"/>
  <c r="R109" i="68"/>
  <c r="S109" i="68" s="1"/>
  <c r="Z109" i="68" s="1"/>
  <c r="R121" i="68"/>
  <c r="S121" i="68" s="1"/>
  <c r="Z121" i="68" s="1"/>
  <c r="R133" i="68"/>
  <c r="S133" i="68" s="1"/>
  <c r="Z133" i="68" s="1"/>
  <c r="R145" i="68"/>
  <c r="S145" i="68" s="1"/>
  <c r="Z145" i="68" s="1"/>
  <c r="R157" i="68"/>
  <c r="S157" i="68" s="1"/>
  <c r="Z157" i="68" s="1"/>
  <c r="R169" i="68"/>
  <c r="S169" i="68" s="1"/>
  <c r="Z169" i="68" s="1"/>
  <c r="R181" i="68"/>
  <c r="S181" i="68" s="1"/>
  <c r="Z181" i="68" s="1"/>
  <c r="R193" i="68"/>
  <c r="S193" i="68" s="1"/>
  <c r="Z193" i="68" s="1"/>
  <c r="R205" i="68"/>
  <c r="S205" i="68" s="1"/>
  <c r="Z205" i="68" s="1"/>
  <c r="R64" i="68"/>
  <c r="S64" i="68" s="1"/>
  <c r="Z64" i="68" s="1"/>
  <c r="R14" i="68"/>
  <c r="S14" i="68" s="1"/>
  <c r="Z14" i="68" s="1"/>
  <c r="R26" i="68"/>
  <c r="S26" i="68" s="1"/>
  <c r="Z26" i="68" s="1"/>
  <c r="R38" i="68"/>
  <c r="S38" i="68" s="1"/>
  <c r="Z38" i="68" s="1"/>
  <c r="R50" i="68"/>
  <c r="S50" i="68" s="1"/>
  <c r="Z50" i="68" s="1"/>
  <c r="R62" i="68"/>
  <c r="S62" i="68" s="1"/>
  <c r="Z62" i="68" s="1"/>
  <c r="R74" i="68"/>
  <c r="S74" i="68" s="1"/>
  <c r="Z74" i="68" s="1"/>
  <c r="R86" i="68"/>
  <c r="S86" i="68" s="1"/>
  <c r="Z86" i="68" s="1"/>
  <c r="R98" i="68"/>
  <c r="S98" i="68" s="1"/>
  <c r="Z98" i="68" s="1"/>
  <c r="R110" i="68"/>
  <c r="S110" i="68" s="1"/>
  <c r="Z110" i="68" s="1"/>
  <c r="R122" i="68"/>
  <c r="S122" i="68" s="1"/>
  <c r="Z122" i="68" s="1"/>
  <c r="R134" i="68"/>
  <c r="S134" i="68" s="1"/>
  <c r="Z134" i="68" s="1"/>
  <c r="R146" i="68"/>
  <c r="S146" i="68" s="1"/>
  <c r="Z146" i="68" s="1"/>
  <c r="R158" i="68"/>
  <c r="S158" i="68" s="1"/>
  <c r="Z158" i="68" s="1"/>
  <c r="R170" i="68"/>
  <c r="S170" i="68" s="1"/>
  <c r="Z170" i="68" s="1"/>
  <c r="R182" i="68"/>
  <c r="S182" i="68" s="1"/>
  <c r="Z182" i="68" s="1"/>
  <c r="R194" i="68"/>
  <c r="S194" i="68" s="1"/>
  <c r="Z194" i="68" s="1"/>
  <c r="R206" i="68"/>
  <c r="S206" i="68" s="1"/>
  <c r="Z206" i="68" s="1"/>
  <c r="R27" i="68"/>
  <c r="S27" i="68" s="1"/>
  <c r="Z27" i="68" s="1"/>
  <c r="R63" i="68"/>
  <c r="S63" i="68" s="1"/>
  <c r="Z63" i="68" s="1"/>
  <c r="R87" i="68"/>
  <c r="S87" i="68" s="1"/>
  <c r="Z87" i="68" s="1"/>
  <c r="R111" i="68"/>
  <c r="S111" i="68" s="1"/>
  <c r="Z111" i="68" s="1"/>
  <c r="R135" i="68"/>
  <c r="S135" i="68" s="1"/>
  <c r="Z135" i="68" s="1"/>
  <c r="R159" i="68"/>
  <c r="S159" i="68" s="1"/>
  <c r="Z159" i="68" s="1"/>
  <c r="R183" i="68"/>
  <c r="S183" i="68" s="1"/>
  <c r="Z183" i="68" s="1"/>
  <c r="R3" i="68"/>
  <c r="S3" i="68" s="1"/>
  <c r="Z3" i="68" s="1"/>
  <c r="R148" i="68"/>
  <c r="S148" i="68" s="1"/>
  <c r="Z148" i="68" s="1"/>
  <c r="R39" i="68"/>
  <c r="S39" i="68" s="1"/>
  <c r="Z39" i="68" s="1"/>
  <c r="R112" i="68"/>
  <c r="S112" i="68" s="1"/>
  <c r="Z112" i="68" s="1"/>
  <c r="R5" i="68"/>
  <c r="S5" i="68" s="1"/>
  <c r="Z5" i="68" s="1"/>
  <c r="R17" i="68"/>
  <c r="S17" i="68" s="1"/>
  <c r="Z17" i="68" s="1"/>
  <c r="R29" i="68"/>
  <c r="S29" i="68" s="1"/>
  <c r="Z29" i="68" s="1"/>
  <c r="R41" i="68"/>
  <c r="S41" i="68" s="1"/>
  <c r="Z41" i="68" s="1"/>
  <c r="R53" i="68"/>
  <c r="S53" i="68" s="1"/>
  <c r="Z53" i="68" s="1"/>
  <c r="R65" i="68"/>
  <c r="S65" i="68" s="1"/>
  <c r="Z65" i="68" s="1"/>
  <c r="R77" i="68"/>
  <c r="S77" i="68" s="1"/>
  <c r="Z77" i="68" s="1"/>
  <c r="R89" i="68"/>
  <c r="S89" i="68" s="1"/>
  <c r="Z89" i="68" s="1"/>
  <c r="R101" i="68"/>
  <c r="S101" i="68" s="1"/>
  <c r="Z101" i="68" s="1"/>
  <c r="R113" i="68"/>
  <c r="S113" i="68" s="1"/>
  <c r="Z113" i="68" s="1"/>
  <c r="R125" i="68"/>
  <c r="S125" i="68" s="1"/>
  <c r="Z125" i="68" s="1"/>
  <c r="R137" i="68"/>
  <c r="S137" i="68" s="1"/>
  <c r="Z137" i="68" s="1"/>
  <c r="R149" i="68"/>
  <c r="S149" i="68" s="1"/>
  <c r="Z149" i="68" s="1"/>
  <c r="R161" i="68"/>
  <c r="S161" i="68" s="1"/>
  <c r="Z161" i="68" s="1"/>
  <c r="R173" i="68"/>
  <c r="S173" i="68" s="1"/>
  <c r="Z173" i="68" s="1"/>
  <c r="R185" i="68"/>
  <c r="S185" i="68" s="1"/>
  <c r="Z185" i="68" s="1"/>
  <c r="R197" i="68"/>
  <c r="S197" i="68" s="1"/>
  <c r="Z197" i="68" s="1"/>
  <c r="R6" i="68"/>
  <c r="S6" i="68" s="1"/>
  <c r="Z6" i="68" s="1"/>
  <c r="R18" i="68"/>
  <c r="S18" i="68" s="1"/>
  <c r="Z18" i="68" s="1"/>
  <c r="R30" i="68"/>
  <c r="S30" i="68" s="1"/>
  <c r="Z30" i="68" s="1"/>
  <c r="R42" i="68"/>
  <c r="S42" i="68" s="1"/>
  <c r="Z42" i="68" s="1"/>
  <c r="R54" i="68"/>
  <c r="S54" i="68" s="1"/>
  <c r="Z54" i="68" s="1"/>
  <c r="R66" i="68"/>
  <c r="S66" i="68" s="1"/>
  <c r="Z66" i="68" s="1"/>
  <c r="R78" i="68"/>
  <c r="S78" i="68" s="1"/>
  <c r="Z78" i="68" s="1"/>
  <c r="R90" i="68"/>
  <c r="S90" i="68" s="1"/>
  <c r="Z90" i="68" s="1"/>
  <c r="R102" i="68"/>
  <c r="S102" i="68" s="1"/>
  <c r="Z102" i="68" s="1"/>
  <c r="R114" i="68"/>
  <c r="S114" i="68" s="1"/>
  <c r="Z114" i="68" s="1"/>
  <c r="R126" i="68"/>
  <c r="S126" i="68" s="1"/>
  <c r="Z126" i="68" s="1"/>
  <c r="R138" i="68"/>
  <c r="S138" i="68" s="1"/>
  <c r="Z138" i="68" s="1"/>
  <c r="R150" i="68"/>
  <c r="S150" i="68" s="1"/>
  <c r="Z150" i="68" s="1"/>
  <c r="R162" i="68"/>
  <c r="S162" i="68" s="1"/>
  <c r="Z162" i="68" s="1"/>
  <c r="R174" i="68"/>
  <c r="S174" i="68" s="1"/>
  <c r="Z174" i="68" s="1"/>
  <c r="R186" i="68"/>
  <c r="S186" i="68" s="1"/>
  <c r="Z186" i="68" s="1"/>
  <c r="R198" i="68"/>
  <c r="S198" i="68" s="1"/>
  <c r="Z198" i="68" s="1"/>
  <c r="L2" i="77" l="1"/>
  <c r="M2" i="77" s="1"/>
  <c r="V17" i="72" l="1"/>
  <c r="V15" i="72"/>
  <c r="W15" i="72" s="1"/>
  <c r="V21" i="72"/>
  <c r="W21" i="72" s="1"/>
  <c r="V4" i="72"/>
  <c r="W4" i="72" s="1"/>
  <c r="V14" i="72"/>
  <c r="W14" i="72" s="1"/>
  <c r="V21" i="71"/>
  <c r="V32" i="71"/>
  <c r="V108" i="71"/>
  <c r="V130" i="71"/>
  <c r="V109" i="71"/>
  <c r="V160" i="71"/>
  <c r="V110" i="71"/>
  <c r="V10" i="71"/>
  <c r="V136" i="71"/>
  <c r="V30" i="71"/>
  <c r="V101" i="71"/>
  <c r="V14" i="71"/>
  <c r="V51" i="71"/>
  <c r="V103" i="71"/>
  <c r="V200" i="71"/>
  <c r="V58" i="71"/>
  <c r="V106" i="71"/>
  <c r="V205" i="71"/>
  <c r="V151" i="71"/>
  <c r="V147" i="71"/>
  <c r="V92" i="71"/>
  <c r="V115" i="71"/>
  <c r="V36" i="71"/>
  <c r="V188" i="71"/>
  <c r="V114" i="71"/>
  <c r="V174" i="71"/>
  <c r="W32" i="71" l="1"/>
  <c r="X31" i="56"/>
  <c r="Y31" i="56" s="1"/>
  <c r="G31" i="56" s="1"/>
  <c r="BB31" i="56" s="1"/>
  <c r="BE31" i="56" s="1"/>
  <c r="W21" i="71"/>
  <c r="X20" i="56"/>
  <c r="Y20" i="56" s="1"/>
  <c r="G20" i="56" s="1"/>
  <c r="BB20" i="56" s="1"/>
  <c r="BE20" i="56" s="1"/>
  <c r="W160" i="71"/>
  <c r="X159" i="56"/>
  <c r="Y159" i="56" s="1"/>
  <c r="G159" i="56" s="1"/>
  <c r="BB159" i="56" s="1"/>
  <c r="BE159" i="56" s="1"/>
  <c r="W14" i="71"/>
  <c r="X13" i="56"/>
  <c r="Y13" i="56" s="1"/>
  <c r="G13" i="56" s="1"/>
  <c r="BB13" i="56" s="1"/>
  <c r="BE13" i="56" s="1"/>
  <c r="W110" i="71"/>
  <c r="AM110" i="71" s="1"/>
  <c r="E122" i="74" s="1"/>
  <c r="X109" i="56"/>
  <c r="Y109" i="56" s="1"/>
  <c r="G109" i="56" s="1"/>
  <c r="BB109" i="56" s="1"/>
  <c r="BE109" i="56" s="1"/>
  <c r="W130" i="71"/>
  <c r="AN130" i="71" s="1"/>
  <c r="I142" i="74" s="1"/>
  <c r="X129" i="56"/>
  <c r="Y129" i="56" s="1"/>
  <c r="G129" i="56" s="1"/>
  <c r="BB129" i="56" s="1"/>
  <c r="BE129" i="56" s="1"/>
  <c r="W114" i="71"/>
  <c r="X113" i="56"/>
  <c r="Y113" i="56" s="1"/>
  <c r="G113" i="56" s="1"/>
  <c r="BB113" i="56" s="1"/>
  <c r="BE113" i="56" s="1"/>
  <c r="W36" i="71"/>
  <c r="X35" i="56"/>
  <c r="Y35" i="56" s="1"/>
  <c r="G35" i="56" s="1"/>
  <c r="BB35" i="56" s="1"/>
  <c r="BE35" i="56" s="1"/>
  <c r="W101" i="71"/>
  <c r="X100" i="56"/>
  <c r="Y100" i="56" s="1"/>
  <c r="G100" i="56" s="1"/>
  <c r="BB100" i="56" s="1"/>
  <c r="BE100" i="56" s="1"/>
  <c r="W205" i="71"/>
  <c r="X204" i="56"/>
  <c r="Y204" i="56" s="1"/>
  <c r="G204" i="56" s="1"/>
  <c r="BB204" i="56" s="1"/>
  <c r="BE204" i="56" s="1"/>
  <c r="W58" i="71"/>
  <c r="AM58" i="71" s="1"/>
  <c r="E70" i="74" s="1"/>
  <c r="X57" i="56"/>
  <c r="Y57" i="56" s="1"/>
  <c r="G57" i="56" s="1"/>
  <c r="BB57" i="56" s="1"/>
  <c r="BE57" i="56" s="1"/>
  <c r="W103" i="71"/>
  <c r="AO103" i="71" s="1"/>
  <c r="L115" i="74" s="1"/>
  <c r="X102" i="56"/>
  <c r="Y102" i="56" s="1"/>
  <c r="G102" i="56" s="1"/>
  <c r="BB102" i="56" s="1"/>
  <c r="BE102" i="56" s="1"/>
  <c r="W115" i="71"/>
  <c r="X114" i="56"/>
  <c r="Y114" i="56" s="1"/>
  <c r="G114" i="56" s="1"/>
  <c r="BB114" i="56" s="1"/>
  <c r="BE114" i="56" s="1"/>
  <c r="W30" i="71"/>
  <c r="X29" i="56"/>
  <c r="Y29" i="56" s="1"/>
  <c r="G29" i="56" s="1"/>
  <c r="BB29" i="56" s="1"/>
  <c r="BE29" i="56" s="1"/>
  <c r="W106" i="71"/>
  <c r="X105" i="56"/>
  <c r="Y105" i="56" s="1"/>
  <c r="G105" i="56" s="1"/>
  <c r="BB105" i="56" s="1"/>
  <c r="BE105" i="56" s="1"/>
  <c r="W108" i="71"/>
  <c r="X107" i="56"/>
  <c r="Y107" i="56" s="1"/>
  <c r="G107" i="56" s="1"/>
  <c r="BB107" i="56" s="1"/>
  <c r="BE107" i="56" s="1"/>
  <c r="W92" i="71"/>
  <c r="AM92" i="71" s="1"/>
  <c r="E104" i="74" s="1"/>
  <c r="X91" i="56"/>
  <c r="Y91" i="56" s="1"/>
  <c r="G91" i="56" s="1"/>
  <c r="BB91" i="56" s="1"/>
  <c r="BE91" i="56" s="1"/>
  <c r="W136" i="71"/>
  <c r="AN136" i="71" s="1"/>
  <c r="I148" i="74" s="1"/>
  <c r="X135" i="56"/>
  <c r="Y135" i="56" s="1"/>
  <c r="G135" i="56" s="1"/>
  <c r="BB135" i="56" s="1"/>
  <c r="BE135" i="56" s="1"/>
  <c r="W151" i="71"/>
  <c r="X150" i="56"/>
  <c r="Y150" i="56" s="1"/>
  <c r="G150" i="56" s="1"/>
  <c r="BB150" i="56" s="1"/>
  <c r="BE150" i="56" s="1"/>
  <c r="W109" i="71"/>
  <c r="X108" i="56"/>
  <c r="Y108" i="56" s="1"/>
  <c r="G108" i="56" s="1"/>
  <c r="BB108" i="56" s="1"/>
  <c r="BE108" i="56" s="1"/>
  <c r="W200" i="71"/>
  <c r="AM200" i="71" s="1"/>
  <c r="E212" i="74" s="1"/>
  <c r="X199" i="56"/>
  <c r="Y199" i="56" s="1"/>
  <c r="G199" i="56" s="1"/>
  <c r="BB199" i="56" s="1"/>
  <c r="BE199" i="56" s="1"/>
  <c r="W174" i="71"/>
  <c r="AN174" i="71" s="1"/>
  <c r="I186" i="74" s="1"/>
  <c r="X173" i="56"/>
  <c r="Y173" i="56" s="1"/>
  <c r="G173" i="56" s="1"/>
  <c r="BB173" i="56" s="1"/>
  <c r="BE173" i="56" s="1"/>
  <c r="W51" i="71"/>
  <c r="AO51" i="71" s="1"/>
  <c r="L63" i="74" s="1"/>
  <c r="X50" i="56"/>
  <c r="Y50" i="56" s="1"/>
  <c r="G50" i="56" s="1"/>
  <c r="BB50" i="56" s="1"/>
  <c r="BE50" i="56" s="1"/>
  <c r="W188" i="71"/>
  <c r="AM188" i="71" s="1"/>
  <c r="E200" i="74" s="1"/>
  <c r="X187" i="56"/>
  <c r="Y187" i="56" s="1"/>
  <c r="G187" i="56" s="1"/>
  <c r="BB187" i="56" s="1"/>
  <c r="BE187" i="56" s="1"/>
  <c r="W147" i="71"/>
  <c r="X146" i="56"/>
  <c r="Y146" i="56" s="1"/>
  <c r="G146" i="56" s="1"/>
  <c r="BB146" i="56" s="1"/>
  <c r="BE146" i="56" s="1"/>
  <c r="W10" i="71"/>
  <c r="X9" i="56"/>
  <c r="Y9" i="56" s="1"/>
  <c r="G9" i="56" s="1"/>
  <c r="BB9" i="56" s="1"/>
  <c r="BE9" i="56" s="1"/>
  <c r="AM106" i="71"/>
  <c r="E118" i="74" s="1"/>
  <c r="AO106" i="71"/>
  <c r="L118" i="74" s="1"/>
  <c r="AN106" i="71"/>
  <c r="I118" i="74" s="1"/>
  <c r="AN58" i="71"/>
  <c r="I70" i="74" s="1"/>
  <c r="AM130" i="71"/>
  <c r="E142" i="74" s="1"/>
  <c r="AO130" i="71"/>
  <c r="L142" i="74" s="1"/>
  <c r="AO200" i="71"/>
  <c r="L212" i="74" s="1"/>
  <c r="AN200" i="71"/>
  <c r="I212" i="74" s="1"/>
  <c r="AM108" i="71"/>
  <c r="E120" i="74" s="1"/>
  <c r="AO108" i="71"/>
  <c r="L120" i="74" s="1"/>
  <c r="AN108" i="71"/>
  <c r="I120" i="74" s="1"/>
  <c r="AM109" i="71"/>
  <c r="E121" i="74" s="1"/>
  <c r="AO109" i="71"/>
  <c r="L121" i="74" s="1"/>
  <c r="AN109" i="71"/>
  <c r="I121" i="74" s="1"/>
  <c r="AM174" i="71"/>
  <c r="E186" i="74" s="1"/>
  <c r="AO174" i="71"/>
  <c r="L186" i="74" s="1"/>
  <c r="AM32" i="71"/>
  <c r="E44" i="74" s="1"/>
  <c r="AO32" i="71"/>
  <c r="L44" i="74" s="1"/>
  <c r="AN32" i="71"/>
  <c r="I44" i="74" s="1"/>
  <c r="AO151" i="71"/>
  <c r="L163" i="74" s="1"/>
  <c r="AM151" i="71"/>
  <c r="E163" i="74" s="1"/>
  <c r="AN151" i="71"/>
  <c r="I163" i="74" s="1"/>
  <c r="AM114" i="71"/>
  <c r="E126" i="74" s="1"/>
  <c r="AO114" i="71"/>
  <c r="L126" i="74" s="1"/>
  <c r="AN114" i="71"/>
  <c r="I126" i="74" s="1"/>
  <c r="AO21" i="71"/>
  <c r="L33" i="74" s="1"/>
  <c r="AM21" i="71"/>
  <c r="E33" i="74" s="1"/>
  <c r="AN21" i="71"/>
  <c r="I33" i="74" s="1"/>
  <c r="AO14" i="71"/>
  <c r="L26" i="74" s="1"/>
  <c r="AM14" i="71"/>
  <c r="E26" i="74" s="1"/>
  <c r="AN14" i="71"/>
  <c r="I26" i="74" s="1"/>
  <c r="AN14" i="72"/>
  <c r="AO14" i="72"/>
  <c r="AM14" i="72"/>
  <c r="E234" i="74" s="1"/>
  <c r="F234" i="74" s="1"/>
  <c r="G234" i="74" s="1"/>
  <c r="H234" i="74" s="1"/>
  <c r="AM36" i="71"/>
  <c r="E48" i="74" s="1"/>
  <c r="AO36" i="71"/>
  <c r="L48" i="74" s="1"/>
  <c r="AN36" i="71"/>
  <c r="I48" i="74" s="1"/>
  <c r="AM101" i="71"/>
  <c r="E113" i="74" s="1"/>
  <c r="AO101" i="71"/>
  <c r="L113" i="74" s="1"/>
  <c r="AN101" i="71"/>
  <c r="I113" i="74" s="1"/>
  <c r="AN4" i="72"/>
  <c r="AO4" i="72"/>
  <c r="AM4" i="72"/>
  <c r="E224" i="74" s="1"/>
  <c r="F224" i="74" s="1"/>
  <c r="G224" i="74" s="1"/>
  <c r="H224" i="74" s="1"/>
  <c r="AO115" i="71"/>
  <c r="L127" i="74" s="1"/>
  <c r="AM115" i="71"/>
  <c r="E127" i="74" s="1"/>
  <c r="AN115" i="71"/>
  <c r="I127" i="74" s="1"/>
  <c r="AM30" i="71"/>
  <c r="E42" i="74" s="1"/>
  <c r="AO30" i="71"/>
  <c r="L42" i="74" s="1"/>
  <c r="AN30" i="71"/>
  <c r="I42" i="74" s="1"/>
  <c r="AM21" i="72"/>
  <c r="E241" i="74" s="1"/>
  <c r="F241" i="74" s="1"/>
  <c r="G241" i="74" s="1"/>
  <c r="H241" i="74" s="1"/>
  <c r="AO21" i="72"/>
  <c r="AN21" i="72"/>
  <c r="AO160" i="71"/>
  <c r="L172" i="74" s="1"/>
  <c r="AM160" i="71"/>
  <c r="E172" i="74" s="1"/>
  <c r="AN160" i="71"/>
  <c r="I172" i="74" s="1"/>
  <c r="AO15" i="72"/>
  <c r="AM15" i="72"/>
  <c r="E235" i="74" s="1"/>
  <c r="F235" i="74" s="1"/>
  <c r="G235" i="74" s="1"/>
  <c r="H235" i="74" s="1"/>
  <c r="AN15" i="72"/>
  <c r="AM205" i="71"/>
  <c r="E217" i="74" s="1"/>
  <c r="AO205" i="71"/>
  <c r="L217" i="74" s="1"/>
  <c r="AN205" i="71"/>
  <c r="I217" i="74" s="1"/>
  <c r="AO147" i="71"/>
  <c r="L159" i="74" s="1"/>
  <c r="AM147" i="71"/>
  <c r="E159" i="74" s="1"/>
  <c r="AN147" i="71"/>
  <c r="I159" i="74" s="1"/>
  <c r="AO10" i="71"/>
  <c r="L22" i="74" s="1"/>
  <c r="AM10" i="71"/>
  <c r="E22" i="74" s="1"/>
  <c r="AN10" i="71"/>
  <c r="I22" i="74" s="1"/>
  <c r="CL17" i="72"/>
  <c r="W17" i="72"/>
  <c r="CM110" i="71"/>
  <c r="AE122" i="74" s="1"/>
  <c r="AI109" i="68" s="1"/>
  <c r="CN110" i="71"/>
  <c r="AF122" i="74" s="1"/>
  <c r="CL110" i="71"/>
  <c r="AA122" i="74" s="1"/>
  <c r="AB122" i="74" s="1"/>
  <c r="AC122" i="74" s="1"/>
  <c r="CN205" i="71"/>
  <c r="AF217" i="74" s="1"/>
  <c r="CM205" i="71"/>
  <c r="AE217" i="74" s="1"/>
  <c r="AI203" i="68" s="1"/>
  <c r="CL205" i="71"/>
  <c r="AA217" i="74" s="1"/>
  <c r="AB217" i="74" s="1"/>
  <c r="AC217" i="74" s="1"/>
  <c r="CM160" i="71"/>
  <c r="CN160" i="71"/>
  <c r="AF172" i="74" s="1"/>
  <c r="CL160" i="71"/>
  <c r="AA172" i="74" s="1"/>
  <c r="AB172" i="74" s="1"/>
  <c r="AC172" i="74" s="1"/>
  <c r="CN109" i="71"/>
  <c r="AF121" i="74" s="1"/>
  <c r="CM109" i="71"/>
  <c r="AE121" i="74" s="1"/>
  <c r="AI108" i="68" s="1"/>
  <c r="CL109" i="71"/>
  <c r="AA121" i="74" s="1"/>
  <c r="AB121" i="74" s="1"/>
  <c r="AC121" i="74" s="1"/>
  <c r="CM151" i="71"/>
  <c r="AE163" i="74" s="1"/>
  <c r="AI149" i="68" s="1"/>
  <c r="CN151" i="71"/>
  <c r="AF163" i="74" s="1"/>
  <c r="CL151" i="71"/>
  <c r="CN58" i="71"/>
  <c r="AF70" i="74" s="1"/>
  <c r="CM58" i="71"/>
  <c r="AE70" i="74" s="1"/>
  <c r="AI57" i="68" s="1"/>
  <c r="CL58" i="71"/>
  <c r="CM130" i="71"/>
  <c r="CN130" i="71"/>
  <c r="AF142" i="74" s="1"/>
  <c r="CL130" i="71"/>
  <c r="CM106" i="71"/>
  <c r="CN106" i="71"/>
  <c r="AF118" i="74" s="1"/>
  <c r="CL106" i="71"/>
  <c r="AA118" i="74" s="1"/>
  <c r="AB118" i="74" s="1"/>
  <c r="AC118" i="74" s="1"/>
  <c r="CN200" i="71"/>
  <c r="AF212" i="74" s="1"/>
  <c r="CM200" i="71"/>
  <c r="CL200" i="71"/>
  <c r="CN108" i="71"/>
  <c r="AF120" i="74" s="1"/>
  <c r="CM108" i="71"/>
  <c r="AE120" i="74" s="1"/>
  <c r="AI107" i="68" s="1"/>
  <c r="CL108" i="71"/>
  <c r="CN103" i="71"/>
  <c r="AF115" i="74" s="1"/>
  <c r="CM103" i="71"/>
  <c r="AE115" i="74" s="1"/>
  <c r="AI102" i="68" s="1"/>
  <c r="CL103" i="71"/>
  <c r="CN32" i="71"/>
  <c r="AF44" i="74" s="1"/>
  <c r="CM32" i="71"/>
  <c r="AE44" i="74" s="1"/>
  <c r="AI31" i="68" s="1"/>
  <c r="CL32" i="71"/>
  <c r="CN114" i="71"/>
  <c r="AF126" i="74" s="1"/>
  <c r="CM114" i="71"/>
  <c r="CL114" i="71"/>
  <c r="CM51" i="71"/>
  <c r="AE63" i="74" s="1"/>
  <c r="AI50" i="68" s="1"/>
  <c r="CN51" i="71"/>
  <c r="AF63" i="74" s="1"/>
  <c r="CL51" i="71"/>
  <c r="CM21" i="71"/>
  <c r="CN21" i="71"/>
  <c r="AF33" i="74" s="1"/>
  <c r="CL21" i="71"/>
  <c r="CM188" i="71"/>
  <c r="CN188" i="71"/>
  <c r="AF200" i="74" s="1"/>
  <c r="CL188" i="71"/>
  <c r="CN14" i="71"/>
  <c r="AF26" i="74" s="1"/>
  <c r="CM14" i="71"/>
  <c r="AE26" i="74" s="1"/>
  <c r="AI13" i="68" s="1"/>
  <c r="CL14" i="71"/>
  <c r="CM36" i="71"/>
  <c r="CN36" i="71"/>
  <c r="AF48" i="74" s="1"/>
  <c r="CL36" i="71"/>
  <c r="CN101" i="71"/>
  <c r="AF113" i="74" s="1"/>
  <c r="CM101" i="71"/>
  <c r="AE113" i="74" s="1"/>
  <c r="AI100" i="68" s="1"/>
  <c r="CL101" i="71"/>
  <c r="CN115" i="71"/>
  <c r="AF127" i="74" s="1"/>
  <c r="CM115" i="71"/>
  <c r="AE127" i="74" s="1"/>
  <c r="AI114" i="68" s="1"/>
  <c r="CL115" i="71"/>
  <c r="CM30" i="71"/>
  <c r="CN30" i="71"/>
  <c r="AF42" i="74" s="1"/>
  <c r="CL30" i="71"/>
  <c r="CM174" i="71"/>
  <c r="AE186" i="74" s="1"/>
  <c r="AI172" i="68" s="1"/>
  <c r="CN174" i="71"/>
  <c r="AF186" i="74" s="1"/>
  <c r="CL174" i="71"/>
  <c r="CM92" i="71"/>
  <c r="CN92" i="71"/>
  <c r="AF104" i="74" s="1"/>
  <c r="CL92" i="71"/>
  <c r="CN136" i="71"/>
  <c r="AF148" i="74" s="1"/>
  <c r="CM136" i="71"/>
  <c r="AE148" i="74" s="1"/>
  <c r="AI134" i="68" s="1"/>
  <c r="CL136" i="71"/>
  <c r="CN147" i="71"/>
  <c r="AF159" i="74" s="1"/>
  <c r="CM147" i="71"/>
  <c r="AE159" i="74" s="1"/>
  <c r="AI145" i="68" s="1"/>
  <c r="CL147" i="71"/>
  <c r="CM10" i="71"/>
  <c r="AE22" i="74" s="1"/>
  <c r="AI9" i="68" s="1"/>
  <c r="CN10" i="71"/>
  <c r="AF22" i="74" s="1"/>
  <c r="CL10" i="71"/>
  <c r="G158" i="66"/>
  <c r="BW160" i="71"/>
  <c r="Z172" i="74" s="1"/>
  <c r="BU160" i="71"/>
  <c r="BV160" i="71"/>
  <c r="G57" i="66"/>
  <c r="BW58" i="71"/>
  <c r="Z70" i="74" s="1"/>
  <c r="BU58" i="71"/>
  <c r="BV58" i="71"/>
  <c r="Y70" i="74" s="1"/>
  <c r="BW174" i="71"/>
  <c r="Z186" i="74" s="1"/>
  <c r="BV174" i="71"/>
  <c r="Y186" i="74" s="1"/>
  <c r="BU174" i="71"/>
  <c r="G31" i="66"/>
  <c r="BW32" i="71"/>
  <c r="Z44" i="74" s="1"/>
  <c r="BV32" i="71"/>
  <c r="Y44" i="74" s="1"/>
  <c r="BU32" i="71"/>
  <c r="G186" i="66"/>
  <c r="BW188" i="71"/>
  <c r="Z200" i="74" s="1"/>
  <c r="BU188" i="71"/>
  <c r="BV188" i="71"/>
  <c r="G13" i="66"/>
  <c r="BW14" i="71"/>
  <c r="Z26" i="74" s="1"/>
  <c r="BU14" i="71"/>
  <c r="U26" i="74" s="1"/>
  <c r="V26" i="74" s="1"/>
  <c r="W26" i="74" s="1"/>
  <c r="BV14" i="71"/>
  <c r="Y26" i="74" s="1"/>
  <c r="BV14" i="72"/>
  <c r="BW14" i="72"/>
  <c r="CN14" i="72"/>
  <c r="CM14" i="72"/>
  <c r="BU14" i="72"/>
  <c r="U234" i="74" s="1"/>
  <c r="V234" i="74" s="1"/>
  <c r="W234" i="74" s="1"/>
  <c r="CL14" i="72"/>
  <c r="AA234" i="74" s="1"/>
  <c r="AB234" i="74" s="1"/>
  <c r="AC234" i="74" s="1"/>
  <c r="G35" i="66"/>
  <c r="BW36" i="71"/>
  <c r="Z48" i="74" s="1"/>
  <c r="BU36" i="71"/>
  <c r="BV36" i="71"/>
  <c r="AE48" i="74"/>
  <c r="AI35" i="68" s="1"/>
  <c r="G100" i="66"/>
  <c r="BW101" i="71"/>
  <c r="Z113" i="74" s="1"/>
  <c r="BU101" i="71"/>
  <c r="BV101" i="71"/>
  <c r="Y113" i="74" s="1"/>
  <c r="BW4" i="72"/>
  <c r="CM4" i="72"/>
  <c r="CN4" i="72"/>
  <c r="BV4" i="72"/>
  <c r="BU4" i="72"/>
  <c r="CL4" i="72"/>
  <c r="G203" i="66"/>
  <c r="BW205" i="71"/>
  <c r="Z217" i="74" s="1"/>
  <c r="BU205" i="71"/>
  <c r="BV205" i="71"/>
  <c r="Y217" i="74" s="1"/>
  <c r="G129" i="66"/>
  <c r="BW130" i="71"/>
  <c r="Z142" i="74" s="1"/>
  <c r="BU130" i="71"/>
  <c r="BV130" i="71"/>
  <c r="G102" i="66"/>
  <c r="BW103" i="71"/>
  <c r="Z115" i="74" s="1"/>
  <c r="BU103" i="71"/>
  <c r="BV103" i="71"/>
  <c r="Y115" i="74" s="1"/>
  <c r="G113" i="66"/>
  <c r="BW114" i="71"/>
  <c r="Z126" i="74" s="1"/>
  <c r="BV114" i="71"/>
  <c r="BU114" i="71"/>
  <c r="G114" i="66"/>
  <c r="BW115" i="71"/>
  <c r="Z127" i="74" s="1"/>
  <c r="BV115" i="71"/>
  <c r="BU115" i="71"/>
  <c r="G29" i="66"/>
  <c r="BW30" i="71"/>
  <c r="Z42" i="74" s="1"/>
  <c r="BU30" i="71"/>
  <c r="BV30" i="71"/>
  <c r="Y42" i="74" s="1"/>
  <c r="CN21" i="72"/>
  <c r="BW21" i="72"/>
  <c r="CM21" i="72"/>
  <c r="BV21" i="72"/>
  <c r="BU21" i="72"/>
  <c r="U241" i="74" s="1"/>
  <c r="V241" i="74" s="1"/>
  <c r="W241" i="74" s="1"/>
  <c r="CL21" i="72"/>
  <c r="AA241" i="74" s="1"/>
  <c r="AB241" i="74" s="1"/>
  <c r="AC241" i="74" s="1"/>
  <c r="G149" i="66"/>
  <c r="BW151" i="71"/>
  <c r="Z163" i="74" s="1"/>
  <c r="BV151" i="71"/>
  <c r="Y163" i="74" s="1"/>
  <c r="BU151" i="71"/>
  <c r="G105" i="66"/>
  <c r="BW106" i="71"/>
  <c r="Z118" i="74" s="1"/>
  <c r="BU106" i="71"/>
  <c r="BV106" i="71"/>
  <c r="G198" i="66"/>
  <c r="BW200" i="71"/>
  <c r="Z212" i="74" s="1"/>
  <c r="BU200" i="71"/>
  <c r="BV200" i="71"/>
  <c r="Y212" i="74" s="1"/>
  <c r="BW21" i="71"/>
  <c r="Z33" i="74" s="1"/>
  <c r="BV21" i="71"/>
  <c r="Y33" i="74" s="1"/>
  <c r="BU21" i="71"/>
  <c r="U33" i="74" s="1"/>
  <c r="V33" i="74" s="1"/>
  <c r="W33" i="74" s="1"/>
  <c r="G91" i="66"/>
  <c r="BW92" i="71"/>
  <c r="Z104" i="74" s="1"/>
  <c r="BU92" i="71"/>
  <c r="BV92" i="71"/>
  <c r="BW136" i="71"/>
  <c r="Z148" i="74" s="1"/>
  <c r="BU136" i="71"/>
  <c r="BV136" i="71"/>
  <c r="Y148" i="74" s="1"/>
  <c r="CN15" i="72"/>
  <c r="CM15" i="72"/>
  <c r="BV15" i="72"/>
  <c r="BW15" i="72"/>
  <c r="BU15" i="72"/>
  <c r="U235" i="74" s="1"/>
  <c r="V235" i="74" s="1"/>
  <c r="W235" i="74" s="1"/>
  <c r="CL15" i="72"/>
  <c r="AA235" i="74" s="1"/>
  <c r="AB235" i="74" s="1"/>
  <c r="AC235" i="74" s="1"/>
  <c r="G109" i="66"/>
  <c r="BW110" i="71"/>
  <c r="Z122" i="74" s="1"/>
  <c r="BU110" i="71"/>
  <c r="BV110" i="71"/>
  <c r="BW109" i="71"/>
  <c r="Z121" i="74" s="1"/>
  <c r="BV109" i="71"/>
  <c r="Y121" i="74" s="1"/>
  <c r="BU109" i="71"/>
  <c r="BW108" i="71"/>
  <c r="Z120" i="74" s="1"/>
  <c r="BU108" i="71"/>
  <c r="BV108" i="71"/>
  <c r="Y120" i="74" s="1"/>
  <c r="G50" i="66"/>
  <c r="BW51" i="71"/>
  <c r="Z63" i="74" s="1"/>
  <c r="BU51" i="71"/>
  <c r="BV51" i="71"/>
  <c r="Y63" i="74" s="1"/>
  <c r="G145" i="66"/>
  <c r="BW147" i="71"/>
  <c r="Z159" i="74" s="1"/>
  <c r="BV147" i="71"/>
  <c r="BU147" i="71"/>
  <c r="G9" i="66"/>
  <c r="BW10" i="71"/>
  <c r="Z22" i="74" s="1"/>
  <c r="BV10" i="71"/>
  <c r="BU10" i="71"/>
  <c r="BW17" i="72"/>
  <c r="CN17" i="72"/>
  <c r="BV17" i="72"/>
  <c r="CM17" i="72"/>
  <c r="AA237" i="74" s="1"/>
  <c r="AB237" i="74" s="1"/>
  <c r="AC237" i="74" s="1"/>
  <c r="BU17" i="72"/>
  <c r="U237" i="74" s="1"/>
  <c r="V237" i="74" s="1"/>
  <c r="W237" i="74" s="1"/>
  <c r="G220" i="66"/>
  <c r="G107" i="66"/>
  <c r="G221" i="66"/>
  <c r="G108" i="66"/>
  <c r="G227" i="66"/>
  <c r="G172" i="66"/>
  <c r="G210" i="66"/>
  <c r="G20" i="66"/>
  <c r="G223" i="66"/>
  <c r="G134" i="66"/>
  <c r="BD30" i="71"/>
  <c r="O42" i="74" s="1"/>
  <c r="P42" i="74" s="1"/>
  <c r="Q42" i="74" s="1"/>
  <c r="BE30" i="71"/>
  <c r="BF30" i="71"/>
  <c r="T42" i="74" s="1"/>
  <c r="BE32" i="71"/>
  <c r="S44" i="74" s="1"/>
  <c r="BF32" i="71"/>
  <c r="T44" i="74" s="1"/>
  <c r="BD32" i="71"/>
  <c r="O44" i="74" s="1"/>
  <c r="P44" i="74" s="1"/>
  <c r="Q44" i="74" s="1"/>
  <c r="BF114" i="71"/>
  <c r="T126" i="74" s="1"/>
  <c r="BD114" i="71"/>
  <c r="BE114" i="71"/>
  <c r="S126" i="74" s="1"/>
  <c r="BE21" i="71"/>
  <c r="BF21" i="71"/>
  <c r="T33" i="74" s="1"/>
  <c r="BD21" i="71"/>
  <c r="BF101" i="71"/>
  <c r="T113" i="74" s="1"/>
  <c r="BD101" i="71"/>
  <c r="BE101" i="71"/>
  <c r="S113" i="74" s="1"/>
  <c r="BF188" i="71"/>
  <c r="T200" i="74" s="1"/>
  <c r="BD188" i="71"/>
  <c r="BE188" i="71"/>
  <c r="S200" i="74" s="1"/>
  <c r="BF10" i="71"/>
  <c r="T22" i="74" s="1"/>
  <c r="BD10" i="71"/>
  <c r="BE10" i="71"/>
  <c r="S22" i="74" s="1"/>
  <c r="BE14" i="72"/>
  <c r="BF14" i="72"/>
  <c r="BD14" i="72"/>
  <c r="BD151" i="71"/>
  <c r="BE151" i="71"/>
  <c r="BF151" i="71"/>
  <c r="T163" i="74" s="1"/>
  <c r="BE106" i="71"/>
  <c r="BF106" i="71"/>
  <c r="T118" i="74" s="1"/>
  <c r="BD106" i="71"/>
  <c r="BF36" i="71"/>
  <c r="T48" i="74" s="1"/>
  <c r="BD36" i="71"/>
  <c r="BE36" i="71"/>
  <c r="S48" i="74" s="1"/>
  <c r="BD200" i="71"/>
  <c r="BE200" i="71"/>
  <c r="BF200" i="71"/>
  <c r="T212" i="74" s="1"/>
  <c r="BE110" i="71"/>
  <c r="BF110" i="71"/>
  <c r="T122" i="74" s="1"/>
  <c r="BD110" i="71"/>
  <c r="BE4" i="72"/>
  <c r="BF4" i="72"/>
  <c r="BD4" i="72"/>
  <c r="O224" i="74" s="1"/>
  <c r="P224" i="74" s="1"/>
  <c r="Q224" i="74" s="1"/>
  <c r="BE174" i="71"/>
  <c r="BF174" i="71"/>
  <c r="T186" i="74" s="1"/>
  <c r="BD174" i="71"/>
  <c r="BE136" i="71"/>
  <c r="BF136" i="71"/>
  <c r="T148" i="74" s="1"/>
  <c r="BD136" i="71"/>
  <c r="BF115" i="71"/>
  <c r="T127" i="74" s="1"/>
  <c r="BD115" i="71"/>
  <c r="BE115" i="71"/>
  <c r="S127" i="74" s="1"/>
  <c r="BD103" i="71"/>
  <c r="BE103" i="71"/>
  <c r="BF103" i="71"/>
  <c r="T115" i="74" s="1"/>
  <c r="BF160" i="71"/>
  <c r="T172" i="74" s="1"/>
  <c r="BD160" i="71"/>
  <c r="BE160" i="71"/>
  <c r="S172" i="74" s="1"/>
  <c r="BE21" i="72"/>
  <c r="BF21" i="72"/>
  <c r="BD21" i="72"/>
  <c r="O241" i="74" s="1"/>
  <c r="P241" i="74" s="1"/>
  <c r="Q241" i="74" s="1"/>
  <c r="BF205" i="71"/>
  <c r="T217" i="74" s="1"/>
  <c r="BE205" i="71"/>
  <c r="S217" i="74" s="1"/>
  <c r="BD205" i="71"/>
  <c r="BF92" i="71"/>
  <c r="T104" i="74" s="1"/>
  <c r="BD92" i="71"/>
  <c r="BE92" i="71"/>
  <c r="S104" i="74" s="1"/>
  <c r="BF51" i="71"/>
  <c r="T63" i="74" s="1"/>
  <c r="BD51" i="71"/>
  <c r="BE51" i="71"/>
  <c r="S63" i="74" s="1"/>
  <c r="BF109" i="71"/>
  <c r="T121" i="74" s="1"/>
  <c r="BD109" i="71"/>
  <c r="BE109" i="71"/>
  <c r="S121" i="74" s="1"/>
  <c r="BE15" i="72"/>
  <c r="BF15" i="72"/>
  <c r="BD15" i="72"/>
  <c r="BF108" i="71"/>
  <c r="T120" i="74" s="1"/>
  <c r="BD108" i="71"/>
  <c r="BE108" i="71"/>
  <c r="S120" i="74" s="1"/>
  <c r="BE58" i="71"/>
  <c r="BF58" i="71"/>
  <c r="T70" i="74" s="1"/>
  <c r="BD58" i="71"/>
  <c r="O70" i="74" s="1"/>
  <c r="P70" i="74" s="1"/>
  <c r="Q70" i="74" s="1"/>
  <c r="R70" i="74" s="1"/>
  <c r="BF147" i="71"/>
  <c r="T159" i="74" s="1"/>
  <c r="BD147" i="71"/>
  <c r="BE147" i="71"/>
  <c r="S159" i="74" s="1"/>
  <c r="BE14" i="71"/>
  <c r="S26" i="74" s="1"/>
  <c r="BF14" i="71"/>
  <c r="T26" i="74" s="1"/>
  <c r="BD14" i="71"/>
  <c r="O26" i="74" s="1"/>
  <c r="P26" i="74" s="1"/>
  <c r="Q26" i="74" s="1"/>
  <c r="BF130" i="71"/>
  <c r="T142" i="74" s="1"/>
  <c r="BD130" i="71"/>
  <c r="BE130" i="71"/>
  <c r="S142" i="74" s="1"/>
  <c r="BD17" i="72"/>
  <c r="O237" i="74" s="1"/>
  <c r="P237" i="74" s="1"/>
  <c r="Q237" i="74" s="1"/>
  <c r="BE17" i="72"/>
  <c r="BF17" i="72"/>
  <c r="H223" i="66"/>
  <c r="K141" i="66"/>
  <c r="M141" i="66" s="1"/>
  <c r="AE141" i="66" s="1"/>
  <c r="AD189" i="66"/>
  <c r="AG189" i="66" s="1"/>
  <c r="AG133" i="67"/>
  <c r="AN188" i="71" l="1"/>
  <c r="I200" i="74" s="1"/>
  <c r="AM136" i="71"/>
  <c r="E148" i="74" s="1"/>
  <c r="F148" i="74" s="1"/>
  <c r="G148" i="74" s="1"/>
  <c r="H148" i="74" s="1"/>
  <c r="AO188" i="71"/>
  <c r="L200" i="74" s="1"/>
  <c r="AO58" i="71"/>
  <c r="L70" i="74" s="1"/>
  <c r="AN92" i="71"/>
  <c r="I104" i="74" s="1"/>
  <c r="AN110" i="71"/>
  <c r="I122" i="74" s="1"/>
  <c r="AO92" i="71"/>
  <c r="L104" i="74" s="1"/>
  <c r="AO110" i="71"/>
  <c r="L122" i="74" s="1"/>
  <c r="AN51" i="71"/>
  <c r="I63" i="74" s="1"/>
  <c r="AN103" i="71"/>
  <c r="I115" i="74" s="1"/>
  <c r="AM51" i="71"/>
  <c r="E63" i="74" s="1"/>
  <c r="F63" i="74" s="1"/>
  <c r="G63" i="74" s="1"/>
  <c r="H63" i="74" s="1"/>
  <c r="AM103" i="71"/>
  <c r="E115" i="74" s="1"/>
  <c r="F115" i="74" s="1"/>
  <c r="G115" i="74" s="1"/>
  <c r="H115" i="74" s="1"/>
  <c r="AO136" i="71"/>
  <c r="L148" i="74" s="1"/>
  <c r="AN17" i="72"/>
  <c r="AO17" i="72"/>
  <c r="AM17" i="72"/>
  <c r="E237" i="74" s="1"/>
  <c r="F237" i="74" s="1"/>
  <c r="G237" i="74" s="1"/>
  <c r="H237" i="74" s="1"/>
  <c r="H220" i="66"/>
  <c r="K220" i="66" s="1"/>
  <c r="M220" i="66" s="1"/>
  <c r="O220" i="66" s="1"/>
  <c r="H221" i="66"/>
  <c r="K221" i="66" s="1"/>
  <c r="M221" i="66" s="1"/>
  <c r="O221" i="66" s="1"/>
  <c r="H227" i="66"/>
  <c r="K227" i="66" s="1"/>
  <c r="M227" i="66" s="1"/>
  <c r="O227" i="66" s="1"/>
  <c r="H210" i="66"/>
  <c r="K210" i="66" s="1"/>
  <c r="M210" i="66" s="1"/>
  <c r="O210" i="66" s="1"/>
  <c r="K223" i="66"/>
  <c r="M223" i="66" s="1"/>
  <c r="O223" i="66" s="1"/>
  <c r="O234" i="74"/>
  <c r="P234" i="74" s="1"/>
  <c r="Q234" i="74" s="1"/>
  <c r="R234" i="74" s="1"/>
  <c r="O235" i="74"/>
  <c r="P235" i="74" s="1"/>
  <c r="Q235" i="74" s="1"/>
  <c r="R235" i="74" s="1"/>
  <c r="AA224" i="74"/>
  <c r="AB224" i="74" s="1"/>
  <c r="AC224" i="74" s="1"/>
  <c r="AD224" i="74" s="1"/>
  <c r="AD211" i="68" s="1"/>
  <c r="U224" i="74"/>
  <c r="V224" i="74" s="1"/>
  <c r="W224" i="74" s="1"/>
  <c r="X224" i="74" s="1"/>
  <c r="X235" i="74"/>
  <c r="X33" i="74"/>
  <c r="AD234" i="74"/>
  <c r="AD221" i="68" s="1"/>
  <c r="R26" i="74"/>
  <c r="U22" i="74"/>
  <c r="V22" i="74" s="1"/>
  <c r="W22" i="74" s="1"/>
  <c r="X22" i="74" s="1"/>
  <c r="U127" i="74"/>
  <c r="V127" i="74" s="1"/>
  <c r="W127" i="74" s="1"/>
  <c r="X127" i="74" s="1"/>
  <c r="AA104" i="74"/>
  <c r="AB104" i="74" s="1"/>
  <c r="AC104" i="74" s="1"/>
  <c r="AD104" i="74" s="1"/>
  <c r="AH91" i="68" s="1"/>
  <c r="AA33" i="74"/>
  <c r="AB33" i="74" s="1"/>
  <c r="AC33" i="74" s="1"/>
  <c r="AD33" i="74" s="1"/>
  <c r="AH20" i="68" s="1"/>
  <c r="AA142" i="74"/>
  <c r="AB142" i="74" s="1"/>
  <c r="AC142" i="74" s="1"/>
  <c r="AD142" i="74" s="1"/>
  <c r="AH129" i="68" s="1"/>
  <c r="O148" i="74"/>
  <c r="P148" i="74" s="1"/>
  <c r="Q148" i="74" s="1"/>
  <c r="R148" i="74" s="1"/>
  <c r="O122" i="74"/>
  <c r="P122" i="74" s="1"/>
  <c r="Q122" i="74" s="1"/>
  <c r="R122" i="74" s="1"/>
  <c r="O118" i="74"/>
  <c r="P118" i="74" s="1"/>
  <c r="Q118" i="74" s="1"/>
  <c r="R118" i="74" s="1"/>
  <c r="O33" i="74"/>
  <c r="P33" i="74" s="1"/>
  <c r="Q33" i="74" s="1"/>
  <c r="R33" i="74" s="1"/>
  <c r="U159" i="74"/>
  <c r="V159" i="74" s="1"/>
  <c r="W159" i="74" s="1"/>
  <c r="X159" i="74" s="1"/>
  <c r="U126" i="74"/>
  <c r="V126" i="74" s="1"/>
  <c r="W126" i="74" s="1"/>
  <c r="X126" i="74" s="1"/>
  <c r="AA22" i="74"/>
  <c r="AB22" i="74" s="1"/>
  <c r="AC22" i="74" s="1"/>
  <c r="AD22" i="74" s="1"/>
  <c r="AH9" i="68" s="1"/>
  <c r="AA186" i="74"/>
  <c r="AB186" i="74" s="1"/>
  <c r="AC186" i="74" s="1"/>
  <c r="AD186" i="74" s="1"/>
  <c r="AH172" i="68" s="1"/>
  <c r="AA126" i="74"/>
  <c r="AB126" i="74" s="1"/>
  <c r="AC126" i="74" s="1"/>
  <c r="AD126" i="74" s="1"/>
  <c r="AH113" i="68" s="1"/>
  <c r="AA212" i="74"/>
  <c r="AB212" i="74" s="1"/>
  <c r="AC212" i="74" s="1"/>
  <c r="AD212" i="74" s="1"/>
  <c r="AH198" i="68" s="1"/>
  <c r="AA163" i="74"/>
  <c r="AB163" i="74" s="1"/>
  <c r="AC163" i="74" s="1"/>
  <c r="AD163" i="74" s="1"/>
  <c r="AH149" i="68" s="1"/>
  <c r="O217" i="74"/>
  <c r="P217" i="74" s="1"/>
  <c r="Q217" i="74" s="1"/>
  <c r="R217" i="74" s="1"/>
  <c r="O186" i="74"/>
  <c r="P186" i="74" s="1"/>
  <c r="Q186" i="74" s="1"/>
  <c r="R186" i="74" s="1"/>
  <c r="U104" i="74"/>
  <c r="V104" i="74" s="1"/>
  <c r="W104" i="74" s="1"/>
  <c r="X104" i="74" s="1"/>
  <c r="U48" i="74"/>
  <c r="V48" i="74" s="1"/>
  <c r="W48" i="74" s="1"/>
  <c r="X48" i="74" s="1"/>
  <c r="J203" i="66"/>
  <c r="J149" i="66"/>
  <c r="J198" i="66"/>
  <c r="J158" i="66"/>
  <c r="J109" i="66"/>
  <c r="J113" i="66"/>
  <c r="J91" i="66"/>
  <c r="J9" i="66"/>
  <c r="J57" i="66"/>
  <c r="J105" i="66"/>
  <c r="J29" i="66"/>
  <c r="J145" i="66"/>
  <c r="J186" i="66"/>
  <c r="J50" i="66"/>
  <c r="J114" i="66"/>
  <c r="J31" i="66"/>
  <c r="J100" i="66"/>
  <c r="J102" i="66"/>
  <c r="J35" i="66"/>
  <c r="J13" i="66"/>
  <c r="J129" i="66"/>
  <c r="J108" i="66"/>
  <c r="J221" i="66"/>
  <c r="J220" i="66"/>
  <c r="J107" i="66"/>
  <c r="J210" i="66"/>
  <c r="J20" i="66"/>
  <c r="J227" i="66"/>
  <c r="J172" i="66"/>
  <c r="J223" i="66"/>
  <c r="J134" i="66"/>
  <c r="H186" i="66"/>
  <c r="H50" i="66"/>
  <c r="H109" i="66"/>
  <c r="H13" i="66"/>
  <c r="H57" i="66"/>
  <c r="H113" i="66"/>
  <c r="H91" i="66"/>
  <c r="H9" i="66"/>
  <c r="H134" i="66"/>
  <c r="H149" i="66"/>
  <c r="H158" i="66"/>
  <c r="H108" i="66"/>
  <c r="H29" i="66"/>
  <c r="H198" i="66"/>
  <c r="H129" i="66"/>
  <c r="H105" i="66"/>
  <c r="H31" i="66"/>
  <c r="H145" i="66"/>
  <c r="H203" i="66"/>
  <c r="H107" i="66"/>
  <c r="H20" i="66"/>
  <c r="H114" i="66"/>
  <c r="H100" i="66"/>
  <c r="H102" i="66"/>
  <c r="H35" i="66"/>
  <c r="H172" i="66"/>
  <c r="O142" i="74"/>
  <c r="P142" i="74" s="1"/>
  <c r="Q142" i="74" s="1"/>
  <c r="R142" i="74" s="1"/>
  <c r="O121" i="74"/>
  <c r="P121" i="74" s="1"/>
  <c r="Q121" i="74" s="1"/>
  <c r="R121" i="74" s="1"/>
  <c r="S115" i="74"/>
  <c r="S212" i="74"/>
  <c r="S163" i="74"/>
  <c r="O200" i="74"/>
  <c r="P200" i="74" s="1"/>
  <c r="Q200" i="74" s="1"/>
  <c r="R200" i="74" s="1"/>
  <c r="F118" i="74"/>
  <c r="G118" i="74" s="1"/>
  <c r="H118" i="74" s="1"/>
  <c r="N105" i="66"/>
  <c r="F172" i="74"/>
  <c r="G172" i="74" s="1"/>
  <c r="H172" i="74" s="1"/>
  <c r="N158" i="66"/>
  <c r="F159" i="74"/>
  <c r="G159" i="74" s="1"/>
  <c r="H159" i="74" s="1"/>
  <c r="N145" i="66"/>
  <c r="F70" i="74"/>
  <c r="G70" i="74" s="1"/>
  <c r="H70" i="74" s="1"/>
  <c r="N57" i="66"/>
  <c r="S70" i="74"/>
  <c r="O115" i="74"/>
  <c r="P115" i="74" s="1"/>
  <c r="Q115" i="74" s="1"/>
  <c r="R115" i="74" s="1"/>
  <c r="S186" i="74"/>
  <c r="O212" i="74"/>
  <c r="P212" i="74" s="1"/>
  <c r="Q212" i="74" s="1"/>
  <c r="R212" i="74" s="1"/>
  <c r="O163" i="74"/>
  <c r="P163" i="74" s="1"/>
  <c r="Q163" i="74" s="1"/>
  <c r="R163" i="74" s="1"/>
  <c r="AD235" i="74"/>
  <c r="AD222" i="67" s="1"/>
  <c r="U163" i="74"/>
  <c r="V163" i="74" s="1"/>
  <c r="W163" i="74" s="1"/>
  <c r="X163" i="74" s="1"/>
  <c r="U200" i="74"/>
  <c r="V200" i="74" s="1"/>
  <c r="W200" i="74" s="1"/>
  <c r="X200" i="74" s="1"/>
  <c r="AA148" i="74"/>
  <c r="AB148" i="74" s="1"/>
  <c r="AC148" i="74" s="1"/>
  <c r="AD148" i="74" s="1"/>
  <c r="AH134" i="68" s="1"/>
  <c r="AA127" i="74"/>
  <c r="AB127" i="74" s="1"/>
  <c r="AC127" i="74" s="1"/>
  <c r="AD127" i="74" s="1"/>
  <c r="AH114" i="68" s="1"/>
  <c r="AA200" i="74"/>
  <c r="AB200" i="74" s="1"/>
  <c r="AC200" i="74" s="1"/>
  <c r="AD200" i="74" s="1"/>
  <c r="AH186" i="68" s="1"/>
  <c r="AA44" i="74"/>
  <c r="AB44" i="74" s="1"/>
  <c r="AC44" i="74" s="1"/>
  <c r="AD44" i="74" s="1"/>
  <c r="AH31" i="68" s="1"/>
  <c r="AD118" i="74"/>
  <c r="AH105" i="68" s="1"/>
  <c r="AD121" i="74"/>
  <c r="AH108" i="68" s="1"/>
  <c r="R241" i="74"/>
  <c r="R44" i="74"/>
  <c r="Y142" i="74"/>
  <c r="X234" i="74"/>
  <c r="Y172" i="74"/>
  <c r="AE200" i="74"/>
  <c r="AI186" i="68" s="1"/>
  <c r="AE118" i="74"/>
  <c r="AI105" i="68" s="1"/>
  <c r="O120" i="74"/>
  <c r="P120" i="74" s="1"/>
  <c r="Q120" i="74" s="1"/>
  <c r="R120" i="74" s="1"/>
  <c r="O63" i="74"/>
  <c r="P63" i="74" s="1"/>
  <c r="Q63" i="74" s="1"/>
  <c r="R63" i="74" s="1"/>
  <c r="O127" i="74"/>
  <c r="P127" i="74" s="1"/>
  <c r="Q127" i="74" s="1"/>
  <c r="R127" i="74" s="1"/>
  <c r="O48" i="74"/>
  <c r="P48" i="74" s="1"/>
  <c r="Q48" i="74" s="1"/>
  <c r="R48" i="74" s="1"/>
  <c r="O113" i="74"/>
  <c r="P113" i="74" s="1"/>
  <c r="Q113" i="74" s="1"/>
  <c r="R113" i="74" s="1"/>
  <c r="Y22" i="74"/>
  <c r="U120" i="74"/>
  <c r="V120" i="74" s="1"/>
  <c r="W120" i="74" s="1"/>
  <c r="X120" i="74" s="1"/>
  <c r="Y127" i="74"/>
  <c r="U142" i="74"/>
  <c r="V142" i="74" s="1"/>
  <c r="W142" i="74" s="1"/>
  <c r="X142" i="74" s="1"/>
  <c r="U44" i="74"/>
  <c r="V44" i="74" s="1"/>
  <c r="W44" i="74" s="1"/>
  <c r="X44" i="74" s="1"/>
  <c r="U172" i="74"/>
  <c r="V172" i="74" s="1"/>
  <c r="W172" i="74" s="1"/>
  <c r="X172" i="74" s="1"/>
  <c r="AA113" i="74"/>
  <c r="AB113" i="74" s="1"/>
  <c r="AC113" i="74" s="1"/>
  <c r="AD113" i="74" s="1"/>
  <c r="AH100" i="68" s="1"/>
  <c r="AA115" i="74"/>
  <c r="AB115" i="74" s="1"/>
  <c r="AC115" i="74" s="1"/>
  <c r="AD115" i="74" s="1"/>
  <c r="AH102" i="68" s="1"/>
  <c r="AD172" i="74"/>
  <c r="AH158" i="68" s="1"/>
  <c r="F104" i="74"/>
  <c r="G104" i="74" s="1"/>
  <c r="H104" i="74" s="1"/>
  <c r="N91" i="66"/>
  <c r="F122" i="74"/>
  <c r="G122" i="74" s="1"/>
  <c r="H122" i="74" s="1"/>
  <c r="N109" i="66"/>
  <c r="AD241" i="74"/>
  <c r="AD228" i="68" s="1"/>
  <c r="P223" i="66"/>
  <c r="N134" i="66"/>
  <c r="F48" i="74"/>
  <c r="G48" i="74" s="1"/>
  <c r="H48" i="74" s="1"/>
  <c r="N35" i="66"/>
  <c r="F186" i="74"/>
  <c r="G186" i="74" s="1"/>
  <c r="H186" i="74" s="1"/>
  <c r="N172" i="66"/>
  <c r="P227" i="66"/>
  <c r="F126" i="74"/>
  <c r="G126" i="74" s="1"/>
  <c r="H126" i="74" s="1"/>
  <c r="N113" i="66"/>
  <c r="F22" i="74"/>
  <c r="G22" i="74" s="1"/>
  <c r="N9" i="66"/>
  <c r="F200" i="74"/>
  <c r="G200" i="74" s="1"/>
  <c r="H200" i="74" s="1"/>
  <c r="N186" i="66"/>
  <c r="N50" i="66"/>
  <c r="U121" i="74"/>
  <c r="V121" i="74" s="1"/>
  <c r="W121" i="74" s="1"/>
  <c r="X121" i="74" s="1"/>
  <c r="U212" i="74"/>
  <c r="V212" i="74" s="1"/>
  <c r="W212" i="74" s="1"/>
  <c r="X212" i="74" s="1"/>
  <c r="X241" i="74"/>
  <c r="I152" i="52" s="1"/>
  <c r="U113" i="74"/>
  <c r="V113" i="74" s="1"/>
  <c r="W113" i="74" s="1"/>
  <c r="X113" i="74" s="1"/>
  <c r="AE104" i="74"/>
  <c r="AI91" i="68" s="1"/>
  <c r="AE33" i="74"/>
  <c r="AI20" i="68" s="1"/>
  <c r="AE142" i="74"/>
  <c r="AI129" i="68" s="1"/>
  <c r="AE172" i="74"/>
  <c r="AI158" i="68" s="1"/>
  <c r="F120" i="74"/>
  <c r="G120" i="74" s="1"/>
  <c r="H120" i="74" s="1"/>
  <c r="P220" i="66"/>
  <c r="N107" i="66"/>
  <c r="F127" i="74"/>
  <c r="G127" i="74" s="1"/>
  <c r="H127" i="74" s="1"/>
  <c r="N114" i="66"/>
  <c r="AA48" i="74"/>
  <c r="AB48" i="74" s="1"/>
  <c r="AC48" i="74" s="1"/>
  <c r="AD48" i="74" s="1"/>
  <c r="AH35" i="68" s="1"/>
  <c r="AA63" i="74"/>
  <c r="AB63" i="74" s="1"/>
  <c r="AC63" i="74" s="1"/>
  <c r="AD63" i="74" s="1"/>
  <c r="AH50" i="68" s="1"/>
  <c r="AA120" i="74"/>
  <c r="AB120" i="74" s="1"/>
  <c r="AC120" i="74" s="1"/>
  <c r="AD120" i="74" s="1"/>
  <c r="AH107" i="68" s="1"/>
  <c r="AA70" i="74"/>
  <c r="AB70" i="74" s="1"/>
  <c r="AC70" i="74" s="1"/>
  <c r="AD70" i="74" s="1"/>
  <c r="AH57" i="68" s="1"/>
  <c r="AD217" i="74"/>
  <c r="AH203" i="68" s="1"/>
  <c r="O172" i="74"/>
  <c r="P172" i="74" s="1"/>
  <c r="Q172" i="74" s="1"/>
  <c r="R172" i="74" s="1"/>
  <c r="O22" i="74"/>
  <c r="P22" i="74" s="1"/>
  <c r="Q22" i="74" s="1"/>
  <c r="R22" i="74" s="1"/>
  <c r="S42" i="74"/>
  <c r="Y159" i="74"/>
  <c r="U148" i="74"/>
  <c r="V148" i="74" s="1"/>
  <c r="W148" i="74" s="1"/>
  <c r="X148" i="74" s="1"/>
  <c r="Y126" i="74"/>
  <c r="U217" i="74"/>
  <c r="V217" i="74" s="1"/>
  <c r="W217" i="74" s="1"/>
  <c r="X217" i="74" s="1"/>
  <c r="U186" i="74"/>
  <c r="V186" i="74" s="1"/>
  <c r="W186" i="74" s="1"/>
  <c r="X186" i="74" s="1"/>
  <c r="F113" i="74"/>
  <c r="G113" i="74" s="1"/>
  <c r="H113" i="74" s="1"/>
  <c r="N100" i="66"/>
  <c r="F44" i="74"/>
  <c r="G44" i="74" s="1"/>
  <c r="H44" i="74" s="1"/>
  <c r="N31" i="66"/>
  <c r="O104" i="74"/>
  <c r="P104" i="74" s="1"/>
  <c r="Q104" i="74" s="1"/>
  <c r="R104" i="74" s="1"/>
  <c r="F212" i="74"/>
  <c r="G212" i="74" s="1"/>
  <c r="H212" i="74" s="1"/>
  <c r="N198" i="66"/>
  <c r="R237" i="74"/>
  <c r="S122" i="74"/>
  <c r="S118" i="74"/>
  <c r="S33" i="74"/>
  <c r="R42" i="74"/>
  <c r="AD237" i="74"/>
  <c r="AD224" i="67" s="1"/>
  <c r="Y122" i="74"/>
  <c r="Y5" i="74" s="1"/>
  <c r="Y118" i="74"/>
  <c r="X26" i="74"/>
  <c r="F163" i="74"/>
  <c r="G163" i="74" s="1"/>
  <c r="H163" i="74" s="1"/>
  <c r="N149" i="66"/>
  <c r="F33" i="74"/>
  <c r="G33" i="74" s="1"/>
  <c r="N20" i="66"/>
  <c r="P210" i="66"/>
  <c r="O159" i="74"/>
  <c r="P159" i="74" s="1"/>
  <c r="Q159" i="74" s="1"/>
  <c r="R159" i="74" s="1"/>
  <c r="F217" i="74"/>
  <c r="G217" i="74" s="1"/>
  <c r="H217" i="74" s="1"/>
  <c r="N203" i="66"/>
  <c r="F121" i="74"/>
  <c r="G121" i="74" s="1"/>
  <c r="H121" i="74" s="1"/>
  <c r="P221" i="66"/>
  <c r="N108" i="66"/>
  <c r="S148" i="74"/>
  <c r="F26" i="74"/>
  <c r="G26" i="74" s="1"/>
  <c r="H26" i="74" s="1"/>
  <c r="N13" i="66"/>
  <c r="F142" i="74"/>
  <c r="G142" i="74" s="1"/>
  <c r="H142" i="74" s="1"/>
  <c r="N129" i="66"/>
  <c r="X237" i="74"/>
  <c r="U122" i="74"/>
  <c r="V122" i="74" s="1"/>
  <c r="W122" i="74" s="1"/>
  <c r="X122" i="74" s="1"/>
  <c r="Y104" i="74"/>
  <c r="U118" i="74"/>
  <c r="V118" i="74" s="1"/>
  <c r="W118" i="74" s="1"/>
  <c r="X118" i="74" s="1"/>
  <c r="Y48" i="74"/>
  <c r="AA159" i="74"/>
  <c r="AB159" i="74" s="1"/>
  <c r="AC159" i="74" s="1"/>
  <c r="AD159" i="74" s="1"/>
  <c r="AH145" i="68" s="1"/>
  <c r="AA42" i="74"/>
  <c r="AB42" i="74" s="1"/>
  <c r="AC42" i="74" s="1"/>
  <c r="AD42" i="74" s="1"/>
  <c r="AH29" i="68" s="1"/>
  <c r="AA26" i="74"/>
  <c r="AB26" i="74" s="1"/>
  <c r="AC26" i="74" s="1"/>
  <c r="AD26" i="74" s="1"/>
  <c r="AH13" i="68" s="1"/>
  <c r="AD122" i="74"/>
  <c r="AH109" i="68" s="1"/>
  <c r="AE126" i="74"/>
  <c r="AI113" i="68" s="1"/>
  <c r="AE212" i="74"/>
  <c r="AI198" i="68" s="1"/>
  <c r="F42" i="74"/>
  <c r="G42" i="74" s="1"/>
  <c r="H42" i="74" s="1"/>
  <c r="N29" i="66"/>
  <c r="N102" i="66"/>
  <c r="O126" i="74"/>
  <c r="P126" i="74" s="1"/>
  <c r="Q126" i="74" s="1"/>
  <c r="R126" i="74" s="1"/>
  <c r="U63" i="74"/>
  <c r="V63" i="74" s="1"/>
  <c r="W63" i="74" s="1"/>
  <c r="X63" i="74" s="1"/>
  <c r="U42" i="74"/>
  <c r="V42" i="74" s="1"/>
  <c r="W42" i="74" s="1"/>
  <c r="X42" i="74" s="1"/>
  <c r="U115" i="74"/>
  <c r="V115" i="74" s="1"/>
  <c r="W115" i="74" s="1"/>
  <c r="X115" i="74" s="1"/>
  <c r="Y200" i="74"/>
  <c r="U70" i="74"/>
  <c r="V70" i="74" s="1"/>
  <c r="W70" i="74" s="1"/>
  <c r="X70" i="74" s="1"/>
  <c r="AE42" i="74"/>
  <c r="AI29" i="68" s="1"/>
  <c r="AI172" i="67"/>
  <c r="AI145" i="67"/>
  <c r="AI203" i="67"/>
  <c r="AI102" i="67"/>
  <c r="AI107" i="67"/>
  <c r="AI57" i="67"/>
  <c r="AI109" i="67"/>
  <c r="AI149" i="67"/>
  <c r="AI100" i="67"/>
  <c r="AI108" i="67"/>
  <c r="AI134" i="67"/>
  <c r="AI114" i="67"/>
  <c r="AI35" i="67"/>
  <c r="AI50" i="67"/>
  <c r="AI13" i="67"/>
  <c r="AI31" i="67"/>
  <c r="AE7" i="74"/>
  <c r="AI9" i="67"/>
  <c r="Z10" i="74"/>
  <c r="E63" i="53" s="1"/>
  <c r="Z5" i="74"/>
  <c r="Z7" i="74"/>
  <c r="Z6" i="74"/>
  <c r="Z4" i="74"/>
  <c r="AF5" i="74"/>
  <c r="AF10" i="74"/>
  <c r="AF4" i="74"/>
  <c r="AF6" i="74"/>
  <c r="AF7" i="74"/>
  <c r="S5" i="74"/>
  <c r="S6" i="74"/>
  <c r="S7" i="74"/>
  <c r="T4" i="74"/>
  <c r="T6" i="74"/>
  <c r="T7" i="74"/>
  <c r="T10" i="74"/>
  <c r="T5" i="74"/>
  <c r="R224" i="74"/>
  <c r="C225" i="52"/>
  <c r="C229" i="52" s="1"/>
  <c r="C231" i="52" s="1"/>
  <c r="E231" i="52" s="1"/>
  <c r="E232" i="52" s="1"/>
  <c r="E207" i="52" s="1"/>
  <c r="I205" i="52" s="1"/>
  <c r="C117" i="52"/>
  <c r="C121" i="52" s="1"/>
  <c r="C171" i="52"/>
  <c r="C175" i="52" s="1"/>
  <c r="C177" i="52" s="1"/>
  <c r="E177" i="52" s="1"/>
  <c r="E178" i="52" s="1"/>
  <c r="E153" i="52" s="1"/>
  <c r="I151" i="52" s="1"/>
  <c r="E33" i="52"/>
  <c r="E34" i="52" s="1"/>
  <c r="E9" i="52" s="1"/>
  <c r="I7" i="52" s="1"/>
  <c r="I8" i="52"/>
  <c r="G76" i="78" l="1"/>
  <c r="H76" i="78" s="1"/>
  <c r="I76" i="78" s="1"/>
  <c r="G69" i="78"/>
  <c r="H69" i="78" s="1"/>
  <c r="I69" i="78" s="1"/>
  <c r="G71" i="78"/>
  <c r="H71" i="78" s="1"/>
  <c r="I71" i="78" s="1"/>
  <c r="G65" i="78"/>
  <c r="H65" i="78" s="1"/>
  <c r="I65" i="78" s="1"/>
  <c r="G68" i="78"/>
  <c r="H68" i="78" s="1"/>
  <c r="I68" i="78" s="1"/>
  <c r="D35" i="78" s="1"/>
  <c r="F35" i="78" s="1"/>
  <c r="G67" i="78"/>
  <c r="H67" i="78" s="1"/>
  <c r="I67" i="78" s="1"/>
  <c r="G74" i="78"/>
  <c r="H74" i="78" s="1"/>
  <c r="I74" i="78" s="1"/>
  <c r="G70" i="78"/>
  <c r="H70" i="78" s="1"/>
  <c r="I70" i="78" s="1"/>
  <c r="G83" i="78"/>
  <c r="H83" i="78" s="1"/>
  <c r="I83" i="78" s="1"/>
  <c r="G80" i="78"/>
  <c r="H80" i="78" s="1"/>
  <c r="I80" i="78" s="1"/>
  <c r="D29" i="78" s="1"/>
  <c r="F29" i="78" s="1"/>
  <c r="G86" i="78"/>
  <c r="H86" i="78" s="1"/>
  <c r="I86" i="78" s="1"/>
  <c r="D46" i="78" s="1"/>
  <c r="F46" i="78" s="1"/>
  <c r="G66" i="78"/>
  <c r="H66" i="78" s="1"/>
  <c r="I66" i="78" s="1"/>
  <c r="G82" i="78"/>
  <c r="H82" i="78" s="1"/>
  <c r="I82" i="78" s="1"/>
  <c r="G77" i="78"/>
  <c r="H77" i="78" s="1"/>
  <c r="I77" i="78" s="1"/>
  <c r="G72" i="78"/>
  <c r="H72" i="78" s="1"/>
  <c r="I72" i="78" s="1"/>
  <c r="G64" i="78"/>
  <c r="H64" i="78" s="1"/>
  <c r="I64" i="78" s="1"/>
  <c r="G84" i="78"/>
  <c r="H84" i="78" s="1"/>
  <c r="I84" i="78" s="1"/>
  <c r="G78" i="78"/>
  <c r="H78" i="78" s="1"/>
  <c r="I78" i="78" s="1"/>
  <c r="G73" i="78"/>
  <c r="H73" i="78" s="1"/>
  <c r="I73" i="78" s="1"/>
  <c r="G85" i="78"/>
  <c r="H85" i="78" s="1"/>
  <c r="I85" i="78" s="1"/>
  <c r="D54" i="78" s="1"/>
  <c r="F54" i="78" s="1"/>
  <c r="G75" i="78"/>
  <c r="H75" i="78" s="1"/>
  <c r="I75" i="78" s="1"/>
  <c r="G79" i="78"/>
  <c r="H79" i="78" s="1"/>
  <c r="I79" i="78" s="1"/>
  <c r="D44" i="78" s="1"/>
  <c r="F44" i="78" s="1"/>
  <c r="G62" i="78"/>
  <c r="H62" i="78" s="1"/>
  <c r="I62" i="78" s="1"/>
  <c r="G81" i="78"/>
  <c r="H81" i="78" s="1"/>
  <c r="I81" i="78" s="1"/>
  <c r="AC158" i="66"/>
  <c r="AC114" i="66"/>
  <c r="K5" i="74"/>
  <c r="C89" i="36"/>
  <c r="K6" i="74"/>
  <c r="AC109" i="66"/>
  <c r="AF109" i="66" s="1"/>
  <c r="K4" i="74"/>
  <c r="K10" i="74"/>
  <c r="E13" i="53" s="1"/>
  <c r="J5" i="74"/>
  <c r="C90" i="36"/>
  <c r="J10" i="74"/>
  <c r="E12" i="53" s="1"/>
  <c r="J4" i="74"/>
  <c r="J7" i="74"/>
  <c r="J6" i="74"/>
  <c r="K100" i="66"/>
  <c r="M100" i="66" s="1"/>
  <c r="AE100" i="66" s="1"/>
  <c r="K7" i="74"/>
  <c r="AC9" i="66"/>
  <c r="AF9" i="66" s="1"/>
  <c r="H33" i="74"/>
  <c r="H22" i="74"/>
  <c r="G7" i="74" a="1"/>
  <c r="G7" i="74" s="1"/>
  <c r="G8" i="74"/>
  <c r="G10" i="74" s="1"/>
  <c r="G6" i="74" a="1"/>
  <c r="G6" i="74" s="1"/>
  <c r="G4" i="74" a="1"/>
  <c r="G4" i="74" s="1"/>
  <c r="G5" i="74" a="1"/>
  <c r="G5" i="74" s="1"/>
  <c r="AC223" i="66"/>
  <c r="K134" i="66"/>
  <c r="M134" i="66" s="1"/>
  <c r="AE134" i="66" s="1"/>
  <c r="AC203" i="66"/>
  <c r="AF203" i="66" s="1"/>
  <c r="AD102" i="66"/>
  <c r="AG102" i="66" s="1"/>
  <c r="K149" i="66"/>
  <c r="M149" i="66" s="1"/>
  <c r="AE149" i="66" s="1"/>
  <c r="AC220" i="66"/>
  <c r="AC221" i="66"/>
  <c r="AC210" i="66"/>
  <c r="AC227" i="66"/>
  <c r="AD221" i="67"/>
  <c r="K57" i="66"/>
  <c r="M57" i="66" s="1"/>
  <c r="AE57" i="66" s="1"/>
  <c r="AC129" i="66"/>
  <c r="AF129" i="66" s="1"/>
  <c r="AH100" i="67"/>
  <c r="AD109" i="66"/>
  <c r="AG109" i="66" s="1"/>
  <c r="AC113" i="66"/>
  <c r="AF113" i="66" s="1"/>
  <c r="K129" i="66"/>
  <c r="M129" i="66" s="1"/>
  <c r="AE129" i="66" s="1"/>
  <c r="AC198" i="66"/>
  <c r="AD129" i="66"/>
  <c r="AG129" i="66" s="1"/>
  <c r="AD35" i="66"/>
  <c r="K91" i="66"/>
  <c r="M91" i="66" s="1"/>
  <c r="AE91" i="66" s="1"/>
  <c r="AD57" i="66"/>
  <c r="AG57" i="66" s="1"/>
  <c r="AC102" i="66"/>
  <c r="AF102" i="66" s="1"/>
  <c r="AE5" i="74"/>
  <c r="Y7" i="74"/>
  <c r="AE6" i="74"/>
  <c r="AD158" i="66"/>
  <c r="AG158" i="66" s="1"/>
  <c r="AD172" i="66"/>
  <c r="AG172" i="66" s="1"/>
  <c r="K158" i="66"/>
  <c r="M158" i="66" s="1"/>
  <c r="AE158" i="66" s="1"/>
  <c r="K29" i="66"/>
  <c r="M29" i="66" s="1"/>
  <c r="AE29" i="66" s="1"/>
  <c r="K198" i="66"/>
  <c r="M198" i="66" s="1"/>
  <c r="AE198" i="66" s="1"/>
  <c r="AD145" i="66"/>
  <c r="AG145" i="66" s="1"/>
  <c r="K105" i="66"/>
  <c r="M105" i="66" s="1"/>
  <c r="AE105" i="66" s="1"/>
  <c r="K109" i="66"/>
  <c r="M109" i="66" s="1"/>
  <c r="AE109" i="66" s="1"/>
  <c r="K20" i="66"/>
  <c r="M20" i="66" s="1"/>
  <c r="AE20" i="66" s="1"/>
  <c r="AD107" i="66"/>
  <c r="AG107" i="66" s="1"/>
  <c r="AC186" i="66"/>
  <c r="AF186" i="66" s="1"/>
  <c r="AD20" i="66"/>
  <c r="AG20" i="66" s="1"/>
  <c r="I98" i="52"/>
  <c r="AC20" i="66"/>
  <c r="AF20" i="66" s="1"/>
  <c r="AD149" i="66"/>
  <c r="AG149" i="66" s="1"/>
  <c r="AC50" i="66"/>
  <c r="AF50" i="66" s="1"/>
  <c r="AH31" i="67"/>
  <c r="AH105" i="67"/>
  <c r="AC31" i="66"/>
  <c r="AF31" i="66" s="1"/>
  <c r="Y6" i="74"/>
  <c r="K107" i="66"/>
  <c r="M107" i="66" s="1"/>
  <c r="AE107" i="66" s="1"/>
  <c r="AD108" i="66"/>
  <c r="AG108" i="66" s="1"/>
  <c r="K9" i="66"/>
  <c r="M9" i="66" s="1"/>
  <c r="AE9" i="66" s="1"/>
  <c r="AC107" i="66"/>
  <c r="AF107" i="66" s="1"/>
  <c r="AD50" i="66"/>
  <c r="AG50" i="66" s="1"/>
  <c r="AD198" i="66"/>
  <c r="AG198" i="66" s="1"/>
  <c r="AC13" i="66"/>
  <c r="AF13" i="66" s="1"/>
  <c r="AC172" i="66"/>
  <c r="AF172" i="66" s="1"/>
  <c r="K50" i="66"/>
  <c r="M50" i="66" s="1"/>
  <c r="AE50" i="66" s="1"/>
  <c r="K172" i="66"/>
  <c r="M172" i="66" s="1"/>
  <c r="AE172" i="66" s="1"/>
  <c r="AC134" i="66"/>
  <c r="AF134" i="66" s="1"/>
  <c r="AD134" i="66"/>
  <c r="AG134" i="66" s="1"/>
  <c r="K113" i="66"/>
  <c r="M113" i="66" s="1"/>
  <c r="AE113" i="66" s="1"/>
  <c r="AC145" i="66"/>
  <c r="AF145" i="66" s="1"/>
  <c r="AH20" i="67"/>
  <c r="AH50" i="67"/>
  <c r="AC91" i="66"/>
  <c r="AF91" i="66" s="1"/>
  <c r="K145" i="66"/>
  <c r="M145" i="66" s="1"/>
  <c r="AE145" i="66" s="1"/>
  <c r="K102" i="66"/>
  <c r="M102" i="66" s="1"/>
  <c r="AE102" i="66" s="1"/>
  <c r="AH158" i="67"/>
  <c r="W8" i="74"/>
  <c r="W10" i="74" s="1"/>
  <c r="E61" i="53" s="1"/>
  <c r="K35" i="66"/>
  <c r="M35" i="66" s="1"/>
  <c r="AE35" i="66" s="1"/>
  <c r="AC35" i="66"/>
  <c r="AF35" i="66" s="1"/>
  <c r="AC29" i="66"/>
  <c r="AF29" i="66" s="1"/>
  <c r="W5" i="74"/>
  <c r="AD91" i="66"/>
  <c r="AG91" i="66" s="1"/>
  <c r="W4" i="74"/>
  <c r="AD29" i="66"/>
  <c r="AG29" i="66" s="1"/>
  <c r="W6" i="74"/>
  <c r="W7" i="74"/>
  <c r="Q8" i="74"/>
  <c r="Q10" i="74" s="1"/>
  <c r="E37" i="53" s="1"/>
  <c r="AD222" i="68"/>
  <c r="Q5" i="74"/>
  <c r="Q4" i="74"/>
  <c r="AD186" i="66"/>
  <c r="AG186" i="66" s="1"/>
  <c r="Q6" i="74"/>
  <c r="Q7" i="74"/>
  <c r="K186" i="66"/>
  <c r="M186" i="66" s="1"/>
  <c r="AE186" i="66" s="1"/>
  <c r="AD203" i="66"/>
  <c r="AG203" i="66" s="1"/>
  <c r="K203" i="66"/>
  <c r="M203" i="66" s="1"/>
  <c r="AE203" i="66" s="1"/>
  <c r="AD113" i="66"/>
  <c r="AG113" i="66" s="1"/>
  <c r="AH102" i="67"/>
  <c r="AF114" i="66"/>
  <c r="AD9" i="66"/>
  <c r="AG9" i="66" s="1"/>
  <c r="S4" i="74"/>
  <c r="AH108" i="67"/>
  <c r="AC57" i="66"/>
  <c r="AF57" i="66" s="1"/>
  <c r="AC105" i="66"/>
  <c r="AF105" i="66" s="1"/>
  <c r="AH57" i="67"/>
  <c r="AI105" i="67"/>
  <c r="AD114" i="66"/>
  <c r="AG114" i="66" s="1"/>
  <c r="AI186" i="67"/>
  <c r="AH91" i="67"/>
  <c r="AC149" i="66"/>
  <c r="AF149" i="66" s="1"/>
  <c r="AH186" i="67"/>
  <c r="AF198" i="66"/>
  <c r="K13" i="66"/>
  <c r="M13" i="66" s="1"/>
  <c r="AE13" i="66" s="1"/>
  <c r="AC8" i="74"/>
  <c r="AC10" i="74" s="1"/>
  <c r="E86" i="53" s="1"/>
  <c r="AD105" i="66"/>
  <c r="AG105" i="66" s="1"/>
  <c r="K114" i="66"/>
  <c r="M114" i="66" s="1"/>
  <c r="AE114" i="66" s="1"/>
  <c r="AC4" i="74"/>
  <c r="AG35" i="66"/>
  <c r="AD100" i="66"/>
  <c r="AG100" i="66" s="1"/>
  <c r="AD13" i="66"/>
  <c r="AG13" i="66" s="1"/>
  <c r="AC108" i="66"/>
  <c r="AF108" i="66" s="1"/>
  <c r="AC7" i="74"/>
  <c r="K31" i="66"/>
  <c r="M31" i="66" s="1"/>
  <c r="AE31" i="66" s="1"/>
  <c r="AI91" i="67"/>
  <c r="K108" i="66"/>
  <c r="M108" i="66" s="1"/>
  <c r="AE108" i="66" s="1"/>
  <c r="AC6" i="74"/>
  <c r="AC100" i="66"/>
  <c r="AF100" i="66" s="1"/>
  <c r="AD31" i="66"/>
  <c r="AG31" i="66" s="1"/>
  <c r="AC5" i="74"/>
  <c r="AH107" i="67"/>
  <c r="AI158" i="67"/>
  <c r="AI198" i="67"/>
  <c r="AH35" i="67"/>
  <c r="AD224" i="68"/>
  <c r="AH203" i="67"/>
  <c r="Y10" i="74"/>
  <c r="E62" i="53" s="1"/>
  <c r="S10" i="74"/>
  <c r="AH172" i="67"/>
  <c r="AH134" i="67"/>
  <c r="AF158" i="66"/>
  <c r="AI129" i="67"/>
  <c r="Y4" i="74"/>
  <c r="AI113" i="67"/>
  <c r="AH113" i="67"/>
  <c r="AI29" i="67"/>
  <c r="AH145" i="67"/>
  <c r="AE10" i="74"/>
  <c r="E87" i="53" s="1"/>
  <c r="I206" i="52"/>
  <c r="AH198" i="67"/>
  <c r="AH13" i="67"/>
  <c r="AH149" i="67"/>
  <c r="AH114" i="67"/>
  <c r="AH9" i="67"/>
  <c r="AI20" i="67"/>
  <c r="AE4" i="74"/>
  <c r="AH29" i="67"/>
  <c r="AH129" i="67"/>
  <c r="AH109" i="67"/>
  <c r="AD228" i="67"/>
  <c r="AD211" i="67"/>
  <c r="E88" i="53"/>
  <c r="E39" i="53"/>
  <c r="C123" i="52"/>
  <c r="E123" i="52" s="1"/>
  <c r="E124" i="52" s="1"/>
  <c r="E99" i="52" s="1"/>
  <c r="I97" i="52" s="1"/>
  <c r="I9" i="52"/>
  <c r="F9" i="52" s="1"/>
  <c r="D33" i="78" l="1"/>
  <c r="F33" i="78" s="1"/>
  <c r="D39" i="78"/>
  <c r="F39" i="78" s="1"/>
  <c r="D48" i="78"/>
  <c r="F48" i="78" s="1"/>
  <c r="G61" i="78"/>
  <c r="H61" i="78" s="1"/>
  <c r="G63" i="78"/>
  <c r="H63" i="78" s="1"/>
  <c r="I63" i="78" s="1"/>
  <c r="C87" i="36"/>
  <c r="C93" i="36" s="1"/>
  <c r="C95" i="36" s="1"/>
  <c r="G13" i="74" s="1"/>
  <c r="G14" i="74" s="1"/>
  <c r="E38" i="53"/>
  <c r="E11" i="53"/>
  <c r="L4" i="78" l="1"/>
  <c r="L8" i="78" s="1"/>
  <c r="K4" i="78"/>
  <c r="K8" i="78" s="1"/>
  <c r="N4" i="78"/>
  <c r="N8" i="78" s="1"/>
  <c r="H4" i="78"/>
  <c r="H8" i="78" s="1"/>
  <c r="I4" i="78"/>
  <c r="I8" i="78" s="1"/>
  <c r="C17" i="78"/>
  <c r="P4" i="78"/>
  <c r="P8" i="78" s="1"/>
  <c r="I61" i="78"/>
  <c r="D30" i="78" s="1"/>
  <c r="F30" i="78" s="1"/>
  <c r="C16" i="78"/>
  <c r="M4" i="78"/>
  <c r="M8" i="78" s="1"/>
  <c r="J4" i="78"/>
  <c r="J8" i="78" s="1"/>
  <c r="O4" i="78"/>
  <c r="O8" i="78" s="1"/>
  <c r="U216" i="68"/>
  <c r="V216" i="68" s="1"/>
  <c r="W216" i="68" s="1"/>
  <c r="AA216" i="68" s="1"/>
  <c r="AB216" i="68" s="1"/>
  <c r="U212" i="68"/>
  <c r="V212" i="68" s="1"/>
  <c r="W212" i="68" s="1"/>
  <c r="AA212" i="68" s="1"/>
  <c r="AB212" i="68" s="1"/>
  <c r="U90" i="68"/>
  <c r="V90" i="68" s="1"/>
  <c r="W90" i="68" s="1"/>
  <c r="AA90" i="68" s="1"/>
  <c r="AB90" i="68" s="1"/>
  <c r="X90" i="68" s="1"/>
  <c r="Y90" i="68" s="1"/>
  <c r="I90" i="68" s="1"/>
  <c r="U3" i="68"/>
  <c r="V3" i="68" s="1"/>
  <c r="W3" i="68" s="1"/>
  <c r="AA3" i="68" s="1"/>
  <c r="AB3" i="68" s="1"/>
  <c r="X3" i="68" s="1"/>
  <c r="Y3" i="68" s="1"/>
  <c r="I3" i="68" s="1"/>
  <c r="U214" i="68"/>
  <c r="V214" i="68" s="1"/>
  <c r="W214" i="68" s="1"/>
  <c r="AA214" i="68" s="1"/>
  <c r="AB214" i="68" s="1"/>
  <c r="U112" i="68"/>
  <c r="V112" i="68" s="1"/>
  <c r="W112" i="68" s="1"/>
  <c r="AA112" i="68" s="1"/>
  <c r="AB112" i="68" s="1"/>
  <c r="X112" i="68" s="1"/>
  <c r="Y112" i="68" s="1"/>
  <c r="I112" i="68" s="1"/>
  <c r="U62" i="68"/>
  <c r="V62" i="68" s="1"/>
  <c r="W62" i="68" s="1"/>
  <c r="AA62" i="68" s="1"/>
  <c r="AB62" i="68" s="1"/>
  <c r="X62" i="68" s="1"/>
  <c r="Y62" i="68" s="1"/>
  <c r="I62" i="68" s="1"/>
  <c r="U71" i="68"/>
  <c r="V71" i="68" s="1"/>
  <c r="W71" i="68" s="1"/>
  <c r="AA71" i="68" s="1"/>
  <c r="AB71" i="68" s="1"/>
  <c r="X71" i="68" s="1"/>
  <c r="Y71" i="68" s="1"/>
  <c r="I71" i="68" s="1"/>
  <c r="U101" i="68"/>
  <c r="V101" i="68" s="1"/>
  <c r="W101" i="68" s="1"/>
  <c r="AA101" i="68" s="1"/>
  <c r="AB101" i="68" s="1"/>
  <c r="X101" i="68" s="1"/>
  <c r="Y101" i="68" s="1"/>
  <c r="I101" i="68" s="1"/>
  <c r="U66" i="68"/>
  <c r="V66" i="68" s="1"/>
  <c r="W66" i="68" s="1"/>
  <c r="AA66" i="68" s="1"/>
  <c r="AB66" i="68" s="1"/>
  <c r="X66" i="68" s="1"/>
  <c r="Y66" i="68" s="1"/>
  <c r="I66" i="68" s="1"/>
  <c r="U49" i="68"/>
  <c r="V49" i="68" s="1"/>
  <c r="W49" i="68" s="1"/>
  <c r="AA49" i="68" s="1"/>
  <c r="AB49" i="68" s="1"/>
  <c r="X49" i="68" s="1"/>
  <c r="Y49" i="68" s="1"/>
  <c r="I49" i="68" s="1"/>
  <c r="U220" i="68"/>
  <c r="V220" i="68" s="1"/>
  <c r="W220" i="68" s="1"/>
  <c r="AA220" i="68" s="1"/>
  <c r="AB220" i="68" s="1"/>
  <c r="U217" i="68"/>
  <c r="V217" i="68" s="1"/>
  <c r="W217" i="68" s="1"/>
  <c r="AA217" i="68" s="1"/>
  <c r="AB217" i="68" s="1"/>
  <c r="U223" i="68"/>
  <c r="V223" i="68" s="1"/>
  <c r="W223" i="68" s="1"/>
  <c r="AA223" i="68" s="1"/>
  <c r="AB223" i="68" s="1"/>
  <c r="U213" i="68"/>
  <c r="V213" i="68" s="1"/>
  <c r="W213" i="68" s="1"/>
  <c r="AA213" i="68" s="1"/>
  <c r="AB213" i="68" s="1"/>
  <c r="U224" i="68"/>
  <c r="V224" i="68" s="1"/>
  <c r="W224" i="68" s="1"/>
  <c r="AA224" i="68" s="1"/>
  <c r="AB224" i="68" s="1"/>
  <c r="U222" i="68"/>
  <c r="V222" i="68" s="1"/>
  <c r="W222" i="68" s="1"/>
  <c r="AA222" i="68" s="1"/>
  <c r="AB222" i="68" s="1"/>
  <c r="U218" i="68"/>
  <c r="V218" i="68" s="1"/>
  <c r="W218" i="68" s="1"/>
  <c r="AA218" i="68" s="1"/>
  <c r="AB218" i="68" s="1"/>
  <c r="U227" i="68"/>
  <c r="V227" i="68" s="1"/>
  <c r="W227" i="68" s="1"/>
  <c r="AA227" i="68" s="1"/>
  <c r="AB227" i="68" s="1"/>
  <c r="U228" i="68"/>
  <c r="V228" i="68" s="1"/>
  <c r="W228" i="68" s="1"/>
  <c r="U225" i="68"/>
  <c r="V225" i="68" s="1"/>
  <c r="W225" i="68" s="1"/>
  <c r="AA225" i="68" s="1"/>
  <c r="AB225" i="68" s="1"/>
  <c r="U226" i="68"/>
  <c r="V226" i="68" s="1"/>
  <c r="W226" i="68" s="1"/>
  <c r="AA226" i="68" s="1"/>
  <c r="AB226" i="68" s="1"/>
  <c r="U215" i="68"/>
  <c r="V215" i="68" s="1"/>
  <c r="W215" i="68" s="1"/>
  <c r="AA215" i="68" s="1"/>
  <c r="AB215" i="68" s="1"/>
  <c r="U221" i="68"/>
  <c r="V221" i="68" s="1"/>
  <c r="W221" i="68" s="1"/>
  <c r="AA221" i="68" s="1"/>
  <c r="AB221" i="68" s="1"/>
  <c r="U219" i="68"/>
  <c r="V219" i="68" s="1"/>
  <c r="W219" i="68" s="1"/>
  <c r="AA219" i="68" s="1"/>
  <c r="AB219" i="68" s="1"/>
  <c r="U134" i="68"/>
  <c r="V134" i="68" s="1"/>
  <c r="W134" i="68" s="1"/>
  <c r="AA134" i="68" s="1"/>
  <c r="AB134" i="68" s="1"/>
  <c r="X134" i="68" s="1"/>
  <c r="Y134" i="68" s="1"/>
  <c r="I134" i="68" s="1"/>
  <c r="U138" i="68"/>
  <c r="V138" i="68" s="1"/>
  <c r="W138" i="68" s="1"/>
  <c r="AA138" i="68" s="1"/>
  <c r="AB138" i="68" s="1"/>
  <c r="X138" i="68" s="1"/>
  <c r="Y138" i="68" s="1"/>
  <c r="I138" i="68" s="1"/>
  <c r="U107" i="68"/>
  <c r="V107" i="68" s="1"/>
  <c r="W107" i="68" s="1"/>
  <c r="AA107" i="68" s="1"/>
  <c r="AB107" i="68" s="1"/>
  <c r="X107" i="68" s="1"/>
  <c r="Y107" i="68" s="1"/>
  <c r="I107" i="68" s="1"/>
  <c r="U172" i="68"/>
  <c r="V172" i="68" s="1"/>
  <c r="W172" i="68" s="1"/>
  <c r="AA172" i="68" s="1"/>
  <c r="AB172" i="68" s="1"/>
  <c r="X172" i="68" s="1"/>
  <c r="Y172" i="68" s="1"/>
  <c r="I172" i="68" s="1"/>
  <c r="U20" i="68"/>
  <c r="V20" i="68" s="1"/>
  <c r="W20" i="68" s="1"/>
  <c r="AA20" i="68" s="1"/>
  <c r="AB20" i="68" s="1"/>
  <c r="X20" i="68" s="1"/>
  <c r="Y20" i="68" s="1"/>
  <c r="I20" i="68" s="1"/>
  <c r="U136" i="68"/>
  <c r="V136" i="68" s="1"/>
  <c r="W136" i="68" s="1"/>
  <c r="AA136" i="68" s="1"/>
  <c r="AB136" i="68" s="1"/>
  <c r="X136" i="68" s="1"/>
  <c r="Y136" i="68" s="1"/>
  <c r="I136" i="68" s="1"/>
  <c r="U73" i="68"/>
  <c r="V73" i="68" s="1"/>
  <c r="W73" i="68" s="1"/>
  <c r="AA73" i="68" s="1"/>
  <c r="AB73" i="68" s="1"/>
  <c r="X73" i="68" s="1"/>
  <c r="Y73" i="68" s="1"/>
  <c r="I73" i="68" s="1"/>
  <c r="U139" i="68"/>
  <c r="V139" i="68" s="1"/>
  <c r="W139" i="68" s="1"/>
  <c r="AA139" i="68" s="1"/>
  <c r="AB139" i="68" s="1"/>
  <c r="X139" i="68" s="1"/>
  <c r="Y139" i="68" s="1"/>
  <c r="I139" i="68" s="1"/>
  <c r="U67" i="68"/>
  <c r="V67" i="68" s="1"/>
  <c r="W67" i="68" s="1"/>
  <c r="AA67" i="68" s="1"/>
  <c r="AB67" i="68" s="1"/>
  <c r="X67" i="68" s="1"/>
  <c r="Y67" i="68" s="1"/>
  <c r="I67" i="68" s="1"/>
  <c r="U108" i="68"/>
  <c r="V108" i="68" s="1"/>
  <c r="W108" i="68" s="1"/>
  <c r="AA108" i="68" s="1"/>
  <c r="AB108" i="68" s="1"/>
  <c r="X108" i="68" s="1"/>
  <c r="Y108" i="68" s="1"/>
  <c r="I108" i="68" s="1"/>
  <c r="U69" i="68"/>
  <c r="V69" i="68" s="1"/>
  <c r="W69" i="68" s="1"/>
  <c r="AA69" i="68" s="1"/>
  <c r="AB69" i="68" s="1"/>
  <c r="X69" i="68" s="1"/>
  <c r="Y69" i="68" s="1"/>
  <c r="I69" i="68" s="1"/>
  <c r="D17" i="78" l="1"/>
  <c r="D16" i="78"/>
  <c r="Q8" i="78"/>
  <c r="AA228" i="68"/>
  <c r="AB228" i="68" s="1"/>
  <c r="X228" i="68" s="1"/>
  <c r="Y228" i="68" s="1"/>
  <c r="I228" i="68" s="1"/>
  <c r="U43" i="67"/>
  <c r="V43" i="67" s="1"/>
  <c r="W43" i="67" s="1"/>
  <c r="AA43" i="67" s="1"/>
  <c r="AB43" i="67" s="1"/>
  <c r="X43" i="67" s="1"/>
  <c r="Y43" i="67" s="1"/>
  <c r="I43" i="67" s="1"/>
  <c r="K43" i="67" s="1"/>
  <c r="M43" i="67" s="1"/>
  <c r="AE43" i="67" s="1"/>
  <c r="AJ43" i="67" s="1"/>
  <c r="U43" i="68"/>
  <c r="V43" i="68" s="1"/>
  <c r="W43" i="68" s="1"/>
  <c r="AA43" i="68" s="1"/>
  <c r="AB43" i="68" s="1"/>
  <c r="X43" i="68" s="1"/>
  <c r="Y43" i="68" s="1"/>
  <c r="I43" i="68" s="1"/>
  <c r="AC139" i="68"/>
  <c r="K139" i="68"/>
  <c r="M139" i="68" s="1"/>
  <c r="AE139" i="68" s="1"/>
  <c r="U40" i="67"/>
  <c r="V40" i="67" s="1"/>
  <c r="W40" i="67" s="1"/>
  <c r="AA40" i="67" s="1"/>
  <c r="AB40" i="67" s="1"/>
  <c r="X40" i="67" s="1"/>
  <c r="Y40" i="67" s="1"/>
  <c r="I40" i="67" s="1"/>
  <c r="AC40" i="67" s="1"/>
  <c r="AF40" i="67" s="1"/>
  <c r="AK40" i="67" s="1"/>
  <c r="U40" i="68"/>
  <c r="V40" i="68" s="1"/>
  <c r="W40" i="68" s="1"/>
  <c r="AA40" i="68" s="1"/>
  <c r="AB40" i="68" s="1"/>
  <c r="X40" i="68" s="1"/>
  <c r="Y40" i="68" s="1"/>
  <c r="I40" i="68" s="1"/>
  <c r="U115" i="67"/>
  <c r="V115" i="67" s="1"/>
  <c r="W115" i="67" s="1"/>
  <c r="AA115" i="67" s="1"/>
  <c r="AB115" i="67" s="1"/>
  <c r="X115" i="67" s="1"/>
  <c r="Y115" i="67" s="1"/>
  <c r="I115" i="67" s="1"/>
  <c r="K115" i="67" s="1"/>
  <c r="M115" i="67" s="1"/>
  <c r="AE115" i="67" s="1"/>
  <c r="AJ115" i="67" s="1"/>
  <c r="U115" i="68"/>
  <c r="V115" i="68" s="1"/>
  <c r="W115" i="68" s="1"/>
  <c r="AA115" i="68" s="1"/>
  <c r="AB115" i="68" s="1"/>
  <c r="X115" i="68" s="1"/>
  <c r="Y115" i="68" s="1"/>
  <c r="I115" i="68" s="1"/>
  <c r="U130" i="67"/>
  <c r="V130" i="67" s="1"/>
  <c r="W130" i="67" s="1"/>
  <c r="AA130" i="67" s="1"/>
  <c r="AB130" i="67" s="1"/>
  <c r="X130" i="67" s="1"/>
  <c r="Y130" i="67" s="1"/>
  <c r="I130" i="67" s="1"/>
  <c r="K130" i="67" s="1"/>
  <c r="M130" i="67" s="1"/>
  <c r="AE130" i="67" s="1"/>
  <c r="AJ130" i="67" s="1"/>
  <c r="U130" i="68"/>
  <c r="V130" i="68" s="1"/>
  <c r="W130" i="68" s="1"/>
  <c r="AA130" i="68" s="1"/>
  <c r="AB130" i="68" s="1"/>
  <c r="X130" i="68" s="1"/>
  <c r="Y130" i="68" s="1"/>
  <c r="I130" i="68" s="1"/>
  <c r="U149" i="67"/>
  <c r="V149" i="67" s="1"/>
  <c r="W149" i="67" s="1"/>
  <c r="AA149" i="67" s="1"/>
  <c r="AB149" i="67" s="1"/>
  <c r="X149" i="67" s="1"/>
  <c r="Y149" i="67" s="1"/>
  <c r="I149" i="67" s="1"/>
  <c r="U149" i="68"/>
  <c r="V149" i="68" s="1"/>
  <c r="W149" i="68" s="1"/>
  <c r="AA149" i="68" s="1"/>
  <c r="AB149" i="68" s="1"/>
  <c r="X149" i="68" s="1"/>
  <c r="Y149" i="68" s="1"/>
  <c r="I149" i="68" s="1"/>
  <c r="U59" i="67"/>
  <c r="V59" i="67" s="1"/>
  <c r="W59" i="67" s="1"/>
  <c r="AA59" i="67" s="1"/>
  <c r="AB59" i="67" s="1"/>
  <c r="X59" i="67" s="1"/>
  <c r="Y59" i="67" s="1"/>
  <c r="I59" i="67" s="1"/>
  <c r="U59" i="68"/>
  <c r="V59" i="68" s="1"/>
  <c r="W59" i="68" s="1"/>
  <c r="AA59" i="68" s="1"/>
  <c r="AB59" i="68" s="1"/>
  <c r="X59" i="68" s="1"/>
  <c r="Y59" i="68" s="1"/>
  <c r="I59" i="68" s="1"/>
  <c r="U205" i="67"/>
  <c r="V205" i="67" s="1"/>
  <c r="W205" i="67" s="1"/>
  <c r="AA205" i="67" s="1"/>
  <c r="AB205" i="67" s="1"/>
  <c r="X205" i="67" s="1"/>
  <c r="Y205" i="67" s="1"/>
  <c r="I205" i="67" s="1"/>
  <c r="K205" i="67" s="1"/>
  <c r="M205" i="67" s="1"/>
  <c r="AE205" i="67" s="1"/>
  <c r="AJ205" i="67" s="1"/>
  <c r="U205" i="68"/>
  <c r="V205" i="68" s="1"/>
  <c r="W205" i="68" s="1"/>
  <c r="AA205" i="68" s="1"/>
  <c r="AB205" i="68" s="1"/>
  <c r="X205" i="68" s="1"/>
  <c r="Y205" i="68" s="1"/>
  <c r="I205" i="68" s="1"/>
  <c r="U179" i="67"/>
  <c r="V179" i="67" s="1"/>
  <c r="W179" i="67" s="1"/>
  <c r="AA179" i="67" s="1"/>
  <c r="AB179" i="67" s="1"/>
  <c r="X179" i="67" s="1"/>
  <c r="Y179" i="67" s="1"/>
  <c r="I179" i="67" s="1"/>
  <c r="K179" i="67" s="1"/>
  <c r="M179" i="67" s="1"/>
  <c r="AE179" i="67" s="1"/>
  <c r="AJ179" i="67" s="1"/>
  <c r="U179" i="68"/>
  <c r="V179" i="68" s="1"/>
  <c r="W179" i="68" s="1"/>
  <c r="AA179" i="68" s="1"/>
  <c r="AB179" i="68" s="1"/>
  <c r="X179" i="68" s="1"/>
  <c r="Y179" i="68" s="1"/>
  <c r="I179" i="68" s="1"/>
  <c r="U47" i="67"/>
  <c r="V47" i="67" s="1"/>
  <c r="W47" i="67" s="1"/>
  <c r="AA47" i="67" s="1"/>
  <c r="AB47" i="67" s="1"/>
  <c r="X47" i="67" s="1"/>
  <c r="Y47" i="67" s="1"/>
  <c r="I47" i="67" s="1"/>
  <c r="AC47" i="67" s="1"/>
  <c r="AF47" i="67" s="1"/>
  <c r="AK47" i="67" s="1"/>
  <c r="U47" i="68"/>
  <c r="V47" i="68" s="1"/>
  <c r="W47" i="68" s="1"/>
  <c r="AA47" i="68" s="1"/>
  <c r="AB47" i="68" s="1"/>
  <c r="X47" i="68" s="1"/>
  <c r="Y47" i="68" s="1"/>
  <c r="I47" i="68" s="1"/>
  <c r="U188" i="67"/>
  <c r="V188" i="67" s="1"/>
  <c r="W188" i="67" s="1"/>
  <c r="AA188" i="67" s="1"/>
  <c r="AB188" i="67" s="1"/>
  <c r="X188" i="67" s="1"/>
  <c r="Y188" i="67" s="1"/>
  <c r="I188" i="67" s="1"/>
  <c r="K188" i="67" s="1"/>
  <c r="M188" i="67" s="1"/>
  <c r="AE188" i="67" s="1"/>
  <c r="AJ188" i="67" s="1"/>
  <c r="U188" i="68"/>
  <c r="V188" i="68" s="1"/>
  <c r="W188" i="68" s="1"/>
  <c r="AA188" i="68" s="1"/>
  <c r="AB188" i="68" s="1"/>
  <c r="X188" i="68" s="1"/>
  <c r="Y188" i="68" s="1"/>
  <c r="I188" i="68" s="1"/>
  <c r="U200" i="67"/>
  <c r="V200" i="67" s="1"/>
  <c r="W200" i="67" s="1"/>
  <c r="AA200" i="67" s="1"/>
  <c r="AB200" i="67" s="1"/>
  <c r="X200" i="67" s="1"/>
  <c r="Y200" i="67" s="1"/>
  <c r="I200" i="67" s="1"/>
  <c r="K200" i="67" s="1"/>
  <c r="M200" i="67" s="1"/>
  <c r="AE200" i="67" s="1"/>
  <c r="AJ200" i="67" s="1"/>
  <c r="U200" i="68"/>
  <c r="V200" i="68" s="1"/>
  <c r="W200" i="68" s="1"/>
  <c r="AA200" i="68" s="1"/>
  <c r="AB200" i="68" s="1"/>
  <c r="X200" i="68" s="1"/>
  <c r="Y200" i="68" s="1"/>
  <c r="I200" i="68" s="1"/>
  <c r="AC112" i="68"/>
  <c r="K112" i="68"/>
  <c r="M112" i="68" s="1"/>
  <c r="AE112" i="68" s="1"/>
  <c r="U15" i="67"/>
  <c r="V15" i="67" s="1"/>
  <c r="W15" i="67" s="1"/>
  <c r="AA15" i="67" s="1"/>
  <c r="AB15" i="67" s="1"/>
  <c r="X15" i="67" s="1"/>
  <c r="Y15" i="67" s="1"/>
  <c r="I15" i="67" s="1"/>
  <c r="U15" i="68"/>
  <c r="V15" i="68" s="1"/>
  <c r="W15" i="68" s="1"/>
  <c r="AA15" i="68" s="1"/>
  <c r="AB15" i="68" s="1"/>
  <c r="X15" i="68" s="1"/>
  <c r="Y15" i="68" s="1"/>
  <c r="I15" i="68" s="1"/>
  <c r="U65" i="67"/>
  <c r="V65" i="67" s="1"/>
  <c r="W65" i="67" s="1"/>
  <c r="AA65" i="67" s="1"/>
  <c r="AB65" i="67" s="1"/>
  <c r="X65" i="67" s="1"/>
  <c r="Y65" i="67" s="1"/>
  <c r="I65" i="67" s="1"/>
  <c r="K65" i="67" s="1"/>
  <c r="M65" i="67" s="1"/>
  <c r="AE65" i="67" s="1"/>
  <c r="AJ65" i="67" s="1"/>
  <c r="U65" i="68"/>
  <c r="V65" i="68" s="1"/>
  <c r="W65" i="68" s="1"/>
  <c r="AA65" i="68" s="1"/>
  <c r="AB65" i="68" s="1"/>
  <c r="X65" i="68" s="1"/>
  <c r="Y65" i="68" s="1"/>
  <c r="I65" i="68" s="1"/>
  <c r="U38" i="67"/>
  <c r="V38" i="67" s="1"/>
  <c r="W38" i="67" s="1"/>
  <c r="AA38" i="67" s="1"/>
  <c r="AB38" i="67" s="1"/>
  <c r="X38" i="67" s="1"/>
  <c r="Y38" i="67" s="1"/>
  <c r="I38" i="67" s="1"/>
  <c r="K38" i="67" s="1"/>
  <c r="M38" i="67" s="1"/>
  <c r="AE38" i="67" s="1"/>
  <c r="AJ38" i="67" s="1"/>
  <c r="U38" i="68"/>
  <c r="V38" i="68" s="1"/>
  <c r="W38" i="68" s="1"/>
  <c r="AA38" i="68" s="1"/>
  <c r="AB38" i="68" s="1"/>
  <c r="X38" i="68" s="1"/>
  <c r="Y38" i="68" s="1"/>
  <c r="I38" i="68" s="1"/>
  <c r="U80" i="67"/>
  <c r="V80" i="67" s="1"/>
  <c r="W80" i="67" s="1"/>
  <c r="AA80" i="67" s="1"/>
  <c r="AB80" i="67" s="1"/>
  <c r="X80" i="67" s="1"/>
  <c r="Y80" i="67" s="1"/>
  <c r="I80" i="67" s="1"/>
  <c r="K80" i="67" s="1"/>
  <c r="M80" i="67" s="1"/>
  <c r="AE80" i="67" s="1"/>
  <c r="AJ80" i="67" s="1"/>
  <c r="U80" i="68"/>
  <c r="V80" i="68" s="1"/>
  <c r="W80" i="68" s="1"/>
  <c r="AA80" i="68" s="1"/>
  <c r="AB80" i="68" s="1"/>
  <c r="X80" i="68" s="1"/>
  <c r="Y80" i="68" s="1"/>
  <c r="I80" i="68" s="1"/>
  <c r="U70" i="67"/>
  <c r="V70" i="67" s="1"/>
  <c r="W70" i="67" s="1"/>
  <c r="AA70" i="67" s="1"/>
  <c r="AB70" i="67" s="1"/>
  <c r="X70" i="67" s="1"/>
  <c r="Y70" i="67" s="1"/>
  <c r="I70" i="67" s="1"/>
  <c r="K70" i="67" s="1"/>
  <c r="M70" i="67" s="1"/>
  <c r="AE70" i="67" s="1"/>
  <c r="AJ70" i="67" s="1"/>
  <c r="U70" i="68"/>
  <c r="V70" i="68" s="1"/>
  <c r="W70" i="68" s="1"/>
  <c r="AA70" i="68" s="1"/>
  <c r="AB70" i="68" s="1"/>
  <c r="X70" i="68" s="1"/>
  <c r="Y70" i="68" s="1"/>
  <c r="I70" i="68" s="1"/>
  <c r="U39" i="67"/>
  <c r="V39" i="67" s="1"/>
  <c r="W39" i="67" s="1"/>
  <c r="AA39" i="67" s="1"/>
  <c r="AB39" i="67" s="1"/>
  <c r="X39" i="67" s="1"/>
  <c r="Y39" i="67" s="1"/>
  <c r="I39" i="67" s="1"/>
  <c r="K39" i="67" s="1"/>
  <c r="M39" i="67" s="1"/>
  <c r="AE39" i="67" s="1"/>
  <c r="AJ39" i="67" s="1"/>
  <c r="U39" i="68"/>
  <c r="V39" i="68" s="1"/>
  <c r="W39" i="68" s="1"/>
  <c r="AA39" i="68" s="1"/>
  <c r="AB39" i="68" s="1"/>
  <c r="X39" i="68" s="1"/>
  <c r="Y39" i="68" s="1"/>
  <c r="I39" i="68" s="1"/>
  <c r="U162" i="67"/>
  <c r="V162" i="67" s="1"/>
  <c r="W162" i="67" s="1"/>
  <c r="AA162" i="67" s="1"/>
  <c r="AB162" i="67" s="1"/>
  <c r="X162" i="67" s="1"/>
  <c r="Y162" i="67" s="1"/>
  <c r="I162" i="67" s="1"/>
  <c r="K162" i="67" s="1"/>
  <c r="M162" i="67" s="1"/>
  <c r="AE162" i="67" s="1"/>
  <c r="AJ162" i="67" s="1"/>
  <c r="U162" i="68"/>
  <c r="V162" i="68" s="1"/>
  <c r="W162" i="68" s="1"/>
  <c r="AA162" i="68" s="1"/>
  <c r="AB162" i="68" s="1"/>
  <c r="X162" i="68" s="1"/>
  <c r="Y162" i="68" s="1"/>
  <c r="I162" i="68" s="1"/>
  <c r="U116" i="67"/>
  <c r="V116" i="67" s="1"/>
  <c r="W116" i="67" s="1"/>
  <c r="AA116" i="67" s="1"/>
  <c r="AB116" i="67" s="1"/>
  <c r="X116" i="67" s="1"/>
  <c r="Y116" i="67" s="1"/>
  <c r="I116" i="67" s="1"/>
  <c r="K116" i="67" s="1"/>
  <c r="M116" i="67" s="1"/>
  <c r="AE116" i="67" s="1"/>
  <c r="AJ116" i="67" s="1"/>
  <c r="U116" i="68"/>
  <c r="V116" i="68" s="1"/>
  <c r="W116" i="68" s="1"/>
  <c r="AA116" i="68" s="1"/>
  <c r="AB116" i="68" s="1"/>
  <c r="X116" i="68" s="1"/>
  <c r="Y116" i="68" s="1"/>
  <c r="I116" i="68" s="1"/>
  <c r="U113" i="67"/>
  <c r="V113" i="67" s="1"/>
  <c r="W113" i="67" s="1"/>
  <c r="AA113" i="67" s="1"/>
  <c r="AB113" i="67" s="1"/>
  <c r="X113" i="67" s="1"/>
  <c r="Y113" i="67" s="1"/>
  <c r="I113" i="67" s="1"/>
  <c r="U113" i="68"/>
  <c r="V113" i="68" s="1"/>
  <c r="W113" i="68" s="1"/>
  <c r="AA113" i="68" s="1"/>
  <c r="AB113" i="68" s="1"/>
  <c r="X113" i="68" s="1"/>
  <c r="Y113" i="68" s="1"/>
  <c r="I113" i="68" s="1"/>
  <c r="U171" i="67"/>
  <c r="V171" i="67" s="1"/>
  <c r="W171" i="67" s="1"/>
  <c r="AA171" i="67" s="1"/>
  <c r="AB171" i="67" s="1"/>
  <c r="X171" i="67" s="1"/>
  <c r="Y171" i="67" s="1"/>
  <c r="I171" i="67" s="1"/>
  <c r="AC171" i="67" s="1"/>
  <c r="AF171" i="67" s="1"/>
  <c r="AK171" i="67" s="1"/>
  <c r="U171" i="68"/>
  <c r="V171" i="68" s="1"/>
  <c r="W171" i="68" s="1"/>
  <c r="AA171" i="68" s="1"/>
  <c r="AB171" i="68" s="1"/>
  <c r="X171" i="68" s="1"/>
  <c r="Y171" i="68" s="1"/>
  <c r="I171" i="68" s="1"/>
  <c r="U196" i="67"/>
  <c r="V196" i="67" s="1"/>
  <c r="W196" i="67" s="1"/>
  <c r="AA196" i="67" s="1"/>
  <c r="AB196" i="67" s="1"/>
  <c r="X196" i="67" s="1"/>
  <c r="Y196" i="67" s="1"/>
  <c r="I196" i="67" s="1"/>
  <c r="K196" i="67" s="1"/>
  <c r="M196" i="67" s="1"/>
  <c r="AE196" i="67" s="1"/>
  <c r="AJ196" i="67" s="1"/>
  <c r="U196" i="68"/>
  <c r="V196" i="68" s="1"/>
  <c r="W196" i="68" s="1"/>
  <c r="AA196" i="68" s="1"/>
  <c r="AB196" i="68" s="1"/>
  <c r="X196" i="68" s="1"/>
  <c r="Y196" i="68" s="1"/>
  <c r="I196" i="68" s="1"/>
  <c r="U106" i="67"/>
  <c r="V106" i="67" s="1"/>
  <c r="W106" i="67" s="1"/>
  <c r="AA106" i="67" s="1"/>
  <c r="AB106" i="67" s="1"/>
  <c r="X106" i="67" s="1"/>
  <c r="Y106" i="67" s="1"/>
  <c r="I106" i="67" s="1"/>
  <c r="AC106" i="67" s="1"/>
  <c r="AF106" i="67" s="1"/>
  <c r="AK106" i="67" s="1"/>
  <c r="U106" i="68"/>
  <c r="V106" i="68" s="1"/>
  <c r="W106" i="68" s="1"/>
  <c r="AA106" i="68" s="1"/>
  <c r="AB106" i="68" s="1"/>
  <c r="X106" i="68" s="1"/>
  <c r="Y106" i="68" s="1"/>
  <c r="I106" i="68" s="1"/>
  <c r="U32" i="67"/>
  <c r="V32" i="67" s="1"/>
  <c r="W32" i="67" s="1"/>
  <c r="AA32" i="67" s="1"/>
  <c r="AB32" i="67" s="1"/>
  <c r="X32" i="67" s="1"/>
  <c r="Y32" i="67" s="1"/>
  <c r="I32" i="67" s="1"/>
  <c r="AC32" i="67" s="1"/>
  <c r="AF32" i="67" s="1"/>
  <c r="AK32" i="67" s="1"/>
  <c r="U32" i="68"/>
  <c r="V32" i="68" s="1"/>
  <c r="W32" i="68" s="1"/>
  <c r="AA32" i="68" s="1"/>
  <c r="AB32" i="68" s="1"/>
  <c r="X32" i="68" s="1"/>
  <c r="Y32" i="68" s="1"/>
  <c r="I32" i="68" s="1"/>
  <c r="U98" i="67"/>
  <c r="V98" i="67" s="1"/>
  <c r="W98" i="67" s="1"/>
  <c r="AA98" i="67" s="1"/>
  <c r="AB98" i="67" s="1"/>
  <c r="X98" i="67" s="1"/>
  <c r="Y98" i="67" s="1"/>
  <c r="I98" i="67" s="1"/>
  <c r="K98" i="67" s="1"/>
  <c r="M98" i="67" s="1"/>
  <c r="AE98" i="67" s="1"/>
  <c r="AJ98" i="67" s="1"/>
  <c r="U98" i="68"/>
  <c r="V98" i="68" s="1"/>
  <c r="W98" i="68" s="1"/>
  <c r="AA98" i="68" s="1"/>
  <c r="AB98" i="68" s="1"/>
  <c r="X98" i="68" s="1"/>
  <c r="Y98" i="68" s="1"/>
  <c r="I98" i="68" s="1"/>
  <c r="U41" i="67"/>
  <c r="V41" i="67" s="1"/>
  <c r="W41" i="67" s="1"/>
  <c r="AA41" i="67" s="1"/>
  <c r="AB41" i="67" s="1"/>
  <c r="X41" i="67" s="1"/>
  <c r="Y41" i="67" s="1"/>
  <c r="I41" i="67" s="1"/>
  <c r="K41" i="67" s="1"/>
  <c r="M41" i="67" s="1"/>
  <c r="AE41" i="67" s="1"/>
  <c r="AJ41" i="67" s="1"/>
  <c r="U41" i="68"/>
  <c r="V41" i="68" s="1"/>
  <c r="W41" i="68" s="1"/>
  <c r="AA41" i="68" s="1"/>
  <c r="AB41" i="68" s="1"/>
  <c r="X41" i="68" s="1"/>
  <c r="Y41" i="68" s="1"/>
  <c r="I41" i="68" s="1"/>
  <c r="U192" i="67"/>
  <c r="V192" i="67" s="1"/>
  <c r="W192" i="67" s="1"/>
  <c r="AA192" i="67" s="1"/>
  <c r="AB192" i="67" s="1"/>
  <c r="X192" i="67" s="1"/>
  <c r="Y192" i="67" s="1"/>
  <c r="I192" i="67" s="1"/>
  <c r="K192" i="67" s="1"/>
  <c r="M192" i="67" s="1"/>
  <c r="AE192" i="67" s="1"/>
  <c r="AJ192" i="67" s="1"/>
  <c r="U192" i="68"/>
  <c r="V192" i="68" s="1"/>
  <c r="W192" i="68" s="1"/>
  <c r="AA192" i="68" s="1"/>
  <c r="AB192" i="68" s="1"/>
  <c r="X192" i="68" s="1"/>
  <c r="Y192" i="68" s="1"/>
  <c r="I192" i="68" s="1"/>
  <c r="U24" i="67"/>
  <c r="V24" i="67" s="1"/>
  <c r="W24" i="67" s="1"/>
  <c r="AA24" i="67" s="1"/>
  <c r="AB24" i="67" s="1"/>
  <c r="X24" i="67" s="1"/>
  <c r="Y24" i="67" s="1"/>
  <c r="I24" i="67" s="1"/>
  <c r="AC24" i="67" s="1"/>
  <c r="AF24" i="67" s="1"/>
  <c r="AK24" i="67" s="1"/>
  <c r="U24" i="68"/>
  <c r="V24" i="68" s="1"/>
  <c r="W24" i="68" s="1"/>
  <c r="AA24" i="68" s="1"/>
  <c r="AB24" i="68" s="1"/>
  <c r="X24" i="68" s="1"/>
  <c r="Y24" i="68" s="1"/>
  <c r="I24" i="68" s="1"/>
  <c r="U123" i="67"/>
  <c r="V123" i="67" s="1"/>
  <c r="W123" i="67" s="1"/>
  <c r="AA123" i="67" s="1"/>
  <c r="AB123" i="67" s="1"/>
  <c r="X123" i="67" s="1"/>
  <c r="Y123" i="67" s="1"/>
  <c r="I123" i="67" s="1"/>
  <c r="AC123" i="67" s="1"/>
  <c r="AF123" i="67" s="1"/>
  <c r="AK123" i="67" s="1"/>
  <c r="U123" i="68"/>
  <c r="V123" i="68" s="1"/>
  <c r="W123" i="68" s="1"/>
  <c r="AA123" i="68" s="1"/>
  <c r="AB123" i="68" s="1"/>
  <c r="X123" i="68" s="1"/>
  <c r="Y123" i="68" s="1"/>
  <c r="I123" i="68" s="1"/>
  <c r="U154" i="67"/>
  <c r="V154" i="67" s="1"/>
  <c r="W154" i="67" s="1"/>
  <c r="AA154" i="67" s="1"/>
  <c r="AB154" i="67" s="1"/>
  <c r="X154" i="67" s="1"/>
  <c r="Y154" i="67" s="1"/>
  <c r="I154" i="67" s="1"/>
  <c r="AC154" i="67" s="1"/>
  <c r="AF154" i="67" s="1"/>
  <c r="AK154" i="67" s="1"/>
  <c r="U154" i="68"/>
  <c r="V154" i="68" s="1"/>
  <c r="W154" i="68" s="1"/>
  <c r="AA154" i="68" s="1"/>
  <c r="AB154" i="68" s="1"/>
  <c r="X154" i="68" s="1"/>
  <c r="Y154" i="68" s="1"/>
  <c r="I154" i="68" s="1"/>
  <c r="U157" i="67"/>
  <c r="V157" i="67" s="1"/>
  <c r="W157" i="67" s="1"/>
  <c r="AA157" i="67" s="1"/>
  <c r="AB157" i="67" s="1"/>
  <c r="X157" i="67" s="1"/>
  <c r="Y157" i="67" s="1"/>
  <c r="I157" i="67" s="1"/>
  <c r="AC157" i="67" s="1"/>
  <c r="AF157" i="67" s="1"/>
  <c r="AK157" i="67" s="1"/>
  <c r="U157" i="68"/>
  <c r="V157" i="68" s="1"/>
  <c r="W157" i="68" s="1"/>
  <c r="AA157" i="68" s="1"/>
  <c r="AB157" i="68" s="1"/>
  <c r="X157" i="68" s="1"/>
  <c r="Y157" i="68" s="1"/>
  <c r="I157" i="68" s="1"/>
  <c r="U64" i="67"/>
  <c r="V64" i="67" s="1"/>
  <c r="W64" i="67" s="1"/>
  <c r="AA64" i="67" s="1"/>
  <c r="AB64" i="67" s="1"/>
  <c r="X64" i="67" s="1"/>
  <c r="Y64" i="67" s="1"/>
  <c r="I64" i="67" s="1"/>
  <c r="AC64" i="67" s="1"/>
  <c r="AF64" i="67" s="1"/>
  <c r="AK64" i="67" s="1"/>
  <c r="U64" i="68"/>
  <c r="V64" i="68" s="1"/>
  <c r="W64" i="68" s="1"/>
  <c r="AA64" i="68" s="1"/>
  <c r="AB64" i="68" s="1"/>
  <c r="X64" i="68" s="1"/>
  <c r="Y64" i="68" s="1"/>
  <c r="I64" i="68" s="1"/>
  <c r="U202" i="67"/>
  <c r="V202" i="67" s="1"/>
  <c r="W202" i="67" s="1"/>
  <c r="AA202" i="67" s="1"/>
  <c r="AB202" i="67" s="1"/>
  <c r="X202" i="67" s="1"/>
  <c r="Y202" i="67" s="1"/>
  <c r="I202" i="67" s="1"/>
  <c r="U202" i="68"/>
  <c r="V202" i="68" s="1"/>
  <c r="W202" i="68" s="1"/>
  <c r="AA202" i="68" s="1"/>
  <c r="AB202" i="68" s="1"/>
  <c r="X202" i="68" s="1"/>
  <c r="Y202" i="68" s="1"/>
  <c r="I202" i="68" s="1"/>
  <c r="AC90" i="68"/>
  <c r="K90" i="68"/>
  <c r="M90" i="68" s="1"/>
  <c r="AE90" i="68" s="1"/>
  <c r="U37" i="67"/>
  <c r="V37" i="67" s="1"/>
  <c r="W37" i="67" s="1"/>
  <c r="AA37" i="67" s="1"/>
  <c r="AB37" i="67" s="1"/>
  <c r="X37" i="67" s="1"/>
  <c r="Y37" i="67" s="1"/>
  <c r="I37" i="67" s="1"/>
  <c r="K37" i="67" s="1"/>
  <c r="M37" i="67" s="1"/>
  <c r="AE37" i="67" s="1"/>
  <c r="AJ37" i="67" s="1"/>
  <c r="U37" i="68"/>
  <c r="V37" i="68" s="1"/>
  <c r="W37" i="68" s="1"/>
  <c r="AA37" i="68" s="1"/>
  <c r="AB37" i="68" s="1"/>
  <c r="X37" i="68" s="1"/>
  <c r="Y37" i="68" s="1"/>
  <c r="I37" i="68" s="1"/>
  <c r="U35" i="67"/>
  <c r="V35" i="67" s="1"/>
  <c r="W35" i="67" s="1"/>
  <c r="AA35" i="67" s="1"/>
  <c r="AB35" i="67" s="1"/>
  <c r="X35" i="67" s="1"/>
  <c r="Y35" i="67" s="1"/>
  <c r="I35" i="67" s="1"/>
  <c r="U35" i="68"/>
  <c r="V35" i="68" s="1"/>
  <c r="W35" i="68" s="1"/>
  <c r="AA35" i="68" s="1"/>
  <c r="AB35" i="68" s="1"/>
  <c r="X35" i="68" s="1"/>
  <c r="Y35" i="68" s="1"/>
  <c r="I35" i="68" s="1"/>
  <c r="AC101" i="68"/>
  <c r="K101" i="68"/>
  <c r="M101" i="68" s="1"/>
  <c r="AE101" i="68" s="1"/>
  <c r="U19" i="67"/>
  <c r="V19" i="67" s="1"/>
  <c r="W19" i="67" s="1"/>
  <c r="AA19" i="67" s="1"/>
  <c r="AB19" i="67" s="1"/>
  <c r="X19" i="67" s="1"/>
  <c r="Y19" i="67" s="1"/>
  <c r="I19" i="67" s="1"/>
  <c r="AC19" i="67" s="1"/>
  <c r="AF19" i="67" s="1"/>
  <c r="AK19" i="67" s="1"/>
  <c r="U19" i="68"/>
  <c r="V19" i="68" s="1"/>
  <c r="W19" i="68" s="1"/>
  <c r="AA19" i="68" s="1"/>
  <c r="AB19" i="68" s="1"/>
  <c r="X19" i="68" s="1"/>
  <c r="Y19" i="68" s="1"/>
  <c r="I19" i="68" s="1"/>
  <c r="U156" i="67"/>
  <c r="V156" i="67" s="1"/>
  <c r="W156" i="67" s="1"/>
  <c r="AA156" i="67" s="1"/>
  <c r="AB156" i="67" s="1"/>
  <c r="X156" i="67" s="1"/>
  <c r="Y156" i="67" s="1"/>
  <c r="I156" i="67" s="1"/>
  <c r="K156" i="67" s="1"/>
  <c r="M156" i="67" s="1"/>
  <c r="AE156" i="67" s="1"/>
  <c r="AJ156" i="67" s="1"/>
  <c r="U156" i="68"/>
  <c r="V156" i="68" s="1"/>
  <c r="W156" i="68" s="1"/>
  <c r="AA156" i="68" s="1"/>
  <c r="AB156" i="68" s="1"/>
  <c r="X156" i="68" s="1"/>
  <c r="Y156" i="68" s="1"/>
  <c r="I156" i="68" s="1"/>
  <c r="U146" i="67"/>
  <c r="V146" i="67" s="1"/>
  <c r="W146" i="67" s="1"/>
  <c r="AA146" i="67" s="1"/>
  <c r="AB146" i="67" s="1"/>
  <c r="X146" i="67" s="1"/>
  <c r="Y146" i="67" s="1"/>
  <c r="I146" i="67" s="1"/>
  <c r="K146" i="67" s="1"/>
  <c r="M146" i="67" s="1"/>
  <c r="AE146" i="67" s="1"/>
  <c r="AJ146" i="67" s="1"/>
  <c r="U146" i="68"/>
  <c r="V146" i="68" s="1"/>
  <c r="W146" i="68" s="1"/>
  <c r="AA146" i="68" s="1"/>
  <c r="AB146" i="68" s="1"/>
  <c r="X146" i="68" s="1"/>
  <c r="Y146" i="68" s="1"/>
  <c r="I146" i="68" s="1"/>
  <c r="U142" i="67"/>
  <c r="V142" i="67" s="1"/>
  <c r="W142" i="67" s="1"/>
  <c r="AA142" i="67" s="1"/>
  <c r="AB142" i="67" s="1"/>
  <c r="X142" i="67" s="1"/>
  <c r="Y142" i="67" s="1"/>
  <c r="I142" i="67" s="1"/>
  <c r="K142" i="67" s="1"/>
  <c r="M142" i="67" s="1"/>
  <c r="AE142" i="67" s="1"/>
  <c r="AJ142" i="67" s="1"/>
  <c r="U142" i="68"/>
  <c r="V142" i="68" s="1"/>
  <c r="W142" i="68" s="1"/>
  <c r="AA142" i="68" s="1"/>
  <c r="AB142" i="68" s="1"/>
  <c r="X142" i="68" s="1"/>
  <c r="Y142" i="68" s="1"/>
  <c r="I142" i="68" s="1"/>
  <c r="U104" i="67"/>
  <c r="V104" i="67" s="1"/>
  <c r="W104" i="67" s="1"/>
  <c r="AA104" i="67" s="1"/>
  <c r="AB104" i="67" s="1"/>
  <c r="X104" i="67" s="1"/>
  <c r="Y104" i="67" s="1"/>
  <c r="I104" i="67" s="1"/>
  <c r="K104" i="67" s="1"/>
  <c r="M104" i="67" s="1"/>
  <c r="AE104" i="67" s="1"/>
  <c r="AJ104" i="67" s="1"/>
  <c r="U104" i="68"/>
  <c r="V104" i="68" s="1"/>
  <c r="W104" i="68" s="1"/>
  <c r="AA104" i="68" s="1"/>
  <c r="AB104" i="68" s="1"/>
  <c r="X104" i="68" s="1"/>
  <c r="Y104" i="68" s="1"/>
  <c r="I104" i="68" s="1"/>
  <c r="U100" i="67"/>
  <c r="V100" i="67" s="1"/>
  <c r="W100" i="67" s="1"/>
  <c r="AA100" i="67" s="1"/>
  <c r="AB100" i="67" s="1"/>
  <c r="X100" i="67" s="1"/>
  <c r="Y100" i="67" s="1"/>
  <c r="I100" i="67" s="1"/>
  <c r="U100" i="68"/>
  <c r="V100" i="68" s="1"/>
  <c r="W100" i="68" s="1"/>
  <c r="AA100" i="68" s="1"/>
  <c r="AB100" i="68" s="1"/>
  <c r="X100" i="68" s="1"/>
  <c r="Y100" i="68" s="1"/>
  <c r="I100" i="68" s="1"/>
  <c r="U63" i="67"/>
  <c r="V63" i="67" s="1"/>
  <c r="W63" i="67" s="1"/>
  <c r="AA63" i="67" s="1"/>
  <c r="AB63" i="67" s="1"/>
  <c r="X63" i="67" s="1"/>
  <c r="Y63" i="67" s="1"/>
  <c r="I63" i="67" s="1"/>
  <c r="K63" i="67" s="1"/>
  <c r="M63" i="67" s="1"/>
  <c r="AE63" i="67" s="1"/>
  <c r="AJ63" i="67" s="1"/>
  <c r="U63" i="68"/>
  <c r="V63" i="68" s="1"/>
  <c r="W63" i="68" s="1"/>
  <c r="AA63" i="68" s="1"/>
  <c r="AB63" i="68" s="1"/>
  <c r="X63" i="68" s="1"/>
  <c r="Y63" i="68" s="1"/>
  <c r="I63" i="68" s="1"/>
  <c r="U30" i="67"/>
  <c r="V30" i="67" s="1"/>
  <c r="W30" i="67" s="1"/>
  <c r="AA30" i="67" s="1"/>
  <c r="AB30" i="67" s="1"/>
  <c r="X30" i="67" s="1"/>
  <c r="Y30" i="67" s="1"/>
  <c r="I30" i="67" s="1"/>
  <c r="AC30" i="67" s="1"/>
  <c r="AF30" i="67" s="1"/>
  <c r="AK30" i="67" s="1"/>
  <c r="U30" i="68"/>
  <c r="V30" i="68" s="1"/>
  <c r="W30" i="68" s="1"/>
  <c r="AA30" i="68" s="1"/>
  <c r="AB30" i="68" s="1"/>
  <c r="X30" i="68" s="1"/>
  <c r="Y30" i="68" s="1"/>
  <c r="I30" i="68" s="1"/>
  <c r="U118" i="67"/>
  <c r="V118" i="67" s="1"/>
  <c r="W118" i="67" s="1"/>
  <c r="AA118" i="67" s="1"/>
  <c r="AB118" i="67" s="1"/>
  <c r="X118" i="67" s="1"/>
  <c r="Y118" i="67" s="1"/>
  <c r="I118" i="67" s="1"/>
  <c r="K118" i="67" s="1"/>
  <c r="M118" i="67" s="1"/>
  <c r="AE118" i="67" s="1"/>
  <c r="AJ118" i="67" s="1"/>
  <c r="U118" i="68"/>
  <c r="V118" i="68" s="1"/>
  <c r="W118" i="68" s="1"/>
  <c r="AA118" i="68" s="1"/>
  <c r="AB118" i="68" s="1"/>
  <c r="X118" i="68" s="1"/>
  <c r="Y118" i="68" s="1"/>
  <c r="I118" i="68" s="1"/>
  <c r="U8" i="67"/>
  <c r="V8" i="67" s="1"/>
  <c r="W8" i="67" s="1"/>
  <c r="AA8" i="67" s="1"/>
  <c r="AB8" i="67" s="1"/>
  <c r="X8" i="67" s="1"/>
  <c r="Y8" i="67" s="1"/>
  <c r="I8" i="67" s="1"/>
  <c r="AC8" i="67" s="1"/>
  <c r="AF8" i="67" s="1"/>
  <c r="AK8" i="67" s="1"/>
  <c r="U8" i="68"/>
  <c r="V8" i="68" s="1"/>
  <c r="W8" i="68" s="1"/>
  <c r="AA8" i="68" s="1"/>
  <c r="AB8" i="68" s="1"/>
  <c r="X8" i="68" s="1"/>
  <c r="Y8" i="68" s="1"/>
  <c r="I8" i="68" s="1"/>
  <c r="U177" i="67"/>
  <c r="V177" i="67" s="1"/>
  <c r="W177" i="67" s="1"/>
  <c r="AA177" i="67" s="1"/>
  <c r="AB177" i="67" s="1"/>
  <c r="X177" i="67" s="1"/>
  <c r="Y177" i="67" s="1"/>
  <c r="I177" i="67" s="1"/>
  <c r="K177" i="67" s="1"/>
  <c r="M177" i="67" s="1"/>
  <c r="AE177" i="67" s="1"/>
  <c r="AJ177" i="67" s="1"/>
  <c r="U177" i="68"/>
  <c r="V177" i="68" s="1"/>
  <c r="W177" i="68" s="1"/>
  <c r="AA177" i="68" s="1"/>
  <c r="AB177" i="68" s="1"/>
  <c r="X177" i="68" s="1"/>
  <c r="Y177" i="68" s="1"/>
  <c r="I177" i="68" s="1"/>
  <c r="U60" i="67"/>
  <c r="V60" i="67" s="1"/>
  <c r="W60" i="67" s="1"/>
  <c r="AA60" i="67" s="1"/>
  <c r="AB60" i="67" s="1"/>
  <c r="X60" i="67" s="1"/>
  <c r="Y60" i="67" s="1"/>
  <c r="I60" i="67" s="1"/>
  <c r="K60" i="67" s="1"/>
  <c r="M60" i="67" s="1"/>
  <c r="AE60" i="67" s="1"/>
  <c r="AJ60" i="67" s="1"/>
  <c r="U60" i="68"/>
  <c r="V60" i="68" s="1"/>
  <c r="W60" i="68" s="1"/>
  <c r="AA60" i="68" s="1"/>
  <c r="AB60" i="68" s="1"/>
  <c r="X60" i="68" s="1"/>
  <c r="Y60" i="68" s="1"/>
  <c r="I60" i="68" s="1"/>
  <c r="U27" i="67"/>
  <c r="V27" i="67" s="1"/>
  <c r="W27" i="67" s="1"/>
  <c r="AA27" i="67" s="1"/>
  <c r="AB27" i="67" s="1"/>
  <c r="X27" i="67" s="1"/>
  <c r="Y27" i="67" s="1"/>
  <c r="I27" i="67" s="1"/>
  <c r="AC27" i="67" s="1"/>
  <c r="AF27" i="67" s="1"/>
  <c r="AK27" i="67" s="1"/>
  <c r="U27" i="68"/>
  <c r="V27" i="68" s="1"/>
  <c r="W27" i="68" s="1"/>
  <c r="AA27" i="68" s="1"/>
  <c r="AB27" i="68" s="1"/>
  <c r="X27" i="68" s="1"/>
  <c r="Y27" i="68" s="1"/>
  <c r="I27" i="68" s="1"/>
  <c r="U176" i="67"/>
  <c r="V176" i="67" s="1"/>
  <c r="W176" i="67" s="1"/>
  <c r="AA176" i="67" s="1"/>
  <c r="AB176" i="67" s="1"/>
  <c r="X176" i="67" s="1"/>
  <c r="Y176" i="67" s="1"/>
  <c r="I176" i="67" s="1"/>
  <c r="AC176" i="67" s="1"/>
  <c r="AF176" i="67" s="1"/>
  <c r="AK176" i="67" s="1"/>
  <c r="U176" i="68"/>
  <c r="V176" i="68" s="1"/>
  <c r="W176" i="68" s="1"/>
  <c r="AA176" i="68" s="1"/>
  <c r="AB176" i="68" s="1"/>
  <c r="X176" i="68" s="1"/>
  <c r="Y176" i="68" s="1"/>
  <c r="I176" i="68" s="1"/>
  <c r="U42" i="67"/>
  <c r="V42" i="67" s="1"/>
  <c r="W42" i="67" s="1"/>
  <c r="AA42" i="67" s="1"/>
  <c r="AB42" i="67" s="1"/>
  <c r="X42" i="67" s="1"/>
  <c r="Y42" i="67" s="1"/>
  <c r="I42" i="67" s="1"/>
  <c r="K42" i="67" s="1"/>
  <c r="M42" i="67" s="1"/>
  <c r="AE42" i="67" s="1"/>
  <c r="AJ42" i="67" s="1"/>
  <c r="U42" i="68"/>
  <c r="V42" i="68" s="1"/>
  <c r="W42" i="68" s="1"/>
  <c r="AA42" i="68" s="1"/>
  <c r="AB42" i="68" s="1"/>
  <c r="X42" i="68" s="1"/>
  <c r="Y42" i="68" s="1"/>
  <c r="I42" i="68" s="1"/>
  <c r="U93" i="67"/>
  <c r="V93" i="67" s="1"/>
  <c r="W93" i="67" s="1"/>
  <c r="AA93" i="67" s="1"/>
  <c r="AB93" i="67" s="1"/>
  <c r="X93" i="67" s="1"/>
  <c r="Y93" i="67" s="1"/>
  <c r="I93" i="67" s="1"/>
  <c r="K93" i="67" s="1"/>
  <c r="M93" i="67" s="1"/>
  <c r="AE93" i="67" s="1"/>
  <c r="AJ93" i="67" s="1"/>
  <c r="U93" i="68"/>
  <c r="V93" i="68" s="1"/>
  <c r="W93" i="68" s="1"/>
  <c r="AA93" i="68" s="1"/>
  <c r="AB93" i="68" s="1"/>
  <c r="X93" i="68" s="1"/>
  <c r="Y93" i="68" s="1"/>
  <c r="I93" i="68" s="1"/>
  <c r="U211" i="68"/>
  <c r="V211" i="68" s="1"/>
  <c r="W211" i="68" s="1"/>
  <c r="AA211" i="68" s="1"/>
  <c r="U165" i="67"/>
  <c r="V165" i="67" s="1"/>
  <c r="W165" i="67" s="1"/>
  <c r="AA165" i="67" s="1"/>
  <c r="AB165" i="67" s="1"/>
  <c r="X165" i="67" s="1"/>
  <c r="Y165" i="67" s="1"/>
  <c r="I165" i="67" s="1"/>
  <c r="K165" i="67" s="1"/>
  <c r="M165" i="67" s="1"/>
  <c r="AE165" i="67" s="1"/>
  <c r="AJ165" i="67" s="1"/>
  <c r="U165" i="68"/>
  <c r="V165" i="68" s="1"/>
  <c r="W165" i="68" s="1"/>
  <c r="AA165" i="68" s="1"/>
  <c r="AB165" i="68" s="1"/>
  <c r="X165" i="68" s="1"/>
  <c r="Y165" i="68" s="1"/>
  <c r="I165" i="68" s="1"/>
  <c r="U57" i="67"/>
  <c r="V57" i="67" s="1"/>
  <c r="W57" i="67" s="1"/>
  <c r="AA57" i="67" s="1"/>
  <c r="AB57" i="67" s="1"/>
  <c r="X57" i="67" s="1"/>
  <c r="Y57" i="67" s="1"/>
  <c r="I57" i="67" s="1"/>
  <c r="U57" i="68"/>
  <c r="V57" i="68" s="1"/>
  <c r="W57" i="68" s="1"/>
  <c r="AA57" i="68" s="1"/>
  <c r="AB57" i="68" s="1"/>
  <c r="X57" i="68" s="1"/>
  <c r="Y57" i="68" s="1"/>
  <c r="I57" i="68" s="1"/>
  <c r="U102" i="67"/>
  <c r="V102" i="67" s="1"/>
  <c r="W102" i="67" s="1"/>
  <c r="AA102" i="67" s="1"/>
  <c r="AB102" i="67" s="1"/>
  <c r="X102" i="67" s="1"/>
  <c r="Y102" i="67" s="1"/>
  <c r="I102" i="67" s="1"/>
  <c r="U102" i="68"/>
  <c r="V102" i="68" s="1"/>
  <c r="W102" i="68" s="1"/>
  <c r="AA102" i="68" s="1"/>
  <c r="AB102" i="68" s="1"/>
  <c r="X102" i="68" s="1"/>
  <c r="Y102" i="68" s="1"/>
  <c r="I102" i="68" s="1"/>
  <c r="U170" i="67"/>
  <c r="V170" i="67" s="1"/>
  <c r="W170" i="67" s="1"/>
  <c r="AA170" i="67" s="1"/>
  <c r="AB170" i="67" s="1"/>
  <c r="X170" i="67" s="1"/>
  <c r="Y170" i="67" s="1"/>
  <c r="I170" i="67" s="1"/>
  <c r="AC170" i="67" s="1"/>
  <c r="AF170" i="67" s="1"/>
  <c r="AK170" i="67" s="1"/>
  <c r="U170" i="68"/>
  <c r="V170" i="68" s="1"/>
  <c r="W170" i="68" s="1"/>
  <c r="AA170" i="68" s="1"/>
  <c r="AB170" i="68" s="1"/>
  <c r="X170" i="68" s="1"/>
  <c r="Y170" i="68" s="1"/>
  <c r="I170" i="68" s="1"/>
  <c r="U34" i="67"/>
  <c r="V34" i="67" s="1"/>
  <c r="W34" i="67" s="1"/>
  <c r="AA34" i="67" s="1"/>
  <c r="AB34" i="67" s="1"/>
  <c r="X34" i="67" s="1"/>
  <c r="Y34" i="67" s="1"/>
  <c r="I34" i="67" s="1"/>
  <c r="AC34" i="67" s="1"/>
  <c r="AF34" i="67" s="1"/>
  <c r="AK34" i="67" s="1"/>
  <c r="U34" i="68"/>
  <c r="V34" i="68" s="1"/>
  <c r="W34" i="68" s="1"/>
  <c r="AA34" i="68" s="1"/>
  <c r="AB34" i="68" s="1"/>
  <c r="X34" i="68" s="1"/>
  <c r="Y34" i="68" s="1"/>
  <c r="I34" i="68" s="1"/>
  <c r="U195" i="67"/>
  <c r="V195" i="67" s="1"/>
  <c r="W195" i="67" s="1"/>
  <c r="AA195" i="67" s="1"/>
  <c r="AB195" i="67" s="1"/>
  <c r="X195" i="67" s="1"/>
  <c r="Y195" i="67" s="1"/>
  <c r="I195" i="67" s="1"/>
  <c r="K195" i="67" s="1"/>
  <c r="M195" i="67" s="1"/>
  <c r="AE195" i="67" s="1"/>
  <c r="AJ195" i="67" s="1"/>
  <c r="U195" i="68"/>
  <c r="V195" i="68" s="1"/>
  <c r="W195" i="68" s="1"/>
  <c r="AA195" i="68" s="1"/>
  <c r="AB195" i="68" s="1"/>
  <c r="X195" i="68" s="1"/>
  <c r="Y195" i="68" s="1"/>
  <c r="I195" i="68" s="1"/>
  <c r="U153" i="67"/>
  <c r="V153" i="67" s="1"/>
  <c r="W153" i="67" s="1"/>
  <c r="AA153" i="67" s="1"/>
  <c r="AB153" i="67" s="1"/>
  <c r="X153" i="67" s="1"/>
  <c r="Y153" i="67" s="1"/>
  <c r="I153" i="67" s="1"/>
  <c r="K153" i="67" s="1"/>
  <c r="M153" i="67" s="1"/>
  <c r="AE153" i="67" s="1"/>
  <c r="AJ153" i="67" s="1"/>
  <c r="U153" i="68"/>
  <c r="V153" i="68" s="1"/>
  <c r="W153" i="68" s="1"/>
  <c r="AA153" i="68" s="1"/>
  <c r="AB153" i="68" s="1"/>
  <c r="X153" i="68" s="1"/>
  <c r="Y153" i="68" s="1"/>
  <c r="I153" i="68" s="1"/>
  <c r="AC71" i="68"/>
  <c r="K71" i="68"/>
  <c r="M71" i="68" s="1"/>
  <c r="AE71" i="68" s="1"/>
  <c r="K3" i="68"/>
  <c r="M3" i="68" s="1"/>
  <c r="AE3" i="68" s="1"/>
  <c r="AC3" i="68"/>
  <c r="U72" i="67"/>
  <c r="V72" i="67" s="1"/>
  <c r="W72" i="67" s="1"/>
  <c r="AA72" i="67" s="1"/>
  <c r="AB72" i="67" s="1"/>
  <c r="X72" i="67" s="1"/>
  <c r="Y72" i="67" s="1"/>
  <c r="I72" i="67" s="1"/>
  <c r="AC72" i="67" s="1"/>
  <c r="AF72" i="67" s="1"/>
  <c r="AK72" i="67" s="1"/>
  <c r="U72" i="68"/>
  <c r="V72" i="68" s="1"/>
  <c r="W72" i="68" s="1"/>
  <c r="AA72" i="68" s="1"/>
  <c r="AB72" i="68" s="1"/>
  <c r="X72" i="68" s="1"/>
  <c r="Y72" i="68" s="1"/>
  <c r="I72" i="68" s="1"/>
  <c r="AC66" i="68"/>
  <c r="K66" i="68"/>
  <c r="M66" i="68" s="1"/>
  <c r="AE66" i="68" s="1"/>
  <c r="U129" i="67"/>
  <c r="V129" i="67" s="1"/>
  <c r="W129" i="67" s="1"/>
  <c r="AA129" i="67" s="1"/>
  <c r="AB129" i="67" s="1"/>
  <c r="X129" i="67" s="1"/>
  <c r="Y129" i="67" s="1"/>
  <c r="I129" i="67" s="1"/>
  <c r="U129" i="68"/>
  <c r="V129" i="68" s="1"/>
  <c r="W129" i="68" s="1"/>
  <c r="AA129" i="68" s="1"/>
  <c r="AB129" i="68" s="1"/>
  <c r="X129" i="68" s="1"/>
  <c r="Y129" i="68" s="1"/>
  <c r="I129" i="68" s="1"/>
  <c r="U166" i="67"/>
  <c r="V166" i="67" s="1"/>
  <c r="W166" i="67" s="1"/>
  <c r="AA166" i="67" s="1"/>
  <c r="AB166" i="67" s="1"/>
  <c r="X166" i="67" s="1"/>
  <c r="Y166" i="67" s="1"/>
  <c r="I166" i="67" s="1"/>
  <c r="K166" i="67" s="1"/>
  <c r="M166" i="67" s="1"/>
  <c r="AE166" i="67" s="1"/>
  <c r="AJ166" i="67" s="1"/>
  <c r="U166" i="68"/>
  <c r="V166" i="68" s="1"/>
  <c r="W166" i="68" s="1"/>
  <c r="AA166" i="68" s="1"/>
  <c r="AB166" i="68" s="1"/>
  <c r="X166" i="68" s="1"/>
  <c r="Y166" i="68" s="1"/>
  <c r="I166" i="68" s="1"/>
  <c r="U206" i="67"/>
  <c r="V206" i="67" s="1"/>
  <c r="W206" i="67" s="1"/>
  <c r="AA206" i="67" s="1"/>
  <c r="AB206" i="67" s="1"/>
  <c r="X206" i="67" s="1"/>
  <c r="Y206" i="67" s="1"/>
  <c r="I206" i="67" s="1"/>
  <c r="AC206" i="67" s="1"/>
  <c r="AF206" i="67" s="1"/>
  <c r="AK206" i="67" s="1"/>
  <c r="U206" i="68"/>
  <c r="V206" i="68" s="1"/>
  <c r="W206" i="68" s="1"/>
  <c r="AA206" i="68" s="1"/>
  <c r="AB206" i="68" s="1"/>
  <c r="X206" i="68" s="1"/>
  <c r="Y206" i="68" s="1"/>
  <c r="I206" i="68" s="1"/>
  <c r="U158" i="67"/>
  <c r="V158" i="67" s="1"/>
  <c r="W158" i="67" s="1"/>
  <c r="AA158" i="67" s="1"/>
  <c r="AB158" i="67" s="1"/>
  <c r="X158" i="67" s="1"/>
  <c r="Y158" i="67" s="1"/>
  <c r="I158" i="67" s="1"/>
  <c r="U158" i="68"/>
  <c r="V158" i="68" s="1"/>
  <c r="W158" i="68" s="1"/>
  <c r="AA158" i="68" s="1"/>
  <c r="AB158" i="68" s="1"/>
  <c r="X158" i="68" s="1"/>
  <c r="Y158" i="68" s="1"/>
  <c r="I158" i="68" s="1"/>
  <c r="U22" i="67"/>
  <c r="V22" i="67" s="1"/>
  <c r="W22" i="67" s="1"/>
  <c r="AA22" i="67" s="1"/>
  <c r="AB22" i="67" s="1"/>
  <c r="X22" i="67" s="1"/>
  <c r="Y22" i="67" s="1"/>
  <c r="I22" i="67" s="1"/>
  <c r="K22" i="67" s="1"/>
  <c r="M22" i="67" s="1"/>
  <c r="AE22" i="67" s="1"/>
  <c r="AJ22" i="67" s="1"/>
  <c r="U22" i="68"/>
  <c r="V22" i="68" s="1"/>
  <c r="W22" i="68" s="1"/>
  <c r="AA22" i="68" s="1"/>
  <c r="AB22" i="68" s="1"/>
  <c r="X22" i="68" s="1"/>
  <c r="Y22" i="68" s="1"/>
  <c r="I22" i="68" s="1"/>
  <c r="U150" i="67"/>
  <c r="V150" i="67" s="1"/>
  <c r="W150" i="67" s="1"/>
  <c r="AA150" i="67" s="1"/>
  <c r="AB150" i="67" s="1"/>
  <c r="X150" i="67" s="1"/>
  <c r="Y150" i="67" s="1"/>
  <c r="I150" i="67" s="1"/>
  <c r="AC150" i="67" s="1"/>
  <c r="AF150" i="67" s="1"/>
  <c r="AK150" i="67" s="1"/>
  <c r="U150" i="68"/>
  <c r="V150" i="68" s="1"/>
  <c r="W150" i="68" s="1"/>
  <c r="AA150" i="68" s="1"/>
  <c r="AB150" i="68" s="1"/>
  <c r="X150" i="68" s="1"/>
  <c r="Y150" i="68" s="1"/>
  <c r="I150" i="68" s="1"/>
  <c r="U21" i="67"/>
  <c r="V21" i="67" s="1"/>
  <c r="W21" i="67" s="1"/>
  <c r="AA21" i="67" s="1"/>
  <c r="AB21" i="67" s="1"/>
  <c r="X21" i="67" s="1"/>
  <c r="Y21" i="67" s="1"/>
  <c r="I21" i="67" s="1"/>
  <c r="K21" i="67" s="1"/>
  <c r="M21" i="67" s="1"/>
  <c r="AE21" i="67" s="1"/>
  <c r="AJ21" i="67" s="1"/>
  <c r="U21" i="68"/>
  <c r="V21" i="68" s="1"/>
  <c r="W21" i="68" s="1"/>
  <c r="AA21" i="68" s="1"/>
  <c r="AB21" i="68" s="1"/>
  <c r="X21" i="68" s="1"/>
  <c r="Y21" i="68" s="1"/>
  <c r="I21" i="68" s="1"/>
  <c r="U31" i="67"/>
  <c r="V31" i="67" s="1"/>
  <c r="W31" i="67" s="1"/>
  <c r="AA31" i="67" s="1"/>
  <c r="AB31" i="67" s="1"/>
  <c r="X31" i="67" s="1"/>
  <c r="Y31" i="67" s="1"/>
  <c r="I31" i="67" s="1"/>
  <c r="U31" i="68"/>
  <c r="V31" i="68" s="1"/>
  <c r="W31" i="68" s="1"/>
  <c r="AA31" i="68" s="1"/>
  <c r="AB31" i="68" s="1"/>
  <c r="X31" i="68" s="1"/>
  <c r="Y31" i="68" s="1"/>
  <c r="I31" i="68" s="1"/>
  <c r="U50" i="67"/>
  <c r="V50" i="67" s="1"/>
  <c r="W50" i="67" s="1"/>
  <c r="AA50" i="67" s="1"/>
  <c r="AB50" i="67" s="1"/>
  <c r="X50" i="67" s="1"/>
  <c r="Y50" i="67" s="1"/>
  <c r="I50" i="67" s="1"/>
  <c r="U50" i="68"/>
  <c r="V50" i="68" s="1"/>
  <c r="W50" i="68" s="1"/>
  <c r="AA50" i="68" s="1"/>
  <c r="AB50" i="68" s="1"/>
  <c r="X50" i="68" s="1"/>
  <c r="Y50" i="68" s="1"/>
  <c r="I50" i="68" s="1"/>
  <c r="U105" i="67"/>
  <c r="V105" i="67" s="1"/>
  <c r="W105" i="67" s="1"/>
  <c r="AA105" i="67" s="1"/>
  <c r="AB105" i="67" s="1"/>
  <c r="X105" i="67" s="1"/>
  <c r="Y105" i="67" s="1"/>
  <c r="I105" i="67" s="1"/>
  <c r="U105" i="68"/>
  <c r="V105" i="68" s="1"/>
  <c r="W105" i="68" s="1"/>
  <c r="AA105" i="68" s="1"/>
  <c r="AB105" i="68" s="1"/>
  <c r="X105" i="68" s="1"/>
  <c r="Y105" i="68" s="1"/>
  <c r="I105" i="68" s="1"/>
  <c r="U159" i="67"/>
  <c r="V159" i="67" s="1"/>
  <c r="W159" i="67" s="1"/>
  <c r="AA159" i="67" s="1"/>
  <c r="AB159" i="67" s="1"/>
  <c r="X159" i="67" s="1"/>
  <c r="Y159" i="67" s="1"/>
  <c r="I159" i="67" s="1"/>
  <c r="K159" i="67" s="1"/>
  <c r="M159" i="67" s="1"/>
  <c r="AE159" i="67" s="1"/>
  <c r="AJ159" i="67" s="1"/>
  <c r="U159" i="68"/>
  <c r="V159" i="68" s="1"/>
  <c r="W159" i="68" s="1"/>
  <c r="AA159" i="68" s="1"/>
  <c r="AB159" i="68" s="1"/>
  <c r="X159" i="68" s="1"/>
  <c r="Y159" i="68" s="1"/>
  <c r="I159" i="68" s="1"/>
  <c r="U175" i="67"/>
  <c r="V175" i="67" s="1"/>
  <c r="W175" i="67" s="1"/>
  <c r="AA175" i="67" s="1"/>
  <c r="AB175" i="67" s="1"/>
  <c r="X175" i="67" s="1"/>
  <c r="Y175" i="67" s="1"/>
  <c r="I175" i="67" s="1"/>
  <c r="K175" i="67" s="1"/>
  <c r="M175" i="67" s="1"/>
  <c r="AE175" i="67" s="1"/>
  <c r="AJ175" i="67" s="1"/>
  <c r="U175" i="68"/>
  <c r="V175" i="68" s="1"/>
  <c r="W175" i="68" s="1"/>
  <c r="AA175" i="68" s="1"/>
  <c r="AB175" i="68" s="1"/>
  <c r="X175" i="68" s="1"/>
  <c r="Y175" i="68" s="1"/>
  <c r="I175" i="68" s="1"/>
  <c r="U97" i="67"/>
  <c r="V97" i="67" s="1"/>
  <c r="W97" i="67" s="1"/>
  <c r="AA97" i="67" s="1"/>
  <c r="AB97" i="67" s="1"/>
  <c r="X97" i="67" s="1"/>
  <c r="Y97" i="67" s="1"/>
  <c r="I97" i="67" s="1"/>
  <c r="AC97" i="67" s="1"/>
  <c r="AF97" i="67" s="1"/>
  <c r="AK97" i="67" s="1"/>
  <c r="U97" i="68"/>
  <c r="V97" i="68" s="1"/>
  <c r="W97" i="68" s="1"/>
  <c r="AA97" i="68" s="1"/>
  <c r="AB97" i="68" s="1"/>
  <c r="X97" i="68" s="1"/>
  <c r="Y97" i="68" s="1"/>
  <c r="I97" i="68" s="1"/>
  <c r="U133" i="67"/>
  <c r="V133" i="67" s="1"/>
  <c r="W133" i="67" s="1"/>
  <c r="AA133" i="67" s="1"/>
  <c r="AB133" i="67" s="1"/>
  <c r="X133" i="67" s="1"/>
  <c r="Y133" i="67" s="1"/>
  <c r="I133" i="67" s="1"/>
  <c r="AC133" i="67" s="1"/>
  <c r="AF133" i="67" s="1"/>
  <c r="AK133" i="67" s="1"/>
  <c r="U133" i="68"/>
  <c r="V133" i="68" s="1"/>
  <c r="W133" i="68" s="1"/>
  <c r="AA133" i="68" s="1"/>
  <c r="AB133" i="68" s="1"/>
  <c r="X133" i="68" s="1"/>
  <c r="Y133" i="68" s="1"/>
  <c r="I133" i="68" s="1"/>
  <c r="U199" i="67"/>
  <c r="V199" i="67" s="1"/>
  <c r="W199" i="67" s="1"/>
  <c r="AA199" i="67" s="1"/>
  <c r="AB199" i="67" s="1"/>
  <c r="X199" i="67" s="1"/>
  <c r="Y199" i="67" s="1"/>
  <c r="I199" i="67" s="1"/>
  <c r="AC199" i="67" s="1"/>
  <c r="AF199" i="67" s="1"/>
  <c r="AK199" i="67" s="1"/>
  <c r="U199" i="68"/>
  <c r="V199" i="68" s="1"/>
  <c r="W199" i="68" s="1"/>
  <c r="AA199" i="68" s="1"/>
  <c r="AB199" i="68" s="1"/>
  <c r="X199" i="68" s="1"/>
  <c r="Y199" i="68" s="1"/>
  <c r="I199" i="68" s="1"/>
  <c r="U121" i="67"/>
  <c r="V121" i="67" s="1"/>
  <c r="W121" i="67" s="1"/>
  <c r="AA121" i="67" s="1"/>
  <c r="AB121" i="67" s="1"/>
  <c r="X121" i="67" s="1"/>
  <c r="Y121" i="67" s="1"/>
  <c r="I121" i="67" s="1"/>
  <c r="K121" i="67" s="1"/>
  <c r="M121" i="67" s="1"/>
  <c r="AE121" i="67" s="1"/>
  <c r="AJ121" i="67" s="1"/>
  <c r="U121" i="68"/>
  <c r="V121" i="68" s="1"/>
  <c r="W121" i="68" s="1"/>
  <c r="AA121" i="68" s="1"/>
  <c r="AB121" i="68" s="1"/>
  <c r="X121" i="68" s="1"/>
  <c r="Y121" i="68" s="1"/>
  <c r="I121" i="68" s="1"/>
  <c r="U52" i="67"/>
  <c r="V52" i="67" s="1"/>
  <c r="W52" i="67" s="1"/>
  <c r="AA52" i="67" s="1"/>
  <c r="AB52" i="67" s="1"/>
  <c r="X52" i="67" s="1"/>
  <c r="Y52" i="67" s="1"/>
  <c r="I52" i="67" s="1"/>
  <c r="AC52" i="67" s="1"/>
  <c r="AF52" i="67" s="1"/>
  <c r="AK52" i="67" s="1"/>
  <c r="U52" i="68"/>
  <c r="V52" i="68" s="1"/>
  <c r="W52" i="68" s="1"/>
  <c r="AA52" i="68" s="1"/>
  <c r="AB52" i="68" s="1"/>
  <c r="X52" i="68" s="1"/>
  <c r="Y52" i="68" s="1"/>
  <c r="I52" i="68" s="1"/>
  <c r="U173" i="67"/>
  <c r="V173" i="67" s="1"/>
  <c r="W173" i="67" s="1"/>
  <c r="AA173" i="67" s="1"/>
  <c r="AB173" i="67" s="1"/>
  <c r="X173" i="67" s="1"/>
  <c r="Y173" i="67" s="1"/>
  <c r="I173" i="67" s="1"/>
  <c r="K173" i="67" s="1"/>
  <c r="M173" i="67" s="1"/>
  <c r="AE173" i="67" s="1"/>
  <c r="AJ173" i="67" s="1"/>
  <c r="U173" i="68"/>
  <c r="V173" i="68" s="1"/>
  <c r="W173" i="68" s="1"/>
  <c r="AA173" i="68" s="1"/>
  <c r="AB173" i="68" s="1"/>
  <c r="X173" i="68" s="1"/>
  <c r="Y173" i="68" s="1"/>
  <c r="I173" i="68" s="1"/>
  <c r="U191" i="67"/>
  <c r="V191" i="67" s="1"/>
  <c r="W191" i="67" s="1"/>
  <c r="AA191" i="67" s="1"/>
  <c r="AB191" i="67" s="1"/>
  <c r="X191" i="67" s="1"/>
  <c r="Y191" i="67" s="1"/>
  <c r="I191" i="67" s="1"/>
  <c r="K191" i="67" s="1"/>
  <c r="M191" i="67" s="1"/>
  <c r="AE191" i="67" s="1"/>
  <c r="AJ191" i="67" s="1"/>
  <c r="U191" i="68"/>
  <c r="V191" i="68" s="1"/>
  <c r="W191" i="68" s="1"/>
  <c r="AA191" i="68" s="1"/>
  <c r="AB191" i="68" s="1"/>
  <c r="X191" i="68" s="1"/>
  <c r="Y191" i="68" s="1"/>
  <c r="I191" i="68" s="1"/>
  <c r="U46" i="67"/>
  <c r="V46" i="67" s="1"/>
  <c r="W46" i="67" s="1"/>
  <c r="AA46" i="67" s="1"/>
  <c r="AB46" i="67" s="1"/>
  <c r="X46" i="67" s="1"/>
  <c r="Y46" i="67" s="1"/>
  <c r="I46" i="67" s="1"/>
  <c r="K46" i="67" s="1"/>
  <c r="M46" i="67" s="1"/>
  <c r="AE46" i="67" s="1"/>
  <c r="AJ46" i="67" s="1"/>
  <c r="U46" i="68"/>
  <c r="V46" i="68" s="1"/>
  <c r="W46" i="68" s="1"/>
  <c r="AA46" i="68" s="1"/>
  <c r="AB46" i="68" s="1"/>
  <c r="X46" i="68" s="1"/>
  <c r="Y46" i="68" s="1"/>
  <c r="I46" i="68" s="1"/>
  <c r="U124" i="67"/>
  <c r="V124" i="67" s="1"/>
  <c r="W124" i="67" s="1"/>
  <c r="AA124" i="67" s="1"/>
  <c r="AB124" i="67" s="1"/>
  <c r="X124" i="67" s="1"/>
  <c r="Y124" i="67" s="1"/>
  <c r="I124" i="67" s="1"/>
  <c r="K124" i="67" s="1"/>
  <c r="M124" i="67" s="1"/>
  <c r="AE124" i="67" s="1"/>
  <c r="AJ124" i="67" s="1"/>
  <c r="U124" i="68"/>
  <c r="V124" i="68" s="1"/>
  <c r="W124" i="68" s="1"/>
  <c r="AA124" i="68" s="1"/>
  <c r="AB124" i="68" s="1"/>
  <c r="X124" i="68" s="1"/>
  <c r="Y124" i="68" s="1"/>
  <c r="I124" i="68" s="1"/>
  <c r="AC73" i="68"/>
  <c r="K73" i="68"/>
  <c r="M73" i="68" s="1"/>
  <c r="AE73" i="68" s="1"/>
  <c r="U87" i="67"/>
  <c r="V87" i="67" s="1"/>
  <c r="W87" i="67" s="1"/>
  <c r="AA87" i="67" s="1"/>
  <c r="AB87" i="67" s="1"/>
  <c r="X87" i="67" s="1"/>
  <c r="Y87" i="67" s="1"/>
  <c r="I87" i="67" s="1"/>
  <c r="AC87" i="67" s="1"/>
  <c r="AF87" i="67" s="1"/>
  <c r="AK87" i="67" s="1"/>
  <c r="U87" i="68"/>
  <c r="V87" i="68" s="1"/>
  <c r="W87" i="68" s="1"/>
  <c r="AA87" i="68" s="1"/>
  <c r="AB87" i="68" s="1"/>
  <c r="X87" i="68" s="1"/>
  <c r="Y87" i="68" s="1"/>
  <c r="I87" i="68" s="1"/>
  <c r="U88" i="67"/>
  <c r="V88" i="67" s="1"/>
  <c r="W88" i="67" s="1"/>
  <c r="AA88" i="67" s="1"/>
  <c r="AB88" i="67" s="1"/>
  <c r="X88" i="67" s="1"/>
  <c r="Y88" i="67" s="1"/>
  <c r="I88" i="67" s="1"/>
  <c r="AC88" i="67" s="1"/>
  <c r="AF88" i="67" s="1"/>
  <c r="AK88" i="67" s="1"/>
  <c r="U88" i="68"/>
  <c r="V88" i="68" s="1"/>
  <c r="W88" i="68" s="1"/>
  <c r="AA88" i="68" s="1"/>
  <c r="AB88" i="68" s="1"/>
  <c r="X88" i="68" s="1"/>
  <c r="Y88" i="68" s="1"/>
  <c r="I88" i="68" s="1"/>
  <c r="U168" i="67"/>
  <c r="V168" i="67" s="1"/>
  <c r="W168" i="67" s="1"/>
  <c r="AA168" i="67" s="1"/>
  <c r="AB168" i="67" s="1"/>
  <c r="X168" i="67" s="1"/>
  <c r="Y168" i="67" s="1"/>
  <c r="I168" i="67" s="1"/>
  <c r="K168" i="67" s="1"/>
  <c r="M168" i="67" s="1"/>
  <c r="AE168" i="67" s="1"/>
  <c r="AJ168" i="67" s="1"/>
  <c r="U168" i="68"/>
  <c r="V168" i="68" s="1"/>
  <c r="W168" i="68" s="1"/>
  <c r="AA168" i="68" s="1"/>
  <c r="AB168" i="68" s="1"/>
  <c r="X168" i="68" s="1"/>
  <c r="Y168" i="68" s="1"/>
  <c r="I168" i="68" s="1"/>
  <c r="U137" i="67"/>
  <c r="V137" i="67" s="1"/>
  <c r="W137" i="67" s="1"/>
  <c r="AA137" i="67" s="1"/>
  <c r="AB137" i="67" s="1"/>
  <c r="X137" i="67" s="1"/>
  <c r="Y137" i="67" s="1"/>
  <c r="I137" i="67" s="1"/>
  <c r="AC137" i="67" s="1"/>
  <c r="AF137" i="67" s="1"/>
  <c r="AK137" i="67" s="1"/>
  <c r="U137" i="68"/>
  <c r="V137" i="68" s="1"/>
  <c r="W137" i="68" s="1"/>
  <c r="AA137" i="68" s="1"/>
  <c r="AB137" i="68" s="1"/>
  <c r="X137" i="68" s="1"/>
  <c r="Y137" i="68" s="1"/>
  <c r="I137" i="68" s="1"/>
  <c r="U12" i="67"/>
  <c r="V12" i="67" s="1"/>
  <c r="W12" i="67" s="1"/>
  <c r="AA12" i="67" s="1"/>
  <c r="AB12" i="67" s="1"/>
  <c r="X12" i="67" s="1"/>
  <c r="Y12" i="67" s="1"/>
  <c r="I12" i="67" s="1"/>
  <c r="AC12" i="67" s="1"/>
  <c r="AF12" i="67" s="1"/>
  <c r="AK12" i="67" s="1"/>
  <c r="U12" i="68"/>
  <c r="V12" i="68" s="1"/>
  <c r="W12" i="68" s="1"/>
  <c r="AA12" i="68" s="1"/>
  <c r="AB12" i="68" s="1"/>
  <c r="X12" i="68" s="1"/>
  <c r="Y12" i="68" s="1"/>
  <c r="I12" i="68" s="1"/>
  <c r="U26" i="67"/>
  <c r="V26" i="67" s="1"/>
  <c r="W26" i="67" s="1"/>
  <c r="AA26" i="67" s="1"/>
  <c r="AB26" i="67" s="1"/>
  <c r="X26" i="67" s="1"/>
  <c r="Y26" i="67" s="1"/>
  <c r="I26" i="67" s="1"/>
  <c r="K26" i="67" s="1"/>
  <c r="M26" i="67" s="1"/>
  <c r="AE26" i="67" s="1"/>
  <c r="AJ26" i="67" s="1"/>
  <c r="U26" i="68"/>
  <c r="V26" i="68" s="1"/>
  <c r="W26" i="68" s="1"/>
  <c r="AA26" i="68" s="1"/>
  <c r="AB26" i="68" s="1"/>
  <c r="X26" i="68" s="1"/>
  <c r="Y26" i="68" s="1"/>
  <c r="I26" i="68" s="1"/>
  <c r="U189" i="67"/>
  <c r="V189" i="67" s="1"/>
  <c r="W189" i="67" s="1"/>
  <c r="AA189" i="67" s="1"/>
  <c r="AB189" i="67" s="1"/>
  <c r="X189" i="67" s="1"/>
  <c r="Y189" i="67" s="1"/>
  <c r="I189" i="67" s="1"/>
  <c r="K189" i="67" s="1"/>
  <c r="M189" i="67" s="1"/>
  <c r="AE189" i="67" s="1"/>
  <c r="AJ189" i="67" s="1"/>
  <c r="U189" i="68"/>
  <c r="V189" i="68" s="1"/>
  <c r="W189" i="68" s="1"/>
  <c r="AA189" i="68" s="1"/>
  <c r="AB189" i="68" s="1"/>
  <c r="X189" i="68" s="1"/>
  <c r="Y189" i="68" s="1"/>
  <c r="I189" i="68" s="1"/>
  <c r="U111" i="67"/>
  <c r="V111" i="67" s="1"/>
  <c r="W111" i="67" s="1"/>
  <c r="AA111" i="67" s="1"/>
  <c r="AB111" i="67" s="1"/>
  <c r="X111" i="67" s="1"/>
  <c r="Y111" i="67" s="1"/>
  <c r="I111" i="67" s="1"/>
  <c r="AC111" i="67" s="1"/>
  <c r="AF111" i="67" s="1"/>
  <c r="AK111" i="67" s="1"/>
  <c r="U111" i="68"/>
  <c r="V111" i="68" s="1"/>
  <c r="W111" i="68" s="1"/>
  <c r="AA111" i="68" s="1"/>
  <c r="AB111" i="68" s="1"/>
  <c r="X111" i="68" s="1"/>
  <c r="Y111" i="68" s="1"/>
  <c r="I111" i="68" s="1"/>
  <c r="AC138" i="68"/>
  <c r="K138" i="68"/>
  <c r="M138" i="68" s="1"/>
  <c r="AE138" i="68" s="1"/>
  <c r="U180" i="67"/>
  <c r="V180" i="67" s="1"/>
  <c r="W180" i="67" s="1"/>
  <c r="AA180" i="67" s="1"/>
  <c r="AB180" i="67" s="1"/>
  <c r="X180" i="67" s="1"/>
  <c r="Y180" i="67" s="1"/>
  <c r="I180" i="67" s="1"/>
  <c r="AC180" i="67" s="1"/>
  <c r="AF180" i="67" s="1"/>
  <c r="AK180" i="67" s="1"/>
  <c r="U180" i="68"/>
  <c r="V180" i="68" s="1"/>
  <c r="W180" i="68" s="1"/>
  <c r="AA180" i="68" s="1"/>
  <c r="AB180" i="68" s="1"/>
  <c r="X180" i="68" s="1"/>
  <c r="Y180" i="68" s="1"/>
  <c r="I180" i="68" s="1"/>
  <c r="U119" i="67"/>
  <c r="V119" i="67" s="1"/>
  <c r="W119" i="67" s="1"/>
  <c r="AA119" i="67" s="1"/>
  <c r="AB119" i="67" s="1"/>
  <c r="X119" i="67" s="1"/>
  <c r="Y119" i="67" s="1"/>
  <c r="I119" i="67" s="1"/>
  <c r="AC119" i="67" s="1"/>
  <c r="AF119" i="67" s="1"/>
  <c r="AK119" i="67" s="1"/>
  <c r="U119" i="68"/>
  <c r="V119" i="68" s="1"/>
  <c r="W119" i="68" s="1"/>
  <c r="AA119" i="68" s="1"/>
  <c r="AB119" i="68" s="1"/>
  <c r="X119" i="68" s="1"/>
  <c r="Y119" i="68" s="1"/>
  <c r="I119" i="68" s="1"/>
  <c r="U120" i="67"/>
  <c r="V120" i="67" s="1"/>
  <c r="W120" i="67" s="1"/>
  <c r="AA120" i="67" s="1"/>
  <c r="AB120" i="67" s="1"/>
  <c r="X120" i="67" s="1"/>
  <c r="Y120" i="67" s="1"/>
  <c r="I120" i="67" s="1"/>
  <c r="AC120" i="67" s="1"/>
  <c r="AF120" i="67" s="1"/>
  <c r="AK120" i="67" s="1"/>
  <c r="U120" i="68"/>
  <c r="V120" i="68" s="1"/>
  <c r="W120" i="68" s="1"/>
  <c r="AA120" i="68" s="1"/>
  <c r="AB120" i="68" s="1"/>
  <c r="X120" i="68" s="1"/>
  <c r="Y120" i="68" s="1"/>
  <c r="I120" i="68" s="1"/>
  <c r="U131" i="67"/>
  <c r="V131" i="67" s="1"/>
  <c r="W131" i="67" s="1"/>
  <c r="AA131" i="67" s="1"/>
  <c r="AB131" i="67" s="1"/>
  <c r="X131" i="67" s="1"/>
  <c r="Y131" i="67" s="1"/>
  <c r="I131" i="67" s="1"/>
  <c r="AC131" i="67" s="1"/>
  <c r="AF131" i="67" s="1"/>
  <c r="AK131" i="67" s="1"/>
  <c r="U131" i="68"/>
  <c r="V131" i="68" s="1"/>
  <c r="W131" i="68" s="1"/>
  <c r="AA131" i="68" s="1"/>
  <c r="AB131" i="68" s="1"/>
  <c r="X131" i="68" s="1"/>
  <c r="Y131" i="68" s="1"/>
  <c r="I131" i="68" s="1"/>
  <c r="U33" i="67"/>
  <c r="V33" i="67" s="1"/>
  <c r="W33" i="67" s="1"/>
  <c r="AA33" i="67" s="1"/>
  <c r="AB33" i="67" s="1"/>
  <c r="X33" i="67" s="1"/>
  <c r="Y33" i="67" s="1"/>
  <c r="I33" i="67" s="1"/>
  <c r="AC33" i="67" s="1"/>
  <c r="AF33" i="67" s="1"/>
  <c r="AK33" i="67" s="1"/>
  <c r="U33" i="68"/>
  <c r="V33" i="68" s="1"/>
  <c r="W33" i="68" s="1"/>
  <c r="AA33" i="68" s="1"/>
  <c r="AB33" i="68" s="1"/>
  <c r="X33" i="68" s="1"/>
  <c r="Y33" i="68" s="1"/>
  <c r="I33" i="68" s="1"/>
  <c r="U25" i="67"/>
  <c r="V25" i="67" s="1"/>
  <c r="W25" i="67" s="1"/>
  <c r="AA25" i="67" s="1"/>
  <c r="AB25" i="67" s="1"/>
  <c r="X25" i="67" s="1"/>
  <c r="Y25" i="67" s="1"/>
  <c r="I25" i="67" s="1"/>
  <c r="K25" i="67" s="1"/>
  <c r="M25" i="67" s="1"/>
  <c r="AE25" i="67" s="1"/>
  <c r="AJ25" i="67" s="1"/>
  <c r="U25" i="68"/>
  <c r="V25" i="68" s="1"/>
  <c r="W25" i="68" s="1"/>
  <c r="AA25" i="68" s="1"/>
  <c r="AB25" i="68" s="1"/>
  <c r="X25" i="68" s="1"/>
  <c r="Y25" i="68" s="1"/>
  <c r="I25" i="68" s="1"/>
  <c r="U14" i="67"/>
  <c r="V14" i="67" s="1"/>
  <c r="W14" i="67" s="1"/>
  <c r="AA14" i="67" s="1"/>
  <c r="AB14" i="67" s="1"/>
  <c r="X14" i="67" s="1"/>
  <c r="Y14" i="67" s="1"/>
  <c r="I14" i="67" s="1"/>
  <c r="AC14" i="67" s="1"/>
  <c r="AF14" i="67" s="1"/>
  <c r="AK14" i="67" s="1"/>
  <c r="U14" i="68"/>
  <c r="V14" i="68" s="1"/>
  <c r="W14" i="68" s="1"/>
  <c r="AA14" i="68" s="1"/>
  <c r="AB14" i="68" s="1"/>
  <c r="X14" i="68" s="1"/>
  <c r="Y14" i="68" s="1"/>
  <c r="I14" i="68" s="1"/>
  <c r="U55" i="67"/>
  <c r="V55" i="67" s="1"/>
  <c r="W55" i="67" s="1"/>
  <c r="AA55" i="67" s="1"/>
  <c r="AB55" i="67" s="1"/>
  <c r="X55" i="67" s="1"/>
  <c r="Y55" i="67" s="1"/>
  <c r="I55" i="67" s="1"/>
  <c r="K55" i="67" s="1"/>
  <c r="M55" i="67" s="1"/>
  <c r="AE55" i="67" s="1"/>
  <c r="AJ55" i="67" s="1"/>
  <c r="U55" i="68"/>
  <c r="V55" i="68" s="1"/>
  <c r="W55" i="68" s="1"/>
  <c r="AA55" i="68" s="1"/>
  <c r="AB55" i="68" s="1"/>
  <c r="X55" i="68" s="1"/>
  <c r="Y55" i="68" s="1"/>
  <c r="I55" i="68" s="1"/>
  <c r="U84" i="67"/>
  <c r="V84" i="67" s="1"/>
  <c r="W84" i="67" s="1"/>
  <c r="AA84" i="67" s="1"/>
  <c r="AB84" i="67" s="1"/>
  <c r="X84" i="67" s="1"/>
  <c r="Y84" i="67" s="1"/>
  <c r="I84" i="67" s="1"/>
  <c r="K84" i="67" s="1"/>
  <c r="M84" i="67" s="1"/>
  <c r="AE84" i="67" s="1"/>
  <c r="AJ84" i="67" s="1"/>
  <c r="U84" i="68"/>
  <c r="V84" i="68" s="1"/>
  <c r="W84" i="68" s="1"/>
  <c r="AA84" i="68" s="1"/>
  <c r="AB84" i="68" s="1"/>
  <c r="X84" i="68" s="1"/>
  <c r="Y84" i="68" s="1"/>
  <c r="I84" i="68" s="1"/>
  <c r="U75" i="67"/>
  <c r="V75" i="67" s="1"/>
  <c r="W75" i="67" s="1"/>
  <c r="AA75" i="67" s="1"/>
  <c r="AB75" i="67" s="1"/>
  <c r="X75" i="67" s="1"/>
  <c r="Y75" i="67" s="1"/>
  <c r="I75" i="67" s="1"/>
  <c r="K75" i="67" s="1"/>
  <c r="M75" i="67" s="1"/>
  <c r="AE75" i="67" s="1"/>
  <c r="AJ75" i="67" s="1"/>
  <c r="U75" i="68"/>
  <c r="V75" i="68" s="1"/>
  <c r="W75" i="68" s="1"/>
  <c r="AA75" i="68" s="1"/>
  <c r="AB75" i="68" s="1"/>
  <c r="X75" i="68" s="1"/>
  <c r="Y75" i="68" s="1"/>
  <c r="I75" i="68" s="1"/>
  <c r="U198" i="67"/>
  <c r="V198" i="67" s="1"/>
  <c r="W198" i="67" s="1"/>
  <c r="AA198" i="67" s="1"/>
  <c r="AB198" i="67" s="1"/>
  <c r="X198" i="67" s="1"/>
  <c r="Y198" i="67" s="1"/>
  <c r="I198" i="67" s="1"/>
  <c r="U198" i="68"/>
  <c r="V198" i="68" s="1"/>
  <c r="W198" i="68" s="1"/>
  <c r="AA198" i="68" s="1"/>
  <c r="AB198" i="68" s="1"/>
  <c r="X198" i="68" s="1"/>
  <c r="Y198" i="68" s="1"/>
  <c r="I198" i="68" s="1"/>
  <c r="U9" i="67"/>
  <c r="V9" i="67" s="1"/>
  <c r="W9" i="67" s="1"/>
  <c r="AA9" i="67" s="1"/>
  <c r="AB9" i="67" s="1"/>
  <c r="X9" i="67" s="1"/>
  <c r="Y9" i="67" s="1"/>
  <c r="I9" i="67" s="1"/>
  <c r="U9" i="68"/>
  <c r="V9" i="68" s="1"/>
  <c r="W9" i="68" s="1"/>
  <c r="AA9" i="68" s="1"/>
  <c r="AB9" i="68" s="1"/>
  <c r="X9" i="68" s="1"/>
  <c r="Y9" i="68" s="1"/>
  <c r="I9" i="68" s="1"/>
  <c r="U141" i="67"/>
  <c r="V141" i="67" s="1"/>
  <c r="W141" i="67" s="1"/>
  <c r="AA141" i="67" s="1"/>
  <c r="AB141" i="67" s="1"/>
  <c r="X141" i="67" s="1"/>
  <c r="Y141" i="67" s="1"/>
  <c r="I141" i="67" s="1"/>
  <c r="K141" i="67" s="1"/>
  <c r="M141" i="67" s="1"/>
  <c r="AE141" i="67" s="1"/>
  <c r="AJ141" i="67" s="1"/>
  <c r="U141" i="68"/>
  <c r="V141" i="68" s="1"/>
  <c r="W141" i="68" s="1"/>
  <c r="AA141" i="68" s="1"/>
  <c r="AB141" i="68" s="1"/>
  <c r="X141" i="68" s="1"/>
  <c r="Y141" i="68" s="1"/>
  <c r="I141" i="68" s="1"/>
  <c r="U61" i="67"/>
  <c r="V61" i="67" s="1"/>
  <c r="W61" i="67" s="1"/>
  <c r="AA61" i="67" s="1"/>
  <c r="AB61" i="67" s="1"/>
  <c r="X61" i="67" s="1"/>
  <c r="Y61" i="67" s="1"/>
  <c r="I61" i="67" s="1"/>
  <c r="K61" i="67" s="1"/>
  <c r="M61" i="67" s="1"/>
  <c r="AE61" i="67" s="1"/>
  <c r="AJ61" i="67" s="1"/>
  <c r="U61" i="68"/>
  <c r="V61" i="68" s="1"/>
  <c r="W61" i="68" s="1"/>
  <c r="AA61" i="68" s="1"/>
  <c r="AB61" i="68" s="1"/>
  <c r="X61" i="68" s="1"/>
  <c r="Y61" i="68" s="1"/>
  <c r="I61" i="68" s="1"/>
  <c r="U160" i="67"/>
  <c r="V160" i="67" s="1"/>
  <c r="W160" i="67" s="1"/>
  <c r="AA160" i="67" s="1"/>
  <c r="AB160" i="67" s="1"/>
  <c r="X160" i="67" s="1"/>
  <c r="Y160" i="67" s="1"/>
  <c r="I160" i="67" s="1"/>
  <c r="AC160" i="67" s="1"/>
  <c r="AF160" i="67" s="1"/>
  <c r="AK160" i="67" s="1"/>
  <c r="U160" i="68"/>
  <c r="V160" i="68" s="1"/>
  <c r="W160" i="68" s="1"/>
  <c r="AA160" i="68" s="1"/>
  <c r="AB160" i="68" s="1"/>
  <c r="X160" i="68" s="1"/>
  <c r="Y160" i="68" s="1"/>
  <c r="I160" i="68" s="1"/>
  <c r="U45" i="67"/>
  <c r="V45" i="67" s="1"/>
  <c r="W45" i="67" s="1"/>
  <c r="AA45" i="67" s="1"/>
  <c r="AB45" i="67" s="1"/>
  <c r="X45" i="67" s="1"/>
  <c r="Y45" i="67" s="1"/>
  <c r="I45" i="67" s="1"/>
  <c r="K45" i="67" s="1"/>
  <c r="M45" i="67" s="1"/>
  <c r="AE45" i="67" s="1"/>
  <c r="AJ45" i="67" s="1"/>
  <c r="U45" i="68"/>
  <c r="V45" i="68" s="1"/>
  <c r="W45" i="68" s="1"/>
  <c r="AA45" i="68" s="1"/>
  <c r="AB45" i="68" s="1"/>
  <c r="X45" i="68" s="1"/>
  <c r="Y45" i="68" s="1"/>
  <c r="I45" i="68" s="1"/>
  <c r="U110" i="67"/>
  <c r="V110" i="67" s="1"/>
  <c r="W110" i="67" s="1"/>
  <c r="AA110" i="67" s="1"/>
  <c r="AB110" i="67" s="1"/>
  <c r="X110" i="67" s="1"/>
  <c r="Y110" i="67" s="1"/>
  <c r="I110" i="67" s="1"/>
  <c r="K110" i="67" s="1"/>
  <c r="M110" i="67" s="1"/>
  <c r="AE110" i="67" s="1"/>
  <c r="AJ110" i="67" s="1"/>
  <c r="U110" i="68"/>
  <c r="V110" i="68" s="1"/>
  <c r="W110" i="68" s="1"/>
  <c r="AA110" i="68" s="1"/>
  <c r="AB110" i="68" s="1"/>
  <c r="X110" i="68" s="1"/>
  <c r="Y110" i="68" s="1"/>
  <c r="I110" i="68" s="1"/>
  <c r="U122" i="67"/>
  <c r="V122" i="67" s="1"/>
  <c r="W122" i="67" s="1"/>
  <c r="AA122" i="67" s="1"/>
  <c r="AB122" i="67" s="1"/>
  <c r="X122" i="67" s="1"/>
  <c r="Y122" i="67" s="1"/>
  <c r="I122" i="67" s="1"/>
  <c r="K122" i="67" s="1"/>
  <c r="M122" i="67" s="1"/>
  <c r="AE122" i="67" s="1"/>
  <c r="AJ122" i="67" s="1"/>
  <c r="U122" i="68"/>
  <c r="V122" i="68" s="1"/>
  <c r="W122" i="68" s="1"/>
  <c r="AA122" i="68" s="1"/>
  <c r="AB122" i="68" s="1"/>
  <c r="X122" i="68" s="1"/>
  <c r="Y122" i="68" s="1"/>
  <c r="I122" i="68" s="1"/>
  <c r="U117" i="67"/>
  <c r="V117" i="67" s="1"/>
  <c r="W117" i="67" s="1"/>
  <c r="AA117" i="67" s="1"/>
  <c r="AB117" i="67" s="1"/>
  <c r="X117" i="67" s="1"/>
  <c r="Y117" i="67" s="1"/>
  <c r="I117" i="67" s="1"/>
  <c r="AC117" i="67" s="1"/>
  <c r="AF117" i="67" s="1"/>
  <c r="AK117" i="67" s="1"/>
  <c r="U117" i="68"/>
  <c r="V117" i="68" s="1"/>
  <c r="W117" i="68" s="1"/>
  <c r="AA117" i="68" s="1"/>
  <c r="AB117" i="68" s="1"/>
  <c r="X117" i="68" s="1"/>
  <c r="Y117" i="68" s="1"/>
  <c r="I117" i="68" s="1"/>
  <c r="U83" i="67"/>
  <c r="V83" i="67" s="1"/>
  <c r="W83" i="67" s="1"/>
  <c r="AA83" i="67" s="1"/>
  <c r="AB83" i="67" s="1"/>
  <c r="X83" i="67" s="1"/>
  <c r="Y83" i="67" s="1"/>
  <c r="I83" i="67" s="1"/>
  <c r="K83" i="67" s="1"/>
  <c r="M83" i="67" s="1"/>
  <c r="AE83" i="67" s="1"/>
  <c r="AJ83" i="67" s="1"/>
  <c r="U83" i="68"/>
  <c r="V83" i="68" s="1"/>
  <c r="W83" i="68" s="1"/>
  <c r="AA83" i="68" s="1"/>
  <c r="AB83" i="68" s="1"/>
  <c r="X83" i="68" s="1"/>
  <c r="Y83" i="68" s="1"/>
  <c r="I83" i="68" s="1"/>
  <c r="U81" i="67"/>
  <c r="V81" i="67" s="1"/>
  <c r="W81" i="67" s="1"/>
  <c r="AA81" i="67" s="1"/>
  <c r="AB81" i="67" s="1"/>
  <c r="X81" i="67" s="1"/>
  <c r="Y81" i="67" s="1"/>
  <c r="I81" i="67" s="1"/>
  <c r="AC81" i="67" s="1"/>
  <c r="AF81" i="67" s="1"/>
  <c r="AK81" i="67" s="1"/>
  <c r="U81" i="68"/>
  <c r="V81" i="68" s="1"/>
  <c r="W81" i="68" s="1"/>
  <c r="AA81" i="68" s="1"/>
  <c r="AB81" i="68" s="1"/>
  <c r="X81" i="68" s="1"/>
  <c r="Y81" i="68" s="1"/>
  <c r="I81" i="68" s="1"/>
  <c r="U132" i="67"/>
  <c r="V132" i="67" s="1"/>
  <c r="W132" i="67" s="1"/>
  <c r="AA132" i="67" s="1"/>
  <c r="AB132" i="67" s="1"/>
  <c r="X132" i="67" s="1"/>
  <c r="Y132" i="67" s="1"/>
  <c r="I132" i="67" s="1"/>
  <c r="K132" i="67" s="1"/>
  <c r="M132" i="67" s="1"/>
  <c r="AE132" i="67" s="1"/>
  <c r="AJ132" i="67" s="1"/>
  <c r="U132" i="68"/>
  <c r="V132" i="68" s="1"/>
  <c r="W132" i="68" s="1"/>
  <c r="AA132" i="68" s="1"/>
  <c r="AB132" i="68" s="1"/>
  <c r="X132" i="68" s="1"/>
  <c r="Y132" i="68" s="1"/>
  <c r="I132" i="68" s="1"/>
  <c r="U58" i="67"/>
  <c r="V58" i="67" s="1"/>
  <c r="W58" i="67" s="1"/>
  <c r="AA58" i="67" s="1"/>
  <c r="AB58" i="67" s="1"/>
  <c r="X58" i="67" s="1"/>
  <c r="Y58" i="67" s="1"/>
  <c r="I58" i="67" s="1"/>
  <c r="AC58" i="67" s="1"/>
  <c r="AF58" i="67" s="1"/>
  <c r="AK58" i="67" s="1"/>
  <c r="U58" i="68"/>
  <c r="V58" i="68" s="1"/>
  <c r="W58" i="68" s="1"/>
  <c r="AA58" i="68" s="1"/>
  <c r="AB58" i="68" s="1"/>
  <c r="X58" i="68" s="1"/>
  <c r="Y58" i="68" s="1"/>
  <c r="I58" i="68" s="1"/>
  <c r="U85" i="67"/>
  <c r="V85" i="67" s="1"/>
  <c r="W85" i="67" s="1"/>
  <c r="AA85" i="67" s="1"/>
  <c r="AB85" i="67" s="1"/>
  <c r="X85" i="67" s="1"/>
  <c r="Y85" i="67" s="1"/>
  <c r="I85" i="67" s="1"/>
  <c r="AC85" i="67" s="1"/>
  <c r="AF85" i="67" s="1"/>
  <c r="AK85" i="67" s="1"/>
  <c r="U85" i="68"/>
  <c r="V85" i="68" s="1"/>
  <c r="W85" i="68" s="1"/>
  <c r="AA85" i="68" s="1"/>
  <c r="AB85" i="68" s="1"/>
  <c r="X85" i="68" s="1"/>
  <c r="Y85" i="68" s="1"/>
  <c r="I85" i="68" s="1"/>
  <c r="U89" i="67"/>
  <c r="V89" i="67" s="1"/>
  <c r="W89" i="67" s="1"/>
  <c r="AA89" i="67" s="1"/>
  <c r="AB89" i="67" s="1"/>
  <c r="X89" i="67" s="1"/>
  <c r="Y89" i="67" s="1"/>
  <c r="I89" i="67" s="1"/>
  <c r="K89" i="67" s="1"/>
  <c r="M89" i="67" s="1"/>
  <c r="AE89" i="67" s="1"/>
  <c r="AJ89" i="67" s="1"/>
  <c r="U89" i="68"/>
  <c r="V89" i="68" s="1"/>
  <c r="W89" i="68" s="1"/>
  <c r="AA89" i="68" s="1"/>
  <c r="AB89" i="68" s="1"/>
  <c r="X89" i="68" s="1"/>
  <c r="Y89" i="68" s="1"/>
  <c r="I89" i="68" s="1"/>
  <c r="U4" i="67"/>
  <c r="V4" i="67" s="1"/>
  <c r="W4" i="67" s="1"/>
  <c r="AA4" i="67" s="1"/>
  <c r="AB4" i="67" s="1"/>
  <c r="X4" i="67" s="1"/>
  <c r="Y4" i="67" s="1"/>
  <c r="I4" i="67" s="1"/>
  <c r="K4" i="67" s="1"/>
  <c r="M4" i="67" s="1"/>
  <c r="AE4" i="67" s="1"/>
  <c r="AJ4" i="67" s="1"/>
  <c r="U4" i="68"/>
  <c r="V4" i="68" s="1"/>
  <c r="W4" i="68" s="1"/>
  <c r="AA4" i="68" s="1"/>
  <c r="AB4" i="68" s="1"/>
  <c r="X4" i="68" s="1"/>
  <c r="Y4" i="68" s="1"/>
  <c r="I4" i="68" s="1"/>
  <c r="U163" i="67"/>
  <c r="V163" i="67" s="1"/>
  <c r="W163" i="67" s="1"/>
  <c r="AA163" i="67" s="1"/>
  <c r="AB163" i="67" s="1"/>
  <c r="X163" i="67" s="1"/>
  <c r="Y163" i="67" s="1"/>
  <c r="I163" i="67" s="1"/>
  <c r="AC163" i="67" s="1"/>
  <c r="AF163" i="67" s="1"/>
  <c r="AK163" i="67" s="1"/>
  <c r="U163" i="68"/>
  <c r="V163" i="68" s="1"/>
  <c r="W163" i="68" s="1"/>
  <c r="AA163" i="68" s="1"/>
  <c r="AB163" i="68" s="1"/>
  <c r="X163" i="68" s="1"/>
  <c r="Y163" i="68" s="1"/>
  <c r="I163" i="68" s="1"/>
  <c r="U96" i="67"/>
  <c r="V96" i="67" s="1"/>
  <c r="W96" i="67" s="1"/>
  <c r="AA96" i="67" s="1"/>
  <c r="AB96" i="67" s="1"/>
  <c r="X96" i="67" s="1"/>
  <c r="Y96" i="67" s="1"/>
  <c r="I96" i="67" s="1"/>
  <c r="AC96" i="67" s="1"/>
  <c r="AF96" i="67" s="1"/>
  <c r="AK96" i="67" s="1"/>
  <c r="U96" i="68"/>
  <c r="V96" i="68" s="1"/>
  <c r="W96" i="68" s="1"/>
  <c r="AA96" i="68" s="1"/>
  <c r="AB96" i="68" s="1"/>
  <c r="X96" i="68" s="1"/>
  <c r="Y96" i="68" s="1"/>
  <c r="I96" i="68" s="1"/>
  <c r="U143" i="67"/>
  <c r="V143" i="67" s="1"/>
  <c r="W143" i="67" s="1"/>
  <c r="AA143" i="67" s="1"/>
  <c r="AB143" i="67" s="1"/>
  <c r="X143" i="67" s="1"/>
  <c r="Y143" i="67" s="1"/>
  <c r="I143" i="67" s="1"/>
  <c r="K143" i="67" s="1"/>
  <c r="M143" i="67" s="1"/>
  <c r="AE143" i="67" s="1"/>
  <c r="AJ143" i="67" s="1"/>
  <c r="U143" i="68"/>
  <c r="V143" i="68" s="1"/>
  <c r="W143" i="68" s="1"/>
  <c r="AA143" i="68" s="1"/>
  <c r="AB143" i="68" s="1"/>
  <c r="X143" i="68" s="1"/>
  <c r="Y143" i="68" s="1"/>
  <c r="I143" i="68" s="1"/>
  <c r="U68" i="67"/>
  <c r="V68" i="67" s="1"/>
  <c r="W68" i="67" s="1"/>
  <c r="AA68" i="67" s="1"/>
  <c r="AB68" i="67" s="1"/>
  <c r="X68" i="67" s="1"/>
  <c r="Y68" i="67" s="1"/>
  <c r="I68" i="67" s="1"/>
  <c r="AC68" i="67" s="1"/>
  <c r="AF68" i="67" s="1"/>
  <c r="AK68" i="67" s="1"/>
  <c r="U68" i="68"/>
  <c r="V68" i="68" s="1"/>
  <c r="W68" i="68" s="1"/>
  <c r="AA68" i="68" s="1"/>
  <c r="AB68" i="68" s="1"/>
  <c r="X68" i="68" s="1"/>
  <c r="Y68" i="68" s="1"/>
  <c r="I68" i="68" s="1"/>
  <c r="U128" i="67"/>
  <c r="V128" i="67" s="1"/>
  <c r="W128" i="67" s="1"/>
  <c r="AA128" i="67" s="1"/>
  <c r="AB128" i="67" s="1"/>
  <c r="X128" i="67" s="1"/>
  <c r="Y128" i="67" s="1"/>
  <c r="I128" i="67" s="1"/>
  <c r="K128" i="67" s="1"/>
  <c r="M128" i="67" s="1"/>
  <c r="AE128" i="67" s="1"/>
  <c r="AJ128" i="67" s="1"/>
  <c r="U128" i="68"/>
  <c r="V128" i="68" s="1"/>
  <c r="W128" i="68" s="1"/>
  <c r="AA128" i="68" s="1"/>
  <c r="AB128" i="68" s="1"/>
  <c r="X128" i="68" s="1"/>
  <c r="Y128" i="68" s="1"/>
  <c r="I128" i="68" s="1"/>
  <c r="U23" i="67"/>
  <c r="V23" i="67" s="1"/>
  <c r="W23" i="67" s="1"/>
  <c r="AA23" i="67" s="1"/>
  <c r="AB23" i="67" s="1"/>
  <c r="X23" i="67" s="1"/>
  <c r="Y23" i="67" s="1"/>
  <c r="I23" i="67" s="1"/>
  <c r="AC23" i="67" s="1"/>
  <c r="AF23" i="67" s="1"/>
  <c r="AK23" i="67" s="1"/>
  <c r="U23" i="68"/>
  <c r="V23" i="68" s="1"/>
  <c r="W23" i="68" s="1"/>
  <c r="AA23" i="68" s="1"/>
  <c r="AB23" i="68" s="1"/>
  <c r="X23" i="68" s="1"/>
  <c r="Y23" i="68" s="1"/>
  <c r="I23" i="68" s="1"/>
  <c r="U174" i="67"/>
  <c r="V174" i="67" s="1"/>
  <c r="W174" i="67" s="1"/>
  <c r="AA174" i="67" s="1"/>
  <c r="AB174" i="67" s="1"/>
  <c r="X174" i="67" s="1"/>
  <c r="Y174" i="67" s="1"/>
  <c r="I174" i="67" s="1"/>
  <c r="AC174" i="67" s="1"/>
  <c r="AF174" i="67" s="1"/>
  <c r="AK174" i="67" s="1"/>
  <c r="U174" i="68"/>
  <c r="V174" i="68" s="1"/>
  <c r="W174" i="68" s="1"/>
  <c r="AA174" i="68" s="1"/>
  <c r="AB174" i="68" s="1"/>
  <c r="X174" i="68" s="1"/>
  <c r="Y174" i="68" s="1"/>
  <c r="I174" i="68" s="1"/>
  <c r="U76" i="67"/>
  <c r="V76" i="67" s="1"/>
  <c r="W76" i="67" s="1"/>
  <c r="AA76" i="67" s="1"/>
  <c r="AB76" i="67" s="1"/>
  <c r="X76" i="67" s="1"/>
  <c r="Y76" i="67" s="1"/>
  <c r="I76" i="67" s="1"/>
  <c r="K76" i="67" s="1"/>
  <c r="M76" i="67" s="1"/>
  <c r="AE76" i="67" s="1"/>
  <c r="AJ76" i="67" s="1"/>
  <c r="U76" i="68"/>
  <c r="V76" i="68" s="1"/>
  <c r="W76" i="68" s="1"/>
  <c r="AA76" i="68" s="1"/>
  <c r="AB76" i="68" s="1"/>
  <c r="X76" i="68" s="1"/>
  <c r="Y76" i="68" s="1"/>
  <c r="I76" i="68" s="1"/>
  <c r="U82" i="67"/>
  <c r="V82" i="67" s="1"/>
  <c r="W82" i="67" s="1"/>
  <c r="AA82" i="67" s="1"/>
  <c r="AB82" i="67" s="1"/>
  <c r="X82" i="67" s="1"/>
  <c r="Y82" i="67" s="1"/>
  <c r="I82" i="67" s="1"/>
  <c r="AC82" i="67" s="1"/>
  <c r="AF82" i="67" s="1"/>
  <c r="AK82" i="67" s="1"/>
  <c r="U82" i="68"/>
  <c r="V82" i="68" s="1"/>
  <c r="W82" i="68" s="1"/>
  <c r="AA82" i="68" s="1"/>
  <c r="AB82" i="68" s="1"/>
  <c r="X82" i="68" s="1"/>
  <c r="Y82" i="68" s="1"/>
  <c r="I82" i="68" s="1"/>
  <c r="U10" i="67"/>
  <c r="V10" i="67" s="1"/>
  <c r="W10" i="67" s="1"/>
  <c r="AA10" i="67" s="1"/>
  <c r="AB10" i="67" s="1"/>
  <c r="X10" i="67" s="1"/>
  <c r="Y10" i="67" s="1"/>
  <c r="I10" i="67" s="1"/>
  <c r="AC10" i="67" s="1"/>
  <c r="AF10" i="67" s="1"/>
  <c r="AK10" i="67" s="1"/>
  <c r="U10" i="68"/>
  <c r="V10" i="68" s="1"/>
  <c r="W10" i="68" s="1"/>
  <c r="AA10" i="68" s="1"/>
  <c r="AB10" i="68" s="1"/>
  <c r="X10" i="68" s="1"/>
  <c r="Y10" i="68" s="1"/>
  <c r="I10" i="68" s="1"/>
  <c r="U169" i="67"/>
  <c r="V169" i="67" s="1"/>
  <c r="W169" i="67" s="1"/>
  <c r="AA169" i="67" s="1"/>
  <c r="AB169" i="67" s="1"/>
  <c r="X169" i="67" s="1"/>
  <c r="Y169" i="67" s="1"/>
  <c r="I169" i="67" s="1"/>
  <c r="K169" i="67" s="1"/>
  <c r="M169" i="67" s="1"/>
  <c r="AE169" i="67" s="1"/>
  <c r="AJ169" i="67" s="1"/>
  <c r="U169" i="68"/>
  <c r="V169" i="68" s="1"/>
  <c r="W169" i="68" s="1"/>
  <c r="AA169" i="68" s="1"/>
  <c r="AB169" i="68" s="1"/>
  <c r="X169" i="68" s="1"/>
  <c r="Y169" i="68" s="1"/>
  <c r="I169" i="68" s="1"/>
  <c r="U94" i="67"/>
  <c r="V94" i="67" s="1"/>
  <c r="W94" i="67" s="1"/>
  <c r="AA94" i="67" s="1"/>
  <c r="AB94" i="67" s="1"/>
  <c r="X94" i="67" s="1"/>
  <c r="Y94" i="67" s="1"/>
  <c r="I94" i="67" s="1"/>
  <c r="K94" i="67" s="1"/>
  <c r="M94" i="67" s="1"/>
  <c r="AE94" i="67" s="1"/>
  <c r="AJ94" i="67" s="1"/>
  <c r="U94" i="68"/>
  <c r="V94" i="68" s="1"/>
  <c r="W94" i="68" s="1"/>
  <c r="AA94" i="68" s="1"/>
  <c r="AB94" i="68" s="1"/>
  <c r="X94" i="68" s="1"/>
  <c r="Y94" i="68" s="1"/>
  <c r="I94" i="68" s="1"/>
  <c r="U29" i="67"/>
  <c r="V29" i="67" s="1"/>
  <c r="W29" i="67" s="1"/>
  <c r="AA29" i="67" s="1"/>
  <c r="AB29" i="67" s="1"/>
  <c r="X29" i="67" s="1"/>
  <c r="Y29" i="67" s="1"/>
  <c r="I29" i="67" s="1"/>
  <c r="U29" i="68"/>
  <c r="V29" i="68" s="1"/>
  <c r="W29" i="68" s="1"/>
  <c r="AA29" i="68" s="1"/>
  <c r="AB29" i="68" s="1"/>
  <c r="X29" i="68" s="1"/>
  <c r="Y29" i="68" s="1"/>
  <c r="I29" i="68" s="1"/>
  <c r="U53" i="67"/>
  <c r="V53" i="67" s="1"/>
  <c r="W53" i="67" s="1"/>
  <c r="AA53" i="67" s="1"/>
  <c r="AB53" i="67" s="1"/>
  <c r="X53" i="67" s="1"/>
  <c r="Y53" i="67" s="1"/>
  <c r="I53" i="67" s="1"/>
  <c r="K53" i="67" s="1"/>
  <c r="M53" i="67" s="1"/>
  <c r="AE53" i="67" s="1"/>
  <c r="AJ53" i="67" s="1"/>
  <c r="U53" i="68"/>
  <c r="V53" i="68" s="1"/>
  <c r="W53" i="68" s="1"/>
  <c r="AA53" i="68" s="1"/>
  <c r="AB53" i="68" s="1"/>
  <c r="X53" i="68" s="1"/>
  <c r="Y53" i="68" s="1"/>
  <c r="I53" i="68" s="1"/>
  <c r="U91" i="67"/>
  <c r="V91" i="67" s="1"/>
  <c r="W91" i="67" s="1"/>
  <c r="AA91" i="67" s="1"/>
  <c r="AB91" i="67" s="1"/>
  <c r="X91" i="67" s="1"/>
  <c r="Y91" i="67" s="1"/>
  <c r="I91" i="67" s="1"/>
  <c r="U91" i="68"/>
  <c r="V91" i="68" s="1"/>
  <c r="W91" i="68" s="1"/>
  <c r="AA91" i="68" s="1"/>
  <c r="AB91" i="68" s="1"/>
  <c r="X91" i="68" s="1"/>
  <c r="Y91" i="68" s="1"/>
  <c r="I91" i="68" s="1"/>
  <c r="U151" i="67"/>
  <c r="V151" i="67" s="1"/>
  <c r="W151" i="67" s="1"/>
  <c r="AA151" i="67" s="1"/>
  <c r="AB151" i="67" s="1"/>
  <c r="X151" i="67" s="1"/>
  <c r="Y151" i="67" s="1"/>
  <c r="I151" i="67" s="1"/>
  <c r="K151" i="67" s="1"/>
  <c r="M151" i="67" s="1"/>
  <c r="AE151" i="67" s="1"/>
  <c r="AJ151" i="67" s="1"/>
  <c r="U151" i="68"/>
  <c r="V151" i="68" s="1"/>
  <c r="W151" i="68" s="1"/>
  <c r="AA151" i="68" s="1"/>
  <c r="AB151" i="68" s="1"/>
  <c r="X151" i="68" s="1"/>
  <c r="Y151" i="68" s="1"/>
  <c r="I151" i="68" s="1"/>
  <c r="U161" i="67"/>
  <c r="V161" i="67" s="1"/>
  <c r="W161" i="67" s="1"/>
  <c r="AA161" i="67" s="1"/>
  <c r="AB161" i="67" s="1"/>
  <c r="X161" i="67" s="1"/>
  <c r="Y161" i="67" s="1"/>
  <c r="I161" i="67" s="1"/>
  <c r="K161" i="67" s="1"/>
  <c r="M161" i="67" s="1"/>
  <c r="AE161" i="67" s="1"/>
  <c r="AJ161" i="67" s="1"/>
  <c r="U161" i="68"/>
  <c r="V161" i="68" s="1"/>
  <c r="W161" i="68" s="1"/>
  <c r="AA161" i="68" s="1"/>
  <c r="AB161" i="68" s="1"/>
  <c r="X161" i="68" s="1"/>
  <c r="Y161" i="68" s="1"/>
  <c r="I161" i="68" s="1"/>
  <c r="U5" i="67"/>
  <c r="V5" i="67" s="1"/>
  <c r="W5" i="67" s="1"/>
  <c r="AA5" i="67" s="1"/>
  <c r="AB5" i="67" s="1"/>
  <c r="X5" i="67" s="1"/>
  <c r="Y5" i="67" s="1"/>
  <c r="I5" i="67" s="1"/>
  <c r="K5" i="67" s="1"/>
  <c r="M5" i="67" s="1"/>
  <c r="AE5" i="67" s="1"/>
  <c r="AJ5" i="67" s="1"/>
  <c r="U5" i="68"/>
  <c r="V5" i="68" s="1"/>
  <c r="W5" i="68" s="1"/>
  <c r="AA5" i="68" s="1"/>
  <c r="AB5" i="68" s="1"/>
  <c r="X5" i="68" s="1"/>
  <c r="Y5" i="68" s="1"/>
  <c r="I5" i="68" s="1"/>
  <c r="U183" i="67"/>
  <c r="V183" i="67" s="1"/>
  <c r="W183" i="67" s="1"/>
  <c r="AA183" i="67" s="1"/>
  <c r="AB183" i="67" s="1"/>
  <c r="X183" i="67" s="1"/>
  <c r="Y183" i="67" s="1"/>
  <c r="I183" i="67" s="1"/>
  <c r="K183" i="67" s="1"/>
  <c r="M183" i="67" s="1"/>
  <c r="AE183" i="67" s="1"/>
  <c r="AJ183" i="67" s="1"/>
  <c r="U183" i="68"/>
  <c r="V183" i="68" s="1"/>
  <c r="W183" i="68" s="1"/>
  <c r="AA183" i="68" s="1"/>
  <c r="AB183" i="68" s="1"/>
  <c r="X183" i="68" s="1"/>
  <c r="Y183" i="68" s="1"/>
  <c r="I183" i="68" s="1"/>
  <c r="U78" i="67"/>
  <c r="V78" i="67" s="1"/>
  <c r="W78" i="67" s="1"/>
  <c r="AA78" i="67" s="1"/>
  <c r="AB78" i="67" s="1"/>
  <c r="X78" i="67" s="1"/>
  <c r="Y78" i="67" s="1"/>
  <c r="I78" i="67" s="1"/>
  <c r="AC78" i="67" s="1"/>
  <c r="AF78" i="67" s="1"/>
  <c r="AK78" i="67" s="1"/>
  <c r="U78" i="68"/>
  <c r="V78" i="68" s="1"/>
  <c r="W78" i="68" s="1"/>
  <c r="AA78" i="68" s="1"/>
  <c r="AB78" i="68" s="1"/>
  <c r="X78" i="68" s="1"/>
  <c r="Y78" i="68" s="1"/>
  <c r="I78" i="68" s="1"/>
  <c r="U152" i="67"/>
  <c r="V152" i="67" s="1"/>
  <c r="W152" i="67" s="1"/>
  <c r="AA152" i="67" s="1"/>
  <c r="AB152" i="67" s="1"/>
  <c r="X152" i="67" s="1"/>
  <c r="Y152" i="67" s="1"/>
  <c r="I152" i="67" s="1"/>
  <c r="AC152" i="67" s="1"/>
  <c r="AF152" i="67" s="1"/>
  <c r="AK152" i="67" s="1"/>
  <c r="U152" i="68"/>
  <c r="V152" i="68" s="1"/>
  <c r="W152" i="68" s="1"/>
  <c r="AA152" i="68" s="1"/>
  <c r="AB152" i="68" s="1"/>
  <c r="X152" i="68" s="1"/>
  <c r="Y152" i="68" s="1"/>
  <c r="I152" i="68" s="1"/>
  <c r="U201" i="67"/>
  <c r="V201" i="67" s="1"/>
  <c r="W201" i="67" s="1"/>
  <c r="AA201" i="67" s="1"/>
  <c r="AB201" i="67" s="1"/>
  <c r="X201" i="67" s="1"/>
  <c r="Y201" i="67" s="1"/>
  <c r="I201" i="67" s="1"/>
  <c r="AC201" i="67" s="1"/>
  <c r="AF201" i="67" s="1"/>
  <c r="AK201" i="67" s="1"/>
  <c r="U201" i="68"/>
  <c r="V201" i="68" s="1"/>
  <c r="W201" i="68" s="1"/>
  <c r="AA201" i="68" s="1"/>
  <c r="AB201" i="68" s="1"/>
  <c r="X201" i="68" s="1"/>
  <c r="Y201" i="68" s="1"/>
  <c r="I201" i="68" s="1"/>
  <c r="AC62" i="68"/>
  <c r="K62" i="68"/>
  <c r="M62" i="68" s="1"/>
  <c r="AE62" i="68" s="1"/>
  <c r="U125" i="67"/>
  <c r="V125" i="67" s="1"/>
  <c r="W125" i="67" s="1"/>
  <c r="AA125" i="67" s="1"/>
  <c r="AB125" i="67" s="1"/>
  <c r="X125" i="67" s="1"/>
  <c r="Y125" i="67" s="1"/>
  <c r="I125" i="67" s="1"/>
  <c r="K125" i="67" s="1"/>
  <c r="M125" i="67" s="1"/>
  <c r="AE125" i="67" s="1"/>
  <c r="AJ125" i="67" s="1"/>
  <c r="U125" i="68"/>
  <c r="V125" i="68" s="1"/>
  <c r="W125" i="68" s="1"/>
  <c r="AA125" i="68" s="1"/>
  <c r="AB125" i="68" s="1"/>
  <c r="X125" i="68" s="1"/>
  <c r="Y125" i="68" s="1"/>
  <c r="I125" i="68" s="1"/>
  <c r="U187" i="67"/>
  <c r="V187" i="67" s="1"/>
  <c r="W187" i="67" s="1"/>
  <c r="AA187" i="67" s="1"/>
  <c r="AB187" i="67" s="1"/>
  <c r="X187" i="67" s="1"/>
  <c r="Y187" i="67" s="1"/>
  <c r="I187" i="67" s="1"/>
  <c r="K187" i="67" s="1"/>
  <c r="M187" i="67" s="1"/>
  <c r="AE187" i="67" s="1"/>
  <c r="AJ187" i="67" s="1"/>
  <c r="U187" i="68"/>
  <c r="V187" i="68" s="1"/>
  <c r="W187" i="68" s="1"/>
  <c r="AA187" i="68" s="1"/>
  <c r="AB187" i="68" s="1"/>
  <c r="X187" i="68" s="1"/>
  <c r="Y187" i="68" s="1"/>
  <c r="I187" i="68" s="1"/>
  <c r="U18" i="67"/>
  <c r="V18" i="67" s="1"/>
  <c r="W18" i="67" s="1"/>
  <c r="AA18" i="67" s="1"/>
  <c r="AB18" i="67" s="1"/>
  <c r="X18" i="67" s="1"/>
  <c r="Y18" i="67" s="1"/>
  <c r="I18" i="67" s="1"/>
  <c r="K18" i="67" s="1"/>
  <c r="M18" i="67" s="1"/>
  <c r="AE18" i="67" s="1"/>
  <c r="AJ18" i="67" s="1"/>
  <c r="U18" i="68"/>
  <c r="V18" i="68" s="1"/>
  <c r="W18" i="68" s="1"/>
  <c r="AA18" i="68" s="1"/>
  <c r="AB18" i="68" s="1"/>
  <c r="X18" i="68" s="1"/>
  <c r="Y18" i="68" s="1"/>
  <c r="I18" i="68" s="1"/>
  <c r="U135" i="67"/>
  <c r="V135" i="67" s="1"/>
  <c r="W135" i="67" s="1"/>
  <c r="AA135" i="67" s="1"/>
  <c r="AB135" i="67" s="1"/>
  <c r="X135" i="67" s="1"/>
  <c r="Y135" i="67" s="1"/>
  <c r="I135" i="67" s="1"/>
  <c r="K135" i="67" s="1"/>
  <c r="M135" i="67" s="1"/>
  <c r="AE135" i="67" s="1"/>
  <c r="AJ135" i="67" s="1"/>
  <c r="U135" i="68"/>
  <c r="V135" i="68" s="1"/>
  <c r="W135" i="68" s="1"/>
  <c r="AA135" i="68" s="1"/>
  <c r="AB135" i="68" s="1"/>
  <c r="X135" i="68" s="1"/>
  <c r="Y135" i="68" s="1"/>
  <c r="I135" i="68" s="1"/>
  <c r="AC69" i="68"/>
  <c r="K69" i="68"/>
  <c r="M69" i="68" s="1"/>
  <c r="AE69" i="68" s="1"/>
  <c r="U127" i="67"/>
  <c r="V127" i="67" s="1"/>
  <c r="W127" i="67" s="1"/>
  <c r="AA127" i="67" s="1"/>
  <c r="AB127" i="67" s="1"/>
  <c r="X127" i="67" s="1"/>
  <c r="Y127" i="67" s="1"/>
  <c r="I127" i="67" s="1"/>
  <c r="K127" i="67" s="1"/>
  <c r="M127" i="67" s="1"/>
  <c r="AE127" i="67" s="1"/>
  <c r="AJ127" i="67" s="1"/>
  <c r="U127" i="68"/>
  <c r="V127" i="68" s="1"/>
  <c r="W127" i="68" s="1"/>
  <c r="AA127" i="68" s="1"/>
  <c r="AB127" i="68" s="1"/>
  <c r="X127" i="68" s="1"/>
  <c r="Y127" i="68" s="1"/>
  <c r="I127" i="68" s="1"/>
  <c r="U109" i="67"/>
  <c r="V109" i="67" s="1"/>
  <c r="W109" i="67" s="1"/>
  <c r="AA109" i="67" s="1"/>
  <c r="AB109" i="67" s="1"/>
  <c r="X109" i="67" s="1"/>
  <c r="Y109" i="67" s="1"/>
  <c r="I109" i="67" s="1"/>
  <c r="U109" i="68"/>
  <c r="V109" i="68" s="1"/>
  <c r="W109" i="68" s="1"/>
  <c r="AA109" i="68" s="1"/>
  <c r="AB109" i="68" s="1"/>
  <c r="X109" i="68" s="1"/>
  <c r="Y109" i="68" s="1"/>
  <c r="I109" i="68" s="1"/>
  <c r="U86" i="67"/>
  <c r="V86" i="67" s="1"/>
  <c r="W86" i="67" s="1"/>
  <c r="AA86" i="67" s="1"/>
  <c r="AB86" i="67" s="1"/>
  <c r="X86" i="67" s="1"/>
  <c r="Y86" i="67" s="1"/>
  <c r="I86" i="67" s="1"/>
  <c r="K86" i="67" s="1"/>
  <c r="M86" i="67" s="1"/>
  <c r="AE86" i="67" s="1"/>
  <c r="AJ86" i="67" s="1"/>
  <c r="U86" i="68"/>
  <c r="V86" i="68" s="1"/>
  <c r="W86" i="68" s="1"/>
  <c r="AA86" i="68" s="1"/>
  <c r="AB86" i="68" s="1"/>
  <c r="X86" i="68" s="1"/>
  <c r="Y86" i="68" s="1"/>
  <c r="I86" i="68" s="1"/>
  <c r="AC67" i="68"/>
  <c r="K67" i="68"/>
  <c r="M67" i="68" s="1"/>
  <c r="AE67" i="68" s="1"/>
  <c r="U16" i="67"/>
  <c r="V16" i="67" s="1"/>
  <c r="W16" i="67" s="1"/>
  <c r="AA16" i="67" s="1"/>
  <c r="AB16" i="67" s="1"/>
  <c r="X16" i="67" s="1"/>
  <c r="Y16" i="67" s="1"/>
  <c r="I16" i="67" s="1"/>
  <c r="AC16" i="67" s="1"/>
  <c r="AF16" i="67" s="1"/>
  <c r="AK16" i="67" s="1"/>
  <c r="U16" i="68"/>
  <c r="V16" i="68" s="1"/>
  <c r="W16" i="68" s="1"/>
  <c r="AA16" i="68" s="1"/>
  <c r="AB16" i="68" s="1"/>
  <c r="X16" i="68" s="1"/>
  <c r="Y16" i="68" s="1"/>
  <c r="I16" i="68" s="1"/>
  <c r="U92" i="67"/>
  <c r="V92" i="67" s="1"/>
  <c r="W92" i="67" s="1"/>
  <c r="AA92" i="67" s="1"/>
  <c r="AB92" i="67" s="1"/>
  <c r="X92" i="67" s="1"/>
  <c r="Y92" i="67" s="1"/>
  <c r="I92" i="67" s="1"/>
  <c r="K92" i="67" s="1"/>
  <c r="M92" i="67" s="1"/>
  <c r="AE92" i="67" s="1"/>
  <c r="AJ92" i="67" s="1"/>
  <c r="U92" i="68"/>
  <c r="V92" i="68" s="1"/>
  <c r="W92" i="68" s="1"/>
  <c r="AA92" i="68" s="1"/>
  <c r="AB92" i="68" s="1"/>
  <c r="X92" i="68" s="1"/>
  <c r="Y92" i="68" s="1"/>
  <c r="I92" i="68" s="1"/>
  <c r="U56" i="67"/>
  <c r="V56" i="67" s="1"/>
  <c r="W56" i="67" s="1"/>
  <c r="AA56" i="67" s="1"/>
  <c r="AB56" i="67" s="1"/>
  <c r="X56" i="67" s="1"/>
  <c r="Y56" i="67" s="1"/>
  <c r="I56" i="67" s="1"/>
  <c r="AC56" i="67" s="1"/>
  <c r="AF56" i="67" s="1"/>
  <c r="AK56" i="67" s="1"/>
  <c r="U56" i="68"/>
  <c r="V56" i="68" s="1"/>
  <c r="W56" i="68" s="1"/>
  <c r="AA56" i="68" s="1"/>
  <c r="AB56" i="68" s="1"/>
  <c r="X56" i="68" s="1"/>
  <c r="Y56" i="68" s="1"/>
  <c r="I56" i="68" s="1"/>
  <c r="U114" i="67"/>
  <c r="V114" i="67" s="1"/>
  <c r="W114" i="67" s="1"/>
  <c r="AA114" i="67" s="1"/>
  <c r="AB114" i="67" s="1"/>
  <c r="X114" i="67" s="1"/>
  <c r="Y114" i="67" s="1"/>
  <c r="I114" i="67" s="1"/>
  <c r="U114" i="68"/>
  <c r="V114" i="68" s="1"/>
  <c r="W114" i="68" s="1"/>
  <c r="AA114" i="68" s="1"/>
  <c r="AB114" i="68" s="1"/>
  <c r="X114" i="68" s="1"/>
  <c r="Y114" i="68" s="1"/>
  <c r="I114" i="68" s="1"/>
  <c r="AC49" i="68"/>
  <c r="K49" i="68"/>
  <c r="M49" i="68" s="1"/>
  <c r="AE49" i="68" s="1"/>
  <c r="U7" i="67"/>
  <c r="V7" i="67" s="1"/>
  <c r="W7" i="67" s="1"/>
  <c r="AA7" i="67" s="1"/>
  <c r="AB7" i="67" s="1"/>
  <c r="X7" i="67" s="1"/>
  <c r="Y7" i="67" s="1"/>
  <c r="I7" i="67" s="1"/>
  <c r="K7" i="67" s="1"/>
  <c r="M7" i="67" s="1"/>
  <c r="AE7" i="67" s="1"/>
  <c r="AJ7" i="67" s="1"/>
  <c r="U7" i="68"/>
  <c r="V7" i="68" s="1"/>
  <c r="W7" i="68" s="1"/>
  <c r="AA7" i="68" s="1"/>
  <c r="AB7" i="68" s="1"/>
  <c r="X7" i="68" s="1"/>
  <c r="Y7" i="68" s="1"/>
  <c r="I7" i="68" s="1"/>
  <c r="U184" i="67"/>
  <c r="V184" i="67" s="1"/>
  <c r="W184" i="67" s="1"/>
  <c r="AA184" i="67" s="1"/>
  <c r="AB184" i="67" s="1"/>
  <c r="X184" i="67" s="1"/>
  <c r="Y184" i="67" s="1"/>
  <c r="I184" i="67" s="1"/>
  <c r="AC184" i="67" s="1"/>
  <c r="AF184" i="67" s="1"/>
  <c r="AK184" i="67" s="1"/>
  <c r="U184" i="68"/>
  <c r="V184" i="68" s="1"/>
  <c r="W184" i="68" s="1"/>
  <c r="AA184" i="68" s="1"/>
  <c r="AB184" i="68" s="1"/>
  <c r="X184" i="68" s="1"/>
  <c r="Y184" i="68" s="1"/>
  <c r="I184" i="68" s="1"/>
  <c r="U155" i="67"/>
  <c r="V155" i="67" s="1"/>
  <c r="W155" i="67" s="1"/>
  <c r="AA155" i="67" s="1"/>
  <c r="AB155" i="67" s="1"/>
  <c r="X155" i="67" s="1"/>
  <c r="Y155" i="67" s="1"/>
  <c r="I155" i="67" s="1"/>
  <c r="AC155" i="67" s="1"/>
  <c r="AF155" i="67" s="1"/>
  <c r="AK155" i="67" s="1"/>
  <c r="U155" i="68"/>
  <c r="V155" i="68" s="1"/>
  <c r="W155" i="68" s="1"/>
  <c r="AA155" i="68" s="1"/>
  <c r="AB155" i="68" s="1"/>
  <c r="X155" i="68" s="1"/>
  <c r="Y155" i="68" s="1"/>
  <c r="I155" i="68" s="1"/>
  <c r="U197" i="67"/>
  <c r="V197" i="67" s="1"/>
  <c r="W197" i="67" s="1"/>
  <c r="AA197" i="67" s="1"/>
  <c r="AB197" i="67" s="1"/>
  <c r="X197" i="67" s="1"/>
  <c r="Y197" i="67" s="1"/>
  <c r="I197" i="67" s="1"/>
  <c r="K197" i="67" s="1"/>
  <c r="M197" i="67" s="1"/>
  <c r="AE197" i="67" s="1"/>
  <c r="AJ197" i="67" s="1"/>
  <c r="U197" i="68"/>
  <c r="V197" i="68" s="1"/>
  <c r="W197" i="68" s="1"/>
  <c r="AA197" i="68" s="1"/>
  <c r="AB197" i="68" s="1"/>
  <c r="X197" i="68" s="1"/>
  <c r="Y197" i="68" s="1"/>
  <c r="I197" i="68" s="1"/>
  <c r="U126" i="67"/>
  <c r="V126" i="67" s="1"/>
  <c r="W126" i="67" s="1"/>
  <c r="AA126" i="67" s="1"/>
  <c r="AB126" i="67" s="1"/>
  <c r="X126" i="67" s="1"/>
  <c r="Y126" i="67" s="1"/>
  <c r="I126" i="67" s="1"/>
  <c r="K126" i="67" s="1"/>
  <c r="M126" i="67" s="1"/>
  <c r="AE126" i="67" s="1"/>
  <c r="AJ126" i="67" s="1"/>
  <c r="U126" i="68"/>
  <c r="V126" i="68" s="1"/>
  <c r="W126" i="68" s="1"/>
  <c r="AA126" i="68" s="1"/>
  <c r="AB126" i="68" s="1"/>
  <c r="X126" i="68" s="1"/>
  <c r="Y126" i="68" s="1"/>
  <c r="I126" i="68" s="1"/>
  <c r="U178" i="67"/>
  <c r="V178" i="67" s="1"/>
  <c r="W178" i="67" s="1"/>
  <c r="AA178" i="67" s="1"/>
  <c r="AB178" i="67" s="1"/>
  <c r="X178" i="67" s="1"/>
  <c r="Y178" i="67" s="1"/>
  <c r="I178" i="67" s="1"/>
  <c r="AC178" i="67" s="1"/>
  <c r="AF178" i="67" s="1"/>
  <c r="AK178" i="67" s="1"/>
  <c r="U178" i="68"/>
  <c r="V178" i="68" s="1"/>
  <c r="W178" i="68" s="1"/>
  <c r="AA178" i="68" s="1"/>
  <c r="AB178" i="68" s="1"/>
  <c r="X178" i="68" s="1"/>
  <c r="Y178" i="68" s="1"/>
  <c r="I178" i="68" s="1"/>
  <c r="U147" i="67"/>
  <c r="V147" i="67" s="1"/>
  <c r="W147" i="67" s="1"/>
  <c r="AA147" i="67" s="1"/>
  <c r="AB147" i="67" s="1"/>
  <c r="X147" i="67" s="1"/>
  <c r="Y147" i="67" s="1"/>
  <c r="I147" i="67" s="1"/>
  <c r="AC147" i="67" s="1"/>
  <c r="AF147" i="67" s="1"/>
  <c r="AK147" i="67" s="1"/>
  <c r="U147" i="68"/>
  <c r="V147" i="68" s="1"/>
  <c r="W147" i="68" s="1"/>
  <c r="AA147" i="68" s="1"/>
  <c r="AB147" i="68" s="1"/>
  <c r="X147" i="68" s="1"/>
  <c r="Y147" i="68" s="1"/>
  <c r="I147" i="68" s="1"/>
  <c r="U36" i="67"/>
  <c r="V36" i="67" s="1"/>
  <c r="W36" i="67" s="1"/>
  <c r="AA36" i="67" s="1"/>
  <c r="AB36" i="67" s="1"/>
  <c r="X36" i="67" s="1"/>
  <c r="Y36" i="67" s="1"/>
  <c r="I36" i="67" s="1"/>
  <c r="AC36" i="67" s="1"/>
  <c r="AF36" i="67" s="1"/>
  <c r="AK36" i="67" s="1"/>
  <c r="U36" i="68"/>
  <c r="V36" i="68" s="1"/>
  <c r="W36" i="68" s="1"/>
  <c r="AA36" i="68" s="1"/>
  <c r="AB36" i="68" s="1"/>
  <c r="X36" i="68" s="1"/>
  <c r="Y36" i="68" s="1"/>
  <c r="I36" i="68" s="1"/>
  <c r="U181" i="67"/>
  <c r="V181" i="67" s="1"/>
  <c r="W181" i="67" s="1"/>
  <c r="AA181" i="67" s="1"/>
  <c r="AB181" i="67" s="1"/>
  <c r="X181" i="67" s="1"/>
  <c r="Y181" i="67" s="1"/>
  <c r="I181" i="67" s="1"/>
  <c r="AC181" i="67" s="1"/>
  <c r="AF181" i="67" s="1"/>
  <c r="AK181" i="67" s="1"/>
  <c r="U181" i="68"/>
  <c r="V181" i="68" s="1"/>
  <c r="W181" i="68" s="1"/>
  <c r="AA181" i="68" s="1"/>
  <c r="AB181" i="68" s="1"/>
  <c r="X181" i="68" s="1"/>
  <c r="Y181" i="68" s="1"/>
  <c r="I181" i="68" s="1"/>
  <c r="U6" i="67"/>
  <c r="V6" i="67" s="1"/>
  <c r="W6" i="67" s="1"/>
  <c r="AA6" i="67" s="1"/>
  <c r="AB6" i="67" s="1"/>
  <c r="X6" i="67" s="1"/>
  <c r="Y6" i="67" s="1"/>
  <c r="I6" i="67" s="1"/>
  <c r="AC6" i="67" s="1"/>
  <c r="AF6" i="67" s="1"/>
  <c r="AK6" i="67" s="1"/>
  <c r="U6" i="68"/>
  <c r="V6" i="68" s="1"/>
  <c r="W6" i="68" s="1"/>
  <c r="AA6" i="68" s="1"/>
  <c r="AB6" i="68" s="1"/>
  <c r="X6" i="68" s="1"/>
  <c r="Y6" i="68" s="1"/>
  <c r="I6" i="68" s="1"/>
  <c r="U145" i="67"/>
  <c r="V145" i="67" s="1"/>
  <c r="W145" i="67" s="1"/>
  <c r="AA145" i="67" s="1"/>
  <c r="AB145" i="67" s="1"/>
  <c r="X145" i="67" s="1"/>
  <c r="Y145" i="67" s="1"/>
  <c r="I145" i="67" s="1"/>
  <c r="U145" i="68"/>
  <c r="V145" i="68" s="1"/>
  <c r="W145" i="68" s="1"/>
  <c r="AA145" i="68" s="1"/>
  <c r="AB145" i="68" s="1"/>
  <c r="X145" i="68" s="1"/>
  <c r="Y145" i="68" s="1"/>
  <c r="I145" i="68" s="1"/>
  <c r="U140" i="67"/>
  <c r="V140" i="67" s="1"/>
  <c r="W140" i="67" s="1"/>
  <c r="AA140" i="67" s="1"/>
  <c r="AB140" i="67" s="1"/>
  <c r="X140" i="67" s="1"/>
  <c r="Y140" i="67" s="1"/>
  <c r="I140" i="67" s="1"/>
  <c r="K140" i="67" s="1"/>
  <c r="M140" i="67" s="1"/>
  <c r="AE140" i="67" s="1"/>
  <c r="AJ140" i="67" s="1"/>
  <c r="U140" i="68"/>
  <c r="V140" i="68" s="1"/>
  <c r="W140" i="68" s="1"/>
  <c r="AA140" i="68" s="1"/>
  <c r="AB140" i="68" s="1"/>
  <c r="X140" i="68" s="1"/>
  <c r="Y140" i="68" s="1"/>
  <c r="I140" i="68" s="1"/>
  <c r="U13" i="67"/>
  <c r="V13" i="67" s="1"/>
  <c r="W13" i="67" s="1"/>
  <c r="AA13" i="67" s="1"/>
  <c r="AB13" i="67" s="1"/>
  <c r="X13" i="67" s="1"/>
  <c r="Y13" i="67" s="1"/>
  <c r="I13" i="67" s="1"/>
  <c r="U13" i="68"/>
  <c r="V13" i="68" s="1"/>
  <c r="W13" i="68" s="1"/>
  <c r="AA13" i="68" s="1"/>
  <c r="AB13" i="68" s="1"/>
  <c r="X13" i="68" s="1"/>
  <c r="Y13" i="68" s="1"/>
  <c r="I13" i="68" s="1"/>
  <c r="U95" i="67"/>
  <c r="V95" i="67" s="1"/>
  <c r="W95" i="67" s="1"/>
  <c r="AA95" i="67" s="1"/>
  <c r="AB95" i="67" s="1"/>
  <c r="X95" i="67" s="1"/>
  <c r="Y95" i="67" s="1"/>
  <c r="I95" i="67" s="1"/>
  <c r="AC95" i="67" s="1"/>
  <c r="AF95" i="67" s="1"/>
  <c r="AK95" i="67" s="1"/>
  <c r="U95" i="68"/>
  <c r="V95" i="68" s="1"/>
  <c r="W95" i="68" s="1"/>
  <c r="AA95" i="68" s="1"/>
  <c r="AB95" i="68" s="1"/>
  <c r="X95" i="68" s="1"/>
  <c r="Y95" i="68" s="1"/>
  <c r="I95" i="68" s="1"/>
  <c r="U148" i="67"/>
  <c r="V148" i="67" s="1"/>
  <c r="W148" i="67" s="1"/>
  <c r="AA148" i="67" s="1"/>
  <c r="AB148" i="67" s="1"/>
  <c r="X148" i="67" s="1"/>
  <c r="Y148" i="67" s="1"/>
  <c r="I148" i="67" s="1"/>
  <c r="AC148" i="67" s="1"/>
  <c r="AF148" i="67" s="1"/>
  <c r="AK148" i="67" s="1"/>
  <c r="U148" i="68"/>
  <c r="V148" i="68" s="1"/>
  <c r="W148" i="68" s="1"/>
  <c r="AA148" i="68" s="1"/>
  <c r="AB148" i="68" s="1"/>
  <c r="X148" i="68" s="1"/>
  <c r="Y148" i="68" s="1"/>
  <c r="I148" i="68" s="1"/>
  <c r="AC136" i="68"/>
  <c r="K136" i="68"/>
  <c r="M136" i="68" s="1"/>
  <c r="AE136" i="68" s="1"/>
  <c r="U17" i="67"/>
  <c r="V17" i="67" s="1"/>
  <c r="W17" i="67" s="1"/>
  <c r="AA17" i="67" s="1"/>
  <c r="AB17" i="67" s="1"/>
  <c r="X17" i="67" s="1"/>
  <c r="Y17" i="67" s="1"/>
  <c r="I17" i="67" s="1"/>
  <c r="AC17" i="67" s="1"/>
  <c r="AF17" i="67" s="1"/>
  <c r="AK17" i="67" s="1"/>
  <c r="U17" i="68"/>
  <c r="V17" i="68" s="1"/>
  <c r="W17" i="68" s="1"/>
  <c r="AA17" i="68" s="1"/>
  <c r="AB17" i="68" s="1"/>
  <c r="X17" i="68" s="1"/>
  <c r="Y17" i="68" s="1"/>
  <c r="I17" i="68" s="1"/>
  <c r="U190" i="67"/>
  <c r="V190" i="67" s="1"/>
  <c r="W190" i="67" s="1"/>
  <c r="AA190" i="67" s="1"/>
  <c r="AB190" i="67" s="1"/>
  <c r="X190" i="67" s="1"/>
  <c r="Y190" i="67" s="1"/>
  <c r="I190" i="67" s="1"/>
  <c r="AC190" i="67" s="1"/>
  <c r="AF190" i="67" s="1"/>
  <c r="AK190" i="67" s="1"/>
  <c r="U190" i="68"/>
  <c r="V190" i="68" s="1"/>
  <c r="W190" i="68" s="1"/>
  <c r="AA190" i="68" s="1"/>
  <c r="AB190" i="68" s="1"/>
  <c r="X190" i="68" s="1"/>
  <c r="Y190" i="68" s="1"/>
  <c r="I190" i="68" s="1"/>
  <c r="U164" i="67"/>
  <c r="V164" i="67" s="1"/>
  <c r="W164" i="67" s="1"/>
  <c r="AA164" i="67" s="1"/>
  <c r="AB164" i="67" s="1"/>
  <c r="X164" i="67" s="1"/>
  <c r="Y164" i="67" s="1"/>
  <c r="I164" i="67" s="1"/>
  <c r="K164" i="67" s="1"/>
  <c r="M164" i="67" s="1"/>
  <c r="AE164" i="67" s="1"/>
  <c r="AJ164" i="67" s="1"/>
  <c r="U164" i="68"/>
  <c r="V164" i="68" s="1"/>
  <c r="W164" i="68" s="1"/>
  <c r="AA164" i="68" s="1"/>
  <c r="AB164" i="68" s="1"/>
  <c r="X164" i="68" s="1"/>
  <c r="Y164" i="68" s="1"/>
  <c r="I164" i="68" s="1"/>
  <c r="U11" i="67"/>
  <c r="V11" i="67" s="1"/>
  <c r="W11" i="67" s="1"/>
  <c r="AA11" i="67" s="1"/>
  <c r="AB11" i="67" s="1"/>
  <c r="X11" i="67" s="1"/>
  <c r="Y11" i="67" s="1"/>
  <c r="I11" i="67" s="1"/>
  <c r="K11" i="67" s="1"/>
  <c r="M11" i="67" s="1"/>
  <c r="AE11" i="67" s="1"/>
  <c r="AJ11" i="67" s="1"/>
  <c r="U11" i="68"/>
  <c r="V11" i="68" s="1"/>
  <c r="W11" i="68" s="1"/>
  <c r="AA11" i="68" s="1"/>
  <c r="AB11" i="68" s="1"/>
  <c r="X11" i="68" s="1"/>
  <c r="Y11" i="68" s="1"/>
  <c r="I11" i="68" s="1"/>
  <c r="U185" i="67"/>
  <c r="V185" i="67" s="1"/>
  <c r="W185" i="67" s="1"/>
  <c r="AA185" i="67" s="1"/>
  <c r="AB185" i="67" s="1"/>
  <c r="X185" i="67" s="1"/>
  <c r="Y185" i="67" s="1"/>
  <c r="I185" i="67" s="1"/>
  <c r="K185" i="67" s="1"/>
  <c r="M185" i="67" s="1"/>
  <c r="AE185" i="67" s="1"/>
  <c r="AJ185" i="67" s="1"/>
  <c r="U185" i="68"/>
  <c r="V185" i="68" s="1"/>
  <c r="W185" i="68" s="1"/>
  <c r="AA185" i="68" s="1"/>
  <c r="AB185" i="68" s="1"/>
  <c r="X185" i="68" s="1"/>
  <c r="Y185" i="68" s="1"/>
  <c r="I185" i="68" s="1"/>
  <c r="U28" i="67"/>
  <c r="V28" i="67" s="1"/>
  <c r="W28" i="67" s="1"/>
  <c r="AA28" i="67" s="1"/>
  <c r="AB28" i="67" s="1"/>
  <c r="X28" i="67" s="1"/>
  <c r="Y28" i="67" s="1"/>
  <c r="I28" i="67" s="1"/>
  <c r="K28" i="67" s="1"/>
  <c r="M28" i="67" s="1"/>
  <c r="AE28" i="67" s="1"/>
  <c r="AJ28" i="67" s="1"/>
  <c r="U28" i="68"/>
  <c r="V28" i="68" s="1"/>
  <c r="W28" i="68" s="1"/>
  <c r="AA28" i="68" s="1"/>
  <c r="AB28" i="68" s="1"/>
  <c r="X28" i="68" s="1"/>
  <c r="Y28" i="68" s="1"/>
  <c r="I28" i="68" s="1"/>
  <c r="U79" i="67"/>
  <c r="V79" i="67" s="1"/>
  <c r="W79" i="67" s="1"/>
  <c r="AA79" i="67" s="1"/>
  <c r="AB79" i="67" s="1"/>
  <c r="X79" i="67" s="1"/>
  <c r="Y79" i="67" s="1"/>
  <c r="I79" i="67" s="1"/>
  <c r="AC79" i="67" s="1"/>
  <c r="AF79" i="67" s="1"/>
  <c r="AK79" i="67" s="1"/>
  <c r="U79" i="68"/>
  <c r="V79" i="68" s="1"/>
  <c r="W79" i="68" s="1"/>
  <c r="AA79" i="68" s="1"/>
  <c r="AB79" i="68" s="1"/>
  <c r="X79" i="68" s="1"/>
  <c r="Y79" i="68" s="1"/>
  <c r="I79" i="68" s="1"/>
  <c r="U77" i="67"/>
  <c r="V77" i="67" s="1"/>
  <c r="W77" i="67" s="1"/>
  <c r="AA77" i="67" s="1"/>
  <c r="AB77" i="67" s="1"/>
  <c r="X77" i="67" s="1"/>
  <c r="Y77" i="67" s="1"/>
  <c r="I77" i="67" s="1"/>
  <c r="K77" i="67" s="1"/>
  <c r="M77" i="67" s="1"/>
  <c r="AE77" i="67" s="1"/>
  <c r="AJ77" i="67" s="1"/>
  <c r="U77" i="68"/>
  <c r="V77" i="68" s="1"/>
  <c r="W77" i="68" s="1"/>
  <c r="AA77" i="68" s="1"/>
  <c r="AB77" i="68" s="1"/>
  <c r="X77" i="68" s="1"/>
  <c r="Y77" i="68" s="1"/>
  <c r="I77" i="68" s="1"/>
  <c r="U204" i="67"/>
  <c r="V204" i="67" s="1"/>
  <c r="W204" i="67" s="1"/>
  <c r="AA204" i="67" s="1"/>
  <c r="AB204" i="67" s="1"/>
  <c r="X204" i="67" s="1"/>
  <c r="Y204" i="67" s="1"/>
  <c r="I204" i="67" s="1"/>
  <c r="K204" i="67" s="1"/>
  <c r="M204" i="67" s="1"/>
  <c r="AE204" i="67" s="1"/>
  <c r="AJ204" i="67" s="1"/>
  <c r="U204" i="68"/>
  <c r="V204" i="68" s="1"/>
  <c r="W204" i="68" s="1"/>
  <c r="AA204" i="68" s="1"/>
  <c r="AB204" i="68" s="1"/>
  <c r="X204" i="68" s="1"/>
  <c r="Y204" i="68" s="1"/>
  <c r="I204" i="68" s="1"/>
  <c r="U186" i="67"/>
  <c r="V186" i="67" s="1"/>
  <c r="W186" i="67" s="1"/>
  <c r="AA186" i="67" s="1"/>
  <c r="AB186" i="67" s="1"/>
  <c r="X186" i="67" s="1"/>
  <c r="Y186" i="67" s="1"/>
  <c r="I186" i="67" s="1"/>
  <c r="U186" i="68"/>
  <c r="V186" i="68" s="1"/>
  <c r="W186" i="68" s="1"/>
  <c r="AA186" i="68" s="1"/>
  <c r="AB186" i="68" s="1"/>
  <c r="X186" i="68" s="1"/>
  <c r="Y186" i="68" s="1"/>
  <c r="I186" i="68" s="1"/>
  <c r="U203" i="67"/>
  <c r="V203" i="67" s="1"/>
  <c r="W203" i="67" s="1"/>
  <c r="AA203" i="67" s="1"/>
  <c r="AB203" i="67" s="1"/>
  <c r="X203" i="67" s="1"/>
  <c r="Y203" i="67" s="1"/>
  <c r="I203" i="67" s="1"/>
  <c r="U203" i="68"/>
  <c r="V203" i="68" s="1"/>
  <c r="W203" i="68" s="1"/>
  <c r="AA203" i="68" s="1"/>
  <c r="AB203" i="68" s="1"/>
  <c r="X203" i="68" s="1"/>
  <c r="Y203" i="68" s="1"/>
  <c r="I203" i="68" s="1"/>
  <c r="U194" i="67"/>
  <c r="V194" i="67" s="1"/>
  <c r="W194" i="67" s="1"/>
  <c r="AA194" i="67" s="1"/>
  <c r="AB194" i="67" s="1"/>
  <c r="X194" i="67" s="1"/>
  <c r="Y194" i="67" s="1"/>
  <c r="I194" i="67" s="1"/>
  <c r="K194" i="67" s="1"/>
  <c r="M194" i="67" s="1"/>
  <c r="AE194" i="67" s="1"/>
  <c r="AJ194" i="67" s="1"/>
  <c r="U194" i="68"/>
  <c r="V194" i="68" s="1"/>
  <c r="W194" i="68" s="1"/>
  <c r="AA194" i="68" s="1"/>
  <c r="AB194" i="68" s="1"/>
  <c r="X194" i="68" s="1"/>
  <c r="Y194" i="68" s="1"/>
  <c r="I194" i="68" s="1"/>
  <c r="U44" i="67"/>
  <c r="V44" i="67" s="1"/>
  <c r="W44" i="67" s="1"/>
  <c r="AA44" i="67" s="1"/>
  <c r="AB44" i="67" s="1"/>
  <c r="X44" i="67" s="1"/>
  <c r="Y44" i="67" s="1"/>
  <c r="I44" i="67" s="1"/>
  <c r="K44" i="67" s="1"/>
  <c r="M44" i="67" s="1"/>
  <c r="AE44" i="67" s="1"/>
  <c r="AJ44" i="67" s="1"/>
  <c r="U44" i="68"/>
  <c r="V44" i="68" s="1"/>
  <c r="W44" i="68" s="1"/>
  <c r="AA44" i="68" s="1"/>
  <c r="AB44" i="68" s="1"/>
  <c r="X44" i="68" s="1"/>
  <c r="Y44" i="68" s="1"/>
  <c r="I44" i="68" s="1"/>
  <c r="U167" i="67"/>
  <c r="V167" i="67" s="1"/>
  <c r="W167" i="67" s="1"/>
  <c r="AA167" i="67" s="1"/>
  <c r="AB167" i="67" s="1"/>
  <c r="X167" i="67" s="1"/>
  <c r="Y167" i="67" s="1"/>
  <c r="I167" i="67" s="1"/>
  <c r="AC167" i="67" s="1"/>
  <c r="AF167" i="67" s="1"/>
  <c r="AK167" i="67" s="1"/>
  <c r="U167" i="68"/>
  <c r="V167" i="68" s="1"/>
  <c r="W167" i="68" s="1"/>
  <c r="AA167" i="68" s="1"/>
  <c r="AB167" i="68" s="1"/>
  <c r="X167" i="68" s="1"/>
  <c r="Y167" i="68" s="1"/>
  <c r="I167" i="68" s="1"/>
  <c r="U74" i="67"/>
  <c r="V74" i="67" s="1"/>
  <c r="W74" i="67" s="1"/>
  <c r="AA74" i="67" s="1"/>
  <c r="AB74" i="67" s="1"/>
  <c r="X74" i="67" s="1"/>
  <c r="Y74" i="67" s="1"/>
  <c r="I74" i="67" s="1"/>
  <c r="K74" i="67" s="1"/>
  <c r="M74" i="67" s="1"/>
  <c r="AE74" i="67" s="1"/>
  <c r="AJ74" i="67" s="1"/>
  <c r="U74" i="68"/>
  <c r="V74" i="68" s="1"/>
  <c r="W74" i="68" s="1"/>
  <c r="AA74" i="68" s="1"/>
  <c r="AB74" i="68" s="1"/>
  <c r="X74" i="68" s="1"/>
  <c r="Y74" i="68" s="1"/>
  <c r="I74" i="68" s="1"/>
  <c r="U103" i="67"/>
  <c r="V103" i="67" s="1"/>
  <c r="W103" i="67" s="1"/>
  <c r="AA103" i="67" s="1"/>
  <c r="AB103" i="67" s="1"/>
  <c r="X103" i="67" s="1"/>
  <c r="Y103" i="67" s="1"/>
  <c r="I103" i="67" s="1"/>
  <c r="K103" i="67" s="1"/>
  <c r="M103" i="67" s="1"/>
  <c r="AE103" i="67" s="1"/>
  <c r="AJ103" i="67" s="1"/>
  <c r="U103" i="68"/>
  <c r="V103" i="68" s="1"/>
  <c r="W103" i="68" s="1"/>
  <c r="AA103" i="68" s="1"/>
  <c r="AB103" i="68" s="1"/>
  <c r="X103" i="68" s="1"/>
  <c r="Y103" i="68" s="1"/>
  <c r="I103" i="68" s="1"/>
  <c r="U54" i="67"/>
  <c r="V54" i="67" s="1"/>
  <c r="W54" i="67" s="1"/>
  <c r="AA54" i="67" s="1"/>
  <c r="AB54" i="67" s="1"/>
  <c r="X54" i="67" s="1"/>
  <c r="Y54" i="67" s="1"/>
  <c r="I54" i="67" s="1"/>
  <c r="AC54" i="67" s="1"/>
  <c r="AF54" i="67" s="1"/>
  <c r="AK54" i="67" s="1"/>
  <c r="U54" i="68"/>
  <c r="V54" i="68" s="1"/>
  <c r="W54" i="68" s="1"/>
  <c r="AA54" i="68" s="1"/>
  <c r="AB54" i="68" s="1"/>
  <c r="X54" i="68" s="1"/>
  <c r="Y54" i="68" s="1"/>
  <c r="I54" i="68" s="1"/>
  <c r="U193" i="67"/>
  <c r="V193" i="67" s="1"/>
  <c r="W193" i="67" s="1"/>
  <c r="AA193" i="67" s="1"/>
  <c r="AB193" i="67" s="1"/>
  <c r="X193" i="67" s="1"/>
  <c r="Y193" i="67" s="1"/>
  <c r="I193" i="67" s="1"/>
  <c r="K193" i="67" s="1"/>
  <c r="M193" i="67" s="1"/>
  <c r="AE193" i="67" s="1"/>
  <c r="AJ193" i="67" s="1"/>
  <c r="U193" i="68"/>
  <c r="V193" i="68" s="1"/>
  <c r="W193" i="68" s="1"/>
  <c r="AA193" i="68" s="1"/>
  <c r="AB193" i="68" s="1"/>
  <c r="X193" i="68" s="1"/>
  <c r="Y193" i="68" s="1"/>
  <c r="I193" i="68" s="1"/>
  <c r="U51" i="67"/>
  <c r="V51" i="67" s="1"/>
  <c r="W51" i="67" s="1"/>
  <c r="AA51" i="67" s="1"/>
  <c r="AB51" i="67" s="1"/>
  <c r="X51" i="67" s="1"/>
  <c r="Y51" i="67" s="1"/>
  <c r="I51" i="67" s="1"/>
  <c r="K51" i="67" s="1"/>
  <c r="M51" i="67" s="1"/>
  <c r="AE51" i="67" s="1"/>
  <c r="AJ51" i="67" s="1"/>
  <c r="U51" i="68"/>
  <c r="V51" i="68" s="1"/>
  <c r="W51" i="68" s="1"/>
  <c r="AA51" i="68" s="1"/>
  <c r="AB51" i="68" s="1"/>
  <c r="X51" i="68" s="1"/>
  <c r="Y51" i="68" s="1"/>
  <c r="I51" i="68" s="1"/>
  <c r="U182" i="67"/>
  <c r="V182" i="67" s="1"/>
  <c r="W182" i="67" s="1"/>
  <c r="AA182" i="67" s="1"/>
  <c r="AB182" i="67" s="1"/>
  <c r="X182" i="67" s="1"/>
  <c r="Y182" i="67" s="1"/>
  <c r="I182" i="67" s="1"/>
  <c r="AC182" i="67" s="1"/>
  <c r="AF182" i="67" s="1"/>
  <c r="AK182" i="67" s="1"/>
  <c r="U182" i="68"/>
  <c r="V182" i="68" s="1"/>
  <c r="W182" i="68" s="1"/>
  <c r="AA182" i="68" s="1"/>
  <c r="AB182" i="68" s="1"/>
  <c r="X182" i="68" s="1"/>
  <c r="Y182" i="68" s="1"/>
  <c r="I182" i="68" s="1"/>
  <c r="U99" i="67"/>
  <c r="V99" i="67" s="1"/>
  <c r="W99" i="67" s="1"/>
  <c r="AA99" i="67" s="1"/>
  <c r="AB99" i="67" s="1"/>
  <c r="X99" i="67" s="1"/>
  <c r="Y99" i="67" s="1"/>
  <c r="I99" i="67" s="1"/>
  <c r="AC99" i="67" s="1"/>
  <c r="AF99" i="67" s="1"/>
  <c r="AK99" i="67" s="1"/>
  <c r="U99" i="68"/>
  <c r="V99" i="68" s="1"/>
  <c r="W99" i="68" s="1"/>
  <c r="AA99" i="68" s="1"/>
  <c r="AB99" i="68" s="1"/>
  <c r="X99" i="68" s="1"/>
  <c r="Y99" i="68" s="1"/>
  <c r="I99" i="68" s="1"/>
  <c r="U48" i="67"/>
  <c r="V48" i="67" s="1"/>
  <c r="W48" i="67" s="1"/>
  <c r="AA48" i="67" s="1"/>
  <c r="AB48" i="67" s="1"/>
  <c r="X48" i="67" s="1"/>
  <c r="Y48" i="67" s="1"/>
  <c r="I48" i="67" s="1"/>
  <c r="K48" i="67" s="1"/>
  <c r="M48" i="67" s="1"/>
  <c r="AE48" i="67" s="1"/>
  <c r="AJ48" i="67" s="1"/>
  <c r="U48" i="68"/>
  <c r="V48" i="68" s="1"/>
  <c r="W48" i="68" s="1"/>
  <c r="AA48" i="68" s="1"/>
  <c r="AB48" i="68" s="1"/>
  <c r="X48" i="68" s="1"/>
  <c r="Y48" i="68" s="1"/>
  <c r="I48" i="68" s="1"/>
  <c r="U144" i="67"/>
  <c r="V144" i="67" s="1"/>
  <c r="W144" i="67" s="1"/>
  <c r="AA144" i="67" s="1"/>
  <c r="AB144" i="67" s="1"/>
  <c r="X144" i="67" s="1"/>
  <c r="Y144" i="67" s="1"/>
  <c r="I144" i="67" s="1"/>
  <c r="K144" i="67" s="1"/>
  <c r="M144" i="67" s="1"/>
  <c r="AE144" i="67" s="1"/>
  <c r="AJ144" i="67" s="1"/>
  <c r="U144" i="68"/>
  <c r="V144" i="68" s="1"/>
  <c r="W144" i="68" s="1"/>
  <c r="AA144" i="68" s="1"/>
  <c r="AB144" i="68" s="1"/>
  <c r="X144" i="68" s="1"/>
  <c r="Y144" i="68" s="1"/>
  <c r="I144" i="68" s="1"/>
  <c r="AC59" i="67"/>
  <c r="AF59" i="67" s="1"/>
  <c r="AK59" i="67" s="1"/>
  <c r="K59" i="67"/>
  <c r="M59" i="67" s="1"/>
  <c r="AE59" i="67" s="1"/>
  <c r="AJ59" i="67" s="1"/>
  <c r="AC15" i="67"/>
  <c r="AF15" i="67" s="1"/>
  <c r="AK15" i="67" s="1"/>
  <c r="K15" i="67"/>
  <c r="M15" i="67" s="1"/>
  <c r="AE15" i="67" s="1"/>
  <c r="AJ15" i="67" s="1"/>
  <c r="U172" i="67"/>
  <c r="V172" i="67" s="1"/>
  <c r="W172" i="67" s="1"/>
  <c r="AA172" i="67" s="1"/>
  <c r="AB172" i="67" s="1"/>
  <c r="X172" i="67" s="1"/>
  <c r="Y172" i="67" s="1"/>
  <c r="I172" i="67" s="1"/>
  <c r="U228" i="67"/>
  <c r="V228" i="67" s="1"/>
  <c r="W228" i="67" s="1"/>
  <c r="AA228" i="67" s="1"/>
  <c r="AB228" i="67" s="1"/>
  <c r="X228" i="67" s="1"/>
  <c r="Y228" i="67" s="1"/>
  <c r="I228" i="67" s="1"/>
  <c r="U220" i="67"/>
  <c r="V220" i="67" s="1"/>
  <c r="W220" i="67" s="1"/>
  <c r="AA220" i="67" s="1"/>
  <c r="AB220" i="67" s="1"/>
  <c r="X220" i="67" s="1"/>
  <c r="Y220" i="67" s="1"/>
  <c r="I220" i="67" s="1"/>
  <c r="K220" i="67" s="1"/>
  <c r="M220" i="67" s="1"/>
  <c r="O220" i="67" s="1"/>
  <c r="AC220" i="67" s="1"/>
  <c r="AE220" i="67" s="1"/>
  <c r="U101" i="67"/>
  <c r="V101" i="67" s="1"/>
  <c r="W101" i="67" s="1"/>
  <c r="AA101" i="67" s="1"/>
  <c r="AB101" i="67" s="1"/>
  <c r="X101" i="67" s="1"/>
  <c r="Y101" i="67" s="1"/>
  <c r="I101" i="67" s="1"/>
  <c r="AC93" i="67"/>
  <c r="AF93" i="67" s="1"/>
  <c r="AK93" i="67" s="1"/>
  <c r="AC195" i="67"/>
  <c r="AF195" i="67" s="1"/>
  <c r="AK195" i="67" s="1"/>
  <c r="U3" i="67"/>
  <c r="V3" i="67" s="1"/>
  <c r="W3" i="67" s="1"/>
  <c r="AA3" i="67" s="1"/>
  <c r="AB3" i="67" s="1"/>
  <c r="X3" i="67" s="1"/>
  <c r="Y3" i="67" s="1"/>
  <c r="I3" i="67" s="1"/>
  <c r="K150" i="67"/>
  <c r="M150" i="67" s="1"/>
  <c r="AE150" i="67" s="1"/>
  <c r="AJ150" i="67" s="1"/>
  <c r="AC25" i="67"/>
  <c r="AF25" i="67" s="1"/>
  <c r="AK25" i="67" s="1"/>
  <c r="U224" i="67"/>
  <c r="V224" i="67" s="1"/>
  <c r="W224" i="67" s="1"/>
  <c r="AA224" i="67" s="1"/>
  <c r="AB224" i="67" s="1"/>
  <c r="X224" i="67" s="1"/>
  <c r="Y224" i="67" s="1"/>
  <c r="I224" i="67" s="1"/>
  <c r="U134" i="67"/>
  <c r="V134" i="67" s="1"/>
  <c r="W134" i="67" s="1"/>
  <c r="AA134" i="67" s="1"/>
  <c r="AB134" i="67" s="1"/>
  <c r="X134" i="67" s="1"/>
  <c r="Y134" i="67" s="1"/>
  <c r="I134" i="67" s="1"/>
  <c r="K68" i="67"/>
  <c r="M68" i="67" s="1"/>
  <c r="AE68" i="67" s="1"/>
  <c r="AJ68" i="67" s="1"/>
  <c r="U218" i="67"/>
  <c r="V218" i="67" s="1"/>
  <c r="W218" i="67" s="1"/>
  <c r="AA218" i="67" s="1"/>
  <c r="AB218" i="67" s="1"/>
  <c r="X218" i="67" s="1"/>
  <c r="Y218" i="67" s="1"/>
  <c r="I218" i="67" s="1"/>
  <c r="K218" i="67" s="1"/>
  <c r="M218" i="67" s="1"/>
  <c r="O218" i="67" s="1"/>
  <c r="AC218" i="67" s="1"/>
  <c r="AE218" i="67" s="1"/>
  <c r="U73" i="67"/>
  <c r="V73" i="67" s="1"/>
  <c r="W73" i="67" s="1"/>
  <c r="AA73" i="67" s="1"/>
  <c r="AB73" i="67" s="1"/>
  <c r="X73" i="67" s="1"/>
  <c r="Y73" i="67" s="1"/>
  <c r="I73" i="67" s="1"/>
  <c r="U69" i="67"/>
  <c r="V69" i="67" s="1"/>
  <c r="W69" i="67" s="1"/>
  <c r="AA69" i="67" s="1"/>
  <c r="AB69" i="67" s="1"/>
  <c r="X69" i="67" s="1"/>
  <c r="Y69" i="67" s="1"/>
  <c r="I69" i="67" s="1"/>
  <c r="U216" i="67"/>
  <c r="V216" i="67" s="1"/>
  <c r="W216" i="67" s="1"/>
  <c r="AA216" i="67" s="1"/>
  <c r="AB216" i="67" s="1"/>
  <c r="X216" i="67" s="1"/>
  <c r="Y216" i="67" s="1"/>
  <c r="I216" i="67" s="1"/>
  <c r="K216" i="67" s="1"/>
  <c r="M216" i="67" s="1"/>
  <c r="O216" i="67" s="1"/>
  <c r="AC216" i="67" s="1"/>
  <c r="AE216" i="67" s="1"/>
  <c r="U222" i="67"/>
  <c r="V222" i="67" s="1"/>
  <c r="W222" i="67" s="1"/>
  <c r="AA222" i="67" s="1"/>
  <c r="AB222" i="67" s="1"/>
  <c r="X222" i="67" s="1"/>
  <c r="Y222" i="67" s="1"/>
  <c r="I222" i="67" s="1"/>
  <c r="U108" i="67"/>
  <c r="V108" i="67" s="1"/>
  <c r="W108" i="67" s="1"/>
  <c r="AA108" i="67" s="1"/>
  <c r="AB108" i="67" s="1"/>
  <c r="X108" i="67" s="1"/>
  <c r="Y108" i="67" s="1"/>
  <c r="I108" i="67" s="1"/>
  <c r="U136" i="67"/>
  <c r="V136" i="67" s="1"/>
  <c r="W136" i="67" s="1"/>
  <c r="AA136" i="67" s="1"/>
  <c r="AB136" i="67" s="1"/>
  <c r="X136" i="67" s="1"/>
  <c r="Y136" i="67" s="1"/>
  <c r="I136" i="67" s="1"/>
  <c r="U225" i="67"/>
  <c r="V225" i="67" s="1"/>
  <c r="W225" i="67" s="1"/>
  <c r="AA225" i="67" s="1"/>
  <c r="AB225" i="67" s="1"/>
  <c r="X225" i="67" s="1"/>
  <c r="Y225" i="67" s="1"/>
  <c r="I225" i="67" s="1"/>
  <c r="K225" i="67" s="1"/>
  <c r="M225" i="67" s="1"/>
  <c r="O225" i="67" s="1"/>
  <c r="AC225" i="67" s="1"/>
  <c r="AE225" i="67" s="1"/>
  <c r="U62" i="67"/>
  <c r="V62" i="67" s="1"/>
  <c r="W62" i="67" s="1"/>
  <c r="AA62" i="67" s="1"/>
  <c r="AB62" i="67" s="1"/>
  <c r="X62" i="67" s="1"/>
  <c r="Y62" i="67" s="1"/>
  <c r="I62" i="67" s="1"/>
  <c r="U213" i="67"/>
  <c r="V213" i="67" s="1"/>
  <c r="W213" i="67" s="1"/>
  <c r="AA213" i="67" s="1"/>
  <c r="AB213" i="67" s="1"/>
  <c r="X213" i="67" s="1"/>
  <c r="Y213" i="67" s="1"/>
  <c r="I213" i="67" s="1"/>
  <c r="K213" i="67" s="1"/>
  <c r="M213" i="67" s="1"/>
  <c r="O213" i="67" s="1"/>
  <c r="AC213" i="67" s="1"/>
  <c r="AE213" i="67" s="1"/>
  <c r="AC104" i="67"/>
  <c r="AF104" i="67" s="1"/>
  <c r="AK104" i="67" s="1"/>
  <c r="U20" i="67"/>
  <c r="V20" i="67" s="1"/>
  <c r="W20" i="67" s="1"/>
  <c r="AA20" i="67" s="1"/>
  <c r="AB20" i="67" s="1"/>
  <c r="X20" i="67" s="1"/>
  <c r="Y20" i="67" s="1"/>
  <c r="I20" i="67" s="1"/>
  <c r="U211" i="67"/>
  <c r="V211" i="67" s="1"/>
  <c r="W211" i="67" s="1"/>
  <c r="AA211" i="67" s="1"/>
  <c r="AB211" i="67" s="1"/>
  <c r="X211" i="67" s="1"/>
  <c r="Y211" i="67" s="1"/>
  <c r="I211" i="67" s="1"/>
  <c r="U217" i="67"/>
  <c r="V217" i="67" s="1"/>
  <c r="W217" i="67" s="1"/>
  <c r="AA217" i="67" s="1"/>
  <c r="AB217" i="67" s="1"/>
  <c r="X217" i="67" s="1"/>
  <c r="Y217" i="67" s="1"/>
  <c r="I217" i="67" s="1"/>
  <c r="K217" i="67" s="1"/>
  <c r="M217" i="67" s="1"/>
  <c r="O217" i="67" s="1"/>
  <c r="AC217" i="67" s="1"/>
  <c r="AE217" i="67" s="1"/>
  <c r="U71" i="67"/>
  <c r="V71" i="67" s="1"/>
  <c r="W71" i="67" s="1"/>
  <c r="AA71" i="67" s="1"/>
  <c r="AB71" i="67" s="1"/>
  <c r="X71" i="67" s="1"/>
  <c r="Y71" i="67" s="1"/>
  <c r="I71" i="67" s="1"/>
  <c r="U49" i="67"/>
  <c r="V49" i="67" s="1"/>
  <c r="W49" i="67" s="1"/>
  <c r="AA49" i="67" s="1"/>
  <c r="AB49" i="67" s="1"/>
  <c r="X49" i="67" s="1"/>
  <c r="Y49" i="67" s="1"/>
  <c r="I49" i="67" s="1"/>
  <c r="U212" i="67"/>
  <c r="V212" i="67" s="1"/>
  <c r="W212" i="67" s="1"/>
  <c r="AA212" i="67" s="1"/>
  <c r="AB212" i="67" s="1"/>
  <c r="X212" i="67" s="1"/>
  <c r="Y212" i="67" s="1"/>
  <c r="I212" i="67" s="1"/>
  <c r="K212" i="67" s="1"/>
  <c r="M212" i="67" s="1"/>
  <c r="O212" i="67" s="1"/>
  <c r="AC212" i="67" s="1"/>
  <c r="AE212" i="67" s="1"/>
  <c r="U214" i="67"/>
  <c r="V214" i="67" s="1"/>
  <c r="W214" i="67" s="1"/>
  <c r="AA214" i="67" s="1"/>
  <c r="AB214" i="67" s="1"/>
  <c r="X214" i="67" s="1"/>
  <c r="Y214" i="67" s="1"/>
  <c r="I214" i="67" s="1"/>
  <c r="K214" i="67" s="1"/>
  <c r="M214" i="67" s="1"/>
  <c r="O214" i="67" s="1"/>
  <c r="AC214" i="67" s="1"/>
  <c r="AE214" i="67" s="1"/>
  <c r="U66" i="67"/>
  <c r="V66" i="67" s="1"/>
  <c r="W66" i="67" s="1"/>
  <c r="AA66" i="67" s="1"/>
  <c r="AB66" i="67" s="1"/>
  <c r="X66" i="67" s="1"/>
  <c r="Y66" i="67" s="1"/>
  <c r="I66" i="67" s="1"/>
  <c r="AC39" i="67"/>
  <c r="AF39" i="67" s="1"/>
  <c r="AK39" i="67" s="1"/>
  <c r="U227" i="67"/>
  <c r="V227" i="67" s="1"/>
  <c r="W227" i="67" s="1"/>
  <c r="AA227" i="67" s="1"/>
  <c r="AB227" i="67" s="1"/>
  <c r="X227" i="67" s="1"/>
  <c r="Y227" i="67" s="1"/>
  <c r="I227" i="67" s="1"/>
  <c r="K227" i="67" s="1"/>
  <c r="M227" i="67" s="1"/>
  <c r="O227" i="67" s="1"/>
  <c r="AC227" i="67" s="1"/>
  <c r="AE227" i="67" s="1"/>
  <c r="U139" i="67"/>
  <c r="V139" i="67" s="1"/>
  <c r="W139" i="67" s="1"/>
  <c r="AA139" i="67" s="1"/>
  <c r="AB139" i="67" s="1"/>
  <c r="X139" i="67" s="1"/>
  <c r="Y139" i="67" s="1"/>
  <c r="I139" i="67" s="1"/>
  <c r="U112" i="67"/>
  <c r="V112" i="67" s="1"/>
  <c r="W112" i="67" s="1"/>
  <c r="AA112" i="67" s="1"/>
  <c r="AB112" i="67" s="1"/>
  <c r="X112" i="67" s="1"/>
  <c r="Y112" i="67" s="1"/>
  <c r="I112" i="67" s="1"/>
  <c r="U223" i="67"/>
  <c r="V223" i="67" s="1"/>
  <c r="W223" i="67" s="1"/>
  <c r="AA223" i="67" s="1"/>
  <c r="AB223" i="67" s="1"/>
  <c r="X223" i="67" s="1"/>
  <c r="Y223" i="67" s="1"/>
  <c r="I223" i="67" s="1"/>
  <c r="K223" i="67" s="1"/>
  <c r="M223" i="67" s="1"/>
  <c r="O223" i="67" s="1"/>
  <c r="AC223" i="67" s="1"/>
  <c r="AE223" i="67" s="1"/>
  <c r="U219" i="67"/>
  <c r="V219" i="67" s="1"/>
  <c r="W219" i="67" s="1"/>
  <c r="AA219" i="67" s="1"/>
  <c r="AB219" i="67" s="1"/>
  <c r="X219" i="67" s="1"/>
  <c r="Y219" i="67" s="1"/>
  <c r="I219" i="67" s="1"/>
  <c r="K219" i="67" s="1"/>
  <c r="M219" i="67" s="1"/>
  <c r="O219" i="67" s="1"/>
  <c r="AC219" i="67" s="1"/>
  <c r="AE219" i="67" s="1"/>
  <c r="U90" i="67"/>
  <c r="V90" i="67" s="1"/>
  <c r="W90" i="67" s="1"/>
  <c r="AA90" i="67" s="1"/>
  <c r="AB90" i="67" s="1"/>
  <c r="X90" i="67" s="1"/>
  <c r="Y90" i="67" s="1"/>
  <c r="I90" i="67" s="1"/>
  <c r="U221" i="67"/>
  <c r="V221" i="67" s="1"/>
  <c r="W221" i="67" s="1"/>
  <c r="AA221" i="67" s="1"/>
  <c r="AB221" i="67" s="1"/>
  <c r="X221" i="67" s="1"/>
  <c r="Y221" i="67" s="1"/>
  <c r="I221" i="67" s="1"/>
  <c r="U107" i="67"/>
  <c r="V107" i="67" s="1"/>
  <c r="W107" i="67" s="1"/>
  <c r="AA107" i="67" s="1"/>
  <c r="AB107" i="67" s="1"/>
  <c r="X107" i="67" s="1"/>
  <c r="Y107" i="67" s="1"/>
  <c r="I107" i="67" s="1"/>
  <c r="U226" i="67"/>
  <c r="V226" i="67" s="1"/>
  <c r="W226" i="67" s="1"/>
  <c r="AA226" i="67" s="1"/>
  <c r="AB226" i="67" s="1"/>
  <c r="X226" i="67" s="1"/>
  <c r="Y226" i="67" s="1"/>
  <c r="I226" i="67" s="1"/>
  <c r="K226" i="67" s="1"/>
  <c r="M226" i="67" s="1"/>
  <c r="O226" i="67" s="1"/>
  <c r="AC226" i="67" s="1"/>
  <c r="AE226" i="67" s="1"/>
  <c r="U138" i="67"/>
  <c r="V138" i="67" s="1"/>
  <c r="W138" i="67" s="1"/>
  <c r="AA138" i="67" s="1"/>
  <c r="AB138" i="67" s="1"/>
  <c r="X138" i="67" s="1"/>
  <c r="Y138" i="67" s="1"/>
  <c r="I138" i="67" s="1"/>
  <c r="U215" i="67"/>
  <c r="V215" i="67" s="1"/>
  <c r="W215" i="67" s="1"/>
  <c r="AA215" i="67" s="1"/>
  <c r="AB215" i="67" s="1"/>
  <c r="X215" i="67" s="1"/>
  <c r="Y215" i="67" s="1"/>
  <c r="I215" i="67" s="1"/>
  <c r="K215" i="67" s="1"/>
  <c r="M215" i="67" s="1"/>
  <c r="O215" i="67" s="1"/>
  <c r="AC215" i="67" s="1"/>
  <c r="AE215" i="67" s="1"/>
  <c r="U67" i="67"/>
  <c r="V67" i="67" s="1"/>
  <c r="W67" i="67" s="1"/>
  <c r="AA67" i="67" s="1"/>
  <c r="AB67" i="67" s="1"/>
  <c r="X67" i="67" s="1"/>
  <c r="Y67" i="67" s="1"/>
  <c r="I67" i="67" s="1"/>
  <c r="I110" i="47"/>
  <c r="K152" i="67" l="1"/>
  <c r="M152" i="67" s="1"/>
  <c r="AE152" i="67" s="1"/>
  <c r="AJ152" i="67" s="1"/>
  <c r="K184" i="67"/>
  <c r="M184" i="67" s="1"/>
  <c r="AE184" i="67" s="1"/>
  <c r="AJ184" i="67" s="1"/>
  <c r="AC185" i="67"/>
  <c r="AF185" i="67" s="1"/>
  <c r="AK185" i="67" s="1"/>
  <c r="K36" i="67"/>
  <c r="M36" i="67" s="1"/>
  <c r="AE36" i="67" s="1"/>
  <c r="AJ36" i="67" s="1"/>
  <c r="AC11" i="67"/>
  <c r="AF11" i="67" s="1"/>
  <c r="AK11" i="67" s="1"/>
  <c r="K148" i="67"/>
  <c r="M148" i="67" s="1"/>
  <c r="AE148" i="67" s="1"/>
  <c r="AJ148" i="67" s="1"/>
  <c r="K111" i="67"/>
  <c r="M111" i="67" s="1"/>
  <c r="AE111" i="67" s="1"/>
  <c r="AJ111" i="67" s="1"/>
  <c r="K123" i="67"/>
  <c r="M123" i="67" s="1"/>
  <c r="AE123" i="67" s="1"/>
  <c r="AJ123" i="67" s="1"/>
  <c r="K95" i="67"/>
  <c r="M95" i="67" s="1"/>
  <c r="AE95" i="67" s="1"/>
  <c r="AJ95" i="67" s="1"/>
  <c r="AC142" i="67"/>
  <c r="AF142" i="67" s="1"/>
  <c r="AK142" i="67" s="1"/>
  <c r="K88" i="67"/>
  <c r="M88" i="67" s="1"/>
  <c r="AE88" i="67" s="1"/>
  <c r="AJ88" i="67" s="1"/>
  <c r="K82" i="67"/>
  <c r="M82" i="67" s="1"/>
  <c r="AE82" i="67" s="1"/>
  <c r="AJ82" i="67" s="1"/>
  <c r="AC92" i="67"/>
  <c r="AF92" i="67" s="1"/>
  <c r="AK92" i="67" s="1"/>
  <c r="K106" i="67"/>
  <c r="M106" i="67" s="1"/>
  <c r="AE106" i="67" s="1"/>
  <c r="AJ106" i="67" s="1"/>
  <c r="K16" i="67"/>
  <c r="M16" i="67" s="1"/>
  <c r="AE16" i="67" s="1"/>
  <c r="AJ16" i="67" s="1"/>
  <c r="K58" i="67"/>
  <c r="M58" i="67" s="1"/>
  <c r="AE58" i="67" s="1"/>
  <c r="AJ58" i="67" s="1"/>
  <c r="AC37" i="67"/>
  <c r="AF37" i="67" s="1"/>
  <c r="AK37" i="67" s="1"/>
  <c r="K34" i="67"/>
  <c r="M34" i="67" s="1"/>
  <c r="AE34" i="67" s="1"/>
  <c r="AJ34" i="67" s="1"/>
  <c r="AC175" i="67"/>
  <c r="AF175" i="67" s="1"/>
  <c r="AK175" i="67" s="1"/>
  <c r="AC135" i="67"/>
  <c r="AF135" i="67" s="1"/>
  <c r="AK135" i="67" s="1"/>
  <c r="AC48" i="67"/>
  <c r="AF48" i="67" s="1"/>
  <c r="AK48" i="67" s="1"/>
  <c r="AC103" i="67"/>
  <c r="AF103" i="67" s="1"/>
  <c r="AK103" i="67" s="1"/>
  <c r="K201" i="67"/>
  <c r="M201" i="67" s="1"/>
  <c r="AE201" i="67" s="1"/>
  <c r="AJ201" i="67" s="1"/>
  <c r="AC177" i="67"/>
  <c r="AF177" i="67" s="1"/>
  <c r="AK177" i="67" s="1"/>
  <c r="AC161" i="67"/>
  <c r="AF161" i="67" s="1"/>
  <c r="AK161" i="67" s="1"/>
  <c r="AC151" i="67"/>
  <c r="AF151" i="67" s="1"/>
  <c r="AK151" i="67" s="1"/>
  <c r="AC194" i="67"/>
  <c r="AF194" i="67" s="1"/>
  <c r="AK194" i="67" s="1"/>
  <c r="K19" i="67"/>
  <c r="M19" i="67" s="1"/>
  <c r="AE19" i="67" s="1"/>
  <c r="AJ19" i="67" s="1"/>
  <c r="AC205" i="67"/>
  <c r="AF205" i="67" s="1"/>
  <c r="AK205" i="67" s="1"/>
  <c r="K6" i="67"/>
  <c r="M6" i="67" s="1"/>
  <c r="AE6" i="67" s="1"/>
  <c r="AJ6" i="67" s="1"/>
  <c r="AC46" i="67"/>
  <c r="AF46" i="67" s="1"/>
  <c r="AK46" i="67" s="1"/>
  <c r="AC153" i="67"/>
  <c r="AF153" i="67" s="1"/>
  <c r="AK153" i="67" s="1"/>
  <c r="AC28" i="67"/>
  <c r="AF28" i="67" s="1"/>
  <c r="AK28" i="67" s="1"/>
  <c r="K10" i="67"/>
  <c r="M10" i="67" s="1"/>
  <c r="AE10" i="67" s="1"/>
  <c r="AJ10" i="67" s="1"/>
  <c r="AC61" i="67"/>
  <c r="AF61" i="67" s="1"/>
  <c r="AK61" i="67" s="1"/>
  <c r="K180" i="67"/>
  <c r="M180" i="67" s="1"/>
  <c r="AE180" i="67" s="1"/>
  <c r="AJ180" i="67" s="1"/>
  <c r="AC144" i="67"/>
  <c r="AF144" i="67" s="1"/>
  <c r="AK144" i="67" s="1"/>
  <c r="AC191" i="67"/>
  <c r="AF191" i="67" s="1"/>
  <c r="AK191" i="67" s="1"/>
  <c r="AC125" i="67"/>
  <c r="AF125" i="67" s="1"/>
  <c r="AK125" i="67" s="1"/>
  <c r="K54" i="67"/>
  <c r="M54" i="67" s="1"/>
  <c r="AE54" i="67" s="1"/>
  <c r="AJ54" i="67" s="1"/>
  <c r="AC21" i="67"/>
  <c r="AF21" i="67" s="1"/>
  <c r="AK21" i="67" s="1"/>
  <c r="AC197" i="67"/>
  <c r="AF197" i="67" s="1"/>
  <c r="AK197" i="67" s="1"/>
  <c r="AC124" i="67"/>
  <c r="AF124" i="67" s="1"/>
  <c r="AK124" i="67" s="1"/>
  <c r="K155" i="67"/>
  <c r="M155" i="67" s="1"/>
  <c r="AE155" i="67" s="1"/>
  <c r="AJ155" i="67" s="1"/>
  <c r="K30" i="67"/>
  <c r="M30" i="67" s="1"/>
  <c r="AE30" i="67" s="1"/>
  <c r="AJ30" i="67" s="1"/>
  <c r="AC166" i="67"/>
  <c r="AF166" i="67" s="1"/>
  <c r="AK166" i="67" s="1"/>
  <c r="AC127" i="67"/>
  <c r="AF127" i="67" s="1"/>
  <c r="AK127" i="67" s="1"/>
  <c r="AC122" i="67"/>
  <c r="AF122" i="67" s="1"/>
  <c r="AK122" i="67" s="1"/>
  <c r="K32" i="67"/>
  <c r="M32" i="67" s="1"/>
  <c r="AE32" i="67" s="1"/>
  <c r="AJ32" i="67" s="1"/>
  <c r="AC141" i="67"/>
  <c r="AF141" i="67" s="1"/>
  <c r="AK141" i="67" s="1"/>
  <c r="K117" i="67"/>
  <c r="M117" i="67" s="1"/>
  <c r="AE117" i="67" s="1"/>
  <c r="AJ117" i="67" s="1"/>
  <c r="K154" i="67"/>
  <c r="M154" i="67" s="1"/>
  <c r="AE154" i="67" s="1"/>
  <c r="AJ154" i="67" s="1"/>
  <c r="K85" i="67"/>
  <c r="M85" i="67" s="1"/>
  <c r="AE85" i="67" s="1"/>
  <c r="AJ85" i="67" s="1"/>
  <c r="AC65" i="67"/>
  <c r="AF65" i="67" s="1"/>
  <c r="AK65" i="67" s="1"/>
  <c r="K171" i="67"/>
  <c r="M171" i="67" s="1"/>
  <c r="AE171" i="67" s="1"/>
  <c r="AJ171" i="67" s="1"/>
  <c r="AC86" i="67"/>
  <c r="AF86" i="67" s="1"/>
  <c r="AK86" i="67" s="1"/>
  <c r="AC183" i="67"/>
  <c r="AF183" i="67" s="1"/>
  <c r="AK183" i="67" s="1"/>
  <c r="AC43" i="67"/>
  <c r="AF43" i="67" s="1"/>
  <c r="AK43" i="67" s="1"/>
  <c r="AC98" i="67"/>
  <c r="AF98" i="67" s="1"/>
  <c r="AK98" i="67" s="1"/>
  <c r="AC143" i="67"/>
  <c r="AF143" i="67" s="1"/>
  <c r="AK143" i="67" s="1"/>
  <c r="AC173" i="67"/>
  <c r="AF173" i="67" s="1"/>
  <c r="AK173" i="67" s="1"/>
  <c r="AC121" i="67"/>
  <c r="AF121" i="67" s="1"/>
  <c r="AK121" i="67" s="1"/>
  <c r="AC38" i="67"/>
  <c r="AF38" i="67" s="1"/>
  <c r="AK38" i="67" s="1"/>
  <c r="K12" i="67"/>
  <c r="M12" i="67" s="1"/>
  <c r="AE12" i="67" s="1"/>
  <c r="AJ12" i="67" s="1"/>
  <c r="AC169" i="67"/>
  <c r="AF169" i="67" s="1"/>
  <c r="AK169" i="67" s="1"/>
  <c r="AC5" i="67"/>
  <c r="AF5" i="67" s="1"/>
  <c r="AK5" i="67" s="1"/>
  <c r="AC41" i="67"/>
  <c r="AF41" i="67" s="1"/>
  <c r="AK41" i="67" s="1"/>
  <c r="AC84" i="67"/>
  <c r="AF84" i="67" s="1"/>
  <c r="AK84" i="67" s="1"/>
  <c r="AC60" i="67"/>
  <c r="AF60" i="67" s="1"/>
  <c r="AK60" i="67" s="1"/>
  <c r="AC116" i="67"/>
  <c r="AF116" i="67" s="1"/>
  <c r="AK116" i="67" s="1"/>
  <c r="AC126" i="67"/>
  <c r="AF126" i="67" s="1"/>
  <c r="AK126" i="67" s="1"/>
  <c r="K167" i="67"/>
  <c r="M167" i="67" s="1"/>
  <c r="AE167" i="67" s="1"/>
  <c r="AJ167" i="67" s="1"/>
  <c r="K160" i="67"/>
  <c r="M160" i="67" s="1"/>
  <c r="AE160" i="67" s="1"/>
  <c r="AJ160" i="67" s="1"/>
  <c r="AC156" i="67"/>
  <c r="AF156" i="67" s="1"/>
  <c r="AK156" i="67" s="1"/>
  <c r="AC187" i="67"/>
  <c r="AF187" i="67" s="1"/>
  <c r="AK187" i="67" s="1"/>
  <c r="AC115" i="67"/>
  <c r="AF115" i="67" s="1"/>
  <c r="AK115" i="67" s="1"/>
  <c r="K23" i="67"/>
  <c r="M23" i="67" s="1"/>
  <c r="AE23" i="67" s="1"/>
  <c r="AJ23" i="67" s="1"/>
  <c r="K182" i="67"/>
  <c r="M182" i="67" s="1"/>
  <c r="AE182" i="67" s="1"/>
  <c r="AJ182" i="67" s="1"/>
  <c r="AC77" i="67"/>
  <c r="AF77" i="67" s="1"/>
  <c r="AK77" i="67" s="1"/>
  <c r="K137" i="67"/>
  <c r="M137" i="67" s="1"/>
  <c r="AE137" i="67" s="1"/>
  <c r="AJ137" i="67" s="1"/>
  <c r="AC165" i="67"/>
  <c r="AF165" i="67" s="1"/>
  <c r="AK165" i="67" s="1"/>
  <c r="K157" i="67"/>
  <c r="M157" i="67" s="1"/>
  <c r="AE157" i="67" s="1"/>
  <c r="AJ157" i="67" s="1"/>
  <c r="K178" i="67"/>
  <c r="M178" i="67" s="1"/>
  <c r="AE178" i="67" s="1"/>
  <c r="AJ178" i="67" s="1"/>
  <c r="K56" i="67"/>
  <c r="M56" i="67" s="1"/>
  <c r="AE56" i="67" s="1"/>
  <c r="AJ56" i="67" s="1"/>
  <c r="K119" i="67"/>
  <c r="M119" i="67" s="1"/>
  <c r="AE119" i="67" s="1"/>
  <c r="AJ119" i="67" s="1"/>
  <c r="K47" i="67"/>
  <c r="M47" i="67" s="1"/>
  <c r="AE47" i="67" s="1"/>
  <c r="AJ47" i="67" s="1"/>
  <c r="K133" i="67"/>
  <c r="M133" i="67" s="1"/>
  <c r="AE133" i="67" s="1"/>
  <c r="AJ133" i="67" s="1"/>
  <c r="K40" i="67"/>
  <c r="M40" i="67" s="1"/>
  <c r="AE40" i="67" s="1"/>
  <c r="AJ40" i="67" s="1"/>
  <c r="AC4" i="67"/>
  <c r="AF4" i="67" s="1"/>
  <c r="AK4" i="67" s="1"/>
  <c r="K14" i="67"/>
  <c r="M14" i="67" s="1"/>
  <c r="AE14" i="67" s="1"/>
  <c r="AJ14" i="67" s="1"/>
  <c r="AC162" i="67"/>
  <c r="AF162" i="67" s="1"/>
  <c r="AK162" i="67" s="1"/>
  <c r="AC140" i="67"/>
  <c r="AF140" i="67" s="1"/>
  <c r="AK140" i="67" s="1"/>
  <c r="AC83" i="67"/>
  <c r="AF83" i="67" s="1"/>
  <c r="AK83" i="67" s="1"/>
  <c r="AC130" i="67"/>
  <c r="AF130" i="67" s="1"/>
  <c r="AK130" i="67" s="1"/>
  <c r="K17" i="67"/>
  <c r="M17" i="67" s="1"/>
  <c r="AE17" i="67" s="1"/>
  <c r="AJ17" i="67" s="1"/>
  <c r="K120" i="67"/>
  <c r="M120" i="67" s="1"/>
  <c r="AE120" i="67" s="1"/>
  <c r="AJ120" i="67" s="1"/>
  <c r="K174" i="67"/>
  <c r="M174" i="67" s="1"/>
  <c r="AE174" i="67" s="1"/>
  <c r="AJ174" i="67" s="1"/>
  <c r="K163" i="67"/>
  <c r="M163" i="67" s="1"/>
  <c r="AE163" i="67" s="1"/>
  <c r="AJ163" i="67" s="1"/>
  <c r="K190" i="67"/>
  <c r="M190" i="67" s="1"/>
  <c r="AE190" i="67" s="1"/>
  <c r="AJ190" i="67" s="1"/>
  <c r="AC63" i="67"/>
  <c r="AF63" i="67" s="1"/>
  <c r="AK63" i="67" s="1"/>
  <c r="AC179" i="67"/>
  <c r="AF179" i="67" s="1"/>
  <c r="AK179" i="67" s="1"/>
  <c r="AC55" i="67"/>
  <c r="AF55" i="67" s="1"/>
  <c r="AK55" i="67" s="1"/>
  <c r="K199" i="67"/>
  <c r="M199" i="67" s="1"/>
  <c r="AE199" i="67" s="1"/>
  <c r="AJ199" i="67" s="1"/>
  <c r="AC51" i="67"/>
  <c r="AF51" i="67" s="1"/>
  <c r="AK51" i="67" s="1"/>
  <c r="K176" i="67"/>
  <c r="M176" i="67" s="1"/>
  <c r="AE176" i="67" s="1"/>
  <c r="AJ176" i="67" s="1"/>
  <c r="AC26" i="67"/>
  <c r="AF26" i="67" s="1"/>
  <c r="AK26" i="67" s="1"/>
  <c r="K181" i="67"/>
  <c r="M181" i="67" s="1"/>
  <c r="AE181" i="67" s="1"/>
  <c r="AJ181" i="67" s="1"/>
  <c r="K206" i="67"/>
  <c r="M206" i="67" s="1"/>
  <c r="AE206" i="67" s="1"/>
  <c r="AJ206" i="67" s="1"/>
  <c r="AC128" i="67"/>
  <c r="AF128" i="67" s="1"/>
  <c r="AK128" i="67" s="1"/>
  <c r="AC89" i="67"/>
  <c r="AF89" i="67" s="1"/>
  <c r="AK89" i="67" s="1"/>
  <c r="K27" i="67"/>
  <c r="M27" i="67" s="1"/>
  <c r="AE27" i="67" s="1"/>
  <c r="AJ27" i="67" s="1"/>
  <c r="AC94" i="67"/>
  <c r="AF94" i="67" s="1"/>
  <c r="AK94" i="67" s="1"/>
  <c r="K81" i="67"/>
  <c r="M81" i="67" s="1"/>
  <c r="AE81" i="67" s="1"/>
  <c r="AJ81" i="67" s="1"/>
  <c r="AC80" i="67"/>
  <c r="AF80" i="67" s="1"/>
  <c r="AK80" i="67" s="1"/>
  <c r="AF67" i="68"/>
  <c r="AK67" i="68" s="1"/>
  <c r="AJ49" i="68"/>
  <c r="AJ73" i="68"/>
  <c r="AF49" i="68"/>
  <c r="AK49" i="68" s="1"/>
  <c r="AF73" i="68"/>
  <c r="AK73" i="68" s="1"/>
  <c r="AJ71" i="68"/>
  <c r="AF71" i="68"/>
  <c r="AK71" i="68" s="1"/>
  <c r="AF90" i="68"/>
  <c r="AK90" i="68" s="1"/>
  <c r="AJ136" i="68"/>
  <c r="AJ62" i="68"/>
  <c r="AJ101" i="68"/>
  <c r="AF136" i="68"/>
  <c r="AK136" i="68" s="1"/>
  <c r="AF62" i="68"/>
  <c r="AK62" i="68" s="1"/>
  <c r="AF101" i="68"/>
  <c r="AK101" i="68" s="1"/>
  <c r="AJ69" i="68"/>
  <c r="AJ138" i="68"/>
  <c r="AJ139" i="68"/>
  <c r="AF69" i="68"/>
  <c r="AK69" i="68" s="1"/>
  <c r="AF138" i="68"/>
  <c r="AK138" i="68" s="1"/>
  <c r="AF139" i="68"/>
  <c r="AK139" i="68" s="1"/>
  <c r="AJ66" i="68"/>
  <c r="AJ112" i="68"/>
  <c r="AF66" i="68"/>
  <c r="AK66" i="68" s="1"/>
  <c r="AF112" i="68"/>
  <c r="AK112" i="68" s="1"/>
  <c r="AJ67" i="68"/>
  <c r="AJ90" i="68"/>
  <c r="AF3" i="68"/>
  <c r="AK3" i="68" s="1"/>
  <c r="AJ3" i="68"/>
  <c r="K147" i="67"/>
  <c r="M147" i="67" s="1"/>
  <c r="AE147" i="67" s="1"/>
  <c r="AJ147" i="67" s="1"/>
  <c r="AC196" i="67"/>
  <c r="AF196" i="67" s="1"/>
  <c r="AK196" i="67" s="1"/>
  <c r="K72" i="67"/>
  <c r="M72" i="67" s="1"/>
  <c r="AE72" i="67" s="1"/>
  <c r="AJ72" i="67" s="1"/>
  <c r="AC159" i="67"/>
  <c r="AF159" i="67" s="1"/>
  <c r="AK159" i="67" s="1"/>
  <c r="AC70" i="67"/>
  <c r="AF70" i="67" s="1"/>
  <c r="AK70" i="67" s="1"/>
  <c r="AC189" i="67"/>
  <c r="AF189" i="67" s="1"/>
  <c r="AK189" i="67" s="1"/>
  <c r="AC74" i="67"/>
  <c r="AF74" i="67" s="1"/>
  <c r="AK74" i="67" s="1"/>
  <c r="AC118" i="67"/>
  <c r="AF118" i="67" s="1"/>
  <c r="AK118" i="67" s="1"/>
  <c r="AC53" i="67"/>
  <c r="AF53" i="67" s="1"/>
  <c r="AK53" i="67" s="1"/>
  <c r="AC7" i="67"/>
  <c r="AF7" i="67" s="1"/>
  <c r="AK7" i="67" s="1"/>
  <c r="K87" i="67"/>
  <c r="M87" i="67" s="1"/>
  <c r="AE87" i="67" s="1"/>
  <c r="AJ87" i="67" s="1"/>
  <c r="K99" i="67"/>
  <c r="M99" i="67" s="1"/>
  <c r="AE99" i="67" s="1"/>
  <c r="AJ99" i="67" s="1"/>
  <c r="AC164" i="67"/>
  <c r="AF164" i="67" s="1"/>
  <c r="AK164" i="67" s="1"/>
  <c r="K52" i="67"/>
  <c r="M52" i="67" s="1"/>
  <c r="AE52" i="67" s="1"/>
  <c r="AJ52" i="67" s="1"/>
  <c r="AC146" i="67"/>
  <c r="AF146" i="67" s="1"/>
  <c r="AK146" i="67" s="1"/>
  <c r="K170" i="67"/>
  <c r="M170" i="67" s="1"/>
  <c r="AE170" i="67" s="1"/>
  <c r="AJ170" i="67" s="1"/>
  <c r="AC76" i="67"/>
  <c r="AF76" i="67" s="1"/>
  <c r="AK76" i="67" s="1"/>
  <c r="AC132" i="67"/>
  <c r="AF132" i="67" s="1"/>
  <c r="AK132" i="67" s="1"/>
  <c r="K131" i="67"/>
  <c r="M131" i="67" s="1"/>
  <c r="AE131" i="67" s="1"/>
  <c r="AJ131" i="67" s="1"/>
  <c r="K24" i="67"/>
  <c r="M24" i="67" s="1"/>
  <c r="AE24" i="67" s="1"/>
  <c r="AJ24" i="67" s="1"/>
  <c r="AC45" i="67"/>
  <c r="AF45" i="67" s="1"/>
  <c r="AK45" i="67" s="1"/>
  <c r="K96" i="67"/>
  <c r="M96" i="67" s="1"/>
  <c r="AE96" i="67" s="1"/>
  <c r="AJ96" i="67" s="1"/>
  <c r="AC42" i="67"/>
  <c r="AF42" i="67" s="1"/>
  <c r="AK42" i="67" s="1"/>
  <c r="AC204" i="67"/>
  <c r="AF204" i="67" s="1"/>
  <c r="AK204" i="67" s="1"/>
  <c r="AC22" i="67"/>
  <c r="AF22" i="67" s="1"/>
  <c r="AK22" i="67" s="1"/>
  <c r="AC200" i="67"/>
  <c r="AF200" i="67" s="1"/>
  <c r="AK200" i="67" s="1"/>
  <c r="AC75" i="67"/>
  <c r="AF75" i="67" s="1"/>
  <c r="AK75" i="67" s="1"/>
  <c r="AC44" i="68"/>
  <c r="K44" i="68"/>
  <c r="M44" i="68" s="1"/>
  <c r="AE44" i="68" s="1"/>
  <c r="AC110" i="68"/>
  <c r="K110" i="68"/>
  <c r="M110" i="68" s="1"/>
  <c r="AE110" i="68" s="1"/>
  <c r="AC188" i="68"/>
  <c r="K188" i="68"/>
  <c r="M188" i="68" s="1"/>
  <c r="AE188" i="68" s="1"/>
  <c r="AC44" i="67"/>
  <c r="AF44" i="67" s="1"/>
  <c r="AK44" i="67" s="1"/>
  <c r="AC144" i="68"/>
  <c r="K144" i="68"/>
  <c r="M144" i="68" s="1"/>
  <c r="AE144" i="68" s="1"/>
  <c r="AC54" i="68"/>
  <c r="K54" i="68"/>
  <c r="M54" i="68" s="1"/>
  <c r="AE54" i="68" s="1"/>
  <c r="AC194" i="68"/>
  <c r="K194" i="68"/>
  <c r="M194" i="68" s="1"/>
  <c r="AE194" i="68" s="1"/>
  <c r="X227" i="68"/>
  <c r="Y227" i="68" s="1"/>
  <c r="I227" i="68" s="1"/>
  <c r="K227" i="68" s="1"/>
  <c r="M227" i="68" s="1"/>
  <c r="O227" i="68" s="1"/>
  <c r="AC227" i="68" s="1"/>
  <c r="AE227" i="68" s="1"/>
  <c r="AC17" i="68"/>
  <c r="K17" i="68"/>
  <c r="M17" i="68" s="1"/>
  <c r="AE17" i="68" s="1"/>
  <c r="AC178" i="68"/>
  <c r="K178" i="68"/>
  <c r="M178" i="68" s="1"/>
  <c r="AE178" i="68" s="1"/>
  <c r="AC86" i="68"/>
  <c r="K86" i="68"/>
  <c r="M86" i="68" s="1"/>
  <c r="AE86" i="68" s="1"/>
  <c r="AC187" i="68"/>
  <c r="K187" i="68"/>
  <c r="M187" i="68" s="1"/>
  <c r="AE187" i="68" s="1"/>
  <c r="AC183" i="68"/>
  <c r="K183" i="68"/>
  <c r="M183" i="68" s="1"/>
  <c r="AE183" i="68" s="1"/>
  <c r="AC174" i="68"/>
  <c r="K174" i="68"/>
  <c r="M174" i="68" s="1"/>
  <c r="AE174" i="68" s="1"/>
  <c r="AC96" i="68"/>
  <c r="K96" i="68"/>
  <c r="M96" i="68" s="1"/>
  <c r="AE96" i="68" s="1"/>
  <c r="AC132" i="68"/>
  <c r="K132" i="68"/>
  <c r="M132" i="68" s="1"/>
  <c r="AE132" i="68" s="1"/>
  <c r="AC45" i="68"/>
  <c r="K45" i="68"/>
  <c r="M45" i="68" s="1"/>
  <c r="AE45" i="68" s="1"/>
  <c r="AC75" i="68"/>
  <c r="K75" i="68"/>
  <c r="M75" i="68" s="1"/>
  <c r="AE75" i="68" s="1"/>
  <c r="AC131" i="68"/>
  <c r="K131" i="68"/>
  <c r="M131" i="68" s="1"/>
  <c r="AE131" i="68" s="1"/>
  <c r="AC111" i="68"/>
  <c r="K111" i="68"/>
  <c r="M111" i="68" s="1"/>
  <c r="AE111" i="68" s="1"/>
  <c r="AC88" i="68"/>
  <c r="K88" i="68"/>
  <c r="M88" i="68" s="1"/>
  <c r="AE88" i="68" s="1"/>
  <c r="AC173" i="68"/>
  <c r="K173" i="68"/>
  <c r="M173" i="68" s="1"/>
  <c r="AE173" i="68" s="1"/>
  <c r="AC175" i="68"/>
  <c r="K175" i="68"/>
  <c r="M175" i="68" s="1"/>
  <c r="AE175" i="68" s="1"/>
  <c r="AC166" i="68"/>
  <c r="K166" i="68"/>
  <c r="M166" i="68" s="1"/>
  <c r="AE166" i="68" s="1"/>
  <c r="AC153" i="68"/>
  <c r="K153" i="68"/>
  <c r="M153" i="68" s="1"/>
  <c r="AE153" i="68" s="1"/>
  <c r="AC42" i="68"/>
  <c r="K42" i="68"/>
  <c r="M42" i="68" s="1"/>
  <c r="AE42" i="68" s="1"/>
  <c r="X223" i="68"/>
  <c r="Y223" i="68" s="1"/>
  <c r="I223" i="68" s="1"/>
  <c r="K223" i="68" s="1"/>
  <c r="M223" i="68" s="1"/>
  <c r="O223" i="68" s="1"/>
  <c r="AC223" i="68" s="1"/>
  <c r="AE223" i="68" s="1"/>
  <c r="AC104" i="68"/>
  <c r="K104" i="68"/>
  <c r="M104" i="68" s="1"/>
  <c r="AE104" i="68" s="1"/>
  <c r="AC157" i="68"/>
  <c r="K157" i="68"/>
  <c r="M157" i="68" s="1"/>
  <c r="AE157" i="68" s="1"/>
  <c r="AC41" i="68"/>
  <c r="K41" i="68"/>
  <c r="M41" i="68" s="1"/>
  <c r="AE41" i="68" s="1"/>
  <c r="AC38" i="68"/>
  <c r="K38" i="68"/>
  <c r="M38" i="68" s="1"/>
  <c r="AE38" i="68" s="1"/>
  <c r="AC47" i="68"/>
  <c r="K47" i="68"/>
  <c r="M47" i="68" s="1"/>
  <c r="AE47" i="68" s="1"/>
  <c r="AC130" i="68"/>
  <c r="K130" i="68"/>
  <c r="M130" i="68" s="1"/>
  <c r="AE130" i="68" s="1"/>
  <c r="AC79" i="68"/>
  <c r="K79" i="68"/>
  <c r="M79" i="68" s="1"/>
  <c r="AE79" i="68" s="1"/>
  <c r="AC18" i="68"/>
  <c r="K18" i="68"/>
  <c r="M18" i="68" s="1"/>
  <c r="AE18" i="68" s="1"/>
  <c r="X225" i="68"/>
  <c r="Y225" i="68" s="1"/>
  <c r="I225" i="68" s="1"/>
  <c r="K225" i="68" s="1"/>
  <c r="M225" i="68" s="1"/>
  <c r="O225" i="68" s="1"/>
  <c r="AC225" i="68" s="1"/>
  <c r="AE225" i="68" s="1"/>
  <c r="AC93" i="68"/>
  <c r="K93" i="68"/>
  <c r="M93" i="68" s="1"/>
  <c r="AE93" i="68" s="1"/>
  <c r="AC18" i="67"/>
  <c r="AF18" i="67" s="1"/>
  <c r="AK18" i="67" s="1"/>
  <c r="AC190" i="68"/>
  <c r="K190" i="68"/>
  <c r="M190" i="68" s="1"/>
  <c r="AE190" i="68" s="1"/>
  <c r="AC58" i="68"/>
  <c r="K58" i="68"/>
  <c r="M58" i="68" s="1"/>
  <c r="AE58" i="68" s="1"/>
  <c r="AC80" i="68"/>
  <c r="K80" i="68"/>
  <c r="M80" i="68" s="1"/>
  <c r="AE80" i="68" s="1"/>
  <c r="AC193" i="67"/>
  <c r="AF193" i="67" s="1"/>
  <c r="AK193" i="67" s="1"/>
  <c r="AC48" i="68"/>
  <c r="K48" i="68"/>
  <c r="M48" i="68" s="1"/>
  <c r="AE48" i="68" s="1"/>
  <c r="X218" i="68"/>
  <c r="Y218" i="68" s="1"/>
  <c r="I218" i="68" s="1"/>
  <c r="K218" i="68" s="1"/>
  <c r="M218" i="68" s="1"/>
  <c r="O218" i="68" s="1"/>
  <c r="AC218" i="68" s="1"/>
  <c r="AE218" i="68" s="1"/>
  <c r="AC28" i="68"/>
  <c r="K28" i="68"/>
  <c r="M28" i="68" s="1"/>
  <c r="AE28" i="68" s="1"/>
  <c r="AC6" i="68"/>
  <c r="K6" i="68"/>
  <c r="M6" i="68" s="1"/>
  <c r="AE6" i="68" s="1"/>
  <c r="AC126" i="68"/>
  <c r="K126" i="68"/>
  <c r="M126" i="68" s="1"/>
  <c r="AE126" i="68" s="1"/>
  <c r="AC125" i="68"/>
  <c r="K125" i="68"/>
  <c r="M125" i="68" s="1"/>
  <c r="AE125" i="68" s="1"/>
  <c r="AC5" i="68"/>
  <c r="K5" i="68"/>
  <c r="M5" i="68" s="1"/>
  <c r="AE5" i="68" s="1"/>
  <c r="AC94" i="68"/>
  <c r="K94" i="68"/>
  <c r="M94" i="68" s="1"/>
  <c r="AE94" i="68" s="1"/>
  <c r="AC23" i="68"/>
  <c r="K23" i="68"/>
  <c r="M23" i="68" s="1"/>
  <c r="AE23" i="68" s="1"/>
  <c r="AC163" i="68"/>
  <c r="K163" i="68"/>
  <c r="M163" i="68" s="1"/>
  <c r="AE163" i="68" s="1"/>
  <c r="AC81" i="68"/>
  <c r="K81" i="68"/>
  <c r="M81" i="68" s="1"/>
  <c r="AE81" i="68" s="1"/>
  <c r="AC160" i="68"/>
  <c r="K160" i="68"/>
  <c r="M160" i="68" s="1"/>
  <c r="AE160" i="68" s="1"/>
  <c r="AC84" i="68"/>
  <c r="K84" i="68"/>
  <c r="M84" i="68" s="1"/>
  <c r="AE84" i="68" s="1"/>
  <c r="AC120" i="68"/>
  <c r="K120" i="68"/>
  <c r="M120" i="68" s="1"/>
  <c r="AE120" i="68" s="1"/>
  <c r="AC189" i="68"/>
  <c r="K189" i="68"/>
  <c r="M189" i="68" s="1"/>
  <c r="AE189" i="68" s="1"/>
  <c r="AC87" i="68"/>
  <c r="K87" i="68"/>
  <c r="M87" i="68" s="1"/>
  <c r="AE87" i="68" s="1"/>
  <c r="AC52" i="68"/>
  <c r="K52" i="68"/>
  <c r="M52" i="68" s="1"/>
  <c r="AE52" i="68" s="1"/>
  <c r="X220" i="68"/>
  <c r="Y220" i="68" s="1"/>
  <c r="I220" i="68" s="1"/>
  <c r="K220" i="68" s="1"/>
  <c r="M220" i="68" s="1"/>
  <c r="O220" i="68" s="1"/>
  <c r="AC220" i="68" s="1"/>
  <c r="AE220" i="68" s="1"/>
  <c r="AC21" i="68"/>
  <c r="K21" i="68"/>
  <c r="M21" i="68" s="1"/>
  <c r="AE21" i="68" s="1"/>
  <c r="AC195" i="68"/>
  <c r="K195" i="68"/>
  <c r="M195" i="68" s="1"/>
  <c r="AE195" i="68" s="1"/>
  <c r="AC176" i="68"/>
  <c r="K176" i="68"/>
  <c r="M176" i="68" s="1"/>
  <c r="AE176" i="68" s="1"/>
  <c r="X219" i="68"/>
  <c r="Y219" i="68" s="1"/>
  <c r="I219" i="68" s="1"/>
  <c r="K219" i="68" s="1"/>
  <c r="M219" i="68" s="1"/>
  <c r="O219" i="68" s="1"/>
  <c r="AC219" i="68" s="1"/>
  <c r="AE219" i="68" s="1"/>
  <c r="AC142" i="68"/>
  <c r="K142" i="68"/>
  <c r="M142" i="68" s="1"/>
  <c r="AE142" i="68" s="1"/>
  <c r="AC37" i="68"/>
  <c r="K37" i="68"/>
  <c r="M37" i="68" s="1"/>
  <c r="AE37" i="68" s="1"/>
  <c r="AC154" i="68"/>
  <c r="K154" i="68"/>
  <c r="M154" i="68" s="1"/>
  <c r="AE154" i="68" s="1"/>
  <c r="AC98" i="68"/>
  <c r="K98" i="68"/>
  <c r="M98" i="68" s="1"/>
  <c r="AE98" i="68" s="1"/>
  <c r="AC116" i="68"/>
  <c r="K116" i="68"/>
  <c r="M116" i="68" s="1"/>
  <c r="AE116" i="68" s="1"/>
  <c r="AC65" i="68"/>
  <c r="K65" i="68"/>
  <c r="M65" i="68" s="1"/>
  <c r="AE65" i="68" s="1"/>
  <c r="AC179" i="68"/>
  <c r="K179" i="68"/>
  <c r="M179" i="68" s="1"/>
  <c r="AE179" i="68" s="1"/>
  <c r="AC115" i="68"/>
  <c r="K115" i="68"/>
  <c r="M115" i="68" s="1"/>
  <c r="AE115" i="68" s="1"/>
  <c r="X216" i="68"/>
  <c r="Y216" i="68" s="1"/>
  <c r="I216" i="68" s="1"/>
  <c r="K216" i="68" s="1"/>
  <c r="M216" i="68" s="1"/>
  <c r="O216" i="68" s="1"/>
  <c r="AC216" i="68" s="1"/>
  <c r="AE216" i="68" s="1"/>
  <c r="AC53" i="68"/>
  <c r="K53" i="68"/>
  <c r="M53" i="68" s="1"/>
  <c r="AE53" i="68" s="1"/>
  <c r="AC64" i="68"/>
  <c r="K64" i="68"/>
  <c r="M64" i="68" s="1"/>
  <c r="AE64" i="68" s="1"/>
  <c r="AC110" i="67"/>
  <c r="AF110" i="67" s="1"/>
  <c r="AK110" i="67" s="1"/>
  <c r="K64" i="67"/>
  <c r="M64" i="67" s="1"/>
  <c r="AE64" i="67" s="1"/>
  <c r="AJ64" i="67" s="1"/>
  <c r="AC188" i="67"/>
  <c r="AF188" i="67" s="1"/>
  <c r="AK188" i="67" s="1"/>
  <c r="AC33" i="68"/>
  <c r="K33" i="68"/>
  <c r="M33" i="68" s="1"/>
  <c r="AE33" i="68" s="1"/>
  <c r="AC192" i="68"/>
  <c r="K192" i="68"/>
  <c r="M192" i="68" s="1"/>
  <c r="AE192" i="68" s="1"/>
  <c r="AC99" i="68"/>
  <c r="K99" i="68"/>
  <c r="M99" i="68" s="1"/>
  <c r="AE99" i="68" s="1"/>
  <c r="AC103" i="68"/>
  <c r="K103" i="68"/>
  <c r="M103" i="68" s="1"/>
  <c r="AE103" i="68" s="1"/>
  <c r="AC185" i="68"/>
  <c r="K185" i="68"/>
  <c r="M185" i="68" s="1"/>
  <c r="AE185" i="68" s="1"/>
  <c r="AC148" i="68"/>
  <c r="K148" i="68"/>
  <c r="M148" i="68" s="1"/>
  <c r="AE148" i="68" s="1"/>
  <c r="AC181" i="68"/>
  <c r="K181" i="68"/>
  <c r="M181" i="68" s="1"/>
  <c r="AE181" i="68" s="1"/>
  <c r="AC197" i="68"/>
  <c r="K197" i="68"/>
  <c r="M197" i="68" s="1"/>
  <c r="AE197" i="68" s="1"/>
  <c r="AC56" i="68"/>
  <c r="K56" i="68"/>
  <c r="M56" i="68" s="1"/>
  <c r="AE56" i="68" s="1"/>
  <c r="AC127" i="68"/>
  <c r="K127" i="68"/>
  <c r="M127" i="68" s="1"/>
  <c r="AE127" i="68" s="1"/>
  <c r="AC161" i="68"/>
  <c r="K161" i="68"/>
  <c r="M161" i="68" s="1"/>
  <c r="AE161" i="68" s="1"/>
  <c r="AC169" i="68"/>
  <c r="K169" i="68"/>
  <c r="M169" i="68" s="1"/>
  <c r="AE169" i="68" s="1"/>
  <c r="AC128" i="68"/>
  <c r="K128" i="68"/>
  <c r="M128" i="68" s="1"/>
  <c r="AE128" i="68" s="1"/>
  <c r="AC4" i="68"/>
  <c r="K4" i="68"/>
  <c r="M4" i="68" s="1"/>
  <c r="AE4" i="68" s="1"/>
  <c r="AC83" i="68"/>
  <c r="K83" i="68"/>
  <c r="M83" i="68" s="1"/>
  <c r="AE83" i="68" s="1"/>
  <c r="AC61" i="68"/>
  <c r="K61" i="68"/>
  <c r="M61" i="68" s="1"/>
  <c r="AE61" i="68" s="1"/>
  <c r="AC55" i="68"/>
  <c r="K55" i="68"/>
  <c r="M55" i="68" s="1"/>
  <c r="AE55" i="68" s="1"/>
  <c r="AC119" i="68"/>
  <c r="K119" i="68"/>
  <c r="M119" i="68" s="1"/>
  <c r="AE119" i="68" s="1"/>
  <c r="AC26" i="68"/>
  <c r="K26" i="68"/>
  <c r="M26" i="68" s="1"/>
  <c r="AE26" i="68" s="1"/>
  <c r="AC121" i="68"/>
  <c r="K121" i="68"/>
  <c r="M121" i="68" s="1"/>
  <c r="AE121" i="68" s="1"/>
  <c r="X215" i="68"/>
  <c r="Y215" i="68" s="1"/>
  <c r="I215" i="68" s="1"/>
  <c r="K215" i="68" s="1"/>
  <c r="M215" i="68" s="1"/>
  <c r="O215" i="68" s="1"/>
  <c r="AC215" i="68" s="1"/>
  <c r="AE215" i="68" s="1"/>
  <c r="AC150" i="68"/>
  <c r="K150" i="68"/>
  <c r="M150" i="68" s="1"/>
  <c r="AE150" i="68" s="1"/>
  <c r="AC34" i="68"/>
  <c r="K34" i="68"/>
  <c r="M34" i="68" s="1"/>
  <c r="AE34" i="68" s="1"/>
  <c r="AC165" i="68"/>
  <c r="K165" i="68"/>
  <c r="M165" i="68" s="1"/>
  <c r="AE165" i="68" s="1"/>
  <c r="AC27" i="68"/>
  <c r="K27" i="68"/>
  <c r="M27" i="68" s="1"/>
  <c r="AE27" i="68" s="1"/>
  <c r="AC118" i="68"/>
  <c r="K118" i="68"/>
  <c r="M118" i="68" s="1"/>
  <c r="AE118" i="68" s="1"/>
  <c r="AC146" i="68"/>
  <c r="K146" i="68"/>
  <c r="M146" i="68" s="1"/>
  <c r="AE146" i="68" s="1"/>
  <c r="X214" i="68"/>
  <c r="Y214" i="68" s="1"/>
  <c r="I214" i="68" s="1"/>
  <c r="K214" i="68" s="1"/>
  <c r="M214" i="68" s="1"/>
  <c r="O214" i="68" s="1"/>
  <c r="AC214" i="68" s="1"/>
  <c r="AE214" i="68" s="1"/>
  <c r="AC123" i="68"/>
  <c r="K123" i="68"/>
  <c r="M123" i="68" s="1"/>
  <c r="AE123" i="68" s="1"/>
  <c r="AC32" i="68"/>
  <c r="K32" i="68"/>
  <c r="M32" i="68" s="1"/>
  <c r="AE32" i="68" s="1"/>
  <c r="AC162" i="68"/>
  <c r="K162" i="68"/>
  <c r="M162" i="68" s="1"/>
  <c r="AE162" i="68" s="1"/>
  <c r="AC15" i="68"/>
  <c r="K15" i="68"/>
  <c r="M15" i="68" s="1"/>
  <c r="AE15" i="68" s="1"/>
  <c r="AC205" i="68"/>
  <c r="K205" i="68"/>
  <c r="M205" i="68" s="1"/>
  <c r="AE205" i="68" s="1"/>
  <c r="AC40" i="68"/>
  <c r="K40" i="68"/>
  <c r="M40" i="68" s="1"/>
  <c r="AE40" i="68" s="1"/>
  <c r="AC140" i="68"/>
  <c r="K140" i="68"/>
  <c r="M140" i="68" s="1"/>
  <c r="AE140" i="68" s="1"/>
  <c r="AC168" i="68"/>
  <c r="K168" i="68"/>
  <c r="M168" i="68" s="1"/>
  <c r="AE168" i="68" s="1"/>
  <c r="AC171" i="68"/>
  <c r="K171" i="68"/>
  <c r="M171" i="68" s="1"/>
  <c r="AE171" i="68" s="1"/>
  <c r="AC192" i="67"/>
  <c r="AF192" i="67" s="1"/>
  <c r="AK192" i="67" s="1"/>
  <c r="K78" i="67"/>
  <c r="M78" i="67" s="1"/>
  <c r="AE78" i="67" s="1"/>
  <c r="AJ78" i="67" s="1"/>
  <c r="AC168" i="67"/>
  <c r="AF168" i="67" s="1"/>
  <c r="AK168" i="67" s="1"/>
  <c r="AC78" i="68"/>
  <c r="K78" i="68"/>
  <c r="M78" i="68" s="1"/>
  <c r="AE78" i="68" s="1"/>
  <c r="AC97" i="68"/>
  <c r="K97" i="68"/>
  <c r="M97" i="68" s="1"/>
  <c r="AE97" i="68" s="1"/>
  <c r="K33" i="67"/>
  <c r="M33" i="67" s="1"/>
  <c r="AE33" i="67" s="1"/>
  <c r="AJ33" i="67" s="1"/>
  <c r="K97" i="67"/>
  <c r="M97" i="67" s="1"/>
  <c r="AE97" i="67" s="1"/>
  <c r="AJ97" i="67" s="1"/>
  <c r="AC182" i="68"/>
  <c r="K182" i="68"/>
  <c r="M182" i="68" s="1"/>
  <c r="AE182" i="68" s="1"/>
  <c r="AC74" i="68"/>
  <c r="K74" i="68"/>
  <c r="M74" i="68" s="1"/>
  <c r="AE74" i="68" s="1"/>
  <c r="AC204" i="68"/>
  <c r="K204" i="68"/>
  <c r="M204" i="68" s="1"/>
  <c r="AE204" i="68" s="1"/>
  <c r="AC11" i="68"/>
  <c r="K11" i="68"/>
  <c r="M11" i="68" s="1"/>
  <c r="AE11" i="68" s="1"/>
  <c r="AC95" i="68"/>
  <c r="K95" i="68"/>
  <c r="M95" i="68" s="1"/>
  <c r="AE95" i="68" s="1"/>
  <c r="AC36" i="68"/>
  <c r="K36" i="68"/>
  <c r="M36" i="68" s="1"/>
  <c r="AE36" i="68" s="1"/>
  <c r="AC155" i="68"/>
  <c r="K155" i="68"/>
  <c r="M155" i="68" s="1"/>
  <c r="AE155" i="68" s="1"/>
  <c r="AC92" i="68"/>
  <c r="K92" i="68"/>
  <c r="M92" i="68" s="1"/>
  <c r="AE92" i="68" s="1"/>
  <c r="AC201" i="68"/>
  <c r="K201" i="68"/>
  <c r="M201" i="68" s="1"/>
  <c r="AE201" i="68" s="1"/>
  <c r="AC151" i="68"/>
  <c r="K151" i="68"/>
  <c r="M151" i="68" s="1"/>
  <c r="AE151" i="68" s="1"/>
  <c r="AC10" i="68"/>
  <c r="K10" i="68"/>
  <c r="M10" i="68" s="1"/>
  <c r="AE10" i="68" s="1"/>
  <c r="AC68" i="68"/>
  <c r="K68" i="68"/>
  <c r="M68" i="68" s="1"/>
  <c r="AE68" i="68" s="1"/>
  <c r="AC89" i="68"/>
  <c r="K89" i="68"/>
  <c r="M89" i="68" s="1"/>
  <c r="AE89" i="68" s="1"/>
  <c r="AC117" i="68"/>
  <c r="K117" i="68"/>
  <c r="M117" i="68" s="1"/>
  <c r="AE117" i="68" s="1"/>
  <c r="AC141" i="68"/>
  <c r="K141" i="68"/>
  <c r="M141" i="68" s="1"/>
  <c r="AE141" i="68" s="1"/>
  <c r="AC14" i="68"/>
  <c r="K14" i="68"/>
  <c r="M14" i="68" s="1"/>
  <c r="AE14" i="68" s="1"/>
  <c r="AC180" i="68"/>
  <c r="K180" i="68"/>
  <c r="M180" i="68" s="1"/>
  <c r="AE180" i="68" s="1"/>
  <c r="AC12" i="68"/>
  <c r="K12" i="68"/>
  <c r="M12" i="68" s="1"/>
  <c r="AE12" i="68" s="1"/>
  <c r="AC124" i="68"/>
  <c r="K124" i="68"/>
  <c r="M124" i="68" s="1"/>
  <c r="AE124" i="68" s="1"/>
  <c r="AC199" i="68"/>
  <c r="K199" i="68"/>
  <c r="M199" i="68" s="1"/>
  <c r="AE199" i="68" s="1"/>
  <c r="AC159" i="68"/>
  <c r="K159" i="68"/>
  <c r="M159" i="68" s="1"/>
  <c r="AE159" i="68" s="1"/>
  <c r="AC22" i="68"/>
  <c r="K22" i="68"/>
  <c r="M22" i="68" s="1"/>
  <c r="AE22" i="68" s="1"/>
  <c r="AC72" i="68"/>
  <c r="K72" i="68"/>
  <c r="M72" i="68" s="1"/>
  <c r="AE72" i="68" s="1"/>
  <c r="AC170" i="68"/>
  <c r="K170" i="68"/>
  <c r="M170" i="68" s="1"/>
  <c r="AE170" i="68" s="1"/>
  <c r="X213" i="68"/>
  <c r="Y213" i="68" s="1"/>
  <c r="I213" i="68" s="1"/>
  <c r="K213" i="68" s="1"/>
  <c r="M213" i="68" s="1"/>
  <c r="O213" i="68" s="1"/>
  <c r="AC213" i="68" s="1"/>
  <c r="AE213" i="68" s="1"/>
  <c r="AC60" i="68"/>
  <c r="K60" i="68"/>
  <c r="M60" i="68" s="1"/>
  <c r="AE60" i="68" s="1"/>
  <c r="AC30" i="68"/>
  <c r="K30" i="68"/>
  <c r="M30" i="68" s="1"/>
  <c r="AE30" i="68" s="1"/>
  <c r="AC156" i="68"/>
  <c r="K156" i="68"/>
  <c r="M156" i="68" s="1"/>
  <c r="AE156" i="68" s="1"/>
  <c r="AC24" i="68"/>
  <c r="K24" i="68"/>
  <c r="M24" i="68" s="1"/>
  <c r="AE24" i="68" s="1"/>
  <c r="AC106" i="68"/>
  <c r="K106" i="68"/>
  <c r="M106" i="68" s="1"/>
  <c r="AE106" i="68" s="1"/>
  <c r="AC39" i="68"/>
  <c r="K39" i="68"/>
  <c r="M39" i="68" s="1"/>
  <c r="AE39" i="68" s="1"/>
  <c r="X222" i="68"/>
  <c r="Y222" i="68" s="1"/>
  <c r="I222" i="68" s="1"/>
  <c r="AC193" i="68"/>
  <c r="K193" i="68"/>
  <c r="M193" i="68" s="1"/>
  <c r="AE193" i="68" s="1"/>
  <c r="AC8" i="68"/>
  <c r="K8" i="68"/>
  <c r="M8" i="68" s="1"/>
  <c r="AE8" i="68" s="1"/>
  <c r="K8" i="67"/>
  <c r="M8" i="67" s="1"/>
  <c r="AE8" i="67" s="1"/>
  <c r="AJ8" i="67" s="1"/>
  <c r="AC7" i="68"/>
  <c r="K7" i="68"/>
  <c r="M7" i="68" s="1"/>
  <c r="AE7" i="68" s="1"/>
  <c r="AC191" i="68"/>
  <c r="K191" i="68"/>
  <c r="M191" i="68" s="1"/>
  <c r="AE191" i="68" s="1"/>
  <c r="K79" i="67"/>
  <c r="M79" i="67" s="1"/>
  <c r="AE79" i="67" s="1"/>
  <c r="AJ79" i="67" s="1"/>
  <c r="AC51" i="68"/>
  <c r="K51" i="68"/>
  <c r="M51" i="68" s="1"/>
  <c r="AE51" i="68" s="1"/>
  <c r="AC167" i="68"/>
  <c r="K167" i="68"/>
  <c r="M167" i="68" s="1"/>
  <c r="AE167" i="68" s="1"/>
  <c r="AC77" i="68"/>
  <c r="K77" i="68"/>
  <c r="M77" i="68" s="1"/>
  <c r="AE77" i="68" s="1"/>
  <c r="AC164" i="68"/>
  <c r="K164" i="68"/>
  <c r="M164" i="68" s="1"/>
  <c r="AE164" i="68" s="1"/>
  <c r="AC147" i="68"/>
  <c r="K147" i="68"/>
  <c r="M147" i="68" s="1"/>
  <c r="AE147" i="68" s="1"/>
  <c r="AC184" i="68"/>
  <c r="K184" i="68"/>
  <c r="M184" i="68" s="1"/>
  <c r="AE184" i="68" s="1"/>
  <c r="AC16" i="68"/>
  <c r="K16" i="68"/>
  <c r="M16" i="68" s="1"/>
  <c r="AE16" i="68" s="1"/>
  <c r="AC135" i="68"/>
  <c r="K135" i="68"/>
  <c r="M135" i="68" s="1"/>
  <c r="AE135" i="68" s="1"/>
  <c r="AC152" i="68"/>
  <c r="K152" i="68"/>
  <c r="M152" i="68" s="1"/>
  <c r="AE152" i="68" s="1"/>
  <c r="AC82" i="68"/>
  <c r="K82" i="68"/>
  <c r="M82" i="68" s="1"/>
  <c r="AE82" i="68" s="1"/>
  <c r="AC143" i="68"/>
  <c r="K143" i="68"/>
  <c r="M143" i="68" s="1"/>
  <c r="AE143" i="68" s="1"/>
  <c r="AC85" i="68"/>
  <c r="K85" i="68"/>
  <c r="M85" i="68" s="1"/>
  <c r="AE85" i="68" s="1"/>
  <c r="AC122" i="68"/>
  <c r="K122" i="68"/>
  <c r="M122" i="68" s="1"/>
  <c r="AE122" i="68" s="1"/>
  <c r="AC25" i="68"/>
  <c r="K25" i="68"/>
  <c r="M25" i="68" s="1"/>
  <c r="AE25" i="68" s="1"/>
  <c r="X226" i="68"/>
  <c r="Y226" i="68" s="1"/>
  <c r="I226" i="68" s="1"/>
  <c r="K226" i="68" s="1"/>
  <c r="M226" i="68" s="1"/>
  <c r="O226" i="68" s="1"/>
  <c r="AC226" i="68" s="1"/>
  <c r="AE226" i="68" s="1"/>
  <c r="AC137" i="68"/>
  <c r="K137" i="68"/>
  <c r="M137" i="68" s="1"/>
  <c r="AE137" i="68" s="1"/>
  <c r="AC46" i="68"/>
  <c r="K46" i="68"/>
  <c r="M46" i="68" s="1"/>
  <c r="AE46" i="68" s="1"/>
  <c r="AC133" i="68"/>
  <c r="K133" i="68"/>
  <c r="M133" i="68" s="1"/>
  <c r="AE133" i="68" s="1"/>
  <c r="X217" i="68"/>
  <c r="Y217" i="68" s="1"/>
  <c r="I217" i="68" s="1"/>
  <c r="K217" i="68" s="1"/>
  <c r="M217" i="68" s="1"/>
  <c r="O217" i="68" s="1"/>
  <c r="AC217" i="68" s="1"/>
  <c r="AE217" i="68" s="1"/>
  <c r="AB211" i="68"/>
  <c r="X211" i="68" s="1"/>
  <c r="Y211" i="68" s="1"/>
  <c r="AC177" i="68"/>
  <c r="K177" i="68"/>
  <c r="M177" i="68" s="1"/>
  <c r="AE177" i="68" s="1"/>
  <c r="AC63" i="68"/>
  <c r="K63" i="68"/>
  <c r="M63" i="68" s="1"/>
  <c r="AE63" i="68" s="1"/>
  <c r="AC19" i="68"/>
  <c r="K19" i="68"/>
  <c r="M19" i="68" s="1"/>
  <c r="AE19" i="68" s="1"/>
  <c r="AC202" i="68"/>
  <c r="K202" i="68"/>
  <c r="M202" i="68" s="1"/>
  <c r="AE202" i="68" s="1"/>
  <c r="X224" i="68"/>
  <c r="Y224" i="68" s="1"/>
  <c r="I224" i="68" s="1"/>
  <c r="AC196" i="68"/>
  <c r="K196" i="68"/>
  <c r="M196" i="68" s="1"/>
  <c r="AE196" i="68" s="1"/>
  <c r="AC70" i="68"/>
  <c r="K70" i="68"/>
  <c r="M70" i="68" s="1"/>
  <c r="AE70" i="68" s="1"/>
  <c r="AC200" i="68"/>
  <c r="K200" i="68"/>
  <c r="M200" i="68" s="1"/>
  <c r="AE200" i="68" s="1"/>
  <c r="AC59" i="68"/>
  <c r="K59" i="68"/>
  <c r="M59" i="68" s="1"/>
  <c r="AE59" i="68" s="1"/>
  <c r="AC43" i="68"/>
  <c r="K43" i="68"/>
  <c r="M43" i="68" s="1"/>
  <c r="AE43" i="68" s="1"/>
  <c r="X212" i="68"/>
  <c r="Y212" i="68" s="1"/>
  <c r="I212" i="68" s="1"/>
  <c r="K212" i="68" s="1"/>
  <c r="M212" i="68" s="1"/>
  <c r="O212" i="68" s="1"/>
  <c r="AC212" i="68" s="1"/>
  <c r="AE212" i="68" s="1"/>
  <c r="AC76" i="68"/>
  <c r="K76" i="68"/>
  <c r="M76" i="68" s="1"/>
  <c r="AE76" i="68" s="1"/>
  <c r="AC206" i="68"/>
  <c r="K206" i="68"/>
  <c r="M206" i="68" s="1"/>
  <c r="AE206" i="68" s="1"/>
  <c r="X221" i="68"/>
  <c r="Y221" i="68" s="1"/>
  <c r="I221" i="68" s="1"/>
  <c r="AC90" i="67"/>
  <c r="AF90" i="67" s="1"/>
  <c r="AK90" i="67" s="1"/>
  <c r="K90" i="67"/>
  <c r="M90" i="67" s="1"/>
  <c r="AE90" i="67" s="1"/>
  <c r="AJ90" i="67" s="1"/>
  <c r="AC71" i="67"/>
  <c r="AF71" i="67" s="1"/>
  <c r="AK71" i="67" s="1"/>
  <c r="K71" i="67"/>
  <c r="M71" i="67" s="1"/>
  <c r="AE71" i="67" s="1"/>
  <c r="AJ71" i="67" s="1"/>
  <c r="K3" i="67"/>
  <c r="M3" i="67" s="1"/>
  <c r="AE3" i="67" s="1"/>
  <c r="AJ3" i="67" s="1"/>
  <c r="AC3" i="67"/>
  <c r="AF3" i="67" s="1"/>
  <c r="AK3" i="67" s="1"/>
  <c r="K67" i="67"/>
  <c r="M67" i="67" s="1"/>
  <c r="AE67" i="67" s="1"/>
  <c r="AJ67" i="67" s="1"/>
  <c r="AC67" i="67"/>
  <c r="AF67" i="67" s="1"/>
  <c r="AK67" i="67" s="1"/>
  <c r="K112" i="67"/>
  <c r="M112" i="67" s="1"/>
  <c r="AE112" i="67" s="1"/>
  <c r="AJ112" i="67" s="1"/>
  <c r="AC112" i="67"/>
  <c r="AF112" i="67" s="1"/>
  <c r="AK112" i="67" s="1"/>
  <c r="K62" i="67"/>
  <c r="M62" i="67" s="1"/>
  <c r="AE62" i="67" s="1"/>
  <c r="AJ62" i="67" s="1"/>
  <c r="AC62" i="67"/>
  <c r="AF62" i="67" s="1"/>
  <c r="AK62" i="67" s="1"/>
  <c r="AC136" i="67"/>
  <c r="AF136" i="67" s="1"/>
  <c r="AK136" i="67" s="1"/>
  <c r="K136" i="67"/>
  <c r="M136" i="67" s="1"/>
  <c r="AE136" i="67" s="1"/>
  <c r="AJ136" i="67" s="1"/>
  <c r="K101" i="67"/>
  <c r="M101" i="67" s="1"/>
  <c r="AE101" i="67" s="1"/>
  <c r="AJ101" i="67" s="1"/>
  <c r="AC101" i="67"/>
  <c r="AF101" i="67" s="1"/>
  <c r="AK101" i="67" s="1"/>
  <c r="AC49" i="67"/>
  <c r="AF49" i="67" s="1"/>
  <c r="AK49" i="67" s="1"/>
  <c r="K49" i="67"/>
  <c r="M49" i="67" s="1"/>
  <c r="AE49" i="67" s="1"/>
  <c r="AJ49" i="67" s="1"/>
  <c r="K73" i="67"/>
  <c r="M73" i="67" s="1"/>
  <c r="AE73" i="67" s="1"/>
  <c r="AJ73" i="67" s="1"/>
  <c r="AC73" i="67"/>
  <c r="AF73" i="67" s="1"/>
  <c r="AK73" i="67" s="1"/>
  <c r="K138" i="67"/>
  <c r="M138" i="67" s="1"/>
  <c r="AE138" i="67" s="1"/>
  <c r="AJ138" i="67" s="1"/>
  <c r="AC138" i="67"/>
  <c r="AF138" i="67" s="1"/>
  <c r="AK138" i="67" s="1"/>
  <c r="K139" i="67"/>
  <c r="M139" i="67" s="1"/>
  <c r="AE139" i="67" s="1"/>
  <c r="AJ139" i="67" s="1"/>
  <c r="AC139" i="67"/>
  <c r="AF139" i="67" s="1"/>
  <c r="AK139" i="67" s="1"/>
  <c r="K69" i="67"/>
  <c r="M69" i="67" s="1"/>
  <c r="AE69" i="67" s="1"/>
  <c r="AJ69" i="67" s="1"/>
  <c r="AC69" i="67"/>
  <c r="AF69" i="67" s="1"/>
  <c r="AK69" i="67" s="1"/>
  <c r="K202" i="67"/>
  <c r="M202" i="67" s="1"/>
  <c r="AE202" i="67" s="1"/>
  <c r="AJ202" i="67" s="1"/>
  <c r="AC202" i="67"/>
  <c r="AF202" i="67" s="1"/>
  <c r="AK202" i="67" s="1"/>
  <c r="K66" i="67"/>
  <c r="M66" i="67" s="1"/>
  <c r="AE66" i="67" s="1"/>
  <c r="AJ66" i="67" s="1"/>
  <c r="AC66" i="67"/>
  <c r="AF66" i="67" s="1"/>
  <c r="AK66" i="67" s="1"/>
  <c r="I171" i="47"/>
  <c r="I107" i="47"/>
  <c r="AJ15" i="68" l="1"/>
  <c r="AJ200" i="68"/>
  <c r="AF63" i="68"/>
  <c r="AK63" i="68" s="1"/>
  <c r="AJ25" i="68"/>
  <c r="AJ135" i="68"/>
  <c r="AJ167" i="68"/>
  <c r="AJ193" i="68"/>
  <c r="AF30" i="68"/>
  <c r="AK30" i="68" s="1"/>
  <c r="AJ199" i="68"/>
  <c r="AJ117" i="68"/>
  <c r="AJ92" i="68"/>
  <c r="AJ74" i="68"/>
  <c r="AF15" i="68"/>
  <c r="AK15" i="68" s="1"/>
  <c r="AJ27" i="68"/>
  <c r="AF26" i="68"/>
  <c r="AK26" i="68" s="1"/>
  <c r="AF128" i="68"/>
  <c r="AK128" i="68" s="1"/>
  <c r="AF181" i="68"/>
  <c r="AK181" i="68" s="1"/>
  <c r="AF33" i="68"/>
  <c r="AK33" i="68" s="1"/>
  <c r="AF179" i="68"/>
  <c r="AK179" i="68" s="1"/>
  <c r="AF142" i="68"/>
  <c r="AK142" i="68" s="1"/>
  <c r="AF87" i="68"/>
  <c r="AK87" i="68" s="1"/>
  <c r="AF163" i="68"/>
  <c r="AK163" i="68" s="1"/>
  <c r="AF190" i="68"/>
  <c r="AK190" i="68" s="1"/>
  <c r="AF47" i="68"/>
  <c r="AK47" i="68" s="1"/>
  <c r="AJ153" i="68"/>
  <c r="AJ131" i="68"/>
  <c r="AJ183" i="68"/>
  <c r="AF194" i="68"/>
  <c r="AK194" i="68" s="1"/>
  <c r="AJ30" i="68"/>
  <c r="AJ26" i="68"/>
  <c r="AJ33" i="68"/>
  <c r="AJ87" i="68"/>
  <c r="AJ47" i="68"/>
  <c r="AF200" i="68"/>
  <c r="AK200" i="68" s="1"/>
  <c r="AJ177" i="68"/>
  <c r="AF25" i="68"/>
  <c r="AK25" i="68" s="1"/>
  <c r="AF135" i="68"/>
  <c r="AK135" i="68" s="1"/>
  <c r="AF167" i="68"/>
  <c r="AK167" i="68" s="1"/>
  <c r="AF193" i="68"/>
  <c r="AK193" i="68" s="1"/>
  <c r="AJ60" i="68"/>
  <c r="AF199" i="68"/>
  <c r="AK199" i="68" s="1"/>
  <c r="AF117" i="68"/>
  <c r="AK117" i="68" s="1"/>
  <c r="AF92" i="68"/>
  <c r="AK92" i="68" s="1"/>
  <c r="AF74" i="68"/>
  <c r="AK74" i="68" s="1"/>
  <c r="AJ171" i="68"/>
  <c r="AJ162" i="68"/>
  <c r="AF27" i="68"/>
  <c r="AK27" i="68" s="1"/>
  <c r="AJ119" i="68"/>
  <c r="AJ169" i="68"/>
  <c r="AJ148" i="68"/>
  <c r="AJ65" i="68"/>
  <c r="AJ189" i="68"/>
  <c r="AJ23" i="68"/>
  <c r="AJ28" i="68"/>
  <c r="AJ38" i="68"/>
  <c r="AF153" i="68"/>
  <c r="AK153" i="68" s="1"/>
  <c r="AF131" i="68"/>
  <c r="AK131" i="68" s="1"/>
  <c r="AF183" i="68"/>
  <c r="AK183" i="68" s="1"/>
  <c r="AJ54" i="68"/>
  <c r="AF59" i="68"/>
  <c r="AK59" i="68" s="1"/>
  <c r="AF141" i="68"/>
  <c r="AK141" i="68" s="1"/>
  <c r="AF118" i="68"/>
  <c r="AK118" i="68" s="1"/>
  <c r="AJ179" i="68"/>
  <c r="AF42" i="68"/>
  <c r="AK42" i="68" s="1"/>
  <c r="AJ70" i="68"/>
  <c r="AF177" i="68"/>
  <c r="AK177" i="68" s="1"/>
  <c r="AJ122" i="68"/>
  <c r="AJ16" i="68"/>
  <c r="AJ51" i="68"/>
  <c r="AF60" i="68"/>
  <c r="AK60" i="68" s="1"/>
  <c r="AJ124" i="68"/>
  <c r="AJ89" i="68"/>
  <c r="AJ155" i="68"/>
  <c r="AJ182" i="68"/>
  <c r="AF171" i="68"/>
  <c r="AK171" i="68" s="1"/>
  <c r="AF162" i="68"/>
  <c r="AK162" i="68" s="1"/>
  <c r="AJ165" i="68"/>
  <c r="AF119" i="68"/>
  <c r="AK119" i="68" s="1"/>
  <c r="AF169" i="68"/>
  <c r="AK169" i="68" s="1"/>
  <c r="AF148" i="68"/>
  <c r="AK148" i="68" s="1"/>
  <c r="AF65" i="68"/>
  <c r="AK65" i="68" s="1"/>
  <c r="AJ176" i="68"/>
  <c r="AF189" i="68"/>
  <c r="AK189" i="68" s="1"/>
  <c r="AF23" i="68"/>
  <c r="AK23" i="68" s="1"/>
  <c r="AF28" i="68"/>
  <c r="AK28" i="68" s="1"/>
  <c r="AJ93" i="68"/>
  <c r="AF38" i="68"/>
  <c r="AK38" i="68" s="1"/>
  <c r="AJ166" i="68"/>
  <c r="AJ75" i="68"/>
  <c r="AJ187" i="68"/>
  <c r="AF54" i="68"/>
  <c r="AK54" i="68" s="1"/>
  <c r="AF201" i="68"/>
  <c r="AK201" i="68" s="1"/>
  <c r="AF111" i="68"/>
  <c r="AK111" i="68" s="1"/>
  <c r="AJ206" i="68"/>
  <c r="AF70" i="68"/>
  <c r="AK70" i="68" s="1"/>
  <c r="AF122" i="68"/>
  <c r="AK122" i="68" s="1"/>
  <c r="AF16" i="68"/>
  <c r="AK16" i="68" s="1"/>
  <c r="AF51" i="68"/>
  <c r="AK51" i="68" s="1"/>
  <c r="AJ39" i="68"/>
  <c r="AF124" i="68"/>
  <c r="AK124" i="68" s="1"/>
  <c r="AF89" i="68"/>
  <c r="AK89" i="68" s="1"/>
  <c r="AF155" i="68"/>
  <c r="AK155" i="68" s="1"/>
  <c r="AF182" i="68"/>
  <c r="AK182" i="68" s="1"/>
  <c r="AJ168" i="68"/>
  <c r="AJ32" i="68"/>
  <c r="AF165" i="68"/>
  <c r="AK165" i="68" s="1"/>
  <c r="AJ55" i="68"/>
  <c r="AJ161" i="68"/>
  <c r="AJ185" i="68"/>
  <c r="AJ116" i="68"/>
  <c r="AF176" i="68"/>
  <c r="AK176" i="68" s="1"/>
  <c r="AJ120" i="68"/>
  <c r="AJ94" i="68"/>
  <c r="AF93" i="68"/>
  <c r="AK93" i="68" s="1"/>
  <c r="AJ41" i="68"/>
  <c r="AF166" i="68"/>
  <c r="AK166" i="68" s="1"/>
  <c r="AF75" i="68"/>
  <c r="AK75" i="68" s="1"/>
  <c r="AF187" i="68"/>
  <c r="AK187" i="68" s="1"/>
  <c r="AJ144" i="68"/>
  <c r="AJ63" i="68"/>
  <c r="AJ194" i="68"/>
  <c r="AF206" i="68"/>
  <c r="AK206" i="68" s="1"/>
  <c r="AJ196" i="68"/>
  <c r="AJ85" i="68"/>
  <c r="AJ184" i="68"/>
  <c r="AF39" i="68"/>
  <c r="AK39" i="68" s="1"/>
  <c r="AJ170" i="68"/>
  <c r="AJ12" i="68"/>
  <c r="AJ68" i="68"/>
  <c r="AJ36" i="68"/>
  <c r="AF168" i="68"/>
  <c r="AK168" i="68" s="1"/>
  <c r="AF32" i="68"/>
  <c r="AK32" i="68" s="1"/>
  <c r="AJ34" i="68"/>
  <c r="AF55" i="68"/>
  <c r="AK55" i="68" s="1"/>
  <c r="AF161" i="68"/>
  <c r="AK161" i="68" s="1"/>
  <c r="AF185" i="68"/>
  <c r="AK185" i="68" s="1"/>
  <c r="AJ64" i="68"/>
  <c r="AF116" i="68"/>
  <c r="AK116" i="68" s="1"/>
  <c r="AJ195" i="68"/>
  <c r="AF120" i="68"/>
  <c r="AK120" i="68" s="1"/>
  <c r="AF94" i="68"/>
  <c r="AK94" i="68" s="1"/>
  <c r="AF41" i="68"/>
  <c r="AK41" i="68" s="1"/>
  <c r="AJ175" i="68"/>
  <c r="AJ45" i="68"/>
  <c r="AJ86" i="68"/>
  <c r="AF144" i="68"/>
  <c r="AK144" i="68" s="1"/>
  <c r="AF204" i="68"/>
  <c r="AK204" i="68" s="1"/>
  <c r="AF174" i="68"/>
  <c r="AK174" i="68" s="1"/>
  <c r="AJ76" i="68"/>
  <c r="AF196" i="68"/>
  <c r="AK196" i="68" s="1"/>
  <c r="AJ133" i="68"/>
  <c r="AF85" i="68"/>
  <c r="AK85" i="68" s="1"/>
  <c r="AF184" i="68"/>
  <c r="AK184" i="68" s="1"/>
  <c r="AJ191" i="68"/>
  <c r="AJ106" i="68"/>
  <c r="AF170" i="68"/>
  <c r="AK170" i="68" s="1"/>
  <c r="AF12" i="68"/>
  <c r="AK12" i="68" s="1"/>
  <c r="AF68" i="68"/>
  <c r="AK68" i="68" s="1"/>
  <c r="AF36" i="68"/>
  <c r="AK36" i="68" s="1"/>
  <c r="AJ140" i="68"/>
  <c r="AJ123" i="68"/>
  <c r="AF34" i="68"/>
  <c r="AK34" i="68" s="1"/>
  <c r="AJ61" i="68"/>
  <c r="AJ127" i="68"/>
  <c r="AJ103" i="68"/>
  <c r="AF64" i="68"/>
  <c r="AK64" i="68" s="1"/>
  <c r="AJ98" i="68"/>
  <c r="AF195" i="68"/>
  <c r="AK195" i="68" s="1"/>
  <c r="AJ84" i="68"/>
  <c r="AJ18" i="68"/>
  <c r="AJ157" i="68"/>
  <c r="AF175" i="68"/>
  <c r="AK175" i="68" s="1"/>
  <c r="AF45" i="68"/>
  <c r="AK45" i="68" s="1"/>
  <c r="AF86" i="68"/>
  <c r="AK86" i="68" s="1"/>
  <c r="AJ128" i="68"/>
  <c r="AF76" i="68"/>
  <c r="AK76" i="68" s="1"/>
  <c r="AF133" i="68"/>
  <c r="AK133" i="68" s="1"/>
  <c r="AJ143" i="68"/>
  <c r="AJ147" i="68"/>
  <c r="AF191" i="68"/>
  <c r="AK191" i="68" s="1"/>
  <c r="AF106" i="68"/>
  <c r="AK106" i="68" s="1"/>
  <c r="AJ72" i="68"/>
  <c r="AJ180" i="68"/>
  <c r="AJ10" i="68"/>
  <c r="AJ95" i="68"/>
  <c r="AJ97" i="68"/>
  <c r="AF140" i="68"/>
  <c r="AK140" i="68" s="1"/>
  <c r="AF123" i="68"/>
  <c r="AK123" i="68" s="1"/>
  <c r="AJ150" i="68"/>
  <c r="AF61" i="68"/>
  <c r="AK61" i="68" s="1"/>
  <c r="AF127" i="68"/>
  <c r="AK127" i="68" s="1"/>
  <c r="AF103" i="68"/>
  <c r="AK103" i="68" s="1"/>
  <c r="AJ53" i="68"/>
  <c r="AF98" i="68"/>
  <c r="AK98" i="68" s="1"/>
  <c r="AJ21" i="68"/>
  <c r="AF84" i="68"/>
  <c r="AK84" i="68" s="1"/>
  <c r="AF18" i="68"/>
  <c r="AK18" i="68" s="1"/>
  <c r="AF157" i="68"/>
  <c r="AK157" i="68" s="1"/>
  <c r="AJ173" i="68"/>
  <c r="AJ132" i="68"/>
  <c r="AJ178" i="68"/>
  <c r="AJ188" i="68"/>
  <c r="AF8" i="68"/>
  <c r="AK8" i="68" s="1"/>
  <c r="AJ202" i="68"/>
  <c r="AJ46" i="68"/>
  <c r="AF143" i="68"/>
  <c r="AK143" i="68" s="1"/>
  <c r="AF147" i="68"/>
  <c r="AK147" i="68" s="1"/>
  <c r="AJ7" i="68"/>
  <c r="AJ24" i="68"/>
  <c r="AF72" i="68"/>
  <c r="AK72" i="68" s="1"/>
  <c r="AF180" i="68"/>
  <c r="AK180" i="68" s="1"/>
  <c r="AF10" i="68"/>
  <c r="AK10" i="68" s="1"/>
  <c r="AF95" i="68"/>
  <c r="AK95" i="68" s="1"/>
  <c r="AF97" i="68"/>
  <c r="AK97" i="68" s="1"/>
  <c r="AJ40" i="68"/>
  <c r="AF150" i="68"/>
  <c r="AK150" i="68" s="1"/>
  <c r="AJ83" i="68"/>
  <c r="AJ56" i="68"/>
  <c r="AJ99" i="68"/>
  <c r="AF53" i="68"/>
  <c r="AK53" i="68" s="1"/>
  <c r="AJ154" i="68"/>
  <c r="AF21" i="68"/>
  <c r="AK21" i="68" s="1"/>
  <c r="AJ160" i="68"/>
  <c r="AJ125" i="68"/>
  <c r="AJ80" i="68"/>
  <c r="AJ79" i="68"/>
  <c r="AJ104" i="68"/>
  <c r="AF173" i="68"/>
  <c r="AK173" i="68" s="1"/>
  <c r="AF132" i="68"/>
  <c r="AK132" i="68" s="1"/>
  <c r="AF178" i="68"/>
  <c r="AK178" i="68" s="1"/>
  <c r="AF188" i="68"/>
  <c r="AK188" i="68" s="1"/>
  <c r="AF152" i="68"/>
  <c r="AK152" i="68" s="1"/>
  <c r="AJ43" i="68"/>
  <c r="AF202" i="68"/>
  <c r="AK202" i="68" s="1"/>
  <c r="AF46" i="68"/>
  <c r="AK46" i="68" s="1"/>
  <c r="AJ82" i="68"/>
  <c r="AJ164" i="68"/>
  <c r="AF7" i="68"/>
  <c r="AK7" i="68" s="1"/>
  <c r="AF24" i="68"/>
  <c r="AK24" i="68" s="1"/>
  <c r="AJ22" i="68"/>
  <c r="AJ14" i="68"/>
  <c r="AJ151" i="68"/>
  <c r="AJ11" i="68"/>
  <c r="AJ78" i="68"/>
  <c r="AF40" i="68"/>
  <c r="AK40" i="68" s="1"/>
  <c r="AJ146" i="68"/>
  <c r="AF83" i="68"/>
  <c r="AK83" i="68" s="1"/>
  <c r="AF56" i="68"/>
  <c r="AK56" i="68" s="1"/>
  <c r="AF99" i="68"/>
  <c r="AK99" i="68" s="1"/>
  <c r="AF154" i="68"/>
  <c r="AK154" i="68" s="1"/>
  <c r="AF160" i="68"/>
  <c r="AK160" i="68" s="1"/>
  <c r="AF125" i="68"/>
  <c r="AK125" i="68" s="1"/>
  <c r="AF80" i="68"/>
  <c r="AK80" i="68" s="1"/>
  <c r="AF79" i="68"/>
  <c r="AK79" i="68" s="1"/>
  <c r="AF104" i="68"/>
  <c r="AK104" i="68" s="1"/>
  <c r="AJ88" i="68"/>
  <c r="AJ96" i="68"/>
  <c r="AJ17" i="68"/>
  <c r="AJ110" i="68"/>
  <c r="AF77" i="68"/>
  <c r="AK77" i="68" s="1"/>
  <c r="AF44" i="68"/>
  <c r="AK44" i="68" s="1"/>
  <c r="AF43" i="68"/>
  <c r="AK43" i="68" s="1"/>
  <c r="AJ19" i="68"/>
  <c r="AJ137" i="68"/>
  <c r="AF82" i="68"/>
  <c r="AK82" i="68" s="1"/>
  <c r="AF164" i="68"/>
  <c r="AK164" i="68" s="1"/>
  <c r="AJ156" i="68"/>
  <c r="AF22" i="68"/>
  <c r="AK22" i="68" s="1"/>
  <c r="AF14" i="68"/>
  <c r="AK14" i="68" s="1"/>
  <c r="AF151" i="68"/>
  <c r="AK151" i="68" s="1"/>
  <c r="AF11" i="68"/>
  <c r="AK11" i="68" s="1"/>
  <c r="AF78" i="68"/>
  <c r="AK78" i="68" s="1"/>
  <c r="AJ205" i="68"/>
  <c r="AF146" i="68"/>
  <c r="AK146" i="68" s="1"/>
  <c r="AJ121" i="68"/>
  <c r="AJ197" i="68"/>
  <c r="AJ192" i="68"/>
  <c r="AJ115" i="68"/>
  <c r="AJ37" i="68"/>
  <c r="AJ52" i="68"/>
  <c r="AJ81" i="68"/>
  <c r="AJ126" i="68"/>
  <c r="AJ58" i="68"/>
  <c r="AJ130" i="68"/>
  <c r="AF88" i="68"/>
  <c r="AK88" i="68" s="1"/>
  <c r="AF96" i="68"/>
  <c r="AK96" i="68" s="1"/>
  <c r="AF17" i="68"/>
  <c r="AK17" i="68" s="1"/>
  <c r="AF110" i="68"/>
  <c r="AK110" i="68" s="1"/>
  <c r="AF159" i="68"/>
  <c r="AK159" i="68" s="1"/>
  <c r="AJ181" i="68"/>
  <c r="AJ142" i="68"/>
  <c r="AJ163" i="68"/>
  <c r="AJ190" i="68"/>
  <c r="AJ59" i="68"/>
  <c r="AF19" i="68"/>
  <c r="AK19" i="68" s="1"/>
  <c r="AF137" i="68"/>
  <c r="AK137" i="68" s="1"/>
  <c r="AJ152" i="68"/>
  <c r="AJ77" i="68"/>
  <c r="AJ8" i="68"/>
  <c r="AF156" i="68"/>
  <c r="AK156" i="68" s="1"/>
  <c r="AJ159" i="68"/>
  <c r="AJ141" i="68"/>
  <c r="AJ201" i="68"/>
  <c r="AJ204" i="68"/>
  <c r="AF205" i="68"/>
  <c r="AK205" i="68" s="1"/>
  <c r="AJ118" i="68"/>
  <c r="AF121" i="68"/>
  <c r="AK121" i="68" s="1"/>
  <c r="AF197" i="68"/>
  <c r="AK197" i="68" s="1"/>
  <c r="AF192" i="68"/>
  <c r="AK192" i="68" s="1"/>
  <c r="AF115" i="68"/>
  <c r="AK115" i="68" s="1"/>
  <c r="AF37" i="68"/>
  <c r="AK37" i="68" s="1"/>
  <c r="AF52" i="68"/>
  <c r="AK52" i="68" s="1"/>
  <c r="AF81" i="68"/>
  <c r="AK81" i="68" s="1"/>
  <c r="AF126" i="68"/>
  <c r="AK126" i="68" s="1"/>
  <c r="AF58" i="68"/>
  <c r="AK58" i="68" s="1"/>
  <c r="AF130" i="68"/>
  <c r="AK130" i="68" s="1"/>
  <c r="AJ42" i="68"/>
  <c r="AJ111" i="68"/>
  <c r="AJ174" i="68"/>
  <c r="AJ44" i="68"/>
  <c r="AJ6" i="68"/>
  <c r="AF6" i="68"/>
  <c r="AK6" i="68" s="1"/>
  <c r="AJ5" i="68"/>
  <c r="AF5" i="68"/>
  <c r="AK5" i="68" s="1"/>
  <c r="AJ4" i="68"/>
  <c r="AF4" i="68"/>
  <c r="AK4" i="68" s="1"/>
  <c r="AJ48" i="68"/>
  <c r="AF48" i="68"/>
  <c r="AK48" i="68" s="1"/>
  <c r="I211" i="68"/>
  <c r="I103" i="47" l="1"/>
  <c r="F96" i="47" s="1"/>
  <c r="I99" i="52"/>
  <c r="F91" i="52" s="1"/>
  <c r="I153" i="52"/>
  <c r="F144" i="52" s="1"/>
  <c r="I164" i="47" l="1"/>
  <c r="F156" i="47" s="1"/>
  <c r="F222" i="68" l="1"/>
  <c r="K222" i="68" s="1"/>
  <c r="M222" i="68" s="1"/>
  <c r="O222" i="68" s="1"/>
  <c r="AC222" i="68" s="1"/>
  <c r="AE222" i="68" s="1"/>
  <c r="F20" i="68"/>
  <c r="F129" i="68"/>
  <c r="F9" i="68"/>
  <c r="F50" i="68"/>
  <c r="F13" i="68"/>
  <c r="F109" i="68"/>
  <c r="F113" i="68"/>
  <c r="F102" i="68"/>
  <c r="F198" i="68"/>
  <c r="F91" i="68"/>
  <c r="F108" i="68"/>
  <c r="F145" i="68"/>
  <c r="F172" i="68"/>
  <c r="F186" i="68"/>
  <c r="F57" i="68"/>
  <c r="F134" i="68"/>
  <c r="F114" i="68"/>
  <c r="F35" i="68"/>
  <c r="F149" i="68"/>
  <c r="F158" i="68"/>
  <c r="F29" i="68"/>
  <c r="F107" i="68"/>
  <c r="F105" i="68"/>
  <c r="F211" i="68"/>
  <c r="K211" i="68" s="1"/>
  <c r="M211" i="68" s="1"/>
  <c r="O211" i="68" s="1"/>
  <c r="AC211" i="68" s="1"/>
  <c r="AE211" i="68" s="1"/>
  <c r="F100" i="68"/>
  <c r="F203" i="68"/>
  <c r="F224" i="68"/>
  <c r="K224" i="68" s="1"/>
  <c r="M224" i="68" s="1"/>
  <c r="O224" i="68" s="1"/>
  <c r="AC224" i="68" s="1"/>
  <c r="AE224" i="68" s="1"/>
  <c r="F31" i="68"/>
  <c r="F221" i="68"/>
  <c r="K221" i="68" s="1"/>
  <c r="M221" i="68" s="1"/>
  <c r="O221" i="68" s="1"/>
  <c r="AC221" i="68" s="1"/>
  <c r="AE221" i="68" s="1"/>
  <c r="F228" i="68"/>
  <c r="K228" i="68" s="1"/>
  <c r="M228" i="68" s="1"/>
  <c r="O228" i="68" s="1"/>
  <c r="AC228" i="68" s="1"/>
  <c r="AE228" i="68" s="1"/>
  <c r="I207" i="52"/>
  <c r="F198" i="52" s="1"/>
  <c r="AD114" i="68" l="1"/>
  <c r="AC114" i="68"/>
  <c r="AD13" i="68"/>
  <c r="AC13" i="68"/>
  <c r="AD31" i="68"/>
  <c r="AC31" i="68"/>
  <c r="AD50" i="68"/>
  <c r="AC50" i="68"/>
  <c r="AD129" i="68"/>
  <c r="AC129" i="68"/>
  <c r="AD20" i="68"/>
  <c r="AC20" i="68"/>
  <c r="AC35" i="68"/>
  <c r="AD35" i="68"/>
  <c r="AD9" i="68"/>
  <c r="AC9" i="68"/>
  <c r="AD186" i="68"/>
  <c r="AC186" i="68"/>
  <c r="AD100" i="68"/>
  <c r="AC100" i="68"/>
  <c r="AD145" i="68"/>
  <c r="AC145" i="68"/>
  <c r="AD149" i="68"/>
  <c r="AC149" i="68"/>
  <c r="AD57" i="68"/>
  <c r="AC57" i="68"/>
  <c r="AD203" i="68"/>
  <c r="AC203" i="68"/>
  <c r="AD105" i="68"/>
  <c r="AC105" i="68"/>
  <c r="AC108" i="68"/>
  <c r="AD108" i="68"/>
  <c r="AD113" i="68"/>
  <c r="AC113" i="68"/>
  <c r="AD91" i="68"/>
  <c r="AC91" i="68"/>
  <c r="AD198" i="68"/>
  <c r="AC198" i="68"/>
  <c r="AC109" i="68"/>
  <c r="AD109" i="68"/>
  <c r="AD134" i="68"/>
  <c r="AC134" i="68"/>
  <c r="AD172" i="68"/>
  <c r="AC172" i="68"/>
  <c r="AC107" i="68"/>
  <c r="AD107" i="68"/>
  <c r="AD29" i="68"/>
  <c r="AC29" i="68"/>
  <c r="AD158" i="68"/>
  <c r="AC158" i="68"/>
  <c r="AD102" i="68"/>
  <c r="AC102" i="68"/>
  <c r="K35" i="68"/>
  <c r="M35" i="68" s="1"/>
  <c r="AE35" i="68" s="1"/>
  <c r="K114" i="68"/>
  <c r="M114" i="68" s="1"/>
  <c r="AE114" i="68" s="1"/>
  <c r="K13" i="68"/>
  <c r="M13" i="68" s="1"/>
  <c r="AE13" i="68" s="1"/>
  <c r="K109" i="68"/>
  <c r="M109" i="68" s="1"/>
  <c r="AE109" i="68" s="1"/>
  <c r="K31" i="68"/>
  <c r="M31" i="68" s="1"/>
  <c r="AE31" i="68" s="1"/>
  <c r="K134" i="68"/>
  <c r="M134" i="68" s="1"/>
  <c r="AE134" i="68" s="1"/>
  <c r="K50" i="68"/>
  <c r="M50" i="68" s="1"/>
  <c r="AE50" i="68" s="1"/>
  <c r="K149" i="68"/>
  <c r="M149" i="68" s="1"/>
  <c r="AE149" i="68" s="1"/>
  <c r="K9" i="68"/>
  <c r="M9" i="68" s="1"/>
  <c r="AE9" i="68" s="1"/>
  <c r="K203" i="68"/>
  <c r="M203" i="68" s="1"/>
  <c r="AE203" i="68" s="1"/>
  <c r="K105" i="68"/>
  <c r="M105" i="68" s="1"/>
  <c r="AE105" i="68" s="1"/>
  <c r="K108" i="68"/>
  <c r="M108" i="68" s="1"/>
  <c r="AE108" i="68" s="1"/>
  <c r="K186" i="68"/>
  <c r="M186" i="68" s="1"/>
  <c r="AE186" i="68" s="1"/>
  <c r="K107" i="68"/>
  <c r="M107" i="68" s="1"/>
  <c r="AE107" i="68" s="1"/>
  <c r="K91" i="68"/>
  <c r="M91" i="68" s="1"/>
  <c r="AE91" i="68" s="1"/>
  <c r="K113" i="68"/>
  <c r="M113" i="68" s="1"/>
  <c r="AE113" i="68" s="1"/>
  <c r="K57" i="68"/>
  <c r="M57" i="68" s="1"/>
  <c r="AE57" i="68" s="1"/>
  <c r="K129" i="68"/>
  <c r="M129" i="68" s="1"/>
  <c r="AE129" i="68" s="1"/>
  <c r="K100" i="68"/>
  <c r="M100" i="68" s="1"/>
  <c r="AE100" i="68" s="1"/>
  <c r="K20" i="68"/>
  <c r="M20" i="68" s="1"/>
  <c r="AE20" i="68" s="1"/>
  <c r="K29" i="68"/>
  <c r="M29" i="68" s="1"/>
  <c r="AE29" i="68" s="1"/>
  <c r="K198" i="68"/>
  <c r="M198" i="68" s="1"/>
  <c r="AE198" i="68" s="1"/>
  <c r="K172" i="68"/>
  <c r="M172" i="68" s="1"/>
  <c r="AE172" i="68" s="1"/>
  <c r="K145" i="68"/>
  <c r="M145" i="68" s="1"/>
  <c r="AE145" i="68" s="1"/>
  <c r="K158" i="68"/>
  <c r="M158" i="68" s="1"/>
  <c r="AE158" i="68" s="1"/>
  <c r="K102" i="68"/>
  <c r="M102" i="68" s="1"/>
  <c r="AE102" i="68" s="1"/>
  <c r="F35" i="67"/>
  <c r="K35" i="67" s="1"/>
  <c r="M35" i="67" s="1"/>
  <c r="AE35" i="67" s="1"/>
  <c r="AJ35" i="67" s="1"/>
  <c r="F13" i="67"/>
  <c r="AD13" i="67" s="1"/>
  <c r="AG13" i="67" s="1"/>
  <c r="F50" i="67"/>
  <c r="AD50" i="67" s="1"/>
  <c r="AG50" i="67" s="1"/>
  <c r="F149" i="67"/>
  <c r="AD149" i="67" s="1"/>
  <c r="AG149" i="67" s="1"/>
  <c r="F109" i="67"/>
  <c r="K109" i="67" s="1"/>
  <c r="M109" i="67" s="1"/>
  <c r="AE109" i="67" s="1"/>
  <c r="AJ109" i="67" s="1"/>
  <c r="F114" i="67"/>
  <c r="K114" i="67" s="1"/>
  <c r="M114" i="67" s="1"/>
  <c r="AE114" i="67" s="1"/>
  <c r="AJ114" i="67" s="1"/>
  <c r="F57" i="67"/>
  <c r="AD57" i="67" s="1"/>
  <c r="AG57" i="67" s="1"/>
  <c r="F31" i="67"/>
  <c r="AD31" i="67" s="1"/>
  <c r="AG31" i="67" s="1"/>
  <c r="F186" i="67"/>
  <c r="AC186" i="67" s="1"/>
  <c r="AF186" i="67" s="1"/>
  <c r="AK186" i="67" s="1"/>
  <c r="F100" i="67"/>
  <c r="AD100" i="67" s="1"/>
  <c r="AG100" i="67" s="1"/>
  <c r="F113" i="67"/>
  <c r="AD113" i="67" s="1"/>
  <c r="AG113" i="67" s="1"/>
  <c r="F145" i="67"/>
  <c r="AD145" i="67" s="1"/>
  <c r="AG145" i="67" s="1"/>
  <c r="F9" i="67"/>
  <c r="K9" i="67" s="1"/>
  <c r="M9" i="67" s="1"/>
  <c r="AE9" i="67" s="1"/>
  <c r="AJ9" i="67" s="1"/>
  <c r="F203" i="67"/>
  <c r="AC203" i="67" s="1"/>
  <c r="AF203" i="67" s="1"/>
  <c r="AK203" i="67" s="1"/>
  <c r="F129" i="67"/>
  <c r="AD129" i="67" s="1"/>
  <c r="AG129" i="67" s="1"/>
  <c r="F105" i="67"/>
  <c r="K105" i="67" s="1"/>
  <c r="M105" i="67" s="1"/>
  <c r="AE105" i="67" s="1"/>
  <c r="AJ105" i="67" s="1"/>
  <c r="F91" i="67"/>
  <c r="AD91" i="67" s="1"/>
  <c r="AG91" i="67" s="1"/>
  <c r="F29" i="67"/>
  <c r="K29" i="67" s="1"/>
  <c r="M29" i="67" s="1"/>
  <c r="AE29" i="67" s="1"/>
  <c r="AJ29" i="67" s="1"/>
  <c r="F198" i="67"/>
  <c r="AD198" i="67" s="1"/>
  <c r="AG198" i="67" s="1"/>
  <c r="F158" i="67"/>
  <c r="AD158" i="67" s="1"/>
  <c r="AG158" i="67" s="1"/>
  <c r="F102" i="67"/>
  <c r="AD102" i="67" s="1"/>
  <c r="AG102" i="67" s="1"/>
  <c r="F134" i="67"/>
  <c r="F224" i="67"/>
  <c r="K224" i="67" s="1"/>
  <c r="M224" i="67" s="1"/>
  <c r="O224" i="67" s="1"/>
  <c r="AC224" i="67" s="1"/>
  <c r="AE224" i="67" s="1"/>
  <c r="F20" i="67"/>
  <c r="F211" i="67"/>
  <c r="K211" i="67" s="1"/>
  <c r="M211" i="67" s="1"/>
  <c r="O211" i="67" s="1"/>
  <c r="AC211" i="67" s="1"/>
  <c r="AE211" i="67" s="1"/>
  <c r="F108" i="67"/>
  <c r="F222" i="67"/>
  <c r="K222" i="67" s="1"/>
  <c r="M222" i="67" s="1"/>
  <c r="O222" i="67" s="1"/>
  <c r="AC222" i="67" s="1"/>
  <c r="AE222" i="67" s="1"/>
  <c r="F107" i="67"/>
  <c r="F221" i="67"/>
  <c r="K221" i="67" s="1"/>
  <c r="M221" i="67" s="1"/>
  <c r="O221" i="67" s="1"/>
  <c r="AC221" i="67" s="1"/>
  <c r="AE221" i="67" s="1"/>
  <c r="F228" i="67"/>
  <c r="K228" i="67" s="1"/>
  <c r="M228" i="67" s="1"/>
  <c r="O228" i="67" s="1"/>
  <c r="AC228" i="67" s="1"/>
  <c r="AE228" i="67" s="1"/>
  <c r="F172" i="67"/>
  <c r="AC35" i="67" l="1"/>
  <c r="AF35" i="67" s="1"/>
  <c r="AK35" i="67" s="1"/>
  <c r="AD35" i="67"/>
  <c r="AG35" i="67" s="1"/>
  <c r="AC102" i="67"/>
  <c r="AF102" i="67" s="1"/>
  <c r="AK102" i="67" s="1"/>
  <c r="AC29" i="67"/>
  <c r="AF29" i="67" s="1"/>
  <c r="AK29" i="67" s="1"/>
  <c r="AD29" i="67"/>
  <c r="AG29" i="67" s="1"/>
  <c r="K102" i="67"/>
  <c r="M102" i="67" s="1"/>
  <c r="AE102" i="67" s="1"/>
  <c r="AJ102" i="67" s="1"/>
  <c r="K13" i="67"/>
  <c r="M13" i="67" s="1"/>
  <c r="AE13" i="67" s="1"/>
  <c r="AJ13" i="67" s="1"/>
  <c r="AJ100" i="68"/>
  <c r="AJ50" i="68"/>
  <c r="AG29" i="68"/>
  <c r="AG91" i="68"/>
  <c r="AG149" i="68"/>
  <c r="AG20" i="68"/>
  <c r="AF91" i="68"/>
  <c r="AK91" i="68" s="1"/>
  <c r="AJ129" i="68"/>
  <c r="AJ134" i="68"/>
  <c r="AG107" i="68"/>
  <c r="AF113" i="68"/>
  <c r="AK113" i="68" s="1"/>
  <c r="AF145" i="68"/>
  <c r="AK145" i="68" s="1"/>
  <c r="AF129" i="68"/>
  <c r="AK129" i="68" s="1"/>
  <c r="AF29" i="68"/>
  <c r="AK29" i="68" s="1"/>
  <c r="AJ57" i="68"/>
  <c r="AJ31" i="68"/>
  <c r="AF107" i="68"/>
  <c r="AK107" i="68" s="1"/>
  <c r="AG113" i="68"/>
  <c r="AG145" i="68"/>
  <c r="AG129" i="68"/>
  <c r="AJ113" i="68"/>
  <c r="AJ109" i="68"/>
  <c r="AF172" i="68"/>
  <c r="AK172" i="68" s="1"/>
  <c r="AG108" i="68"/>
  <c r="AF100" i="68"/>
  <c r="AK100" i="68" s="1"/>
  <c r="AF50" i="68"/>
  <c r="AK50" i="68" s="1"/>
  <c r="AJ91" i="68"/>
  <c r="AJ13" i="68"/>
  <c r="AG172" i="68"/>
  <c r="AF108" i="68"/>
  <c r="AK108" i="68" s="1"/>
  <c r="AG100" i="68"/>
  <c r="AG50" i="68"/>
  <c r="AJ102" i="68"/>
  <c r="AJ107" i="68"/>
  <c r="AJ114" i="68"/>
  <c r="AF134" i="68"/>
  <c r="AK134" i="68" s="1"/>
  <c r="AF105" i="68"/>
  <c r="AK105" i="68" s="1"/>
  <c r="AF186" i="68"/>
  <c r="AK186" i="68" s="1"/>
  <c r="AF31" i="68"/>
  <c r="AK31" i="68" s="1"/>
  <c r="AF20" i="68"/>
  <c r="AK20" i="68" s="1"/>
  <c r="AJ158" i="68"/>
  <c r="AJ186" i="68"/>
  <c r="AJ35" i="68"/>
  <c r="AG134" i="68"/>
  <c r="AG105" i="68"/>
  <c r="AG186" i="68"/>
  <c r="AG31" i="68"/>
  <c r="AF149" i="68"/>
  <c r="AK149" i="68" s="1"/>
  <c r="AJ145" i="68"/>
  <c r="AJ108" i="68"/>
  <c r="AF102" i="68"/>
  <c r="AK102" i="68" s="1"/>
  <c r="AG109" i="68"/>
  <c r="AF203" i="68"/>
  <c r="AK203" i="68" s="1"/>
  <c r="AF9" i="68"/>
  <c r="AK9" i="68" s="1"/>
  <c r="AF13" i="68"/>
  <c r="AK13" i="68" s="1"/>
  <c r="AJ172" i="68"/>
  <c r="AJ105" i="68"/>
  <c r="AG102" i="68"/>
  <c r="AF109" i="68"/>
  <c r="AK109" i="68" s="1"/>
  <c r="AG203" i="68"/>
  <c r="AG9" i="68"/>
  <c r="AG13" i="68"/>
  <c r="AJ20" i="68"/>
  <c r="AJ198" i="68"/>
  <c r="AJ203" i="68"/>
  <c r="AF158" i="68"/>
  <c r="AK158" i="68" s="1"/>
  <c r="AF198" i="68"/>
  <c r="AK198" i="68" s="1"/>
  <c r="AF57" i="68"/>
  <c r="AK57" i="68" s="1"/>
  <c r="AG35" i="68"/>
  <c r="AF114" i="68"/>
  <c r="AK114" i="68" s="1"/>
  <c r="AJ149" i="68"/>
  <c r="AJ29" i="68"/>
  <c r="AJ9" i="68"/>
  <c r="AG158" i="68"/>
  <c r="AG198" i="68"/>
  <c r="AG57" i="68"/>
  <c r="AF35" i="68"/>
  <c r="AK35" i="68" s="1"/>
  <c r="AG114" i="68"/>
  <c r="AC57" i="67"/>
  <c r="AF57" i="67" s="1"/>
  <c r="AK57" i="67" s="1"/>
  <c r="K57" i="67"/>
  <c r="M57" i="67" s="1"/>
  <c r="AE57" i="67" s="1"/>
  <c r="AJ57" i="67" s="1"/>
  <c r="AC149" i="67"/>
  <c r="AF149" i="67" s="1"/>
  <c r="AK149" i="67" s="1"/>
  <c r="K149" i="67"/>
  <c r="M149" i="67" s="1"/>
  <c r="AE149" i="67" s="1"/>
  <c r="AJ149" i="67" s="1"/>
  <c r="AC13" i="67"/>
  <c r="AF13" i="67" s="1"/>
  <c r="AK13" i="67" s="1"/>
  <c r="K100" i="67"/>
  <c r="M100" i="67" s="1"/>
  <c r="AE100" i="67" s="1"/>
  <c r="AJ100" i="67" s="1"/>
  <c r="AC100" i="67"/>
  <c r="AF100" i="67" s="1"/>
  <c r="AK100" i="67" s="1"/>
  <c r="K203" i="67"/>
  <c r="M203" i="67" s="1"/>
  <c r="AE203" i="67" s="1"/>
  <c r="AJ203" i="67" s="1"/>
  <c r="AC105" i="67"/>
  <c r="AF105" i="67" s="1"/>
  <c r="AK105" i="67" s="1"/>
  <c r="AC91" i="67"/>
  <c r="AF91" i="67" s="1"/>
  <c r="AK91" i="67" s="1"/>
  <c r="AD9" i="67"/>
  <c r="AG9" i="67" s="1"/>
  <c r="K50" i="67"/>
  <c r="M50" i="67" s="1"/>
  <c r="AE50" i="67" s="1"/>
  <c r="AJ50" i="67" s="1"/>
  <c r="AC50" i="67"/>
  <c r="AF50" i="67" s="1"/>
  <c r="AK50" i="67" s="1"/>
  <c r="AD105" i="67"/>
  <c r="AG105" i="67" s="1"/>
  <c r="AC109" i="67"/>
  <c r="AF109" i="67" s="1"/>
  <c r="AK109" i="67" s="1"/>
  <c r="K145" i="67"/>
  <c r="M145" i="67" s="1"/>
  <c r="AE145" i="67" s="1"/>
  <c r="AJ145" i="67" s="1"/>
  <c r="AD109" i="67"/>
  <c r="AG109" i="67" s="1"/>
  <c r="AC114" i="67"/>
  <c r="AF114" i="67" s="1"/>
  <c r="AK114" i="67" s="1"/>
  <c r="K91" i="67"/>
  <c r="M91" i="67" s="1"/>
  <c r="AE91" i="67" s="1"/>
  <c r="AJ91" i="67" s="1"/>
  <c r="K113" i="67"/>
  <c r="M113" i="67" s="1"/>
  <c r="AE113" i="67" s="1"/>
  <c r="AJ113" i="67" s="1"/>
  <c r="AC158" i="67"/>
  <c r="AF158" i="67" s="1"/>
  <c r="AK158" i="67" s="1"/>
  <c r="AC113" i="67"/>
  <c r="AF113" i="67" s="1"/>
  <c r="AK113" i="67" s="1"/>
  <c r="K31" i="67"/>
  <c r="M31" i="67" s="1"/>
  <c r="AE31" i="67" s="1"/>
  <c r="AJ31" i="67" s="1"/>
  <c r="AC31" i="67"/>
  <c r="AF31" i="67" s="1"/>
  <c r="AK31" i="67" s="1"/>
  <c r="K158" i="67"/>
  <c r="M158" i="67" s="1"/>
  <c r="AE158" i="67" s="1"/>
  <c r="AJ158" i="67" s="1"/>
  <c r="K129" i="67"/>
  <c r="M129" i="67" s="1"/>
  <c r="AE129" i="67" s="1"/>
  <c r="AJ129" i="67" s="1"/>
  <c r="AD114" i="67"/>
  <c r="AG114" i="67" s="1"/>
  <c r="AC129" i="67"/>
  <c r="AF129" i="67" s="1"/>
  <c r="AK129" i="67" s="1"/>
  <c r="K186" i="67"/>
  <c r="M186" i="67" s="1"/>
  <c r="AE186" i="67" s="1"/>
  <c r="AJ186" i="67" s="1"/>
  <c r="AD186" i="67"/>
  <c r="AG186" i="67" s="1"/>
  <c r="AC9" i="67"/>
  <c r="AF9" i="67" s="1"/>
  <c r="AK9" i="67" s="1"/>
  <c r="AC145" i="67"/>
  <c r="AF145" i="67" s="1"/>
  <c r="AK145" i="67" s="1"/>
  <c r="AD203" i="67"/>
  <c r="AG203" i="67" s="1"/>
  <c r="K198" i="67"/>
  <c r="M198" i="67" s="1"/>
  <c r="AE198" i="67" s="1"/>
  <c r="AJ198" i="67" s="1"/>
  <c r="AC198" i="67"/>
  <c r="AF198" i="67" s="1"/>
  <c r="AK198" i="67" s="1"/>
  <c r="AD20" i="67"/>
  <c r="AG20" i="67" s="1"/>
  <c r="K20" i="67"/>
  <c r="M20" i="67" s="1"/>
  <c r="AE20" i="67" s="1"/>
  <c r="AJ20" i="67" s="1"/>
  <c r="AC20" i="67"/>
  <c r="AF20" i="67" s="1"/>
  <c r="AK20" i="67" s="1"/>
  <c r="AD107" i="67"/>
  <c r="AG107" i="67" s="1"/>
  <c r="K107" i="67"/>
  <c r="M107" i="67" s="1"/>
  <c r="AE107" i="67" s="1"/>
  <c r="AJ107" i="67" s="1"/>
  <c r="AC107" i="67"/>
  <c r="AF107" i="67" s="1"/>
  <c r="AK107" i="67" s="1"/>
  <c r="AD108" i="67"/>
  <c r="AG108" i="67" s="1"/>
  <c r="AC108" i="67"/>
  <c r="AF108" i="67" s="1"/>
  <c r="AK108" i="67" s="1"/>
  <c r="K108" i="67"/>
  <c r="M108" i="67" s="1"/>
  <c r="AE108" i="67" s="1"/>
  <c r="AJ108" i="67" s="1"/>
  <c r="AD172" i="67"/>
  <c r="AG172" i="67" s="1"/>
  <c r="AC172" i="67"/>
  <c r="AF172" i="67" s="1"/>
  <c r="AK172" i="67" s="1"/>
  <c r="K172" i="67"/>
  <c r="M172" i="67" s="1"/>
  <c r="AE172" i="67" s="1"/>
  <c r="AJ172" i="67" s="1"/>
  <c r="AD134" i="67"/>
  <c r="AG134" i="67" s="1"/>
  <c r="AC134" i="67"/>
  <c r="AF134" i="67" s="1"/>
  <c r="AK134" i="67" s="1"/>
  <c r="K134" i="67"/>
  <c r="M134" i="67" s="1"/>
  <c r="AE134" i="67" s="1"/>
  <c r="AJ134" i="67" s="1"/>
  <c r="E83" i="47" l="1"/>
  <c r="E29" i="47" s="1"/>
  <c r="E31" i="47" l="1"/>
  <c r="E33" i="47" s="1"/>
  <c r="E9" i="47" s="1"/>
  <c r="I7" i="47" s="1"/>
  <c r="I9" i="47" s="1"/>
  <c r="E91" i="47"/>
  <c r="E10" i="47" s="1"/>
  <c r="I14" i="47" s="1"/>
  <c r="I16" i="47" s="1"/>
  <c r="F2" i="47" l="1"/>
  <c r="AX228" i="56" l="1"/>
  <c r="AY228" i="56" s="1"/>
  <c r="I228" i="56" s="1"/>
  <c r="K228" i="56" s="1"/>
  <c r="M228" i="56" s="1"/>
  <c r="O228" i="56" s="1"/>
  <c r="BC228" i="56" s="1"/>
  <c r="M211" i="56"/>
  <c r="O211" i="56" s="1"/>
  <c r="BC211" i="56" s="1"/>
  <c r="AX221" i="56"/>
  <c r="AY221" i="56" s="1"/>
  <c r="I221" i="56" s="1"/>
  <c r="K221" i="56" s="1"/>
  <c r="M221" i="56" s="1"/>
  <c r="O221" i="56" s="1"/>
  <c r="BC221" i="56" s="1"/>
  <c r="AX218" i="56"/>
  <c r="AY218" i="56" s="1"/>
  <c r="I218" i="56" s="1"/>
  <c r="K218" i="56" s="1"/>
  <c r="M218" i="56" s="1"/>
  <c r="O218" i="56" s="1"/>
  <c r="BC218" i="56" s="1"/>
  <c r="AX217" i="56"/>
  <c r="AY217" i="56" s="1"/>
  <c r="I217" i="56" s="1"/>
  <c r="K217" i="56" s="1"/>
  <c r="M217" i="56" s="1"/>
  <c r="O217" i="56" s="1"/>
  <c r="BC217" i="56" s="1"/>
  <c r="AX216" i="56"/>
  <c r="AY216" i="56" s="1"/>
  <c r="I216" i="56" s="1"/>
  <c r="K216" i="56" s="1"/>
  <c r="M216" i="56" s="1"/>
  <c r="O216" i="56" s="1"/>
  <c r="BC216" i="56" s="1"/>
  <c r="AX214" i="56"/>
  <c r="AY214" i="56" s="1"/>
  <c r="I214" i="56" s="1"/>
  <c r="K214" i="56" s="1"/>
  <c r="M214" i="56" s="1"/>
  <c r="O214" i="56" s="1"/>
  <c r="BC214" i="56" s="1"/>
  <c r="AX219" i="56"/>
  <c r="AY219" i="56" s="1"/>
  <c r="I219" i="56" s="1"/>
  <c r="K219" i="56" s="1"/>
  <c r="M219" i="56" s="1"/>
  <c r="O219" i="56" s="1"/>
  <c r="BC219" i="56" s="1"/>
  <c r="AX220" i="56"/>
  <c r="AY220" i="56" s="1"/>
  <c r="I220" i="56" s="1"/>
  <c r="K220" i="56" s="1"/>
  <c r="M220" i="56" s="1"/>
  <c r="O220" i="56" s="1"/>
  <c r="BC220" i="56" s="1"/>
  <c r="AX213" i="56"/>
  <c r="AY213" i="56" s="1"/>
  <c r="I213" i="56" s="1"/>
  <c r="K213" i="56" s="1"/>
  <c r="M213" i="56" s="1"/>
  <c r="O213" i="56" s="1"/>
  <c r="BC213" i="56" s="1"/>
  <c r="AX212" i="56"/>
  <c r="AY212" i="56" s="1"/>
  <c r="I212" i="56" s="1"/>
  <c r="K212" i="56" s="1"/>
  <c r="M212" i="56" s="1"/>
  <c r="O212" i="56" s="1"/>
  <c r="BC212" i="56" s="1"/>
  <c r="AX227" i="56"/>
  <c r="AY227" i="56" s="1"/>
  <c r="I227" i="56" s="1"/>
  <c r="K227" i="56" s="1"/>
  <c r="M227" i="56" s="1"/>
  <c r="O227" i="56" s="1"/>
  <c r="BC227" i="56" s="1"/>
  <c r="AX215" i="56"/>
  <c r="AY215" i="56" s="1"/>
  <c r="I215" i="56" s="1"/>
  <c r="K215" i="56" s="1"/>
  <c r="M215" i="56" s="1"/>
  <c r="O215" i="56" s="1"/>
  <c r="BC215" i="56" s="1"/>
  <c r="AX226" i="56"/>
  <c r="AY226" i="56" s="1"/>
  <c r="I226" i="56" s="1"/>
  <c r="K226" i="56" s="1"/>
  <c r="M226" i="56" s="1"/>
  <c r="O226" i="56" s="1"/>
  <c r="BC226" i="56" s="1"/>
  <c r="AX225" i="56"/>
  <c r="AY225" i="56" s="1"/>
  <c r="I225" i="56" s="1"/>
  <c r="K225" i="56" s="1"/>
  <c r="M225" i="56" s="1"/>
  <c r="O225" i="56" s="1"/>
  <c r="BC225" i="56" s="1"/>
  <c r="AX223" i="56"/>
  <c r="AY223" i="56" s="1"/>
  <c r="I223" i="56" s="1"/>
  <c r="K223" i="56" s="1"/>
  <c r="M223" i="56" s="1"/>
  <c r="O223" i="56" s="1"/>
  <c r="BC223" i="56" s="1"/>
  <c r="AX222" i="56"/>
  <c r="AY222" i="56" s="1"/>
  <c r="I222" i="56" s="1"/>
  <c r="K222" i="56" s="1"/>
  <c r="M222" i="56" s="1"/>
  <c r="O222" i="56" s="1"/>
  <c r="BC222" i="56" s="1"/>
  <c r="AX224" i="56"/>
  <c r="AY224" i="56" s="1"/>
  <c r="I224" i="56" s="1"/>
  <c r="K224" i="56" s="1"/>
  <c r="M224" i="56" s="1"/>
  <c r="O224" i="56" s="1"/>
  <c r="BC224" i="56" s="1"/>
  <c r="AV112" i="56"/>
  <c r="AW112" i="56" s="1"/>
  <c r="I112" i="56" s="1"/>
  <c r="BA112" i="56" s="1"/>
  <c r="BD112" i="56" s="1"/>
  <c r="AV121" i="56"/>
  <c r="AW121" i="56" s="1"/>
  <c r="I121" i="56" s="1"/>
  <c r="BA121" i="56" s="1"/>
  <c r="BD121" i="56" s="1"/>
  <c r="AV38" i="56"/>
  <c r="AW38" i="56" s="1"/>
  <c r="I38" i="56" s="1"/>
  <c r="BA38" i="56" s="1"/>
  <c r="BD38" i="56" s="1"/>
  <c r="AV126" i="56"/>
  <c r="AW126" i="56" s="1"/>
  <c r="I126" i="56" s="1"/>
  <c r="BA126" i="56" s="1"/>
  <c r="BD126" i="56" s="1"/>
  <c r="AV27" i="56"/>
  <c r="AW27" i="56" s="1"/>
  <c r="I27" i="56" s="1"/>
  <c r="BA27" i="56" s="1"/>
  <c r="BD27" i="56" s="1"/>
  <c r="AV25" i="56"/>
  <c r="AW25" i="56" s="1"/>
  <c r="I25" i="56" s="1"/>
  <c r="BA25" i="56" s="1"/>
  <c r="BD25" i="56" s="1"/>
  <c r="AV75" i="56"/>
  <c r="AW75" i="56" s="1"/>
  <c r="I75" i="56" s="1"/>
  <c r="BA75" i="56" s="1"/>
  <c r="BD75" i="56" s="1"/>
  <c r="AV89" i="56"/>
  <c r="AW89" i="56" s="1"/>
  <c r="I89" i="56" s="1"/>
  <c r="BA89" i="56" s="1"/>
  <c r="BD89" i="56" s="1"/>
  <c r="AV124" i="56"/>
  <c r="AW124" i="56" s="1"/>
  <c r="I124" i="56" s="1"/>
  <c r="BA124" i="56" s="1"/>
  <c r="BD124" i="56" s="1"/>
  <c r="AV34" i="56"/>
  <c r="AW34" i="56" s="1"/>
  <c r="I34" i="56" s="1"/>
  <c r="BA34" i="56" s="1"/>
  <c r="BD34" i="56" s="1"/>
  <c r="AV201" i="56"/>
  <c r="AW201" i="56" s="1"/>
  <c r="I201" i="56" s="1"/>
  <c r="BA201" i="56" s="1"/>
  <c r="BD201" i="56" s="1"/>
  <c r="AV198" i="56"/>
  <c r="AW198" i="56" s="1"/>
  <c r="I198" i="56" s="1"/>
  <c r="BA198" i="56" s="1"/>
  <c r="BD198" i="56" s="1"/>
  <c r="AV122" i="56"/>
  <c r="AW122" i="56" s="1"/>
  <c r="I122" i="56" s="1"/>
  <c r="BA122" i="56" s="1"/>
  <c r="BD122" i="56" s="1"/>
  <c r="AV196" i="56"/>
  <c r="AW196" i="56" s="1"/>
  <c r="I196" i="56" s="1"/>
  <c r="BA196" i="56" s="1"/>
  <c r="BD196" i="56" s="1"/>
  <c r="AV183" i="56"/>
  <c r="AW183" i="56" s="1"/>
  <c r="I183" i="56" s="1"/>
  <c r="BA183" i="56" s="1"/>
  <c r="BD183" i="56" s="1"/>
  <c r="AV180" i="56"/>
  <c r="AW180" i="56" s="1"/>
  <c r="I180" i="56" s="1"/>
  <c r="BA180" i="56" s="1"/>
  <c r="BD180" i="56" s="1"/>
  <c r="AV188" i="56"/>
  <c r="AW188" i="56" s="1"/>
  <c r="I188" i="56" s="1"/>
  <c r="BA188" i="56" s="1"/>
  <c r="BD188" i="56" s="1"/>
  <c r="AV59" i="56"/>
  <c r="AW59" i="56" s="1"/>
  <c r="I59" i="56" s="1"/>
  <c r="BA59" i="56" s="1"/>
  <c r="BD59" i="56" s="1"/>
  <c r="AV55" i="56"/>
  <c r="AW55" i="56" s="1"/>
  <c r="I55" i="56" s="1"/>
  <c r="BA55" i="56" s="1"/>
  <c r="BD55" i="56" s="1"/>
  <c r="AV182" i="56"/>
  <c r="AW182" i="56" s="1"/>
  <c r="I182" i="56" s="1"/>
  <c r="BA182" i="56" s="1"/>
  <c r="BD182" i="56" s="1"/>
  <c r="AV42" i="56"/>
  <c r="AW42" i="56" s="1"/>
  <c r="I42" i="56" s="1"/>
  <c r="BA42" i="56" s="1"/>
  <c r="BD42" i="56" s="1"/>
  <c r="AV94" i="56"/>
  <c r="AW94" i="56" s="1"/>
  <c r="I94" i="56" s="1"/>
  <c r="BA94" i="56" s="1"/>
  <c r="BD94" i="56" s="1"/>
  <c r="AV64" i="56"/>
  <c r="AW64" i="56" s="1"/>
  <c r="I64" i="56" s="1"/>
  <c r="BA64" i="56" s="1"/>
  <c r="BD64" i="56" s="1"/>
  <c r="AV66" i="56"/>
  <c r="AW66" i="56" s="1"/>
  <c r="I66" i="56" s="1"/>
  <c r="BA66" i="56" s="1"/>
  <c r="BD66" i="56" s="1"/>
  <c r="AV73" i="56"/>
  <c r="AW73" i="56" s="1"/>
  <c r="I73" i="56" s="1"/>
  <c r="BA73" i="56" s="1"/>
  <c r="BD73" i="56" s="1"/>
  <c r="AV178" i="56"/>
  <c r="AW178" i="56" s="1"/>
  <c r="I178" i="56" s="1"/>
  <c r="BA178" i="56" s="1"/>
  <c r="BD178" i="56" s="1"/>
  <c r="AV16" i="56"/>
  <c r="AW16" i="56" s="1"/>
  <c r="I16" i="56" s="1"/>
  <c r="BA16" i="56" s="1"/>
  <c r="BD16" i="56" s="1"/>
  <c r="AV175" i="56"/>
  <c r="AW175" i="56" s="1"/>
  <c r="I175" i="56" s="1"/>
  <c r="BA175" i="56" s="1"/>
  <c r="BD175" i="56" s="1"/>
  <c r="AV192" i="56"/>
  <c r="AW192" i="56" s="1"/>
  <c r="I192" i="56" s="1"/>
  <c r="BA192" i="56" s="1"/>
  <c r="BD192" i="56" s="1"/>
  <c r="AV72" i="56"/>
  <c r="AW72" i="56" s="1"/>
  <c r="I72" i="56" s="1"/>
  <c r="BA72" i="56" s="1"/>
  <c r="BD72" i="56" s="1"/>
  <c r="AV43" i="56"/>
  <c r="AW43" i="56" s="1"/>
  <c r="I43" i="56" s="1"/>
  <c r="BA43" i="56" s="1"/>
  <c r="BD43" i="56" s="1"/>
  <c r="AV139" i="56"/>
  <c r="AW139" i="56" s="1"/>
  <c r="I139" i="56" s="1"/>
  <c r="BA139" i="56" s="1"/>
  <c r="BD139" i="56" s="1"/>
  <c r="AV33" i="56"/>
  <c r="AW33" i="56" s="1"/>
  <c r="I33" i="56" s="1"/>
  <c r="BA33" i="56" s="1"/>
  <c r="BD33" i="56" s="1"/>
  <c r="AV44" i="56"/>
  <c r="AW44" i="56" s="1"/>
  <c r="I44" i="56" s="1"/>
  <c r="BA44" i="56" s="1"/>
  <c r="BD44" i="56" s="1"/>
  <c r="AV120" i="56"/>
  <c r="AW120" i="56" s="1"/>
  <c r="I120" i="56" s="1"/>
  <c r="BA120" i="56" s="1"/>
  <c r="BD120" i="56" s="1"/>
  <c r="AV179" i="56"/>
  <c r="AW179" i="56" s="1"/>
  <c r="I179" i="56" s="1"/>
  <c r="BA179" i="56" s="1"/>
  <c r="BD179" i="56" s="1"/>
  <c r="AV93" i="56"/>
  <c r="AW93" i="56" s="1"/>
  <c r="I93" i="56" s="1"/>
  <c r="BA93" i="56" s="1"/>
  <c r="BD93" i="56" s="1"/>
  <c r="AV76" i="56"/>
  <c r="AW76" i="56" s="1"/>
  <c r="I76" i="56" s="1"/>
  <c r="BA76" i="56" s="1"/>
  <c r="BD76" i="56" s="1"/>
  <c r="AV36" i="56"/>
  <c r="AW36" i="56" s="1"/>
  <c r="I36" i="56" s="1"/>
  <c r="BA36" i="56" s="1"/>
  <c r="BD36" i="56" s="1"/>
  <c r="AV90" i="56"/>
  <c r="AW90" i="56" s="1"/>
  <c r="I90" i="56" s="1"/>
  <c r="BA90" i="56" s="1"/>
  <c r="BD90" i="56" s="1"/>
  <c r="AV12" i="56"/>
  <c r="AW12" i="56" s="1"/>
  <c r="I12" i="56" s="1"/>
  <c r="BA12" i="56" s="1"/>
  <c r="BD12" i="56" s="1"/>
  <c r="AV71" i="56"/>
  <c r="AW71" i="56" s="1"/>
  <c r="I71" i="56" s="1"/>
  <c r="BA71" i="56" s="1"/>
  <c r="BD71" i="56" s="1"/>
  <c r="AV136" i="56"/>
  <c r="AW136" i="56" s="1"/>
  <c r="I136" i="56" s="1"/>
  <c r="BA136" i="56" s="1"/>
  <c r="BD136" i="56" s="1"/>
  <c r="AV99" i="56"/>
  <c r="AW99" i="56" s="1"/>
  <c r="I99" i="56" s="1"/>
  <c r="BA99" i="56" s="1"/>
  <c r="BD99" i="56" s="1"/>
  <c r="AV156" i="56"/>
  <c r="AW156" i="56" s="1"/>
  <c r="I156" i="56" s="1"/>
  <c r="BA156" i="56" s="1"/>
  <c r="BD156" i="56" s="1"/>
  <c r="AV23" i="56"/>
  <c r="AW23" i="56" s="1"/>
  <c r="I23" i="56" s="1"/>
  <c r="BA23" i="56" s="1"/>
  <c r="BD23" i="56" s="1"/>
  <c r="AV134" i="56"/>
  <c r="AW134" i="56" s="1"/>
  <c r="I134" i="56" s="1"/>
  <c r="BA134" i="56" s="1"/>
  <c r="BD134" i="56" s="1"/>
  <c r="AV80" i="56"/>
  <c r="AW80" i="56" s="1"/>
  <c r="I80" i="56" s="1"/>
  <c r="BA80" i="56" s="1"/>
  <c r="BD80" i="56" s="1"/>
  <c r="AV47" i="56"/>
  <c r="AW47" i="56" s="1"/>
  <c r="I47" i="56" s="1"/>
  <c r="BA47" i="56" s="1"/>
  <c r="BD47" i="56" s="1"/>
  <c r="AV125" i="56"/>
  <c r="AW125" i="56" s="1"/>
  <c r="I125" i="56" s="1"/>
  <c r="BA125" i="56" s="1"/>
  <c r="BD125" i="56" s="1"/>
  <c r="AV202" i="56"/>
  <c r="AW202" i="56" s="1"/>
  <c r="I202" i="56" s="1"/>
  <c r="BA202" i="56" s="1"/>
  <c r="BD202" i="56" s="1"/>
  <c r="AV128" i="56"/>
  <c r="AW128" i="56" s="1"/>
  <c r="I128" i="56" s="1"/>
  <c r="BA128" i="56" s="1"/>
  <c r="BD128" i="56" s="1"/>
  <c r="AV48" i="56"/>
  <c r="AW48" i="56" s="1"/>
  <c r="I48" i="56" s="1"/>
  <c r="BA48" i="56" s="1"/>
  <c r="BD48" i="56" s="1"/>
  <c r="AV197" i="56"/>
  <c r="AW197" i="56" s="1"/>
  <c r="I197" i="56" s="1"/>
  <c r="BA197" i="56" s="1"/>
  <c r="BD197" i="56" s="1"/>
  <c r="AV84" i="56"/>
  <c r="AW84" i="56" s="1"/>
  <c r="I84" i="56" s="1"/>
  <c r="BA84" i="56" s="1"/>
  <c r="BD84" i="56" s="1"/>
  <c r="AV177" i="56"/>
  <c r="AW177" i="56" s="1"/>
  <c r="I177" i="56" s="1"/>
  <c r="BA177" i="56" s="1"/>
  <c r="BD177" i="56" s="1"/>
  <c r="AV203" i="56"/>
  <c r="AW203" i="56" s="1"/>
  <c r="I203" i="56" s="1"/>
  <c r="BA203" i="56" s="1"/>
  <c r="BD203" i="56" s="1"/>
  <c r="AV200" i="56"/>
  <c r="AW200" i="56" s="1"/>
  <c r="I200" i="56" s="1"/>
  <c r="BA200" i="56" s="1"/>
  <c r="BD200" i="56" s="1"/>
  <c r="AV153" i="56"/>
  <c r="AW153" i="56" s="1"/>
  <c r="I153" i="56" s="1"/>
  <c r="BA153" i="56" s="1"/>
  <c r="BD153" i="56" s="1"/>
  <c r="AV186" i="56"/>
  <c r="AW186" i="56" s="1"/>
  <c r="I186" i="56" s="1"/>
  <c r="BA186" i="56" s="1"/>
  <c r="BD186" i="56" s="1"/>
  <c r="AV154" i="56"/>
  <c r="AW154" i="56" s="1"/>
  <c r="I154" i="56" s="1"/>
  <c r="BA154" i="56" s="1"/>
  <c r="BD154" i="56" s="1"/>
  <c r="AV4" i="56"/>
  <c r="AW4" i="56" s="1"/>
  <c r="I4" i="56" s="1"/>
  <c r="BA4" i="56" s="1"/>
  <c r="BD4" i="56" s="1"/>
  <c r="AV113" i="56"/>
  <c r="AW113" i="56" s="1"/>
  <c r="I113" i="56" s="1"/>
  <c r="BA113" i="56" s="1"/>
  <c r="BD113" i="56" s="1"/>
  <c r="AV50" i="56"/>
  <c r="AW50" i="56" s="1"/>
  <c r="I50" i="56" s="1"/>
  <c r="BA50" i="56" s="1"/>
  <c r="BD50" i="56" s="1"/>
  <c r="AV32" i="56"/>
  <c r="AW32" i="56" s="1"/>
  <c r="I32" i="56" s="1"/>
  <c r="BA32" i="56" s="1"/>
  <c r="BD32" i="56" s="1"/>
  <c r="AV14" i="56"/>
  <c r="AW14" i="56" s="1"/>
  <c r="I14" i="56" s="1"/>
  <c r="BA14" i="56" s="1"/>
  <c r="BD14" i="56" s="1"/>
  <c r="AV85" i="56"/>
  <c r="AW85" i="56" s="1"/>
  <c r="I85" i="56" s="1"/>
  <c r="BA85" i="56" s="1"/>
  <c r="BD85" i="56" s="1"/>
  <c r="AV45" i="56"/>
  <c r="AW45" i="56" s="1"/>
  <c r="I45" i="56" s="1"/>
  <c r="BA45" i="56" s="1"/>
  <c r="BD45" i="56" s="1"/>
  <c r="AV101" i="56"/>
  <c r="AW101" i="56" s="1"/>
  <c r="I101" i="56" s="1"/>
  <c r="BA101" i="56" s="1"/>
  <c r="BD101" i="56" s="1"/>
  <c r="AV172" i="56"/>
  <c r="AW172" i="56" s="1"/>
  <c r="I172" i="56" s="1"/>
  <c r="BA172" i="56" s="1"/>
  <c r="BD172" i="56" s="1"/>
  <c r="AV67" i="56"/>
  <c r="AW67" i="56" s="1"/>
  <c r="I67" i="56" s="1"/>
  <c r="BA67" i="56" s="1"/>
  <c r="BD67" i="56" s="1"/>
  <c r="AV103" i="56"/>
  <c r="AW103" i="56" s="1"/>
  <c r="I103" i="56" s="1"/>
  <c r="BA103" i="56" s="1"/>
  <c r="BD103" i="56" s="1"/>
  <c r="AV110" i="56"/>
  <c r="AW110" i="56" s="1"/>
  <c r="I110" i="56" s="1"/>
  <c r="BA110" i="56" s="1"/>
  <c r="BD110" i="56" s="1"/>
  <c r="AV167" i="56"/>
  <c r="AW167" i="56" s="1"/>
  <c r="I167" i="56" s="1"/>
  <c r="BA167" i="56" s="1"/>
  <c r="BD167" i="56" s="1"/>
  <c r="AV51" i="56"/>
  <c r="AW51" i="56" s="1"/>
  <c r="I51" i="56" s="1"/>
  <c r="BA51" i="56" s="1"/>
  <c r="BD51" i="56" s="1"/>
  <c r="AV119" i="56"/>
  <c r="AW119" i="56" s="1"/>
  <c r="I119" i="56" s="1"/>
  <c r="BA119" i="56" s="1"/>
  <c r="BD119" i="56" s="1"/>
  <c r="AV17" i="56"/>
  <c r="AW17" i="56" s="1"/>
  <c r="I17" i="56" s="1"/>
  <c r="BA17" i="56" s="1"/>
  <c r="BD17" i="56" s="1"/>
  <c r="AV155" i="56"/>
  <c r="AW155" i="56" s="1"/>
  <c r="I155" i="56" s="1"/>
  <c r="BA155" i="56" s="1"/>
  <c r="BD155" i="56" s="1"/>
  <c r="AV174" i="56"/>
  <c r="AW174" i="56" s="1"/>
  <c r="I174" i="56" s="1"/>
  <c r="BA174" i="56" s="1"/>
  <c r="BD174" i="56" s="1"/>
  <c r="AV161" i="56"/>
  <c r="AW161" i="56" s="1"/>
  <c r="I161" i="56" s="1"/>
  <c r="BA161" i="56" s="1"/>
  <c r="BD161" i="56" s="1"/>
  <c r="AV171" i="56"/>
  <c r="AW171" i="56" s="1"/>
  <c r="I171" i="56" s="1"/>
  <c r="BA171" i="56" s="1"/>
  <c r="BD171" i="56" s="1"/>
  <c r="AV127" i="56"/>
  <c r="AW127" i="56" s="1"/>
  <c r="I127" i="56" s="1"/>
  <c r="BA127" i="56" s="1"/>
  <c r="BD127" i="56" s="1"/>
  <c r="AV166" i="56"/>
  <c r="AW166" i="56" s="1"/>
  <c r="I166" i="56" s="1"/>
  <c r="BA166" i="56" s="1"/>
  <c r="BD166" i="56" s="1"/>
  <c r="AV39" i="56"/>
  <c r="AW39" i="56" s="1"/>
  <c r="I39" i="56" s="1"/>
  <c r="BA39" i="56" s="1"/>
  <c r="BD39" i="56" s="1"/>
  <c r="AV151" i="56"/>
  <c r="AW151" i="56" s="1"/>
  <c r="I151" i="56" s="1"/>
  <c r="BA151" i="56" s="1"/>
  <c r="BD151" i="56" s="1"/>
  <c r="AV102" i="56"/>
  <c r="AW102" i="56" s="1"/>
  <c r="I102" i="56" s="1"/>
  <c r="BA102" i="56" s="1"/>
  <c r="BD102" i="56" s="1"/>
  <c r="AV52" i="56"/>
  <c r="AW52" i="56" s="1"/>
  <c r="I52" i="56" s="1"/>
  <c r="BA52" i="56" s="1"/>
  <c r="BD52" i="56" s="1"/>
  <c r="AV88" i="56"/>
  <c r="AW88" i="56" s="1"/>
  <c r="I88" i="56" s="1"/>
  <c r="BA88" i="56" s="1"/>
  <c r="BD88" i="56" s="1"/>
  <c r="AV117" i="56"/>
  <c r="AW117" i="56" s="1"/>
  <c r="I117" i="56" s="1"/>
  <c r="BA117" i="56" s="1"/>
  <c r="BD117" i="56" s="1"/>
  <c r="AV13" i="56"/>
  <c r="AW13" i="56" s="1"/>
  <c r="I13" i="56" s="1"/>
  <c r="BA13" i="56" s="1"/>
  <c r="BD13" i="56" s="1"/>
  <c r="AV106" i="56"/>
  <c r="AW106" i="56" s="1"/>
  <c r="I106" i="56" s="1"/>
  <c r="BA106" i="56" s="1"/>
  <c r="BD106" i="56" s="1"/>
  <c r="AV157" i="56"/>
  <c r="AW157" i="56" s="1"/>
  <c r="I157" i="56" s="1"/>
  <c r="BA157" i="56" s="1"/>
  <c r="BD157" i="56" s="1"/>
  <c r="AV191" i="56"/>
  <c r="AW191" i="56" s="1"/>
  <c r="I191" i="56" s="1"/>
  <c r="BA191" i="56" s="1"/>
  <c r="BD191" i="56" s="1"/>
  <c r="AV15" i="56"/>
  <c r="AW15" i="56" s="1"/>
  <c r="I15" i="56" s="1"/>
  <c r="BA15" i="56" s="1"/>
  <c r="BD15" i="56" s="1"/>
  <c r="AV86" i="56"/>
  <c r="AW86" i="56" s="1"/>
  <c r="I86" i="56" s="1"/>
  <c r="BA86" i="56" s="1"/>
  <c r="BD86" i="56" s="1"/>
  <c r="AV144" i="56"/>
  <c r="AW144" i="56" s="1"/>
  <c r="I144" i="56" s="1"/>
  <c r="BA144" i="56" s="1"/>
  <c r="BD144" i="56" s="1"/>
  <c r="AV143" i="56"/>
  <c r="AW143" i="56" s="1"/>
  <c r="I143" i="56" s="1"/>
  <c r="BA143" i="56" s="1"/>
  <c r="BD143" i="56" s="1"/>
  <c r="AV62" i="56"/>
  <c r="AW62" i="56" s="1"/>
  <c r="I62" i="56" s="1"/>
  <c r="BA62" i="56" s="1"/>
  <c r="BD62" i="56" s="1"/>
  <c r="AV54" i="56"/>
  <c r="AW54" i="56" s="1"/>
  <c r="I54" i="56" s="1"/>
  <c r="BA54" i="56" s="1"/>
  <c r="BD54" i="56" s="1"/>
  <c r="AV138" i="56"/>
  <c r="AW138" i="56" s="1"/>
  <c r="I138" i="56" s="1"/>
  <c r="BA138" i="56" s="1"/>
  <c r="BD138" i="56" s="1"/>
  <c r="AV170" i="56"/>
  <c r="AW170" i="56" s="1"/>
  <c r="I170" i="56" s="1"/>
  <c r="BA170" i="56" s="1"/>
  <c r="BD170" i="56" s="1"/>
  <c r="AV63" i="56"/>
  <c r="AW63" i="56" s="1"/>
  <c r="I63" i="56" s="1"/>
  <c r="BA63" i="56" s="1"/>
  <c r="BD63" i="56" s="1"/>
  <c r="AV91" i="56"/>
  <c r="AW91" i="56" s="1"/>
  <c r="I91" i="56" s="1"/>
  <c r="BA91" i="56" s="1"/>
  <c r="BD91" i="56" s="1"/>
  <c r="AV97" i="56"/>
  <c r="AW97" i="56" s="1"/>
  <c r="I97" i="56" s="1"/>
  <c r="BA97" i="56" s="1"/>
  <c r="BD97" i="56" s="1"/>
  <c r="AV92" i="56"/>
  <c r="AW92" i="56" s="1"/>
  <c r="I92" i="56" s="1"/>
  <c r="BA92" i="56" s="1"/>
  <c r="BD92" i="56" s="1"/>
  <c r="AV6" i="56"/>
  <c r="AW6" i="56" s="1"/>
  <c r="I6" i="56" s="1"/>
  <c r="BA6" i="56" s="1"/>
  <c r="BD6" i="56" s="1"/>
  <c r="AV152" i="56"/>
  <c r="AW152" i="56" s="1"/>
  <c r="I152" i="56" s="1"/>
  <c r="BA152" i="56" s="1"/>
  <c r="BD152" i="56" s="1"/>
  <c r="AV83" i="56"/>
  <c r="AW83" i="56" s="1"/>
  <c r="I83" i="56" s="1"/>
  <c r="BA83" i="56" s="1"/>
  <c r="BD83" i="56" s="1"/>
  <c r="AV142" i="56"/>
  <c r="AW142" i="56" s="1"/>
  <c r="I142" i="56" s="1"/>
  <c r="BA142" i="56" s="1"/>
  <c r="BD142" i="56" s="1"/>
  <c r="AV49" i="56"/>
  <c r="AW49" i="56" s="1"/>
  <c r="I49" i="56" s="1"/>
  <c r="BA49" i="56" s="1"/>
  <c r="BD49" i="56" s="1"/>
  <c r="AV199" i="56"/>
  <c r="AW199" i="56" s="1"/>
  <c r="I199" i="56" s="1"/>
  <c r="BA199" i="56" s="1"/>
  <c r="BD199" i="56" s="1"/>
  <c r="AV81" i="56"/>
  <c r="AW81" i="56" s="1"/>
  <c r="I81" i="56" s="1"/>
  <c r="BA81" i="56" s="1"/>
  <c r="BD81" i="56" s="1"/>
  <c r="AV107" i="56"/>
  <c r="AW107" i="56" s="1"/>
  <c r="I107" i="56" s="1"/>
  <c r="BA107" i="56" s="1"/>
  <c r="BD107" i="56" s="1"/>
  <c r="AV104" i="56"/>
  <c r="AW104" i="56" s="1"/>
  <c r="I104" i="56" s="1"/>
  <c r="BA104" i="56" s="1"/>
  <c r="BD104" i="56" s="1"/>
  <c r="AV148" i="56"/>
  <c r="AW148" i="56" s="1"/>
  <c r="I148" i="56" s="1"/>
  <c r="BA148" i="56" s="1"/>
  <c r="BD148" i="56" s="1"/>
  <c r="AV165" i="56"/>
  <c r="AW165" i="56" s="1"/>
  <c r="I165" i="56" s="1"/>
  <c r="BA165" i="56" s="1"/>
  <c r="BD165" i="56" s="1"/>
  <c r="AV61" i="56"/>
  <c r="AW61" i="56" s="1"/>
  <c r="I61" i="56" s="1"/>
  <c r="BA61" i="56" s="1"/>
  <c r="BD61" i="56" s="1"/>
  <c r="AV30" i="56"/>
  <c r="AW30" i="56" s="1"/>
  <c r="I30" i="56" s="1"/>
  <c r="BA30" i="56" s="1"/>
  <c r="BD30" i="56" s="1"/>
  <c r="AV129" i="56"/>
  <c r="AW129" i="56" s="1"/>
  <c r="I129" i="56" s="1"/>
  <c r="BA129" i="56" s="1"/>
  <c r="BD129" i="56" s="1"/>
  <c r="AV159" i="56"/>
  <c r="AW159" i="56" s="1"/>
  <c r="I159" i="56" s="1"/>
  <c r="BA159" i="56" s="1"/>
  <c r="BD159" i="56" s="1"/>
  <c r="AV40" i="56"/>
  <c r="AW40" i="56" s="1"/>
  <c r="I40" i="56" s="1"/>
  <c r="BA40" i="56" s="1"/>
  <c r="BD40" i="56" s="1"/>
  <c r="AV195" i="56"/>
  <c r="AW195" i="56" s="1"/>
  <c r="I195" i="56" s="1"/>
  <c r="BA195" i="56" s="1"/>
  <c r="BD195" i="56" s="1"/>
  <c r="AV7" i="56"/>
  <c r="AW7" i="56" s="1"/>
  <c r="I7" i="56" s="1"/>
  <c r="BA7" i="56" s="1"/>
  <c r="BD7" i="56" s="1"/>
  <c r="AV46" i="56"/>
  <c r="AW46" i="56" s="1"/>
  <c r="I46" i="56" s="1"/>
  <c r="BA46" i="56" s="1"/>
  <c r="BD46" i="56" s="1"/>
  <c r="AV194" i="56"/>
  <c r="AW194" i="56" s="1"/>
  <c r="I194" i="56" s="1"/>
  <c r="BA194" i="56" s="1"/>
  <c r="BD194" i="56" s="1"/>
  <c r="AV60" i="56"/>
  <c r="AW60" i="56" s="1"/>
  <c r="I60" i="56" s="1"/>
  <c r="BA60" i="56" s="1"/>
  <c r="BD60" i="56" s="1"/>
  <c r="AV118" i="56"/>
  <c r="AW118" i="56" s="1"/>
  <c r="I118" i="56" s="1"/>
  <c r="BA118" i="56" s="1"/>
  <c r="BD118" i="56" s="1"/>
  <c r="AV11" i="56"/>
  <c r="AW11" i="56" s="1"/>
  <c r="I11" i="56" s="1"/>
  <c r="BA11" i="56" s="1"/>
  <c r="BD11" i="56" s="1"/>
  <c r="AV111" i="56"/>
  <c r="AW111" i="56" s="1"/>
  <c r="I111" i="56" s="1"/>
  <c r="BA111" i="56" s="1"/>
  <c r="BD111" i="56" s="1"/>
  <c r="AV185" i="56"/>
  <c r="AW185" i="56" s="1"/>
  <c r="I185" i="56" s="1"/>
  <c r="BA185" i="56" s="1"/>
  <c r="BD185" i="56" s="1"/>
  <c r="AV147" i="56"/>
  <c r="AW147" i="56" s="1"/>
  <c r="I147" i="56" s="1"/>
  <c r="BA147" i="56" s="1"/>
  <c r="BD147" i="56" s="1"/>
  <c r="AV82" i="56"/>
  <c r="AW82" i="56" s="1"/>
  <c r="I82" i="56" s="1"/>
  <c r="BA82" i="56" s="1"/>
  <c r="BD82" i="56" s="1"/>
  <c r="AV116" i="56"/>
  <c r="AW116" i="56" s="1"/>
  <c r="I116" i="56" s="1"/>
  <c r="BA116" i="56" s="1"/>
  <c r="BD116" i="56" s="1"/>
  <c r="AV207" i="56"/>
  <c r="AW207" i="56" s="1"/>
  <c r="I207" i="56" s="1"/>
  <c r="BA207" i="56" s="1"/>
  <c r="BD207" i="56" s="1"/>
  <c r="AV10" i="56"/>
  <c r="AW10" i="56" s="1"/>
  <c r="I10" i="56" s="1"/>
  <c r="BA10" i="56" s="1"/>
  <c r="BD10" i="56" s="1"/>
  <c r="AV70" i="56"/>
  <c r="AW70" i="56" s="1"/>
  <c r="I70" i="56" s="1"/>
  <c r="BA70" i="56" s="1"/>
  <c r="BD70" i="56" s="1"/>
  <c r="AV187" i="56"/>
  <c r="AW187" i="56" s="1"/>
  <c r="I187" i="56" s="1"/>
  <c r="BA187" i="56" s="1"/>
  <c r="BD187" i="56" s="1"/>
  <c r="AV150" i="56"/>
  <c r="AW150" i="56" s="1"/>
  <c r="I150" i="56" s="1"/>
  <c r="BA150" i="56" s="1"/>
  <c r="BD150" i="56" s="1"/>
  <c r="AV28" i="56"/>
  <c r="AW28" i="56" s="1"/>
  <c r="I28" i="56" s="1"/>
  <c r="BA28" i="56" s="1"/>
  <c r="BD28" i="56" s="1"/>
  <c r="AV133" i="56"/>
  <c r="AW133" i="56" s="1"/>
  <c r="I133" i="56" s="1"/>
  <c r="BA133" i="56" s="1"/>
  <c r="BD133" i="56" s="1"/>
  <c r="AV123" i="56"/>
  <c r="AW123" i="56" s="1"/>
  <c r="I123" i="56" s="1"/>
  <c r="BA123" i="56" s="1"/>
  <c r="BD123" i="56" s="1"/>
  <c r="AV56" i="56"/>
  <c r="AW56" i="56" s="1"/>
  <c r="I56" i="56" s="1"/>
  <c r="BA56" i="56" s="1"/>
  <c r="BD56" i="56" s="1"/>
  <c r="AV37" i="56"/>
  <c r="AW37" i="56" s="1"/>
  <c r="I37" i="56" s="1"/>
  <c r="BA37" i="56" s="1"/>
  <c r="BD37" i="56" s="1"/>
  <c r="AV145" i="56"/>
  <c r="AW145" i="56" s="1"/>
  <c r="I145" i="56" s="1"/>
  <c r="BA145" i="56" s="1"/>
  <c r="BD145" i="56" s="1"/>
  <c r="AV184" i="56"/>
  <c r="AW184" i="56" s="1"/>
  <c r="I184" i="56" s="1"/>
  <c r="BA184" i="56" s="1"/>
  <c r="BD184" i="56" s="1"/>
  <c r="AV21" i="56"/>
  <c r="AW21" i="56" s="1"/>
  <c r="I21" i="56" s="1"/>
  <c r="BA21" i="56" s="1"/>
  <c r="BD21" i="56" s="1"/>
  <c r="AV158" i="56"/>
  <c r="AW158" i="56" s="1"/>
  <c r="I158" i="56" s="1"/>
  <c r="BA158" i="56" s="1"/>
  <c r="BD158" i="56" s="1"/>
  <c r="AV141" i="56"/>
  <c r="AW141" i="56" s="1"/>
  <c r="I141" i="56" s="1"/>
  <c r="BA141" i="56" s="1"/>
  <c r="BD141" i="56" s="1"/>
  <c r="AV189" i="56"/>
  <c r="AW189" i="56" s="1"/>
  <c r="I189" i="56" s="1"/>
  <c r="BA189" i="56" s="1"/>
  <c r="BD189" i="56" s="1"/>
  <c r="AV58" i="56"/>
  <c r="AW58" i="56" s="1"/>
  <c r="I58" i="56" s="1"/>
  <c r="BA58" i="56" s="1"/>
  <c r="BD58" i="56" s="1"/>
  <c r="AV169" i="56"/>
  <c r="AW169" i="56" s="1"/>
  <c r="I169" i="56" s="1"/>
  <c r="BA169" i="56" s="1"/>
  <c r="BD169" i="56" s="1"/>
  <c r="AV8" i="56"/>
  <c r="AW8" i="56" s="1"/>
  <c r="I8" i="56" s="1"/>
  <c r="BA8" i="56" s="1"/>
  <c r="BD8" i="56" s="1"/>
  <c r="AV69" i="56"/>
  <c r="AW69" i="56" s="1"/>
  <c r="I69" i="56" s="1"/>
  <c r="BA69" i="56" s="1"/>
  <c r="BD69" i="56" s="1"/>
  <c r="AV24" i="56"/>
  <c r="AW24" i="56" s="1"/>
  <c r="I24" i="56" s="1"/>
  <c r="BA24" i="56" s="1"/>
  <c r="BD24" i="56" s="1"/>
  <c r="AV193" i="56"/>
  <c r="AW193" i="56" s="1"/>
  <c r="I193" i="56" s="1"/>
  <c r="BA193" i="56" s="1"/>
  <c r="BD193" i="56" s="1"/>
  <c r="AV19" i="56"/>
  <c r="AW19" i="56" s="1"/>
  <c r="I19" i="56" s="1"/>
  <c r="BA19" i="56" s="1"/>
  <c r="BD19" i="56" s="1"/>
  <c r="AV181" i="56"/>
  <c r="AW181" i="56" s="1"/>
  <c r="I181" i="56" s="1"/>
  <c r="BA181" i="56" s="1"/>
  <c r="BD181" i="56" s="1"/>
  <c r="AV41" i="56"/>
  <c r="AW41" i="56" s="1"/>
  <c r="I41" i="56" s="1"/>
  <c r="BA41" i="56" s="1"/>
  <c r="BD41" i="56" s="1"/>
  <c r="AV26" i="56"/>
  <c r="AW26" i="56" s="1"/>
  <c r="I26" i="56" s="1"/>
  <c r="BA26" i="56" s="1"/>
  <c r="BD26" i="56" s="1"/>
  <c r="AV22" i="56"/>
  <c r="AW22" i="56" s="1"/>
  <c r="I22" i="56" s="1"/>
  <c r="BA22" i="56" s="1"/>
  <c r="BD22" i="56" s="1"/>
  <c r="AV74" i="56"/>
  <c r="AW74" i="56" s="1"/>
  <c r="I74" i="56" s="1"/>
  <c r="BA74" i="56" s="1"/>
  <c r="BD74" i="56" s="1"/>
  <c r="AV205" i="56"/>
  <c r="AW205" i="56" s="1"/>
  <c r="I205" i="56" s="1"/>
  <c r="BA205" i="56" s="1"/>
  <c r="BD205" i="56" s="1"/>
  <c r="AV18" i="56"/>
  <c r="AW18" i="56" s="1"/>
  <c r="I18" i="56" s="1"/>
  <c r="BA18" i="56" s="1"/>
  <c r="BD18" i="56" s="1"/>
  <c r="AV149" i="56"/>
  <c r="AW149" i="56" s="1"/>
  <c r="I149" i="56" s="1"/>
  <c r="BA149" i="56" s="1"/>
  <c r="BD149" i="56" s="1"/>
  <c r="AV190" i="56"/>
  <c r="AW190" i="56" s="1"/>
  <c r="I190" i="56" s="1"/>
  <c r="BA190" i="56" s="1"/>
  <c r="BD190" i="56" s="1"/>
  <c r="AV98" i="56"/>
  <c r="AW98" i="56" s="1"/>
  <c r="I98" i="56" s="1"/>
  <c r="BA98" i="56" s="1"/>
  <c r="BD98" i="56" s="1"/>
  <c r="AV9" i="56"/>
  <c r="AW9" i="56" s="1"/>
  <c r="I9" i="56" s="1"/>
  <c r="BA9" i="56" s="1"/>
  <c r="BD9" i="56" s="1"/>
  <c r="AV87" i="56"/>
  <c r="AW87" i="56" s="1"/>
  <c r="I87" i="56" s="1"/>
  <c r="BA87" i="56" s="1"/>
  <c r="BD87" i="56" s="1"/>
  <c r="AV146" i="56"/>
  <c r="AW146" i="56" s="1"/>
  <c r="I146" i="56" s="1"/>
  <c r="BA146" i="56" s="1"/>
  <c r="BD146" i="56" s="1"/>
  <c r="AV96" i="56"/>
  <c r="AW96" i="56" s="1"/>
  <c r="I96" i="56" s="1"/>
  <c r="BA96" i="56" s="1"/>
  <c r="BD96" i="56" s="1"/>
  <c r="AV35" i="56"/>
  <c r="AW35" i="56" s="1"/>
  <c r="I35" i="56" s="1"/>
  <c r="BA35" i="56" s="1"/>
  <c r="BD35" i="56" s="1"/>
  <c r="AV137" i="56"/>
  <c r="AW137" i="56" s="1"/>
  <c r="I137" i="56" s="1"/>
  <c r="BA137" i="56" s="1"/>
  <c r="BD137" i="56" s="1"/>
  <c r="AV206" i="56"/>
  <c r="AW206" i="56" s="1"/>
  <c r="I206" i="56" s="1"/>
  <c r="BA206" i="56" s="1"/>
  <c r="BD206" i="56" s="1"/>
  <c r="AV31" i="56"/>
  <c r="AW31" i="56" s="1"/>
  <c r="I31" i="56" s="1"/>
  <c r="BA31" i="56" s="1"/>
  <c r="BD31" i="56" s="1"/>
  <c r="AV57" i="56"/>
  <c r="AW57" i="56" s="1"/>
  <c r="I57" i="56" s="1"/>
  <c r="BA57" i="56" s="1"/>
  <c r="BD57" i="56" s="1"/>
  <c r="AV130" i="56"/>
  <c r="AW130" i="56" s="1"/>
  <c r="I130" i="56" s="1"/>
  <c r="BA130" i="56" s="1"/>
  <c r="BD130" i="56" s="1"/>
  <c r="AV65" i="56"/>
  <c r="AW65" i="56" s="1"/>
  <c r="I65" i="56" s="1"/>
  <c r="BA65" i="56" s="1"/>
  <c r="BD65" i="56" s="1"/>
  <c r="AV164" i="56"/>
  <c r="AW164" i="56" s="1"/>
  <c r="I164" i="56" s="1"/>
  <c r="BA164" i="56" s="1"/>
  <c r="BD164" i="56" s="1"/>
  <c r="AV115" i="56"/>
  <c r="AW115" i="56" s="1"/>
  <c r="I115" i="56" s="1"/>
  <c r="BA115" i="56" s="1"/>
  <c r="BD115" i="56" s="1"/>
  <c r="AV100" i="56"/>
  <c r="AW100" i="56" s="1"/>
  <c r="I100" i="56" s="1"/>
  <c r="BA100" i="56" s="1"/>
  <c r="BD100" i="56" s="1"/>
  <c r="AV204" i="56"/>
  <c r="AW204" i="56" s="1"/>
  <c r="I204" i="56" s="1"/>
  <c r="BA204" i="56" s="1"/>
  <c r="BD204" i="56" s="1"/>
  <c r="AV131" i="56"/>
  <c r="AW131" i="56" s="1"/>
  <c r="I131" i="56" s="1"/>
  <c r="BA131" i="56" s="1"/>
  <c r="BD131" i="56" s="1"/>
  <c r="AV95" i="56"/>
  <c r="AW95" i="56" s="1"/>
  <c r="I95" i="56" s="1"/>
  <c r="BA95" i="56" s="1"/>
  <c r="BD95" i="56" s="1"/>
  <c r="AV53" i="56"/>
  <c r="AW53" i="56" s="1"/>
  <c r="I53" i="56" s="1"/>
  <c r="BA53" i="56" s="1"/>
  <c r="BD53" i="56" s="1"/>
  <c r="AV168" i="56"/>
  <c r="AW168" i="56" s="1"/>
  <c r="I168" i="56" s="1"/>
  <c r="BA168" i="56" s="1"/>
  <c r="BD168" i="56" s="1"/>
  <c r="AV140" i="56"/>
  <c r="AW140" i="56" s="1"/>
  <c r="I140" i="56" s="1"/>
  <c r="BA140" i="56" s="1"/>
  <c r="BD140" i="56" s="1"/>
  <c r="AV78" i="56"/>
  <c r="AW78" i="56" s="1"/>
  <c r="I78" i="56" s="1"/>
  <c r="BA78" i="56" s="1"/>
  <c r="BD78" i="56" s="1"/>
  <c r="AV162" i="56"/>
  <c r="AW162" i="56" s="1"/>
  <c r="I162" i="56" s="1"/>
  <c r="BA162" i="56" s="1"/>
  <c r="BD162" i="56" s="1"/>
  <c r="AV108" i="56"/>
  <c r="AW108" i="56" s="1"/>
  <c r="I108" i="56" s="1"/>
  <c r="BA108" i="56" s="1"/>
  <c r="BD108" i="56" s="1"/>
  <c r="AV173" i="56"/>
  <c r="AW173" i="56" s="1"/>
  <c r="I173" i="56" s="1"/>
  <c r="BA173" i="56" s="1"/>
  <c r="BD173" i="56" s="1"/>
  <c r="AV176" i="56"/>
  <c r="AW176" i="56" s="1"/>
  <c r="I176" i="56" s="1"/>
  <c r="BA176" i="56" s="1"/>
  <c r="BD176" i="56" s="1"/>
  <c r="AV29" i="56"/>
  <c r="AW29" i="56" s="1"/>
  <c r="I29" i="56" s="1"/>
  <c r="BA29" i="56" s="1"/>
  <c r="BD29" i="56" s="1"/>
  <c r="AV105" i="56"/>
  <c r="AW105" i="56" s="1"/>
  <c r="I105" i="56" s="1"/>
  <c r="BA105" i="56" s="1"/>
  <c r="BD105" i="56" s="1"/>
  <c r="AV135" i="56"/>
  <c r="AW135" i="56" s="1"/>
  <c r="I135" i="56" s="1"/>
  <c r="BA135" i="56" s="1"/>
  <c r="BD135" i="56" s="1"/>
  <c r="AV68" i="56"/>
  <c r="AW68" i="56" s="1"/>
  <c r="I68" i="56" s="1"/>
  <c r="BA68" i="56" s="1"/>
  <c r="BD68" i="56" s="1"/>
  <c r="AV20" i="56"/>
  <c r="AW20" i="56" s="1"/>
  <c r="I20" i="56" s="1"/>
  <c r="BA20" i="56" s="1"/>
  <c r="BD20" i="56" s="1"/>
  <c r="AV77" i="56"/>
  <c r="AW77" i="56" s="1"/>
  <c r="I77" i="56" s="1"/>
  <c r="BA77" i="56" s="1"/>
  <c r="BD77" i="56" s="1"/>
  <c r="AV79" i="56"/>
  <c r="AW79" i="56" s="1"/>
  <c r="I79" i="56" s="1"/>
  <c r="BA79" i="56" s="1"/>
  <c r="BD79" i="56" s="1"/>
  <c r="AV109" i="56"/>
  <c r="AW109" i="56" s="1"/>
  <c r="I109" i="56" s="1"/>
  <c r="BA109" i="56" s="1"/>
  <c r="BD109" i="56" s="1"/>
  <c r="AV160" i="56"/>
  <c r="AW160" i="56" s="1"/>
  <c r="I160" i="56" s="1"/>
  <c r="BA160" i="56" s="1"/>
  <c r="BD160" i="56" s="1"/>
  <c r="AV114" i="56"/>
  <c r="AW114" i="56" s="1"/>
  <c r="I114" i="56" s="1"/>
  <c r="BA114" i="56" s="1"/>
  <c r="BD114" i="56" s="1"/>
  <c r="AV5" i="56"/>
  <c r="AW5" i="56" s="1"/>
  <c r="I5" i="56" s="1"/>
  <c r="BA5" i="56" s="1"/>
  <c r="BD5" i="56" s="1"/>
  <c r="AV163" i="56"/>
  <c r="AW163" i="56" s="1"/>
  <c r="I163" i="56" s="1"/>
  <c r="BA163" i="56" s="1"/>
  <c r="BD163" i="56" s="1"/>
  <c r="K169" i="56" l="1"/>
  <c r="M169" i="56" s="1"/>
  <c r="BC169" i="56" s="1"/>
  <c r="K102" i="56"/>
  <c r="M102" i="56" s="1"/>
  <c r="BC102" i="56" s="1"/>
  <c r="K186" i="56"/>
  <c r="M186" i="56" s="1"/>
  <c r="BC186" i="56" s="1"/>
  <c r="K91" i="56"/>
  <c r="M91" i="56" s="1"/>
  <c r="BC91" i="56" s="1"/>
  <c r="K68" i="56"/>
  <c r="M68" i="56" s="1"/>
  <c r="BC68" i="56" s="1"/>
  <c r="K78" i="56"/>
  <c r="M78" i="56" s="1"/>
  <c r="BC78" i="56" s="1"/>
  <c r="K74" i="56"/>
  <c r="M74" i="56" s="1"/>
  <c r="BC74" i="56" s="1"/>
  <c r="K207" i="56"/>
  <c r="M207" i="56" s="1"/>
  <c r="BC207" i="56" s="1"/>
  <c r="K147" i="56"/>
  <c r="M147" i="56" s="1"/>
  <c r="BC147" i="56" s="1"/>
  <c r="K118" i="56"/>
  <c r="M118" i="56" s="1"/>
  <c r="BC118" i="56" s="1"/>
  <c r="K160" i="56"/>
  <c r="M160" i="56" s="1"/>
  <c r="BC160" i="56" s="1"/>
  <c r="K65" i="56"/>
  <c r="M65" i="56" s="1"/>
  <c r="BC65" i="56" s="1"/>
  <c r="K137" i="56"/>
  <c r="M137" i="56" s="1"/>
  <c r="BC137" i="56" s="1"/>
  <c r="K190" i="56"/>
  <c r="M190" i="56" s="1"/>
  <c r="BC190" i="56" s="1"/>
  <c r="K123" i="56"/>
  <c r="M123" i="56" s="1"/>
  <c r="BC123" i="56" s="1"/>
  <c r="K150" i="56"/>
  <c r="M150" i="56" s="1"/>
  <c r="BC150" i="56" s="1"/>
  <c r="K109" i="56"/>
  <c r="M109" i="56" s="1"/>
  <c r="BC109" i="56" s="1"/>
  <c r="K176" i="56"/>
  <c r="M176" i="56" s="1"/>
  <c r="BC176" i="56" s="1"/>
  <c r="K135" i="56"/>
  <c r="M135" i="56" s="1"/>
  <c r="BC135" i="56" s="1"/>
  <c r="K95" i="56"/>
  <c r="M95" i="56" s="1"/>
  <c r="BC95" i="56" s="1"/>
  <c r="K100" i="56"/>
  <c r="M100" i="56" s="1"/>
  <c r="BC100" i="56" s="1"/>
  <c r="K87" i="56"/>
  <c r="M87" i="56" s="1"/>
  <c r="BC87" i="56" s="1"/>
  <c r="K41" i="56"/>
  <c r="M41" i="56" s="1"/>
  <c r="BC41" i="56" s="1"/>
  <c r="K193" i="56"/>
  <c r="M193" i="56" s="1"/>
  <c r="BC193" i="56" s="1"/>
  <c r="K35" i="56"/>
  <c r="M35" i="56" s="1"/>
  <c r="BC35" i="56" s="1"/>
  <c r="K149" i="56"/>
  <c r="M149" i="56" s="1"/>
  <c r="BC149" i="56" s="1"/>
  <c r="K141" i="56"/>
  <c r="M141" i="56" s="1"/>
  <c r="BC141" i="56" s="1"/>
  <c r="K145" i="56"/>
  <c r="M145" i="56" s="1"/>
  <c r="BC145" i="56" s="1"/>
  <c r="K114" i="56"/>
  <c r="M114" i="56" s="1"/>
  <c r="BC114" i="56" s="1"/>
  <c r="K130" i="56"/>
  <c r="M130" i="56" s="1"/>
  <c r="BC130" i="56" s="1"/>
  <c r="K22" i="56"/>
  <c r="M22" i="56" s="1"/>
  <c r="BC22" i="56" s="1"/>
  <c r="K133" i="56"/>
  <c r="M133" i="56" s="1"/>
  <c r="BC133" i="56" s="1"/>
  <c r="K187" i="56"/>
  <c r="M187" i="56" s="1"/>
  <c r="BC187" i="56" s="1"/>
  <c r="K116" i="56"/>
  <c r="M116" i="56" s="1"/>
  <c r="BC116" i="56" s="1"/>
  <c r="K81" i="56"/>
  <c r="M81" i="56" s="1"/>
  <c r="BC81" i="56" s="1"/>
  <c r="K140" i="56"/>
  <c r="M140" i="56" s="1"/>
  <c r="BC140" i="56" s="1"/>
  <c r="K185" i="56"/>
  <c r="M185" i="56" s="1"/>
  <c r="BC185" i="56" s="1"/>
  <c r="K83" i="56"/>
  <c r="M83" i="56" s="1"/>
  <c r="BC83" i="56" s="1"/>
  <c r="K105" i="56"/>
  <c r="M105" i="56" s="1"/>
  <c r="BC105" i="56" s="1"/>
  <c r="K173" i="56"/>
  <c r="M173" i="56" s="1"/>
  <c r="BC173" i="56" s="1"/>
  <c r="K77" i="56"/>
  <c r="M77" i="56" s="1"/>
  <c r="BC77" i="56" s="1"/>
  <c r="K57" i="56"/>
  <c r="M57" i="56" s="1"/>
  <c r="BC57" i="56" s="1"/>
  <c r="K96" i="56"/>
  <c r="M96" i="56" s="1"/>
  <c r="BC96" i="56" s="1"/>
  <c r="K9" i="56"/>
  <c r="M9" i="56" s="1"/>
  <c r="BC9" i="56" s="1"/>
  <c r="K18" i="56"/>
  <c r="M18" i="56" s="1"/>
  <c r="BC18" i="56" s="1"/>
  <c r="K181" i="56"/>
  <c r="M181" i="56" s="1"/>
  <c r="BC181" i="56" s="1"/>
  <c r="K24" i="56"/>
  <c r="M24" i="56" s="1"/>
  <c r="BC24" i="56" s="1"/>
  <c r="K58" i="56"/>
  <c r="M58" i="56" s="1"/>
  <c r="BC58" i="56" s="1"/>
  <c r="K158" i="56"/>
  <c r="M158" i="56" s="1"/>
  <c r="BC158" i="56" s="1"/>
  <c r="K61" i="56"/>
  <c r="M61" i="56" s="1"/>
  <c r="BC61" i="56" s="1"/>
  <c r="K131" i="56"/>
  <c r="M131" i="56" s="1"/>
  <c r="BC131" i="56" s="1"/>
  <c r="K37" i="56"/>
  <c r="M37" i="56" s="1"/>
  <c r="BC37" i="56" s="1"/>
  <c r="K70" i="56"/>
  <c r="M70" i="56" s="1"/>
  <c r="BC70" i="56" s="1"/>
  <c r="K108" i="56"/>
  <c r="M108" i="56" s="1"/>
  <c r="BC108" i="56" s="1"/>
  <c r="K31" i="56"/>
  <c r="M31" i="56" s="1"/>
  <c r="BC31" i="56" s="1"/>
  <c r="K69" i="56"/>
  <c r="M69" i="56" s="1"/>
  <c r="BC69" i="56" s="1"/>
  <c r="K82" i="56"/>
  <c r="M82" i="56" s="1"/>
  <c r="BC82" i="56" s="1"/>
  <c r="K111" i="56"/>
  <c r="M111" i="56" s="1"/>
  <c r="BC111" i="56" s="1"/>
  <c r="K194" i="56"/>
  <c r="M194" i="56" s="1"/>
  <c r="BC194" i="56" s="1"/>
  <c r="K104" i="56"/>
  <c r="M104" i="56" s="1"/>
  <c r="BC104" i="56" s="1"/>
  <c r="K20" i="56"/>
  <c r="M20" i="56" s="1"/>
  <c r="BC20" i="56" s="1"/>
  <c r="K26" i="56"/>
  <c r="M26" i="56" s="1"/>
  <c r="BC26" i="56" s="1"/>
  <c r="K19" i="56"/>
  <c r="M19" i="56" s="1"/>
  <c r="BC19" i="56" s="1"/>
  <c r="K21" i="56"/>
  <c r="M21" i="56" s="1"/>
  <c r="BC21" i="56" s="1"/>
  <c r="K28" i="56"/>
  <c r="M28" i="56" s="1"/>
  <c r="BC28" i="56" s="1"/>
  <c r="K10" i="56"/>
  <c r="M10" i="56" s="1"/>
  <c r="BC10" i="56" s="1"/>
  <c r="K129" i="56"/>
  <c r="M129" i="56" s="1"/>
  <c r="BC129" i="56" s="1"/>
  <c r="K162" i="56"/>
  <c r="M162" i="56" s="1"/>
  <c r="BC162" i="56" s="1"/>
  <c r="K164" i="56"/>
  <c r="M164" i="56" s="1"/>
  <c r="BC164" i="56" s="1"/>
  <c r="K205" i="56"/>
  <c r="M205" i="56" s="1"/>
  <c r="BC205" i="56" s="1"/>
  <c r="K56" i="56"/>
  <c r="M56" i="56" s="1"/>
  <c r="BC56" i="56" s="1"/>
  <c r="K11" i="56"/>
  <c r="M11" i="56" s="1"/>
  <c r="BC11" i="56" s="1"/>
  <c r="K163" i="56"/>
  <c r="M163" i="56" s="1"/>
  <c r="BC163" i="56" s="1"/>
  <c r="K168" i="56"/>
  <c r="M168" i="56" s="1"/>
  <c r="BC168" i="56" s="1"/>
  <c r="K5" i="56"/>
  <c r="M5" i="56" s="1"/>
  <c r="BC5" i="56" s="1"/>
  <c r="K206" i="56"/>
  <c r="M206" i="56" s="1"/>
  <c r="BC206" i="56" s="1"/>
  <c r="K146" i="56"/>
  <c r="M146" i="56" s="1"/>
  <c r="BC146" i="56" s="1"/>
  <c r="K98" i="56"/>
  <c r="M98" i="56" s="1"/>
  <c r="BC98" i="56" s="1"/>
  <c r="K53" i="56"/>
  <c r="M53" i="56" s="1"/>
  <c r="BC53" i="56" s="1"/>
  <c r="K204" i="56"/>
  <c r="M204" i="56" s="1"/>
  <c r="BC204" i="56" s="1"/>
  <c r="K8" i="56"/>
  <c r="M8" i="56" s="1"/>
  <c r="BC8" i="56" s="1"/>
  <c r="K189" i="56"/>
  <c r="M189" i="56" s="1"/>
  <c r="BC189" i="56" s="1"/>
  <c r="K184" i="56"/>
  <c r="M184" i="56" s="1"/>
  <c r="BC184" i="56" s="1"/>
  <c r="K30" i="56"/>
  <c r="M30" i="56" s="1"/>
  <c r="BC30" i="56" s="1"/>
  <c r="K86" i="56"/>
  <c r="M86" i="56" s="1"/>
  <c r="BC86" i="56" s="1"/>
  <c r="K39" i="56"/>
  <c r="M39" i="56" s="1"/>
  <c r="BC39" i="56" s="1"/>
  <c r="K161" i="56"/>
  <c r="M161" i="56" s="1"/>
  <c r="BC161" i="56" s="1"/>
  <c r="K103" i="56"/>
  <c r="M103" i="56" s="1"/>
  <c r="BC103" i="56" s="1"/>
  <c r="K45" i="56"/>
  <c r="M45" i="56" s="1"/>
  <c r="BC45" i="56" s="1"/>
  <c r="K177" i="56"/>
  <c r="M177" i="56" s="1"/>
  <c r="BC177" i="56" s="1"/>
  <c r="K128" i="56"/>
  <c r="M128" i="56" s="1"/>
  <c r="BC128" i="56" s="1"/>
  <c r="K47" i="56"/>
  <c r="M47" i="56" s="1"/>
  <c r="BC47" i="56" s="1"/>
  <c r="K153" i="56"/>
  <c r="M153" i="56" s="1"/>
  <c r="BC153" i="56" s="1"/>
  <c r="K79" i="56"/>
  <c r="M79" i="56" s="1"/>
  <c r="BC79" i="56" s="1"/>
  <c r="K106" i="56"/>
  <c r="M106" i="56" s="1"/>
  <c r="BC106" i="56" s="1"/>
  <c r="K52" i="56"/>
  <c r="M52" i="56" s="1"/>
  <c r="BC52" i="56" s="1"/>
  <c r="K174" i="56"/>
  <c r="M174" i="56" s="1"/>
  <c r="BC174" i="56" s="1"/>
  <c r="K51" i="56"/>
  <c r="M51" i="56" s="1"/>
  <c r="BC51" i="56" s="1"/>
  <c r="K67" i="56"/>
  <c r="M67" i="56" s="1"/>
  <c r="BC67" i="56" s="1"/>
  <c r="K50" i="56"/>
  <c r="M50" i="56" s="1"/>
  <c r="BC50" i="56" s="1"/>
  <c r="K165" i="56"/>
  <c r="M165" i="56" s="1"/>
  <c r="BC165" i="56" s="1"/>
  <c r="K15" i="56"/>
  <c r="M15" i="56" s="1"/>
  <c r="BC15" i="56" s="1"/>
  <c r="K166" i="56"/>
  <c r="M166" i="56" s="1"/>
  <c r="BC166" i="56" s="1"/>
  <c r="K154" i="56"/>
  <c r="M154" i="56" s="1"/>
  <c r="BC154" i="56" s="1"/>
  <c r="K7" i="56"/>
  <c r="M7" i="56" s="1"/>
  <c r="BC7" i="56" s="1"/>
  <c r="K40" i="56"/>
  <c r="M40" i="56" s="1"/>
  <c r="BC40" i="56" s="1"/>
  <c r="K49" i="56"/>
  <c r="M49" i="56" s="1"/>
  <c r="BC49" i="56" s="1"/>
  <c r="K170" i="56"/>
  <c r="M170" i="56" s="1"/>
  <c r="BC170" i="56" s="1"/>
  <c r="K143" i="56"/>
  <c r="M143" i="56" s="1"/>
  <c r="BC143" i="56" s="1"/>
  <c r="K85" i="56"/>
  <c r="M85" i="56" s="1"/>
  <c r="BC85" i="56" s="1"/>
  <c r="K200" i="56"/>
  <c r="M200" i="56" s="1"/>
  <c r="BC200" i="56" s="1"/>
  <c r="K84" i="56"/>
  <c r="M84" i="56" s="1"/>
  <c r="BC84" i="56" s="1"/>
  <c r="K202" i="56"/>
  <c r="M202" i="56" s="1"/>
  <c r="BC202" i="56" s="1"/>
  <c r="K90" i="56"/>
  <c r="M90" i="56" s="1"/>
  <c r="BC90" i="56" s="1"/>
  <c r="K92" i="56"/>
  <c r="M92" i="56" s="1"/>
  <c r="BC92" i="56" s="1"/>
  <c r="K191" i="56"/>
  <c r="M191" i="56" s="1"/>
  <c r="BC191" i="56" s="1"/>
  <c r="K155" i="56"/>
  <c r="M155" i="56" s="1"/>
  <c r="BC155" i="56" s="1"/>
  <c r="K167" i="56"/>
  <c r="M167" i="56" s="1"/>
  <c r="BC167" i="56" s="1"/>
  <c r="K152" i="56"/>
  <c r="M152" i="56" s="1"/>
  <c r="BC152" i="56" s="1"/>
  <c r="K13" i="56"/>
  <c r="M13" i="56" s="1"/>
  <c r="BC13" i="56" s="1"/>
  <c r="K127" i="56"/>
  <c r="M127" i="56" s="1"/>
  <c r="BC127" i="56" s="1"/>
  <c r="K172" i="56"/>
  <c r="M172" i="56" s="1"/>
  <c r="BC172" i="56" s="1"/>
  <c r="K197" i="56"/>
  <c r="M197" i="56" s="1"/>
  <c r="BC197" i="56" s="1"/>
  <c r="K29" i="56"/>
  <c r="M29" i="56" s="1"/>
  <c r="BC29" i="56" s="1"/>
  <c r="K115" i="56"/>
  <c r="M115" i="56" s="1"/>
  <c r="BC115" i="56" s="1"/>
  <c r="K60" i="56"/>
  <c r="M60" i="56" s="1"/>
  <c r="BC60" i="56" s="1"/>
  <c r="K148" i="56"/>
  <c r="M148" i="56" s="1"/>
  <c r="BC148" i="56" s="1"/>
  <c r="K142" i="56"/>
  <c r="M142" i="56" s="1"/>
  <c r="BC142" i="56" s="1"/>
  <c r="K138" i="56"/>
  <c r="M138" i="56" s="1"/>
  <c r="BC138" i="56" s="1"/>
  <c r="M3" i="56"/>
  <c r="BC3" i="56" s="1"/>
  <c r="K117" i="56"/>
  <c r="M117" i="56" s="1"/>
  <c r="BC117" i="56" s="1"/>
  <c r="K17" i="56"/>
  <c r="M17" i="56" s="1"/>
  <c r="BC17" i="56" s="1"/>
  <c r="K14" i="56"/>
  <c r="M14" i="56" s="1"/>
  <c r="BC14" i="56" s="1"/>
  <c r="K203" i="56"/>
  <c r="M203" i="56" s="1"/>
  <c r="BC203" i="56" s="1"/>
  <c r="K125" i="56"/>
  <c r="M125" i="56" s="1"/>
  <c r="BC125" i="56" s="1"/>
  <c r="K46" i="56"/>
  <c r="M46" i="56" s="1"/>
  <c r="BC46" i="56" s="1"/>
  <c r="K195" i="56"/>
  <c r="M195" i="56" s="1"/>
  <c r="BC195" i="56" s="1"/>
  <c r="K159" i="56"/>
  <c r="M159" i="56" s="1"/>
  <c r="BC159" i="56" s="1"/>
  <c r="K199" i="56"/>
  <c r="M199" i="56" s="1"/>
  <c r="BC199" i="56" s="1"/>
  <c r="K144" i="56"/>
  <c r="M144" i="56" s="1"/>
  <c r="BC144" i="56" s="1"/>
  <c r="K151" i="56"/>
  <c r="M151" i="56" s="1"/>
  <c r="BC151" i="56" s="1"/>
  <c r="K171" i="56"/>
  <c r="M171" i="56" s="1"/>
  <c r="BC171" i="56" s="1"/>
  <c r="K110" i="56"/>
  <c r="M110" i="56" s="1"/>
  <c r="BC110" i="56" s="1"/>
  <c r="K48" i="56"/>
  <c r="M48" i="56" s="1"/>
  <c r="BC48" i="56" s="1"/>
  <c r="K54" i="56"/>
  <c r="M54" i="56" s="1"/>
  <c r="BC54" i="56" s="1"/>
  <c r="K88" i="56"/>
  <c r="M88" i="56" s="1"/>
  <c r="BC88" i="56" s="1"/>
  <c r="K101" i="56"/>
  <c r="M101" i="56" s="1"/>
  <c r="BC101" i="56" s="1"/>
  <c r="K32" i="56"/>
  <c r="M32" i="56" s="1"/>
  <c r="BC32" i="56" s="1"/>
  <c r="K107" i="56"/>
  <c r="M107" i="56" s="1"/>
  <c r="BC107" i="56" s="1"/>
  <c r="K6" i="56"/>
  <c r="M6" i="56" s="1"/>
  <c r="BC6" i="56" s="1"/>
  <c r="K63" i="56"/>
  <c r="M63" i="56" s="1"/>
  <c r="BC63" i="56" s="1"/>
  <c r="K157" i="56"/>
  <c r="M157" i="56" s="1"/>
  <c r="BC157" i="56" s="1"/>
  <c r="K119" i="56"/>
  <c r="M119" i="56" s="1"/>
  <c r="BC119" i="56" s="1"/>
  <c r="K4" i="56"/>
  <c r="M4" i="56" s="1"/>
  <c r="BC4" i="56" s="1"/>
  <c r="K44" i="56"/>
  <c r="M44" i="56" s="1"/>
  <c r="BC44" i="56" s="1"/>
  <c r="K192" i="56"/>
  <c r="M192" i="56" s="1"/>
  <c r="BC192" i="56" s="1"/>
  <c r="K124" i="56"/>
  <c r="M124" i="56" s="1"/>
  <c r="BC124" i="56" s="1"/>
  <c r="K113" i="56"/>
  <c r="M113" i="56" s="1"/>
  <c r="BC113" i="56" s="1"/>
  <c r="K99" i="56"/>
  <c r="M99" i="56" s="1"/>
  <c r="BC99" i="56" s="1"/>
  <c r="K55" i="56"/>
  <c r="M55" i="56" s="1"/>
  <c r="BC55" i="56" s="1"/>
  <c r="K38" i="56"/>
  <c r="M38" i="56" s="1"/>
  <c r="BC38" i="56" s="1"/>
  <c r="K23" i="56"/>
  <c r="M23" i="56" s="1"/>
  <c r="BC23" i="56" s="1"/>
  <c r="K76" i="56"/>
  <c r="M76" i="56" s="1"/>
  <c r="BC76" i="56" s="1"/>
  <c r="K89" i="56"/>
  <c r="M89" i="56" s="1"/>
  <c r="BC89" i="56" s="1"/>
  <c r="K33" i="56"/>
  <c r="M33" i="56" s="1"/>
  <c r="BC33" i="56" s="1"/>
  <c r="K178" i="56"/>
  <c r="M178" i="56" s="1"/>
  <c r="BC178" i="56" s="1"/>
  <c r="K64" i="56"/>
  <c r="M64" i="56" s="1"/>
  <c r="BC64" i="56" s="1"/>
  <c r="K93" i="56"/>
  <c r="M93" i="56" s="1"/>
  <c r="BC93" i="56" s="1"/>
  <c r="K59" i="56"/>
  <c r="M59" i="56" s="1"/>
  <c r="BC59" i="56" s="1"/>
  <c r="K201" i="56"/>
  <c r="M201" i="56" s="1"/>
  <c r="BC201" i="56" s="1"/>
  <c r="K75" i="56"/>
  <c r="M75" i="56" s="1"/>
  <c r="BC75" i="56" s="1"/>
  <c r="K136" i="56"/>
  <c r="M136" i="56" s="1"/>
  <c r="BC136" i="56" s="1"/>
  <c r="K12" i="56"/>
  <c r="M12" i="56" s="1"/>
  <c r="BC12" i="56" s="1"/>
  <c r="K139" i="56"/>
  <c r="M139" i="56" s="1"/>
  <c r="BC139" i="56" s="1"/>
  <c r="K196" i="56"/>
  <c r="M196" i="56" s="1"/>
  <c r="BC196" i="56" s="1"/>
  <c r="K121" i="56"/>
  <c r="M121" i="56" s="1"/>
  <c r="BC121" i="56" s="1"/>
  <c r="K179" i="56"/>
  <c r="M179" i="56" s="1"/>
  <c r="BC179" i="56" s="1"/>
  <c r="K188" i="56"/>
  <c r="M188" i="56" s="1"/>
  <c r="BC188" i="56" s="1"/>
  <c r="K25" i="56"/>
  <c r="M25" i="56" s="1"/>
  <c r="BC25" i="56" s="1"/>
  <c r="K94" i="56"/>
  <c r="M94" i="56" s="1"/>
  <c r="BC94" i="56" s="1"/>
  <c r="K112" i="56"/>
  <c r="M112" i="56" s="1"/>
  <c r="BC112" i="56" s="1"/>
  <c r="K36" i="56"/>
  <c r="M36" i="56" s="1"/>
  <c r="BC36" i="56" s="1"/>
  <c r="K43" i="56"/>
  <c r="M43" i="56" s="1"/>
  <c r="BC43" i="56" s="1"/>
  <c r="K73" i="56"/>
  <c r="M73" i="56" s="1"/>
  <c r="BC73" i="56" s="1"/>
  <c r="K122" i="56"/>
  <c r="M122" i="56" s="1"/>
  <c r="BC122" i="56" s="1"/>
  <c r="K27" i="56"/>
  <c r="M27" i="56" s="1"/>
  <c r="BC27" i="56" s="1"/>
  <c r="K80" i="56"/>
  <c r="M80" i="56" s="1"/>
  <c r="BC80" i="56" s="1"/>
  <c r="K156" i="56"/>
  <c r="M156" i="56" s="1"/>
  <c r="BC156" i="56" s="1"/>
  <c r="K42" i="56"/>
  <c r="M42" i="56" s="1"/>
  <c r="BC42" i="56" s="1"/>
  <c r="K180" i="56"/>
  <c r="M180" i="56" s="1"/>
  <c r="BC180" i="56" s="1"/>
  <c r="K34" i="56"/>
  <c r="M34" i="56" s="1"/>
  <c r="BC34" i="56" s="1"/>
  <c r="K71" i="56"/>
  <c r="M71" i="56" s="1"/>
  <c r="BC71" i="56" s="1"/>
  <c r="K120" i="56"/>
  <c r="M120" i="56" s="1"/>
  <c r="BC120" i="56" s="1"/>
  <c r="K72" i="56"/>
  <c r="M72" i="56" s="1"/>
  <c r="BC72" i="56" s="1"/>
  <c r="K16" i="56"/>
  <c r="M16" i="56" s="1"/>
  <c r="BC16" i="56" s="1"/>
  <c r="K66" i="56"/>
  <c r="M66" i="56" s="1"/>
  <c r="BC66" i="56" s="1"/>
  <c r="K182" i="56"/>
  <c r="M182" i="56" s="1"/>
  <c r="BC182" i="56" s="1"/>
  <c r="K126" i="56"/>
  <c r="M126" i="56" s="1"/>
  <c r="BC126" i="56" s="1"/>
  <c r="K183" i="56"/>
  <c r="M183" i="56" s="1"/>
  <c r="BC183" i="56" s="1"/>
  <c r="K175" i="56"/>
  <c r="M175" i="56" s="1"/>
  <c r="BC175" i="56" s="1"/>
  <c r="K97" i="56"/>
  <c r="M97" i="56" s="1"/>
  <c r="BC97" i="56" s="1"/>
  <c r="K62" i="56"/>
  <c r="M62" i="56" s="1"/>
  <c r="BC62" i="56" s="1"/>
  <c r="K134" i="56"/>
  <c r="M134" i="56" s="1"/>
  <c r="BC134" i="56" s="1"/>
  <c r="K198" i="56"/>
  <c r="M198" i="56" s="1"/>
  <c r="BC198" i="5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Jett King</author>
  </authors>
  <commentList>
    <comment ref="CH49" authorId="0" shapeId="0" xr:uid="{C38F0BF6-F276-47FD-BD70-5DC24E5C67E7}">
      <text>
        <r>
          <rPr>
            <b/>
            <sz val="9"/>
            <color indexed="81"/>
            <rFont val="Tahoma"/>
            <family val="2"/>
          </rPr>
          <t>Jett King:</t>
        </r>
        <r>
          <rPr>
            <sz val="9"/>
            <color indexed="81"/>
            <rFont val="Tahoma"/>
            <family val="2"/>
          </rPr>
          <t xml:space="preserve">
new replacment facility, updated RE tax for 4/1 rate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Jett King</author>
  </authors>
  <commentList>
    <comment ref="G6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Jett King:</t>
        </r>
        <r>
          <rPr>
            <sz val="9"/>
            <color indexed="81"/>
            <rFont val="Tahoma"/>
            <family val="2"/>
          </rPr>
          <t xml:space="preserve">
3/17/2024 Updated from 107 beds to 131 beds based on MDH approval of facility request. Carry forward into FY 2025 rates.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Jett King</author>
  </authors>
  <commentList>
    <comment ref="F166" authorId="0" shapeId="0" xr:uid="{C601C03C-EBBD-4FFF-B4C3-A6D7C469618C}">
      <text>
        <r>
          <rPr>
            <b/>
            <sz val="9"/>
            <color indexed="81"/>
            <rFont val="Tahoma"/>
            <family val="2"/>
          </rPr>
          <t>Jett King:</t>
        </r>
        <r>
          <rPr>
            <sz val="9"/>
            <color indexed="81"/>
            <rFont val="Tahoma"/>
            <family val="2"/>
          </rPr>
          <t xml:space="preserve">
The default CMI of 3.84 is being used</t>
        </r>
      </text>
    </comment>
    <comment ref="F203" authorId="0" shapeId="0" xr:uid="{76ED71B5-03E6-49B0-8F5F-A10A3E643039}">
      <text>
        <r>
          <rPr>
            <b/>
            <sz val="9"/>
            <color indexed="81"/>
            <rFont val="Tahoma"/>
            <family val="2"/>
          </rPr>
          <t>Jett King:</t>
        </r>
        <r>
          <rPr>
            <sz val="9"/>
            <color indexed="81"/>
            <rFont val="Tahoma"/>
            <family val="2"/>
          </rPr>
          <t xml:space="preserve">
The default CMI of 3.84 is being used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<sst xmlns="http://schemas.openxmlformats.org/spreadsheetml/2006/main" count="7016" uniqueCount="1930">
  <si>
    <t>407335500</t>
  </si>
  <si>
    <t>407404100</t>
  </si>
  <si>
    <t>407599400</t>
  </si>
  <si>
    <t>407902700</t>
  </si>
  <si>
    <t>411115000</t>
  </si>
  <si>
    <t>411117600</t>
  </si>
  <si>
    <t>411659300</t>
  </si>
  <si>
    <t>413677200</t>
  </si>
  <si>
    <t>414068100</t>
  </si>
  <si>
    <t>414424400</t>
  </si>
  <si>
    <t>414425200</t>
  </si>
  <si>
    <t>414426100</t>
  </si>
  <si>
    <t>414427900</t>
  </si>
  <si>
    <t>414428700</t>
  </si>
  <si>
    <t>414429500</t>
  </si>
  <si>
    <t>414431700</t>
  </si>
  <si>
    <t>418760100</t>
  </si>
  <si>
    <t>419276100</t>
  </si>
  <si>
    <t>695502900</t>
  </si>
  <si>
    <t>818989700</t>
  </si>
  <si>
    <t>842825500</t>
  </si>
  <si>
    <t>852125500</t>
  </si>
  <si>
    <t>960200300</t>
  </si>
  <si>
    <t>Baltimore Metro</t>
  </si>
  <si>
    <t>ProvName</t>
  </si>
  <si>
    <t>BeginDate</t>
  </si>
  <si>
    <t>EndDate</t>
  </si>
  <si>
    <t>Building</t>
  </si>
  <si>
    <t>Equipment</t>
  </si>
  <si>
    <t>NON METRO</t>
  </si>
  <si>
    <t>Appraisal Effective Date</t>
  </si>
  <si>
    <t>Land Per Bed</t>
  </si>
  <si>
    <t>Total Appraised Value - Comp.</t>
  </si>
  <si>
    <t>Rental Factor</t>
  </si>
  <si>
    <t>Days Used In Division</t>
  </si>
  <si>
    <t>Depreciated Value Per Bed</t>
  </si>
  <si>
    <t>X</t>
  </si>
  <si>
    <t>Lorien Nursing &amp; Rehabilitation Center - Columbia</t>
  </si>
  <si>
    <t>Levindale Hebrew Geriatric Center &amp; Hospital, Inc.</t>
  </si>
  <si>
    <t>FutureCare - Pineview</t>
  </si>
  <si>
    <t>Lorien Mt. Airy</t>
  </si>
  <si>
    <t>FutureCare - Irvington, LLC</t>
  </si>
  <si>
    <t>Berlin Nursing and Rehabilitation Center</t>
  </si>
  <si>
    <t>Lorien Mays Chapel</t>
  </si>
  <si>
    <t>FutureCare - Homewood</t>
  </si>
  <si>
    <t>Days Used in Division</t>
  </si>
  <si>
    <t>Days in Operation</t>
  </si>
  <si>
    <t>Annualized Available Days</t>
  </si>
  <si>
    <t>Annualized Actual Days</t>
  </si>
  <si>
    <t>MA Comp.days</t>
  </si>
  <si>
    <t>Avail. Comp. Days*</t>
  </si>
  <si>
    <t>Available Days</t>
  </si>
  <si>
    <t>Actual Days</t>
  </si>
  <si>
    <t>CMI Data</t>
  </si>
  <si>
    <t>Cost Report Period CMI</t>
  </si>
  <si>
    <t>Inflation</t>
  </si>
  <si>
    <t>Source:</t>
  </si>
  <si>
    <t>Begin +</t>
  </si>
  <si>
    <t>Cost Report</t>
  </si>
  <si>
    <t>End</t>
  </si>
  <si>
    <t>Begin</t>
  </si>
  <si>
    <t>Year End</t>
  </si>
  <si>
    <t>Mid Point</t>
  </si>
  <si>
    <t>Factor</t>
  </si>
  <si>
    <t>Multiplier</t>
  </si>
  <si>
    <t>Quality Assessment</t>
  </si>
  <si>
    <t>021767100</t>
  </si>
  <si>
    <t>028600100</t>
  </si>
  <si>
    <t>030177900</t>
  </si>
  <si>
    <t>032007200</t>
  </si>
  <si>
    <t>032167200</t>
  </si>
  <si>
    <t>032707700</t>
  </si>
  <si>
    <t>034397800</t>
  </si>
  <si>
    <t>063417400</t>
  </si>
  <si>
    <t>105700600</t>
  </si>
  <si>
    <t>114367100</t>
  </si>
  <si>
    <t>124507400</t>
  </si>
  <si>
    <t>134007700</t>
  </si>
  <si>
    <t>139617000</t>
  </si>
  <si>
    <t>139627700</t>
  </si>
  <si>
    <t>154937500</t>
  </si>
  <si>
    <t>155167100</t>
  </si>
  <si>
    <t>155517100</t>
  </si>
  <si>
    <t>155557000</t>
  </si>
  <si>
    <t>155757200</t>
  </si>
  <si>
    <t>160077000</t>
  </si>
  <si>
    <t>166737800</t>
  </si>
  <si>
    <t>189541900</t>
  </si>
  <si>
    <t>197000300</t>
  </si>
  <si>
    <t>198407100</t>
  </si>
  <si>
    <t>215370000</t>
  </si>
  <si>
    <t>217287900</t>
  </si>
  <si>
    <t>217447200</t>
  </si>
  <si>
    <t>217607600</t>
  </si>
  <si>
    <t>228687400</t>
  </si>
  <si>
    <t>300697200</t>
  </si>
  <si>
    <t>300827400</t>
  </si>
  <si>
    <t>301187900</t>
  </si>
  <si>
    <t>400450700</t>
  </si>
  <si>
    <t>400685200</t>
  </si>
  <si>
    <t>403853300</t>
  </si>
  <si>
    <t>405259500</t>
  </si>
  <si>
    <t>Baltimore City</t>
  </si>
  <si>
    <t>4 Regions</t>
  </si>
  <si>
    <t>County</t>
  </si>
  <si>
    <t>Allegany</t>
  </si>
  <si>
    <t>Anne Arundel</t>
  </si>
  <si>
    <t>Baltimore</t>
  </si>
  <si>
    <t>Calvert</t>
  </si>
  <si>
    <t>Caroline</t>
  </si>
  <si>
    <t>Carroll</t>
  </si>
  <si>
    <t>Cecil</t>
  </si>
  <si>
    <t>Charles</t>
  </si>
  <si>
    <t>Dorchester</t>
  </si>
  <si>
    <t>Frederick</t>
  </si>
  <si>
    <t>Garrett</t>
  </si>
  <si>
    <t>Harford</t>
  </si>
  <si>
    <t>Howard</t>
  </si>
  <si>
    <t>Kent</t>
  </si>
  <si>
    <t>Montgomery</t>
  </si>
  <si>
    <t>Prince George's</t>
  </si>
  <si>
    <t>Queen Anne's</t>
  </si>
  <si>
    <t>Saint Mary's</t>
  </si>
  <si>
    <t>Somerset</t>
  </si>
  <si>
    <t>Talbot</t>
  </si>
  <si>
    <t>Washington</t>
  </si>
  <si>
    <t>Wicomico</t>
  </si>
  <si>
    <t>Worcester</t>
  </si>
  <si>
    <t>Provider Name</t>
  </si>
  <si>
    <t>Real Estate Tax</t>
  </si>
  <si>
    <t>Cost Report Mid</t>
  </si>
  <si>
    <t>Point Closest Month</t>
  </si>
  <si>
    <t>BALTIMORE CITY</t>
  </si>
  <si>
    <t>420839100</t>
  </si>
  <si>
    <t>BALTIMORE METRO</t>
  </si>
  <si>
    <t>420837400</t>
  </si>
  <si>
    <t>420618500</t>
  </si>
  <si>
    <t>420836600</t>
  </si>
  <si>
    <t>Floor</t>
  </si>
  <si>
    <t>Medicaid CMI Adjusted Cost</t>
  </si>
  <si>
    <t>421031000</t>
  </si>
  <si>
    <t>WASHINGTON METRO</t>
  </si>
  <si>
    <t>4-Region</t>
  </si>
  <si>
    <t>Rate Component</t>
  </si>
  <si>
    <t>Nursing Adjustment</t>
  </si>
  <si>
    <t>MSLC ID</t>
  </si>
  <si>
    <t>Type</t>
  </si>
  <si>
    <t>OOS</t>
  </si>
  <si>
    <t>Ongoing</t>
  </si>
  <si>
    <t>OPC</t>
  </si>
  <si>
    <t>Admin</t>
  </si>
  <si>
    <t>Facilities</t>
  </si>
  <si>
    <t>Cost Report Begin</t>
  </si>
  <si>
    <t>Cost Report End</t>
  </si>
  <si>
    <t>Appraisals</t>
  </si>
  <si>
    <t>Updated FRV tab with newest appraisals.</t>
  </si>
  <si>
    <t>Cost Report Begin Date</t>
  </si>
  <si>
    <t>Cost Report End Date</t>
  </si>
  <si>
    <t>Lic. Comp. Beds EOY</t>
  </si>
  <si>
    <t>Occupancy Standard</t>
  </si>
  <si>
    <t>For cost report period average, used the following table to determine what resident roster quarters to use.</t>
  </si>
  <si>
    <t>Quarter Code</t>
  </si>
  <si>
    <t>End Date</t>
  </si>
  <si>
    <t>Final DHC Rate</t>
  </si>
  <si>
    <t>FRV Rate</t>
  </si>
  <si>
    <t>Real Estate Tax Add On</t>
  </si>
  <si>
    <t>413985200</t>
  </si>
  <si>
    <t>553206000</t>
  </si>
  <si>
    <t>413976300</t>
  </si>
  <si>
    <t>Annualized Available Days for Capital Rate</t>
  </si>
  <si>
    <t>Annualized Actual Days for Capital Rate</t>
  </si>
  <si>
    <t>Cost Report End Date Used for Statistics</t>
  </si>
  <si>
    <t>Maryland Baptist Aged Home</t>
  </si>
  <si>
    <t>Goodwill Mennonite Home, Inc.</t>
  </si>
  <si>
    <t>Salisbury Center - Genesis HealthCare, Inc.</t>
  </si>
  <si>
    <t>FutureCare - Chesapeake</t>
  </si>
  <si>
    <t>Egle Nursing and Rehabilitation Center</t>
  </si>
  <si>
    <t>Franklin Woods Center - Genesis HealthCare, Inc.</t>
  </si>
  <si>
    <t>Pickersgill Retirement Community</t>
  </si>
  <si>
    <t>Augsburg Lutheran Home of Maryland, Inc.</t>
  </si>
  <si>
    <t>Little Sisters of the Poor</t>
  </si>
  <si>
    <t>Glen Meadows Retirement Community</t>
  </si>
  <si>
    <t>Herman M. Wilson Health Care Center</t>
  </si>
  <si>
    <t>Hebrew Home of Greater Washington</t>
  </si>
  <si>
    <t>Sacred Heart Home, Inc.</t>
  </si>
  <si>
    <t>FutureCare - Canton Harbor</t>
  </si>
  <si>
    <t>Homewood at Williamsport</t>
  </si>
  <si>
    <t>FutureCare - Sandtown Winchester</t>
  </si>
  <si>
    <t>FutureCare - Charles Village, LLC</t>
  </si>
  <si>
    <t>Lorien Nursing &amp; Rehabilitation Center Taneytown</t>
  </si>
  <si>
    <t>FutureCare - Lochearn</t>
  </si>
  <si>
    <t>Lorien Nursing and Rehabilitation Center - Bel Air</t>
  </si>
  <si>
    <t>Oakland Nursing and Rehabilitation Center</t>
  </si>
  <si>
    <t>FutureCare - Northpoint</t>
  </si>
  <si>
    <t>Waldorf Center</t>
  </si>
  <si>
    <t>Hammonds Lane Center</t>
  </si>
  <si>
    <t>Encore at Turf Valley</t>
  </si>
  <si>
    <t>Althea Woodland Nursing Home</t>
  </si>
  <si>
    <t>FutureCare - Cold Spring</t>
  </si>
  <si>
    <t>Fairland Center</t>
  </si>
  <si>
    <t>Homewood at Crumland Farms</t>
  </si>
  <si>
    <t>Carroll Lutheran Village, Inc.</t>
  </si>
  <si>
    <t>103957100</t>
  </si>
  <si>
    <t>Citizens Nursing Home of Harford County</t>
  </si>
  <si>
    <t>Keswick Multi-Care Center, Inc.</t>
  </si>
  <si>
    <t>Brooke Grove Rehabilitation and Nursing Center</t>
  </si>
  <si>
    <t>Williamsport Nursing Home</t>
  </si>
  <si>
    <t>Wicomico Nursing Home</t>
  </si>
  <si>
    <t>St. Elizabeth Rehabilitation and Nursing Center</t>
  </si>
  <si>
    <t>Fayette Health and Rehabilitation Center</t>
  </si>
  <si>
    <t>South River Health and Rehabilitation Center</t>
  </si>
  <si>
    <t>Ellicott City Health and Rehabilitation Center</t>
  </si>
  <si>
    <t>Marley Neck Health and Rehabilitation Center</t>
  </si>
  <si>
    <t>Bel Pre Health and Rehabilitation Center</t>
  </si>
  <si>
    <t>Fort Washington Health and Rehabilitation Center</t>
  </si>
  <si>
    <t>Forestville Health and Rehabilitation Center</t>
  </si>
  <si>
    <t>St. Mary's Nursing Center, Inc.</t>
  </si>
  <si>
    <t>Lorien Nursing &amp; Rehabilitation Center - Elkridge</t>
  </si>
  <si>
    <t>Quality Assessment Add On</t>
  </si>
  <si>
    <t>FutureCare - Cherrywood</t>
  </si>
  <si>
    <t>Charlestown Care Center</t>
  </si>
  <si>
    <t>Friends Nursing Home, Inc.</t>
  </si>
  <si>
    <t>Oak Crest Village, Inc.</t>
  </si>
  <si>
    <t>Alice Byrd Tawes Nursing Home</t>
  </si>
  <si>
    <t>Fahrney-Keedy Memorial Home for the Aged, Inc.</t>
  </si>
  <si>
    <t>Snow Hill Nursing and Rehabilitation Center, LLC</t>
  </si>
  <si>
    <t>Riderwood Village, Inc.</t>
  </si>
  <si>
    <t>Clinton Nursing and Rehabilitation Center</t>
  </si>
  <si>
    <t>Kensington Nursing and Rehabilitation Center</t>
  </si>
  <si>
    <t>Laurelwood Care Center at Elkton</t>
  </si>
  <si>
    <t>Manor Care of Wheaton MD, LLC</t>
  </si>
  <si>
    <t>Manor Care of Towson MD, LLC</t>
  </si>
  <si>
    <t>Manor Care - Rossville MD, LLC</t>
  </si>
  <si>
    <t>Manor Care - Roland Park MD, LLC</t>
  </si>
  <si>
    <t>Manor Care of Silver Spring MD, LLC</t>
  </si>
  <si>
    <t>Holly Hill Nursing and Rehabilitation Center</t>
  </si>
  <si>
    <t>420713100</t>
  </si>
  <si>
    <t>Ingleside at King Farm</t>
  </si>
  <si>
    <t>Northwest Nursing and Rehabilitation Center</t>
  </si>
  <si>
    <t>Blue Point Nursing and Rehabilitation Center</t>
  </si>
  <si>
    <t>Anchorage Nursing and Rehabilitation Center</t>
  </si>
  <si>
    <t>Stella Maris, Inc.</t>
  </si>
  <si>
    <t>Begin Date</t>
  </si>
  <si>
    <t>566710100</t>
  </si>
  <si>
    <t>Quality Assessment Per Diem</t>
  </si>
  <si>
    <t>0101</t>
  </si>
  <si>
    <t>0120</t>
  </si>
  <si>
    <t>0169</t>
  </si>
  <si>
    <t>0183</t>
  </si>
  <si>
    <t>0270</t>
  </si>
  <si>
    <t>0290</t>
  </si>
  <si>
    <t>0291</t>
  </si>
  <si>
    <t>0299</t>
  </si>
  <si>
    <t>0946</t>
  </si>
  <si>
    <t>NA</t>
  </si>
  <si>
    <t>Lorien Bulle Rock</t>
  </si>
  <si>
    <t>421520600</t>
  </si>
  <si>
    <t>Case Mix Index (CMI) Information</t>
  </si>
  <si>
    <t>Statewide Average CMI</t>
  </si>
  <si>
    <t>Ending Comprehensive Beds From Cost Report Covering the Appraisal Effective Date</t>
  </si>
  <si>
    <t>Maximum Appraised Value Per Bed</t>
  </si>
  <si>
    <t>Real Estate Tax Per Diem</t>
  </si>
  <si>
    <t>Nursing Service Price</t>
  </si>
  <si>
    <t>422877400</t>
  </si>
  <si>
    <t>422782400</t>
  </si>
  <si>
    <t>Name</t>
  </si>
  <si>
    <t>RATE LETTER SUMMARY</t>
  </si>
  <si>
    <t>Revenue Code Title</t>
  </si>
  <si>
    <t>Revenue Code</t>
  </si>
  <si>
    <t>Rate</t>
  </si>
  <si>
    <t>Daily Rates</t>
  </si>
  <si>
    <t>Rm &amp; Brd Semi-Private - General</t>
  </si>
  <si>
    <t>Administrative   Day</t>
  </si>
  <si>
    <t>Leave of Absence Therapeutic Lv</t>
  </si>
  <si>
    <t>Coinsurance Day</t>
  </si>
  <si>
    <t>All Inclusive Rm &amp;  Brd</t>
  </si>
  <si>
    <t>*</t>
  </si>
  <si>
    <t>Other Costs (billed in addition to Daily Rates)</t>
  </si>
  <si>
    <t>Class A Support Surface</t>
  </si>
  <si>
    <t>DME – General</t>
  </si>
  <si>
    <t>Class B Support Surface</t>
  </si>
  <si>
    <t>DME – Other</t>
  </si>
  <si>
    <t>Bariatric Bed A</t>
  </si>
  <si>
    <t>Bariatric Bed B</t>
  </si>
  <si>
    <t>DME – Rental</t>
  </si>
  <si>
    <t>Negative Pressure Wound Therapy</t>
  </si>
  <si>
    <t>Power Wheel Chair</t>
  </si>
  <si>
    <t>Complex Medical Equipment</t>
  </si>
  <si>
    <t>0947</t>
  </si>
  <si>
    <t>Preauthorization required</t>
  </si>
  <si>
    <t xml:space="preserve">* Please see the Coinsurance Worksheet available at: </t>
  </si>
  <si>
    <t>https://mmcp.dhmh.maryland.gov/longtermcare/SitePages/Nursing%20Home%20Services.aspx</t>
  </si>
  <si>
    <t>Other Rates</t>
  </si>
  <si>
    <t>Prospective Rate</t>
  </si>
  <si>
    <t>Description</t>
  </si>
  <si>
    <t>Total Kosher Kitchen Add On</t>
  </si>
  <si>
    <t>Days for Real Estate Tax - Available</t>
  </si>
  <si>
    <t>Days for Real Estate Tax - Actual</t>
  </si>
  <si>
    <t>Resident Care Day (including QA add on)</t>
  </si>
  <si>
    <t>Administrative Day (including QA add on)</t>
  </si>
  <si>
    <t>Therapeutic Bed Hold Day (including QA add on)</t>
  </si>
  <si>
    <t>Medicaid</t>
  </si>
  <si>
    <t>PDF File Name</t>
  </si>
  <si>
    <t>PDF Name</t>
  </si>
  <si>
    <t xml:space="preserve">Medical/Surgical Supplies – General Classification </t>
  </si>
  <si>
    <t>Therapeutic Home Leave Rate (Line 1 + Line 2 + Line 3 + Line 5)</t>
  </si>
  <si>
    <t>Total Rate - No QA</t>
  </si>
  <si>
    <t>Page 2</t>
  </si>
  <si>
    <t>Admin. Day Rate</t>
  </si>
  <si>
    <t>Admin Day Rate</t>
  </si>
  <si>
    <t>STATEWIDE for OOS</t>
  </si>
  <si>
    <t>Add Ons</t>
  </si>
  <si>
    <t>STATEWIDE with VENTS</t>
  </si>
  <si>
    <t>Add On For Ventilator Residents</t>
  </si>
  <si>
    <t>Total Rate for Ventilator Residents</t>
  </si>
  <si>
    <t>Resident Care Day</t>
  </si>
  <si>
    <t>Administrative Day</t>
  </si>
  <si>
    <t>Therapeutic Bed Hold Day</t>
  </si>
  <si>
    <t>MA #</t>
  </si>
  <si>
    <t>FutureCare - Courtland</t>
  </si>
  <si>
    <t>Nursing Services Region</t>
  </si>
  <si>
    <t>Admin &amp; Routine/Other Patient Care Region</t>
  </si>
  <si>
    <t>Resident Care Day (Including QA)</t>
  </si>
  <si>
    <t>Administrative Day (Including QA)</t>
  </si>
  <si>
    <t>Therapeutic Bed Hold Day (Including QA)</t>
  </si>
  <si>
    <t>Number</t>
  </si>
  <si>
    <t>Rate Letter Details - Line Numbers &gt; &gt; &gt;</t>
  </si>
  <si>
    <t>Page 3</t>
  </si>
  <si>
    <t>Restore Health Rehabilitation Center</t>
  </si>
  <si>
    <t>RE Tax Cost Report Begin Date</t>
  </si>
  <si>
    <t>RE Tax Cost Report End Date</t>
  </si>
  <si>
    <t>provname</t>
  </si>
  <si>
    <t>Waiver startdate</t>
  </si>
  <si>
    <t>Waiver enddate</t>
  </si>
  <si>
    <t>Thera</t>
  </si>
  <si>
    <t>Thera Rate</t>
  </si>
  <si>
    <t>Therapeutic Leave Day Rate</t>
  </si>
  <si>
    <t>423284400</t>
  </si>
  <si>
    <t>Westgate Hills Rehabilitation &amp; Healthcare Center</t>
  </si>
  <si>
    <t>Index and Resident Day Information</t>
  </si>
  <si>
    <t>Budget Adjustment Factor</t>
  </si>
  <si>
    <t>Lookup</t>
  </si>
  <si>
    <t>MSLC ID + End Date</t>
  </si>
  <si>
    <t>Days in CR Period</t>
  </si>
  <si>
    <t>Annualized Days Used in Division</t>
  </si>
  <si>
    <t>Doctors Community Rehab. &amp; Patient Care Center</t>
  </si>
  <si>
    <t>Adm Days</t>
  </si>
  <si>
    <t>Thera Days</t>
  </si>
  <si>
    <t>The Village at Rockville</t>
  </si>
  <si>
    <t>Autumn Lake Healthcare at Alice Manor</t>
  </si>
  <si>
    <t>423189900</t>
  </si>
  <si>
    <t>424086300</t>
  </si>
  <si>
    <t>Calculated</t>
  </si>
  <si>
    <t>Min of Zero or  Medicaid CMI Adjusted Cost  minus .95</t>
  </si>
  <si>
    <t>Final Rate + QA + Vent Add On</t>
  </si>
  <si>
    <t>STATEWIDE with VENTS and QA - Target Rate</t>
  </si>
  <si>
    <t>STATEWIDE with VENTS and QA - After BAF</t>
  </si>
  <si>
    <t>Target Rate Less After BAF Rate</t>
  </si>
  <si>
    <t>Used beds from reviewed cost reports covering the appraisal period.</t>
  </si>
  <si>
    <t>Updated paid days on Phase In tab.</t>
  </si>
  <si>
    <t>Final Rate +  Vent Add On</t>
  </si>
  <si>
    <t>745210100</t>
  </si>
  <si>
    <t>423511800</t>
  </si>
  <si>
    <t>Rate After BAF</t>
  </si>
  <si>
    <t>Citizens Care and Rehab. Center of Frederick</t>
  </si>
  <si>
    <t>424347100</t>
  </si>
  <si>
    <t>424296300</t>
  </si>
  <si>
    <t>FutureCare at Good Samaritan</t>
  </si>
  <si>
    <t>Deanwood Rehabilitation and Wellness Center</t>
  </si>
  <si>
    <t>Delmar Nursing and Rehabilitation Center</t>
  </si>
  <si>
    <t>Greater Baltimore Medical Center</t>
  </si>
  <si>
    <t>Transitional Care Center at Mercy Medical Center</t>
  </si>
  <si>
    <t>900035600</t>
  </si>
  <si>
    <t>200128400</t>
  </si>
  <si>
    <t>Devlin Manor Nursing &amp; Rehabilitation Center</t>
  </si>
  <si>
    <t>424420600</t>
  </si>
  <si>
    <t>FutureCare - Old Court</t>
  </si>
  <si>
    <t>800053100</t>
  </si>
  <si>
    <t>Julia Manor Nursing &amp; Rehabilitation Center</t>
  </si>
  <si>
    <t>Chapel Hill Nursing Center</t>
  </si>
  <si>
    <t>700095200</t>
  </si>
  <si>
    <t>Allegany Health Nursing and Rehabilitation</t>
  </si>
  <si>
    <t>300157100</t>
  </si>
  <si>
    <t>Fairfield Nursing and Rehabilitation Center</t>
  </si>
  <si>
    <t>500188900</t>
  </si>
  <si>
    <t>King David Nursing and Rehabilitation Center</t>
  </si>
  <si>
    <t>500178100</t>
  </si>
  <si>
    <t>Moran Nursing &amp; Rehabilitation Center</t>
  </si>
  <si>
    <t>200129200</t>
  </si>
  <si>
    <t>500179000</t>
  </si>
  <si>
    <t>300156300</t>
  </si>
  <si>
    <t>Villa Rosa Nursing and Rehabilitation</t>
  </si>
  <si>
    <t>500172200</t>
  </si>
  <si>
    <t>300099100</t>
  </si>
  <si>
    <t>Regency Care of Silver Spring, LLC</t>
  </si>
  <si>
    <t>424421400</t>
  </si>
  <si>
    <t>Asbury Solomons</t>
  </si>
  <si>
    <t>Cumberland Healthcare Center</t>
  </si>
  <si>
    <t>Hagerstown Healthcare Center</t>
  </si>
  <si>
    <t>Westminster Healthcare Center</t>
  </si>
  <si>
    <t>Larkin Chase Center</t>
  </si>
  <si>
    <t>FRV</t>
  </si>
  <si>
    <t>300175000</t>
  </si>
  <si>
    <t>Sagepoint Nursing and Rehabilitation Center</t>
  </si>
  <si>
    <t>424483400</t>
  </si>
  <si>
    <t>300215200</t>
  </si>
  <si>
    <t>600136000</t>
  </si>
  <si>
    <t>The Nursing &amp; Rehab. Center at Stadium Place</t>
  </si>
  <si>
    <t>500222200</t>
  </si>
  <si>
    <t>BridgePoint Sub-Acute and Rehab. National Harbor</t>
  </si>
  <si>
    <t>600147500</t>
  </si>
  <si>
    <t>BridgePoint Sub-Acute and Rehab. Capitol Hill</t>
  </si>
  <si>
    <t>500252400</t>
  </si>
  <si>
    <t>Forest Haven Nursing and Rehabilitation Center</t>
  </si>
  <si>
    <t>180012400</t>
  </si>
  <si>
    <t>Sterling Care at Frostburg Village</t>
  </si>
  <si>
    <t>Cadia Healthcare - Wheaton</t>
  </si>
  <si>
    <t>280020900</t>
  </si>
  <si>
    <t>Sterling Care at South Mountain</t>
  </si>
  <si>
    <t>Cadia Healthcare - Hyattsville</t>
  </si>
  <si>
    <t>Tot. Comp. Days</t>
  </si>
  <si>
    <t>Nursing Cost</t>
  </si>
  <si>
    <t>OPC Cost</t>
  </si>
  <si>
    <t>Routine Cost</t>
  </si>
  <si>
    <t>Admin Cost</t>
  </si>
  <si>
    <t>HealthCare Cost Service IHS Global Insight</t>
  </si>
  <si>
    <t>A&amp;R</t>
  </si>
  <si>
    <t>Code Quarter</t>
  </si>
  <si>
    <t>Price</t>
  </si>
  <si>
    <t>begindate</t>
  </si>
  <si>
    <t>enddate</t>
  </si>
  <si>
    <t>Verified R/E Taxes</t>
  </si>
  <si>
    <t>Sch. N % Applicable to Comprehensive Care</t>
  </si>
  <si>
    <t>R/E Tax Applicable to Comprehensive Care</t>
  </si>
  <si>
    <t>Being + End</t>
  </si>
  <si>
    <t>Autumn Lake Healthcare at Bridgepark</t>
  </si>
  <si>
    <t>Northampton Manor Nursing &amp; Rehabilitation Center</t>
  </si>
  <si>
    <t>The Lutheran Village at Miller's Grant</t>
  </si>
  <si>
    <t>FutureCare - Capital Region</t>
  </si>
  <si>
    <t>510643500</t>
  </si>
  <si>
    <t>600064900</t>
  </si>
  <si>
    <t>280024100</t>
  </si>
  <si>
    <t>BAF</t>
  </si>
  <si>
    <t>Issued</t>
  </si>
  <si>
    <t>Did not update any cost reports to ones covering the appraisal effective date except for facilities with NEW appraisals.</t>
  </si>
  <si>
    <t>Resorts at Chester River Manor Corp</t>
  </si>
  <si>
    <t>Used John's calculations for $120,000 cap.</t>
  </si>
  <si>
    <t>Bedford Court Healthcare Center</t>
  </si>
  <si>
    <t>160033800</t>
  </si>
  <si>
    <t>750019000</t>
  </si>
  <si>
    <t>Autumn Lake Healthcare at Pikesville</t>
  </si>
  <si>
    <t>370018600</t>
  </si>
  <si>
    <t>Layhill Nursing and Rehabilitation Center</t>
  </si>
  <si>
    <t>600194700</t>
  </si>
  <si>
    <t>Orchard Hill Rehabilitation and Healthcare Center</t>
  </si>
  <si>
    <t>500307500</t>
  </si>
  <si>
    <t>Meadow Park Rehabilitation and Healthcare Center</t>
  </si>
  <si>
    <t>270022100</t>
  </si>
  <si>
    <t>Shady Grove Nursing and Rehabilitation Center</t>
  </si>
  <si>
    <t>700166500</t>
  </si>
  <si>
    <t>740033100</t>
  </si>
  <si>
    <t>487007700</t>
  </si>
  <si>
    <t>Calvert County Nursing Center</t>
  </si>
  <si>
    <t>170031600</t>
  </si>
  <si>
    <t>Elkton Nursing and Rehabilitation Center</t>
  </si>
  <si>
    <t>907396500</t>
  </si>
  <si>
    <t>Arlington West Care Center</t>
  </si>
  <si>
    <t>887130200</t>
  </si>
  <si>
    <t>Post-Acute Care Center</t>
  </si>
  <si>
    <t>729009800</t>
  </si>
  <si>
    <t>Collingswood Rehabilitation and Healthcare Center</t>
  </si>
  <si>
    <t>333180600</t>
  </si>
  <si>
    <t>Crescent Cities Nursing and Rehabilitation Center</t>
  </si>
  <si>
    <t>907374400</t>
  </si>
  <si>
    <t>Facility Specific Price</t>
  </si>
  <si>
    <t>Initial Nursing Services Rate</t>
  </si>
  <si>
    <t>Average Rate</t>
  </si>
  <si>
    <t>Fairhaven</t>
  </si>
  <si>
    <t>Original Regions Total Rate Without QA or Vent $285</t>
  </si>
  <si>
    <t>Sterling Care Riverside</t>
  </si>
  <si>
    <t>302075400</t>
  </si>
  <si>
    <t>Total Rate for ventilator Residents</t>
  </si>
  <si>
    <t>WESTERN REGION</t>
  </si>
  <si>
    <t>EASTERN REGION</t>
  </si>
  <si>
    <t>RATE LETTER SUMMARY - VENTILATOR RESIDENTS ONLY</t>
  </si>
  <si>
    <t>Non Metro</t>
  </si>
  <si>
    <t>0129</t>
  </si>
  <si>
    <t>Min of Zero or  Medicaid CMI Adjusted Cost  minus Floor</t>
  </si>
  <si>
    <t>Case Mix Index Proportional Adjustment</t>
  </si>
  <si>
    <t>256011900</t>
  </si>
  <si>
    <t>823008100</t>
  </si>
  <si>
    <t>Autumn Lake Healthcare at Oakview</t>
  </si>
  <si>
    <t>811065400</t>
  </si>
  <si>
    <t>Autumn Lake Healthcare at Riverview</t>
  </si>
  <si>
    <t>Autumn Lake Healthcare at Cherry Lane</t>
  </si>
  <si>
    <t>Adelphi Nursing and Rehabilitation Center, LLC</t>
  </si>
  <si>
    <t>Hyattsville Nursing and Rehabilitation Center, LLC</t>
  </si>
  <si>
    <t>Largo Nursing and Rehabilitation Center, LLC</t>
  </si>
  <si>
    <t>Patapsco Health and Rehabilitation Center</t>
  </si>
  <si>
    <t>Peak Healthcare at Copper Ridge</t>
  </si>
  <si>
    <t>Solomons Rehabilitation and Care Center</t>
  </si>
  <si>
    <t>Peak Healthcare at Hartley Hall</t>
  </si>
  <si>
    <t>Peak Healthcare at Sligo Creek</t>
  </si>
  <si>
    <t>Peak Healthcare at The Pines</t>
  </si>
  <si>
    <t>Buckingham's Choice</t>
  </si>
  <si>
    <t>Peak Healthcare at Denton</t>
  </si>
  <si>
    <t>Bayleigh Chase</t>
  </si>
  <si>
    <t>Potomac Valley Rehabilitation &amp; Healthcare Center</t>
  </si>
  <si>
    <t>5-Region NEW REGIONS</t>
  </si>
  <si>
    <t>444248200</t>
  </si>
  <si>
    <t>160468600</t>
  </si>
  <si>
    <t>799044800</t>
  </si>
  <si>
    <t>205210500</t>
  </si>
  <si>
    <t>769505500</t>
  </si>
  <si>
    <t>300390600</t>
  </si>
  <si>
    <t>424902000</t>
  </si>
  <si>
    <t>Nursing NEW REGIONS</t>
  </si>
  <si>
    <t>Stella Maris_ Inc.</t>
  </si>
  <si>
    <t>f</t>
  </si>
  <si>
    <t>Statewide Average Occupancy</t>
  </si>
  <si>
    <t>Plus 1.5%</t>
  </si>
  <si>
    <t>Final Rate Including QA</t>
  </si>
  <si>
    <t>Therapeutic Payment</t>
  </si>
  <si>
    <t>Administrative Day Payment</t>
  </si>
  <si>
    <t>Therapeutic QA Payment</t>
  </si>
  <si>
    <t>Administrative QA Payment</t>
  </si>
  <si>
    <t>Total</t>
  </si>
  <si>
    <t>Total Days</t>
  </si>
  <si>
    <t>Phase In after BAF</t>
  </si>
  <si>
    <t>Phase In Option</t>
  </si>
  <si>
    <t>QA Tax - 5 highest</t>
  </si>
  <si>
    <t>QA Tax - reg</t>
  </si>
  <si>
    <t>Sterling Care Rockville Nursing</t>
  </si>
  <si>
    <t>Total Rate Without QA or Vent $285</t>
  </si>
  <si>
    <t>Administrative Day Rate (Line 1 + Line 2 + Line 3 + (Line 4 x .50) + Line 5)</t>
  </si>
  <si>
    <t xml:space="preserve">   Final Adjusted Rate  (Line 6 x Line 7)</t>
  </si>
  <si>
    <t xml:space="preserve">   Total Rate for All Levels (Sum of Lines 1 - 5) </t>
  </si>
  <si>
    <t>Woodbine Rehabilitation and Healthcare Center</t>
  </si>
  <si>
    <t>8a</t>
  </si>
  <si>
    <t>8b</t>
  </si>
  <si>
    <t>new</t>
  </si>
  <si>
    <t>655048700</t>
  </si>
  <si>
    <t>653015000</t>
  </si>
  <si>
    <t>424952600</t>
  </si>
  <si>
    <t>Autumn Lake Healthcare at Catonsville</t>
  </si>
  <si>
    <t>999362200</t>
  </si>
  <si>
    <t>Autumn Lake Healthcare at Chesapeake Woods</t>
  </si>
  <si>
    <t>999349500</t>
  </si>
  <si>
    <t>Complete Care at Corsica Hills LLC</t>
  </si>
  <si>
    <t>Peak Healthcare at Frederick Villa</t>
  </si>
  <si>
    <t>566020300</t>
  </si>
  <si>
    <t>Autumn Lake Healthcare at Glade Valley</t>
  </si>
  <si>
    <t>589064100</t>
  </si>
  <si>
    <t>Autumn Lake Healthcare at Homewood</t>
  </si>
  <si>
    <t>424953400</t>
  </si>
  <si>
    <t>Autumn Lake Healthcare at Long Green</t>
  </si>
  <si>
    <t>918222500</t>
  </si>
  <si>
    <t>889072200</t>
  </si>
  <si>
    <t>Autumn Lake Healthcare at Perring Parkway</t>
  </si>
  <si>
    <t>547057900</t>
  </si>
  <si>
    <t>Autumn Lake Healthcare at Spa Creek</t>
  </si>
  <si>
    <t>654277800</t>
  </si>
  <si>
    <t>Autumn Lake Healthcare at Waugh Chapel</t>
  </si>
  <si>
    <r>
      <t xml:space="preserve">Nursing Service </t>
    </r>
    <r>
      <rPr>
        <sz val="10"/>
        <color indexed="8"/>
        <rFont val="Arial Unicode MS"/>
        <family val="2"/>
      </rPr>
      <t>(Line 20)</t>
    </r>
  </si>
  <si>
    <r>
      <t xml:space="preserve">Adjusted to Facility Total Facility CMI (Line 16 x Line 10 </t>
    </r>
    <r>
      <rPr>
        <sz val="10"/>
        <color indexed="8"/>
        <rFont val="Arial"/>
        <family val="2"/>
      </rPr>
      <t>÷</t>
    </r>
    <r>
      <rPr>
        <sz val="10"/>
        <color indexed="8"/>
        <rFont val="Arial Unicode MS"/>
        <family val="2"/>
      </rPr>
      <t xml:space="preserve"> Line 11)</t>
    </r>
  </si>
  <si>
    <r>
      <t xml:space="preserve">Medicaid Adjusted Nursing Service Cost Per Diem (Line 15 x Line 14 </t>
    </r>
    <r>
      <rPr>
        <sz val="10"/>
        <color indexed="8"/>
        <rFont val="Arial"/>
        <family val="2"/>
      </rPr>
      <t>÷</t>
    </r>
    <r>
      <rPr>
        <sz val="10"/>
        <color indexed="8"/>
        <rFont val="Arial Unicode MS"/>
        <family val="2"/>
      </rPr>
      <t xml:space="preserve"> Line 10)</t>
    </r>
  </si>
  <si>
    <r>
      <t xml:space="preserve">Initial Nursing Service Rate (Line 17 x Line 14 </t>
    </r>
    <r>
      <rPr>
        <sz val="10"/>
        <color indexed="8"/>
        <rFont val="Arial"/>
        <family val="2"/>
      </rPr>
      <t>÷</t>
    </r>
    <r>
      <rPr>
        <sz val="10"/>
        <color indexed="8"/>
        <rFont val="Arial Unicode MS"/>
        <family val="2"/>
      </rPr>
      <t xml:space="preserve"> Line 10)</t>
    </r>
  </si>
  <si>
    <t>Less Positive Difference Between Line 22 and Initial Nursing Service Rate (max(0,Line 23))</t>
  </si>
  <si>
    <t>Final Nursing Service Rate Per Day (Line 18 + Line 19)</t>
  </si>
  <si>
    <t>95% of Initial Nursing Service Rate (Line 18 x .95)</t>
  </si>
  <si>
    <t>Difference Between Line 22 and Medicaid Adjusted Nursing Service Cost Per Diem (Line 22 - Line 21)</t>
  </si>
  <si>
    <r>
      <t xml:space="preserve">Initial Nursing Service Rate (Line 15 x Line 12 </t>
    </r>
    <r>
      <rPr>
        <sz val="10"/>
        <color indexed="8"/>
        <rFont val="Arial"/>
        <family val="2"/>
      </rPr>
      <t>÷</t>
    </r>
    <r>
      <rPr>
        <sz val="10"/>
        <color indexed="8"/>
        <rFont val="Arial Unicode MS"/>
        <family val="2"/>
      </rPr>
      <t xml:space="preserve"> Line 10)</t>
    </r>
  </si>
  <si>
    <r>
      <t xml:space="preserve">Adjusted to Facility Total Facility CMI (Line 14 x Line 10 </t>
    </r>
    <r>
      <rPr>
        <sz val="10"/>
        <color indexed="8"/>
        <rFont val="Arial"/>
        <family val="2"/>
      </rPr>
      <t>÷</t>
    </r>
    <r>
      <rPr>
        <sz val="10"/>
        <color indexed="8"/>
        <rFont val="Arial Unicode MS"/>
        <family val="2"/>
      </rPr>
      <t xml:space="preserve"> Line 11)</t>
    </r>
  </si>
  <si>
    <t>Difference Between Line 20 and Medicaid Adjusted Nursing Service Cost Per Diem (Line 20 - Line 19)</t>
  </si>
  <si>
    <t>95% of Initial Nursing Service Rate (Line 16 x .95)</t>
  </si>
  <si>
    <t>Less Positive Difference Between Line 20 and Initial Nursing Service Rate (max(0,Line 21))</t>
  </si>
  <si>
    <t>Final Nursing Service Rate Per Day (Line 16 + Line 17)</t>
  </si>
  <si>
    <r>
      <t xml:space="preserve">Medicaid Adjusted Nursing Service Cost Per Diem (Line 13 x Line 12 </t>
    </r>
    <r>
      <rPr>
        <sz val="10"/>
        <color indexed="8"/>
        <rFont val="Arial"/>
        <family val="2"/>
      </rPr>
      <t>÷</t>
    </r>
    <r>
      <rPr>
        <sz val="10"/>
        <color indexed="8"/>
        <rFont val="Arial Unicode MS"/>
        <family val="2"/>
      </rPr>
      <t xml:space="preserve"> Line 10)</t>
    </r>
  </si>
  <si>
    <r>
      <t xml:space="preserve">Nursing Service </t>
    </r>
    <r>
      <rPr>
        <sz val="10"/>
        <color indexed="8"/>
        <rFont val="Arial Unicode MS"/>
        <family val="2"/>
      </rPr>
      <t>(Line 18)</t>
    </r>
  </si>
  <si>
    <t>Ventilator Resident Care Day (Including QA)</t>
  </si>
  <si>
    <t>999343600</t>
  </si>
  <si>
    <t>Autumn Lake Healthcare at Parkville</t>
  </si>
  <si>
    <t>691022000</t>
  </si>
  <si>
    <t>Autumn Lake Healthcare at Loch Raven</t>
  </si>
  <si>
    <t>999675300</t>
  </si>
  <si>
    <t>430065300</t>
  </si>
  <si>
    <t>Autumn Lake Healthcare at Ballenger Creek</t>
  </si>
  <si>
    <t>999361400</t>
  </si>
  <si>
    <t>Autumn Lake Healthcare at Bradford Oaks</t>
  </si>
  <si>
    <t>Autumn Lake Healthcare at Crofton</t>
  </si>
  <si>
    <t>999364900</t>
  </si>
  <si>
    <t>999388600</t>
  </si>
  <si>
    <t>Oakwood Care Center</t>
  </si>
  <si>
    <t>ProMedica Total Rehab + (Brightwood)</t>
  </si>
  <si>
    <t>502592300</t>
  </si>
  <si>
    <t>785606700</t>
  </si>
  <si>
    <t>501017900</t>
  </si>
  <si>
    <t>Peace Healthcare at Lions Center</t>
  </si>
  <si>
    <t>Pleasant View Healthcare Center</t>
  </si>
  <si>
    <t>Complete Care at Severna Park, LLC</t>
  </si>
  <si>
    <t>Complete Care at Heritage, LLC</t>
  </si>
  <si>
    <t>Complete Care at La Plata, LLC</t>
  </si>
  <si>
    <t>Complete Care at Multi Medical Center, LLC</t>
  </si>
  <si>
    <t>Sterling Care Bel Air</t>
  </si>
  <si>
    <t>Frederick Health and Rehabilitation, LLC</t>
  </si>
  <si>
    <t>Sterling Care Forest Hill</t>
  </si>
  <si>
    <t>Atlee Hill Health and Rehabilitation Center</t>
  </si>
  <si>
    <t>Montgomery Village Care Center</t>
  </si>
  <si>
    <t>425042700</t>
  </si>
  <si>
    <t>888667900</t>
  </si>
  <si>
    <t>772478100</t>
  </si>
  <si>
    <t>425023100</t>
  </si>
  <si>
    <t>271011100</t>
  </si>
  <si>
    <t>Nursing                              5 Regions</t>
  </si>
  <si>
    <t xml:space="preserve">Nursing Service Cost Center Rate - All Levels
</t>
  </si>
  <si>
    <t>Other Patient Care Cost Center Rate</t>
  </si>
  <si>
    <t>Capital Cost Center Rate</t>
  </si>
  <si>
    <t>Administrative and Routine Cost Center Rate</t>
  </si>
  <si>
    <t>Sterling Care Bethesda</t>
  </si>
  <si>
    <t>Autumn Lake Healthcare at Overlea</t>
  </si>
  <si>
    <t>Autumn Lake Healthcare at Summit Park</t>
  </si>
  <si>
    <t>Autumn Lake Healthcare at Glen Burnie</t>
  </si>
  <si>
    <t>Autumn Lake Healthcare at Arcola</t>
  </si>
  <si>
    <t>Autumn Lake Healthcare at Patuxent River</t>
  </si>
  <si>
    <t>Autumn Lake Healthcare at Baltimore Washington</t>
  </si>
  <si>
    <t>888712800</t>
  </si>
  <si>
    <t>425052400</t>
  </si>
  <si>
    <t>888699700</t>
  </si>
  <si>
    <t>888723300</t>
  </si>
  <si>
    <t>888733100</t>
  </si>
  <si>
    <t>888734900</t>
  </si>
  <si>
    <t>425044300</t>
  </si>
  <si>
    <t>Paid Days Calendar Year 2021</t>
  </si>
  <si>
    <t>714262500</t>
  </si>
  <si>
    <t>Autumn Lake Healthcare at Birch Manor</t>
  </si>
  <si>
    <t>722036700</t>
  </si>
  <si>
    <t>Autumn Lake Healthcare at Calvert Manor</t>
  </si>
  <si>
    <t>692219800</t>
  </si>
  <si>
    <t>Caroline Nursing and Rehab</t>
  </si>
  <si>
    <t>Autumn Lake Healthcare at Long View</t>
  </si>
  <si>
    <t>918268300</t>
  </si>
  <si>
    <t>Autumn Lake Healthcare at Oak Manor</t>
  </si>
  <si>
    <t>Medicaid CMI</t>
  </si>
  <si>
    <t>PDPM Model</t>
  </si>
  <si>
    <t>882346400</t>
  </si>
  <si>
    <t>Complete Care at Annapolis LLC</t>
  </si>
  <si>
    <t>882348100</t>
  </si>
  <si>
    <t>Complete Care at Hagerstown LLC</t>
  </si>
  <si>
    <t>882347200</t>
  </si>
  <si>
    <t>Complete Care at Hyattsville LLC</t>
  </si>
  <si>
    <t>882349900</t>
  </si>
  <si>
    <t>Complete Care at Springbrook LLC</t>
  </si>
  <si>
    <t>882359600</t>
  </si>
  <si>
    <t>Complete Care at Wheaton LLC</t>
  </si>
  <si>
    <t>425080000</t>
  </si>
  <si>
    <t>Chesapeake Shores Nursing Center</t>
  </si>
  <si>
    <t>235407100</t>
  </si>
  <si>
    <t>Coffman Nursing Home</t>
  </si>
  <si>
    <t>179537600</t>
  </si>
  <si>
    <t>Peace Healthcare at Dennett Road</t>
  </si>
  <si>
    <t>209046500</t>
  </si>
  <si>
    <t>669119600</t>
  </si>
  <si>
    <t>Manokin Nursing and Rehab</t>
  </si>
  <si>
    <t>209215800</t>
  </si>
  <si>
    <t>Peace Healthcare at Mountain City</t>
  </si>
  <si>
    <t>918284500</t>
  </si>
  <si>
    <t>Creekside Center for Rehabilitation and Nursing</t>
  </si>
  <si>
    <t>668032100</t>
  </si>
  <si>
    <t>Peace Healthcare at Ridgeway Manor</t>
  </si>
  <si>
    <t>209405300</t>
  </si>
  <si>
    <t>Mallard Bay Nursing and Rehab</t>
  </si>
  <si>
    <t>073434900</t>
  </si>
  <si>
    <t>St. Joseph's Nursing Home, Inc.</t>
  </si>
  <si>
    <t>209655200</t>
  </si>
  <si>
    <t>Autumn Lake Healthcare at Braddock Heights</t>
  </si>
  <si>
    <t>Maryland Masonic Homes, Ltd.</t>
  </si>
  <si>
    <t xml:space="preserve"> A&amp;R / OPC                       4 Regions</t>
  </si>
  <si>
    <t>Tuckerman Rehabilitation and Healthcare Center</t>
  </si>
  <si>
    <t>Chestertown Nursing and Rehab</t>
  </si>
  <si>
    <t>Denton Nursing and Rehab</t>
  </si>
  <si>
    <t>Hartley Nursing and Rehab</t>
  </si>
  <si>
    <t>Pines Nursing and Rehab</t>
  </si>
  <si>
    <t>882695100</t>
  </si>
  <si>
    <t>667106300</t>
  </si>
  <si>
    <t>667107100</t>
  </si>
  <si>
    <t>210784800</t>
  </si>
  <si>
    <t>210786400</t>
  </si>
  <si>
    <t>Medicaid CMI Adjusted Rate</t>
  </si>
  <si>
    <t>447056700</t>
  </si>
  <si>
    <t>Sterling Care Hillhaven</t>
  </si>
  <si>
    <t>502719500</t>
  </si>
  <si>
    <t>Autumn Lake Healthcare at Ruxton</t>
  </si>
  <si>
    <t>887667300</t>
  </si>
  <si>
    <t>Autumn Lake Healthcare at Chevy Chase</t>
  </si>
  <si>
    <t>772531100</t>
  </si>
  <si>
    <t>Autumn Lake Healthcare at Silver Spring</t>
  </si>
  <si>
    <t>339068300</t>
  </si>
  <si>
    <t>Advanced Rehab at Autumn Lake Healthcare</t>
  </si>
  <si>
    <t>883399100</t>
  </si>
  <si>
    <t>Montcare at Bethesda</t>
  </si>
  <si>
    <t>456044700</t>
  </si>
  <si>
    <t>Montcare at Potomac</t>
  </si>
  <si>
    <t>883398200</t>
  </si>
  <si>
    <t>Montcare at Wheaton</t>
  </si>
  <si>
    <t>883423700</t>
  </si>
  <si>
    <t>Patapsco Healthcare</t>
  </si>
  <si>
    <t>855041700</t>
  </si>
  <si>
    <t>Carroll Park Healthcare</t>
  </si>
  <si>
    <t>267458100</t>
  </si>
  <si>
    <t>Frederick Villa Healthcare</t>
  </si>
  <si>
    <t>Garrett Regional Medical Center Subacute Unit</t>
  </si>
  <si>
    <t>Sligo Creek Healthcare</t>
  </si>
  <si>
    <t>Fox Chase Healthcare</t>
  </si>
  <si>
    <t>Carriage Hill Bethesda</t>
  </si>
  <si>
    <t>208764200</t>
  </si>
  <si>
    <t>567025000</t>
  </si>
  <si>
    <t>6/30/2022
Total CMI</t>
  </si>
  <si>
    <t>9/30/2022
Total CMI</t>
  </si>
  <si>
    <t>12/31/2022
Total CMI</t>
  </si>
  <si>
    <t>6/30/2021
Total CMI</t>
  </si>
  <si>
    <t>9/30/2021
Total CMI</t>
  </si>
  <si>
    <t>12/31/2021
Total CMI</t>
  </si>
  <si>
    <t>3/31/2022
Total CMI</t>
  </si>
  <si>
    <t>4425644620</t>
  </si>
  <si>
    <t>4428744651</t>
  </si>
  <si>
    <t>4434844712</t>
  </si>
  <si>
    <t>4437844742</t>
  </si>
  <si>
    <t>4456244742</t>
  </si>
  <si>
    <t>4447044834</t>
  </si>
  <si>
    <t>4456244865</t>
  </si>
  <si>
    <t>4474344865</t>
  </si>
  <si>
    <t>4456244926</t>
  </si>
  <si>
    <t>4459344926</t>
  </si>
  <si>
    <t>4462144926</t>
  </si>
  <si>
    <t>4471344926</t>
  </si>
  <si>
    <t>4477444926</t>
  </si>
  <si>
    <t>4483544926</t>
  </si>
  <si>
    <t>4486644926</t>
  </si>
  <si>
    <t>4456244957</t>
  </si>
  <si>
    <t>Green Acres Nursing and Rehab</t>
  </si>
  <si>
    <t>Towson Rehabilitation and Healthcare Center</t>
  </si>
  <si>
    <t>Rossville Rehabilitation and Healthcare Center</t>
  </si>
  <si>
    <t>24-25 Median</t>
  </si>
  <si>
    <t>Real Estate Tax
2023 Cost reports</t>
  </si>
  <si>
    <t>883498900</t>
  </si>
  <si>
    <t>556124800</t>
  </si>
  <si>
    <t>Resorts of Augsburg Corp</t>
  </si>
  <si>
    <t>699397400</t>
  </si>
  <si>
    <t>883459800</t>
  </si>
  <si>
    <t>889491400</t>
  </si>
  <si>
    <t>889683600</t>
  </si>
  <si>
    <t>Roland Park Rehabilitation and Healthcare Center</t>
  </si>
  <si>
    <t>889684400</t>
  </si>
  <si>
    <t>JANUARY 2025</t>
  </si>
  <si>
    <t>APRIL 2025</t>
  </si>
  <si>
    <t>Effective October 1, 2024 - December 31, 2024</t>
  </si>
  <si>
    <t>Effective January 1, 2025 - March 31, 2025</t>
  </si>
  <si>
    <t>Effective April 1, 2025 - June 30, 2025</t>
  </si>
  <si>
    <t xml:space="preserve"> Ventilator Resident Care Day (Including QA)</t>
  </si>
  <si>
    <t>Broadmead, Inc.</t>
  </si>
  <si>
    <t>444972000</t>
  </si>
  <si>
    <t>Used 81.50% from cost reports used for rebasing.</t>
  </si>
  <si>
    <t>Adjusted Medicaid CMI 06/30/2024</t>
  </si>
  <si>
    <t>581070100</t>
  </si>
  <si>
    <t>Copper Ridge Nursing and Assisted Living Center</t>
  </si>
  <si>
    <t>966032100</t>
  </si>
  <si>
    <t>Bay Harbor Post Acute and Healthcare Center</t>
  </si>
  <si>
    <t>ISSUED 09/27/2024</t>
  </si>
  <si>
    <r>
      <t xml:space="preserve">(1) Quarter Ending 06/30/2024 </t>
    </r>
    <r>
      <rPr>
        <u/>
        <sz val="8"/>
        <color indexed="8"/>
        <rFont val="Arial Unicode MS"/>
        <family val="2"/>
      </rPr>
      <t>Statewide</t>
    </r>
    <r>
      <rPr>
        <sz val="8"/>
        <color indexed="8"/>
        <rFont val="Arial Unicode MS"/>
        <family val="2"/>
      </rPr>
      <t xml:space="preserve"> Average Medicaid CMI  = 1.2286. This is a four quarter average previously calculated since RUGs are not supported.</t>
    </r>
  </si>
  <si>
    <t>Administrative and Routine (See July 2024 Rate Letter)</t>
  </si>
  <si>
    <t>Other Patient Care (See July 2024 Rate Letter)</t>
  </si>
  <si>
    <t>Capital (See July 2024 Rate Letter)</t>
  </si>
  <si>
    <t>Total Kosher Kitchen Add On (See July 2024 Rate Letter)</t>
  </si>
  <si>
    <t>Cost Report Period CMI (See July 2024 letter)</t>
  </si>
  <si>
    <r>
      <t xml:space="preserve">Quarter Ending 06/30/2024 Facility Average Medicaid CMI </t>
    </r>
    <r>
      <rPr>
        <vertAlign val="superscript"/>
        <sz val="10"/>
        <rFont val="Arial Unicode MS"/>
        <family val="2"/>
      </rPr>
      <t>(1)</t>
    </r>
  </si>
  <si>
    <t>Quarter Ending 06/30/2024 Facility Adjusted Average Medicaid CMI (Line 12 x Line 13)</t>
  </si>
  <si>
    <r>
      <t>Indexed Nursing Service Cost Per Diem (See July 2024 letter</t>
    </r>
    <r>
      <rPr>
        <sz val="10"/>
        <color indexed="8"/>
        <rFont val="Arial Unicode MS"/>
        <family val="2"/>
      </rPr>
      <t>)</t>
    </r>
  </si>
  <si>
    <r>
      <t>Indexed Regional Price (See July 2024 Rate Letter</t>
    </r>
    <r>
      <rPr>
        <sz val="10"/>
        <color indexed="8"/>
        <rFont val="Arial Unicode MS"/>
        <family val="2"/>
      </rPr>
      <t>)</t>
    </r>
  </si>
  <si>
    <t>Quarter Ending 06/30/2024 Facility Average Medicaid CMI</t>
  </si>
  <si>
    <t>Indexed Nursing Service Cost Per Diem (See July 2024 Rate Letter)</t>
  </si>
  <si>
    <t>Quarter Ending 09/30/2024 Facility Average Medicaid CMI (1)</t>
  </si>
  <si>
    <t>Quarter Ending 09/30/2024 Facility Adjusted Average Medicaid CMI (Line 12 x Line 13)</t>
  </si>
  <si>
    <t>Indexed Nursing Service Cost Per Diem (See July 2024 letter)</t>
  </si>
  <si>
    <t>Indexed Regional Price (See July 2024 Rate Letter)</t>
  </si>
  <si>
    <t>Quarter Ending 12/31/2024 Facility Average Medicaid CMI (1)</t>
  </si>
  <si>
    <t>Quarter Ending 12/31/2024 Facility Adjusted Average Medicaid CMI (Line 12 x Line 13)</t>
  </si>
  <si>
    <t>Quarter Ending 09/30/2024 Facility Average Medicaid CMI</t>
  </si>
  <si>
    <t>Quarter Ending 12/31/2024 Facility Average Medicaid CMI</t>
  </si>
  <si>
    <t>Maryland Nursing Facility Medical Assistance 
Rates Effective October 1, 2024 
As Distributed via Email September 27, 2024</t>
  </si>
  <si>
    <t>Maryland Nursing Facility Medical Assistance 
Ventilator Rates Effective October 1, 2024 
As Distributed via Email September 27, 2024</t>
  </si>
  <si>
    <t>RUG RATE LETTER SUMMARY</t>
  </si>
  <si>
    <t>Adjusted Medicaid CMI 09/30/2024</t>
  </si>
  <si>
    <t>Adjusted Medicaid CMI 12/31/2024</t>
  </si>
  <si>
    <t>RUG RATE LETTER SUMMARY - VENTILATOR RESIDENTS ONLY</t>
  </si>
  <si>
    <t>ISSUED 12/20/2024</t>
  </si>
  <si>
    <t>For informational purposes. See the BLENDED RATE LETTER SUMMARY for billable rates.</t>
  </si>
  <si>
    <t>RUG Administrative Day (Including QA)</t>
  </si>
  <si>
    <t>RUG Ventilator Resident Care Day (Including QA)</t>
  </si>
  <si>
    <r>
      <t xml:space="preserve">(1) Quarter Ending 09/30/2024 </t>
    </r>
    <r>
      <rPr>
        <u/>
        <sz val="8"/>
        <color indexed="8"/>
        <rFont val="Arial Unicode MS"/>
        <family val="2"/>
      </rPr>
      <t>Statewide</t>
    </r>
    <r>
      <rPr>
        <sz val="8"/>
        <color indexed="8"/>
        <rFont val="Arial Unicode MS"/>
        <family val="2"/>
      </rPr>
      <t xml:space="preserve"> Average Medicaid CMI  = 1.2286</t>
    </r>
  </si>
  <si>
    <t>Maryland Nursing Facility Medical Assistance 
Rates Effective January 1, 2025 
As Distributed via Web Portal December 20, 2024</t>
  </si>
  <si>
    <t>Maryland Nursing Facility Medical Assistance 
Ventilator Rates Effective January 1, 2025 
As Distributed via Web Portal December 20, 2024</t>
  </si>
  <si>
    <t>PDPM Resident Care Day (Including QA)</t>
  </si>
  <si>
    <t>PDPM Administrative Day (Including QA)</t>
  </si>
  <si>
    <t>RUG
Resident Care Day (Including QA)</t>
  </si>
  <si>
    <t>Blended
Total Resident Care Day (Including QA)</t>
  </si>
  <si>
    <t>Blended
Total Administrative Day (Including QA)</t>
  </si>
  <si>
    <t>PDPM Therapeutic Bed Hold Day (Including QA)</t>
  </si>
  <si>
    <t>PDPM
Ventilator Resident Care Day (Including QA)</t>
  </si>
  <si>
    <t>Blended
Total Ventilator Resident Care Day (Including QA)</t>
  </si>
  <si>
    <t>Fayette</t>
  </si>
  <si>
    <t>300811800</t>
  </si>
  <si>
    <t>ISSUED 03/31/2025</t>
  </si>
  <si>
    <r>
      <t xml:space="preserve">(1) Quarter Ending 12/31/2024 </t>
    </r>
    <r>
      <rPr>
        <u/>
        <sz val="8"/>
        <color indexed="8"/>
        <rFont val="Arial Unicode MS"/>
        <family val="2"/>
      </rPr>
      <t>Statewide</t>
    </r>
    <r>
      <rPr>
        <sz val="8"/>
        <color indexed="8"/>
        <rFont val="Arial Unicode MS"/>
        <family val="2"/>
      </rPr>
      <t xml:space="preserve"> Average Medicaid CMI  = 1.2286. This is a four quarter average previously calculated since RUGs are not supported.</t>
    </r>
  </si>
  <si>
    <t>743 Bel Pre had a replacement facility and had a new assessment and occ waiver days for the 4/1/25 rate.</t>
  </si>
  <si>
    <t>Maryland Nursing Facility Medical Assistance 
Rates Effective April 1, 2025 
As Distributed via Web Portal March 31, 2025</t>
  </si>
  <si>
    <t>Maryland Nursing Facility Medical Assistance 
Ventilator Rates Effective April 1, 2025 
As Distributed via Web Portal March 31, 2025</t>
  </si>
  <si>
    <t>Frederick Crossing of Journey</t>
  </si>
  <si>
    <t>Dennett Rehab Center</t>
  </si>
  <si>
    <t>Lions Rehab Center</t>
  </si>
  <si>
    <t>Mountain City Rehab Center</t>
  </si>
  <si>
    <t>Ridgeway Rehab Center</t>
  </si>
  <si>
    <t>Williamsport Health and Rehabilitation Center</t>
  </si>
  <si>
    <t>03/31/2025
Medicaid CMI Vent Excluded</t>
  </si>
  <si>
    <t>03/31/2025
Medicaid Days</t>
  </si>
  <si>
    <t>03/31/2025
Medicaid Points</t>
  </si>
  <si>
    <t>03/31/2025
Medicaid CMI Vent Only</t>
  </si>
  <si>
    <t>06/30/2025
Medicaid CMI Vent Excluded</t>
  </si>
  <si>
    <t>06/30/2025
Medicaid Days</t>
  </si>
  <si>
    <t>06/30/2025
Medicaid Points</t>
  </si>
  <si>
    <t>06/30/2025 Adjusted Medicaid CMI</t>
  </si>
  <si>
    <t>06/30/2025
Medicaid CMI Vent Only</t>
  </si>
  <si>
    <t>09/30/2025
Medicaid CMI Vent Excluded</t>
  </si>
  <si>
    <t>09/30/2025
Medicaid Days</t>
  </si>
  <si>
    <t>09/30/2025
Medicaid Points</t>
  </si>
  <si>
    <t>09/30/2025 Adjusted Medicaid CMI</t>
  </si>
  <si>
    <t>09/30/2025
Medicaid CMI Vent Only</t>
  </si>
  <si>
    <t>12/31/2025
Medicaid CMI Vent Excluded</t>
  </si>
  <si>
    <t>12/31/2025
Medicaid Days</t>
  </si>
  <si>
    <t>12/31/2025
Medicaid Points</t>
  </si>
  <si>
    <t>12/31/2025 Adjusted Medicaid CMI</t>
  </si>
  <si>
    <t>12/31/2025
Medicaid CMI Vent Only</t>
  </si>
  <si>
    <t>07/01/2025 Rates</t>
  </si>
  <si>
    <t>10/01/2025 Rates</t>
  </si>
  <si>
    <t>01/01/2026 Rate</t>
  </si>
  <si>
    <t>04/01/2026 Rate</t>
  </si>
  <si>
    <t>Frostburg Village Rehab Center</t>
  </si>
  <si>
    <t>25-26 Price</t>
  </si>
  <si>
    <t>July 1, 2025</t>
  </si>
  <si>
    <t>October 1, 2025</t>
  </si>
  <si>
    <t>January 1, 2026</t>
  </si>
  <si>
    <t>April 1, 2026</t>
  </si>
  <si>
    <t>200000000148_20250701_Ventilator_RateLetter</t>
  </si>
  <si>
    <t>200000000096_20250701_Ventilator_RateLetter</t>
  </si>
  <si>
    <t>200000000115_20250701_Ventilator_RateLetter</t>
  </si>
  <si>
    <t>200000000118_20250701_Ventilator_RateLetter</t>
  </si>
  <si>
    <t>200000000078_20250701_Ventilator_RateLetter</t>
  </si>
  <si>
    <t>200000000488_20250701_Ventilator_RateLetter</t>
  </si>
  <si>
    <t>200000000242_20250701_Ventilator_RateLetter</t>
  </si>
  <si>
    <t>200000000055_20250701_Ventilator_RateLetter</t>
  </si>
  <si>
    <t>200000000134_20250701_Ventilator_RateLetter</t>
  </si>
  <si>
    <t>200000000486_20250701_Ventilator_RateLetter</t>
  </si>
  <si>
    <t>200000000212_20250701_Ventilator_RateLetter</t>
  </si>
  <si>
    <t>200000000003_20250701_Ventilator_RateLetter</t>
  </si>
  <si>
    <t>200000000222_20250701_Ventilator_RateLetter</t>
  </si>
  <si>
    <t>200000000079_20250701_Ventilator_RateLetter</t>
  </si>
  <si>
    <t>200000000480_20250701_Ventilator_RateLetter</t>
  </si>
  <si>
    <t>200000000271_20250701_Ventilator_RateLetter</t>
  </si>
  <si>
    <t>200000000179_20250701_Ventilator_RateLetter</t>
  </si>
  <si>
    <t>200000000178_20250701_Ventilator_RateLetter</t>
  </si>
  <si>
    <t>200000000148_20251001_Ventilator_RateLetter</t>
  </si>
  <si>
    <t>200000000096_20251001_Ventilator_RateLetter</t>
  </si>
  <si>
    <t>200000000115_20251001_Ventilator_RateLetter</t>
  </si>
  <si>
    <t>200000000118_20251001_Ventilator_RateLetter</t>
  </si>
  <si>
    <t>200000000078_20251001_Ventilator_RateLetter</t>
  </si>
  <si>
    <t>200000000488_20251001_Ventilator_RateLetter</t>
  </si>
  <si>
    <t>200000000242_20251001_Ventilator_RateLetter</t>
  </si>
  <si>
    <t>200000000055_20251001_Ventilator_RateLetter</t>
  </si>
  <si>
    <t>200000000134_20251001_Ventilator_RateLetter</t>
  </si>
  <si>
    <t>200000000486_20251001_Ventilator_RateLetter</t>
  </si>
  <si>
    <t>200000000212_20251001_Ventilator_RateLetter</t>
  </si>
  <si>
    <t>200000000003_20251001_Ventilator_RateLetter</t>
  </si>
  <si>
    <t>200000000222_20251001_Ventilator_RateLetter</t>
  </si>
  <si>
    <t>200000000079_20251001_Ventilator_RateLetter</t>
  </si>
  <si>
    <t>200000000480_20251001_Ventilator_RateLetter</t>
  </si>
  <si>
    <t>200000000271_20251001_Ventilator_RateLetter</t>
  </si>
  <si>
    <t>200000000179_20251001_Ventilator_RateLetter</t>
  </si>
  <si>
    <t>200000000178_20251001_Ventilator_RateLetter</t>
  </si>
  <si>
    <t>200000000148_20260101_Ventilator_RateLetter</t>
  </si>
  <si>
    <t>200000000096_20260101_Ventilator_RateLetter</t>
  </si>
  <si>
    <t>200000000115_20260101_Ventilator_RateLetter</t>
  </si>
  <si>
    <t>200000000118_20260101_Ventilator_RateLetter</t>
  </si>
  <si>
    <t>200000000078_20260101_Ventilator_RateLetter</t>
  </si>
  <si>
    <t>200000000488_20260101_Ventilator_RateLetter</t>
  </si>
  <si>
    <t>200000000242_20260101_Ventilator_RateLetter</t>
  </si>
  <si>
    <t>200000000055_20260101_Ventilator_RateLetter</t>
  </si>
  <si>
    <t>200000000134_20260101_Ventilator_RateLetter</t>
  </si>
  <si>
    <t>200000000486_20260101_Ventilator_RateLetter</t>
  </si>
  <si>
    <t>200000000212_20260101_Ventilator_RateLetter</t>
  </si>
  <si>
    <t>200000000003_20260101_Ventilator_RateLetter</t>
  </si>
  <si>
    <t>200000000222_20260101_Ventilator_RateLetter</t>
  </si>
  <si>
    <t>200000000079_20260101_Ventilator_RateLetter</t>
  </si>
  <si>
    <t>200000000480_20260101_Ventilator_RateLetter</t>
  </si>
  <si>
    <t>200000000271_20260101_Ventilator_RateLetter</t>
  </si>
  <si>
    <t>200000000179_20260101_Ventilator_RateLetter</t>
  </si>
  <si>
    <t>200000000178_20260101_Ventilator_RateLetter</t>
  </si>
  <si>
    <t>200000000148_20260401_Ventilator_RateLetter</t>
  </si>
  <si>
    <t>200000000096_20260401_Ventilator_RateLetter</t>
  </si>
  <si>
    <t>200000000115_20260401_Ventilator_RateLetter</t>
  </si>
  <si>
    <t>200000000118_20260401_Ventilator_RateLetter</t>
  </si>
  <si>
    <t>200000000078_20260401_Ventilator_RateLetter</t>
  </si>
  <si>
    <t>200000000488_20260401_Ventilator_RateLetter</t>
  </si>
  <si>
    <t>200000000242_20260401_Ventilator_RateLetter</t>
  </si>
  <si>
    <t>200000000055_20260401_Ventilator_RateLetter</t>
  </si>
  <si>
    <t>200000000134_20260401_Ventilator_RateLetter</t>
  </si>
  <si>
    <t>200000000486_20260401_Ventilator_RateLetter</t>
  </si>
  <si>
    <t>200000000212_20260401_Ventilator_RateLetter</t>
  </si>
  <si>
    <t>200000000003_20260401_Ventilator_RateLetter</t>
  </si>
  <si>
    <t>200000000222_20260401_Ventilator_RateLetter</t>
  </si>
  <si>
    <t>200000000079_20260401_Ventilator_RateLetter</t>
  </si>
  <si>
    <t>200000000480_20260401_Ventilator_RateLetter</t>
  </si>
  <si>
    <t>200000000271_20260401_Ventilator_RateLetter</t>
  </si>
  <si>
    <t>200000000179_20260401_Ventilator_RateLetter</t>
  </si>
  <si>
    <t>200000000178_20260401_Ventilator_RateLetter</t>
  </si>
  <si>
    <t>2024Q4 - Quarterly Forecast</t>
  </si>
  <si>
    <t>NURSING HOME WITHOUT CAPITAL MARKET BASKET (FY2022=1.0000)</t>
  </si>
  <si>
    <t>Used published factors starting 2021-Q2</t>
  </si>
  <si>
    <t>Proportional Adjustment for 01/01/2026 Rates</t>
  </si>
  <si>
    <t>Proportional Adjustment for 04/01/2026 Rates</t>
  </si>
  <si>
    <t>Statewide Medicaid CMI Average 12/31/2025</t>
  </si>
  <si>
    <t>Statewide Medicaid CMI Average 03/31/2025</t>
  </si>
  <si>
    <t>Statewide Medicaid CMI Average 09/30/2025</t>
  </si>
  <si>
    <t>Statewide Medicaid CMI Average 06/30/2025</t>
  </si>
  <si>
    <t>Proportional Adjustment for 10/01/2025 Rates</t>
  </si>
  <si>
    <t>226382300</t>
  </si>
  <si>
    <t>849010400</t>
  </si>
  <si>
    <t>732016700</t>
  </si>
  <si>
    <t>953018500</t>
  </si>
  <si>
    <t>198734800</t>
  </si>
  <si>
    <t>199733500</t>
  </si>
  <si>
    <t>265222600</t>
  </si>
  <si>
    <t>New 2025-2026</t>
  </si>
  <si>
    <t>FY 2025-2026</t>
  </si>
  <si>
    <t>Index for Prices, Nursing Per Diem and Kosher Kitchen</t>
  </si>
  <si>
    <t>Nursing Service Price 2024-2025</t>
  </si>
  <si>
    <t xml:space="preserve"> Indexed Nursing Service Price 2025-2026</t>
  </si>
  <si>
    <t>Nursing Service Costs
2024-2025</t>
  </si>
  <si>
    <t>Indexed Nursing Service Costs
2025-2026</t>
  </si>
  <si>
    <t>Real Estate Tax
2024 Cost reports</t>
  </si>
  <si>
    <t>Indexed Kosher Kitchen
2025-2026</t>
  </si>
  <si>
    <t>Kosher Kitchen 2024-2025</t>
  </si>
  <si>
    <t>OPC Price 2024-2025</t>
  </si>
  <si>
    <t>OPC Index Price 2025-2026</t>
  </si>
  <si>
    <t>A&amp;R Price 2024-2025</t>
  </si>
  <si>
    <t>A&amp;R Index Price 2024-2025</t>
  </si>
  <si>
    <t>Assessed Days
CY 2024</t>
  </si>
  <si>
    <t>Total Days
CY 2024</t>
  </si>
  <si>
    <t>2025-2026</t>
  </si>
  <si>
    <t>200000000159_20250701_RateLetter</t>
  </si>
  <si>
    <t>200000000010_20250701_RateLetter</t>
  </si>
  <si>
    <t>200000000047_20250701_RateLetter</t>
  </si>
  <si>
    <t>200000000077_20250701_RateLetter</t>
  </si>
  <si>
    <t>200000000245_20250701_RateLetter</t>
  </si>
  <si>
    <t>200000000291_20250701_RateLetter</t>
  </si>
  <si>
    <t>200000000157_20250701_RateLetter</t>
  </si>
  <si>
    <t>200000000084_20250701_RateLetter</t>
  </si>
  <si>
    <t>200000000030_20250701_RateLetter</t>
  </si>
  <si>
    <t>200000000007_20250701_RateLetter</t>
  </si>
  <si>
    <t>200000000076_20250701_RateLetter</t>
  </si>
  <si>
    <t>200000000202_20250701_RateLetter</t>
  </si>
  <si>
    <t>200000000014_20250701_RateLetter</t>
  </si>
  <si>
    <t>200000000200_20250701_RateLetter</t>
  </si>
  <si>
    <t>200000000121_20250701_RateLetter</t>
  </si>
  <si>
    <t>200000000253_20250701_RateLetter</t>
  </si>
  <si>
    <t>200000000095_20250701_RateLetter</t>
  </si>
  <si>
    <t>200000000148_20250701_RateLetter</t>
  </si>
  <si>
    <t>200000000082_20250701_RateLetter</t>
  </si>
  <si>
    <t>200000000013_20250701_RateLetter</t>
  </si>
  <si>
    <t>200000000145_20250701_RateLetter</t>
  </si>
  <si>
    <t>200000000033_20250701_RateLetter</t>
  </si>
  <si>
    <t>200000000186_20250701_RateLetter</t>
  </si>
  <si>
    <t>200000000124_20250701_RateLetter</t>
  </si>
  <si>
    <t>200000000144_20250701_RateLetter</t>
  </si>
  <si>
    <t>200000000199_20250701_RateLetter</t>
  </si>
  <si>
    <t>200000000019_20250701_RateLetter</t>
  </si>
  <si>
    <t>200000000058_20250701_RateLetter</t>
  </si>
  <si>
    <t>200000000023_20250701_RateLetter</t>
  </si>
  <si>
    <t>200000000177_20250701_RateLetter</t>
  </si>
  <si>
    <t>200000000164_20250701_RateLetter</t>
  </si>
  <si>
    <t>200000000292_20250701_RateLetter</t>
  </si>
  <si>
    <t>200000000201_20250701_RateLetter</t>
  </si>
  <si>
    <t>200000000016_20250701_RateLetter</t>
  </si>
  <si>
    <t>200000000194_20250701_RateLetter</t>
  </si>
  <si>
    <t>200000000052_20250701_RateLetter</t>
  </si>
  <si>
    <t>200000000221_20250701_RateLetter</t>
  </si>
  <si>
    <t>200000000041_20250701_RateLetter</t>
  </si>
  <si>
    <t>200000000183_20250701_RateLetter</t>
  </si>
  <si>
    <t>200000000184_20250701_RateLetter</t>
  </si>
  <si>
    <t>200000000051_20250701_RateLetter</t>
  </si>
  <si>
    <t>200000000193_20250701_RateLetter</t>
  </si>
  <si>
    <t>200000000020_20250701_RateLetter</t>
  </si>
  <si>
    <t>200000000035_20250701_RateLetter</t>
  </si>
  <si>
    <t>200000000091_20250701_RateLetter</t>
  </si>
  <si>
    <t>200000000208_20250701_RateLetter</t>
  </si>
  <si>
    <t>200000000096_20250701_RateLetter</t>
  </si>
  <si>
    <t>200000000293_20250701_RateLetter</t>
  </si>
  <si>
    <t>200000000100_20250701_RateLetter</t>
  </si>
  <si>
    <t>200000000269_20250701_RateLetter</t>
  </si>
  <si>
    <t>200000000101_20250701_RateLetter</t>
  </si>
  <si>
    <t>200000000080_20250701_RateLetter</t>
  </si>
  <si>
    <t>200000000105_20250701_RateLetter</t>
  </si>
  <si>
    <t>200000000106_20250701_RateLetter</t>
  </si>
  <si>
    <t>200000000012_20250701_RateLetter</t>
  </si>
  <si>
    <t>200000000229_20250701_RateLetter</t>
  </si>
  <si>
    <t>200000000108_20250701_RateLetter</t>
  </si>
  <si>
    <t>200000000088_20250701_RateLetter</t>
  </si>
  <si>
    <t>200000000114_20250701_RateLetter</t>
  </si>
  <si>
    <t>200000000115_20250701_RateLetter</t>
  </si>
  <si>
    <t>200000000116_20250701_RateLetter</t>
  </si>
  <si>
    <t>200000000203_20250701_RateLetter</t>
  </si>
  <si>
    <t>200000000040_20250701_RateLetter</t>
  </si>
  <si>
    <t>200000000118_20250701_RateLetter</t>
  </si>
  <si>
    <t>200000000078_20250701_RateLetter</t>
  </si>
  <si>
    <t>200000000015_20250701_RateLetter</t>
  </si>
  <si>
    <t>200000000488_20250701_RateLetter</t>
  </si>
  <si>
    <t>200000000059_20250701_RateLetter</t>
  </si>
  <si>
    <t>200000000242_20250701_RateLetter</t>
  </si>
  <si>
    <t>200000000021_20250701_RateLetter</t>
  </si>
  <si>
    <t>200000000055_20250701_RateLetter</t>
  </si>
  <si>
    <t>200000000048_20250701_RateLetter</t>
  </si>
  <si>
    <t>200000000061_20250701_RateLetter</t>
  </si>
  <si>
    <t>200000000032_20250701_RateLetter</t>
  </si>
  <si>
    <t>200000000227_20250701_RateLetter</t>
  </si>
  <si>
    <t>200000000266_20250701_RateLetter</t>
  </si>
  <si>
    <t>200000000127_20250701_RateLetter</t>
  </si>
  <si>
    <t>200000000237_20250701_RateLetter</t>
  </si>
  <si>
    <t>200000000001_20250701_RateLetter</t>
  </si>
  <si>
    <t>200000000024_20250701_RateLetter</t>
  </si>
  <si>
    <t>200000000049_20250701_RateLetter</t>
  </si>
  <si>
    <t>200000000092_20250701_RateLetter</t>
  </si>
  <si>
    <t>200000000065_20250701_RateLetter</t>
  </si>
  <si>
    <t>200000000304_20250701_RateLetter</t>
  </si>
  <si>
    <t>200000000133_20250701_RateLetter</t>
  </si>
  <si>
    <t>200000000039_20250701_RateLetter</t>
  </si>
  <si>
    <t>200000000261_20250701_RateLetter</t>
  </si>
  <si>
    <t>200000000134_20250701_RateLetter</t>
  </si>
  <si>
    <t>200000000037_20250701_RateLetter</t>
  </si>
  <si>
    <t>200000000135_20250701_RateLetter</t>
  </si>
  <si>
    <t>200000000031_20250701_RateLetter</t>
  </si>
  <si>
    <t>200000000005_20250701_RateLetter</t>
  </si>
  <si>
    <t>200000000136_20250701_RateLetter</t>
  </si>
  <si>
    <t>200000000025_20250701_RateLetter</t>
  </si>
  <si>
    <t>200000000137_20250701_RateLetter</t>
  </si>
  <si>
    <t>200000000139_20250701_RateLetter</t>
  </si>
  <si>
    <t>200000000140_20250701_RateLetter</t>
  </si>
  <si>
    <t>200000000103_20250701_RateLetter</t>
  </si>
  <si>
    <t>200000000486_20250701_RateLetter</t>
  </si>
  <si>
    <t>200000000267_20250701_RateLetter</t>
  </si>
  <si>
    <t>200000000112_20250701_RateLetter</t>
  </si>
  <si>
    <t>200000000113_20250701_RateLetter</t>
  </si>
  <si>
    <t>200000000154_20250701_RateLetter</t>
  </si>
  <si>
    <t>200000000170_20250701_RateLetter</t>
  </si>
  <si>
    <t>200000000212_20250701_RateLetter</t>
  </si>
  <si>
    <t>200000000003_20250701_RateLetter</t>
  </si>
  <si>
    <t>200000000252_20250701_RateLetter</t>
  </si>
  <si>
    <t>200000000130_20250701_RateLetter</t>
  </si>
  <si>
    <t>200000000218_20250701_RateLetter</t>
  </si>
  <si>
    <t>200000000222_20250701_RateLetter</t>
  </si>
  <si>
    <t>200000000234_20250701_RateLetter</t>
  </si>
  <si>
    <t>200000000072_20250701_RateLetter</t>
  </si>
  <si>
    <t>200000000146_20250701_RateLetter</t>
  </si>
  <si>
    <t>200000000147_20250701_RateLetter</t>
  </si>
  <si>
    <t>200000000120_20250701_RateLetter</t>
  </si>
  <si>
    <t>200000000018_20250701_RateLetter</t>
  </si>
  <si>
    <t>200000000156_20250701_RateLetter</t>
  </si>
  <si>
    <t>200000000036_20250701_RateLetter</t>
  </si>
  <si>
    <t>200000000126_20250701_RateLetter</t>
  </si>
  <si>
    <t>200000000002_20250701_RateLetter</t>
  </si>
  <si>
    <t>200000000165_20250701_RateLetter</t>
  </si>
  <si>
    <t>200000000166_20250701_RateLetter</t>
  </si>
  <si>
    <t>200000000160_20250701_RateLetter</t>
  </si>
  <si>
    <t>200000000303_20250701_RateLetter</t>
  </si>
  <si>
    <t>200000000264_20250701_RateLetter</t>
  </si>
  <si>
    <t>200000000064_20250701_RateLetter</t>
  </si>
  <si>
    <t>200000000174_20250701_RateLetter</t>
  </si>
  <si>
    <t>200000000046_20250701_RateLetter</t>
  </si>
  <si>
    <t>200000000189_20250701_RateLetter</t>
  </si>
  <si>
    <t>200000000175_20250701_RateLetter</t>
  </si>
  <si>
    <t>200000000022_20250701_RateLetter</t>
  </si>
  <si>
    <t>200000000079_20250701_RateLetter</t>
  </si>
  <si>
    <t>200000000009_20250701_RateLetter</t>
  </si>
  <si>
    <t>200000000480_20250701_RateLetter</t>
  </si>
  <si>
    <t>200000000301_20250701_RateLetter</t>
  </si>
  <si>
    <t>200000000271_20250701_RateLetter</t>
  </si>
  <si>
    <t>200000000179_20250701_RateLetter</t>
  </si>
  <si>
    <t>200000000479_20250701_RateLetter</t>
  </si>
  <si>
    <t>200000000299_20250701_RateLetter</t>
  </si>
  <si>
    <t>200000000294_20250701_RateLetter</t>
  </si>
  <si>
    <t>200000000181_20250701_RateLetter</t>
  </si>
  <si>
    <t>200000000182_20250701_RateLetter</t>
  </si>
  <si>
    <t>200000000190_20250701_RateLetter</t>
  </si>
  <si>
    <t>200000000191_20250701_RateLetter</t>
  </si>
  <si>
    <t>200000000185_20250701_RateLetter</t>
  </si>
  <si>
    <t>200000000111_20250701_RateLetter</t>
  </si>
  <si>
    <t>200000000204_20250701_RateLetter</t>
  </si>
  <si>
    <t>200000000483_20250701_RateLetter</t>
  </si>
  <si>
    <t>200000000298_20250701_RateLetter</t>
  </si>
  <si>
    <t>200000000151_20250701_RateLetter</t>
  </si>
  <si>
    <t>200000000187_20250701_RateLetter</t>
  </si>
  <si>
    <t>200000000188_20250701_RateLetter</t>
  </si>
  <si>
    <t>200000000207_20250701_RateLetter</t>
  </si>
  <si>
    <t>200000000210_20250701_RateLetter</t>
  </si>
  <si>
    <t>200000000214_20250701_RateLetter</t>
  </si>
  <si>
    <t>200000000216_20250701_RateLetter</t>
  </si>
  <si>
    <t>200000000217_20250701_RateLetter</t>
  </si>
  <si>
    <t>200000000068_20250701_RateLetter</t>
  </si>
  <si>
    <t>200000000169_20250701_RateLetter</t>
  </si>
  <si>
    <t>200000000129_20250701_RateLetter</t>
  </si>
  <si>
    <t>200000000053_20250701_RateLetter</t>
  </si>
  <si>
    <t>200000000063_20250701_RateLetter</t>
  </si>
  <si>
    <t>200000000176_20250701_RateLetter</t>
  </si>
  <si>
    <t>200000000243_20250701_RateLetter</t>
  </si>
  <si>
    <t>200000000228_20250701_RateLetter</t>
  </si>
  <si>
    <t>200000000122_20250701_RateLetter</t>
  </si>
  <si>
    <t>200000000006_20250701_RateLetter</t>
  </si>
  <si>
    <t>200000000060_20250701_RateLetter</t>
  </si>
  <si>
    <t>200000000224_20250701_RateLetter</t>
  </si>
  <si>
    <t>200000000178_20250701_RateLetter</t>
  </si>
  <si>
    <t>200000000225_20250701_RateLetter</t>
  </si>
  <si>
    <t>200000000011_20250701_RateLetter</t>
  </si>
  <si>
    <t>200000000029_20250701_RateLetter</t>
  </si>
  <si>
    <t>200000000481_20250701_RateLetter</t>
  </si>
  <si>
    <t>200000000295_20250701_RateLetter</t>
  </si>
  <si>
    <t>200000000232_20250701_RateLetter</t>
  </si>
  <si>
    <t>200000000107_20250701_RateLetter</t>
  </si>
  <si>
    <t>200000000050_20250701_RateLetter</t>
  </si>
  <si>
    <t>200000000235_20250701_RateLetter</t>
  </si>
  <si>
    <t>200000000062_20250701_RateLetter</t>
  </si>
  <si>
    <t>200000000008_20250701_RateLetter</t>
  </si>
  <si>
    <t>200000000238_20250701_RateLetter</t>
  </si>
  <si>
    <t>200000000223_20250701_RateLetter</t>
  </si>
  <si>
    <t>200000000045_20250701_RateLetter</t>
  </si>
  <si>
    <t>200000000240_20250701_RateLetter</t>
  </si>
  <si>
    <t>200000000241_20250701_RateLetter</t>
  </si>
  <si>
    <t>200000000044_20250701_RateLetter</t>
  </si>
  <si>
    <t>200000000125_20250701_RateLetter</t>
  </si>
  <si>
    <t>200000000004_20250701_RateLetter</t>
  </si>
  <si>
    <t>200000000195_20250701_RateLetter</t>
  </si>
  <si>
    <t>200000000196_20250701_RateLetter</t>
  </si>
  <si>
    <t>200000000198_20250701_RateLetter</t>
  </si>
  <si>
    <t>200000000162_20250701_RateLetter</t>
  </si>
  <si>
    <t>200000000180_20250701_RateLetter</t>
  </si>
  <si>
    <t>200000000231_20250701_RateLetter</t>
  </si>
  <si>
    <t>200000000478_20250701_RateLetter</t>
  </si>
  <si>
    <t>200000000034_20250701_RateLetter</t>
  </si>
  <si>
    <t>200000000263_20250701_RateLetter</t>
  </si>
  <si>
    <t>200000000251_20250701_RateLetter</t>
  </si>
  <si>
    <t>200000000254_20250701_RateLetter</t>
  </si>
  <si>
    <t>200000000230_20250701_RateLetter</t>
  </si>
  <si>
    <t>200000000257_20250701_RateLetter</t>
  </si>
  <si>
    <t>200000000258_20250701_RateLetter</t>
  </si>
  <si>
    <t>200000000259_20250701_RateLetter</t>
  </si>
  <si>
    <t>200000000159_20251001_RateLetter</t>
  </si>
  <si>
    <t>200000000010_20251001_RateLetter</t>
  </si>
  <si>
    <t>200000000047_20251001_RateLetter</t>
  </si>
  <si>
    <t>200000000077_20251001_RateLetter</t>
  </si>
  <si>
    <t>200000000245_20251001_RateLetter</t>
  </si>
  <si>
    <t>200000000291_20251001_RateLetter</t>
  </si>
  <si>
    <t>200000000157_20251001_RateLetter</t>
  </si>
  <si>
    <t>200000000084_20251001_RateLetter</t>
  </si>
  <si>
    <t>200000000030_20251001_RateLetter</t>
  </si>
  <si>
    <t>200000000007_20251001_RateLetter</t>
  </si>
  <si>
    <t>200000000076_20251001_RateLetter</t>
  </si>
  <si>
    <t>200000000202_20251001_RateLetter</t>
  </si>
  <si>
    <t>200000000014_20251001_RateLetter</t>
  </si>
  <si>
    <t>200000000200_20251001_RateLetter</t>
  </si>
  <si>
    <t>200000000121_20251001_RateLetter</t>
  </si>
  <si>
    <t>200000000253_20251001_RateLetter</t>
  </si>
  <si>
    <t>200000000095_20251001_RateLetter</t>
  </si>
  <si>
    <t>200000000148_20251001_RateLetter</t>
  </si>
  <si>
    <t>200000000082_20251001_RateLetter</t>
  </si>
  <si>
    <t>200000000013_20251001_RateLetter</t>
  </si>
  <si>
    <t>200000000145_20251001_RateLetter</t>
  </si>
  <si>
    <t>200000000033_20251001_RateLetter</t>
  </si>
  <si>
    <t>200000000186_20251001_RateLetter</t>
  </si>
  <si>
    <t>200000000124_20251001_RateLetter</t>
  </si>
  <si>
    <t>200000000144_20251001_RateLetter</t>
  </si>
  <si>
    <t>200000000199_20251001_RateLetter</t>
  </si>
  <si>
    <t>200000000019_20251001_RateLetter</t>
  </si>
  <si>
    <t>200000000058_20251001_RateLetter</t>
  </si>
  <si>
    <t>200000000023_20251001_RateLetter</t>
  </si>
  <si>
    <t>200000000177_20251001_RateLetter</t>
  </si>
  <si>
    <t>200000000164_20251001_RateLetter</t>
  </si>
  <si>
    <t>200000000292_20251001_RateLetter</t>
  </si>
  <si>
    <t>200000000201_20251001_RateLetter</t>
  </si>
  <si>
    <t>200000000016_20251001_RateLetter</t>
  </si>
  <si>
    <t>200000000194_20251001_RateLetter</t>
  </si>
  <si>
    <t>200000000052_20251001_RateLetter</t>
  </si>
  <si>
    <t>200000000221_20251001_RateLetter</t>
  </si>
  <si>
    <t>200000000041_20251001_RateLetter</t>
  </si>
  <si>
    <t>200000000183_20251001_RateLetter</t>
  </si>
  <si>
    <t>200000000184_20251001_RateLetter</t>
  </si>
  <si>
    <t>200000000051_20251001_RateLetter</t>
  </si>
  <si>
    <t>200000000193_20251001_RateLetter</t>
  </si>
  <si>
    <t>200000000020_20251001_RateLetter</t>
  </si>
  <si>
    <t>200000000035_20251001_RateLetter</t>
  </si>
  <si>
    <t>200000000091_20251001_RateLetter</t>
  </si>
  <si>
    <t>200000000208_20251001_RateLetter</t>
  </si>
  <si>
    <t>200000000096_20251001_RateLetter</t>
  </si>
  <si>
    <t>200000000293_20251001_RateLetter</t>
  </si>
  <si>
    <t>200000000100_20251001_RateLetter</t>
  </si>
  <si>
    <t>200000000269_20251001_RateLetter</t>
  </si>
  <si>
    <t>200000000101_20251001_RateLetter</t>
  </si>
  <si>
    <t>200000000080_20251001_RateLetter</t>
  </si>
  <si>
    <t>200000000105_20251001_RateLetter</t>
  </si>
  <si>
    <t>200000000106_20251001_RateLetter</t>
  </si>
  <si>
    <t>200000000012_20251001_RateLetter</t>
  </si>
  <si>
    <t>200000000229_20251001_RateLetter</t>
  </si>
  <si>
    <t>200000000108_20251001_RateLetter</t>
  </si>
  <si>
    <t>200000000088_20251001_RateLetter</t>
  </si>
  <si>
    <t>200000000114_20251001_RateLetter</t>
  </si>
  <si>
    <t>200000000115_20251001_RateLetter</t>
  </si>
  <si>
    <t>200000000116_20251001_RateLetter</t>
  </si>
  <si>
    <t>200000000203_20251001_RateLetter</t>
  </si>
  <si>
    <t>200000000040_20251001_RateLetter</t>
  </si>
  <si>
    <t>200000000118_20251001_RateLetter</t>
  </si>
  <si>
    <t>200000000078_20251001_RateLetter</t>
  </si>
  <si>
    <t>200000000015_20251001_RateLetter</t>
  </si>
  <si>
    <t>200000000488_20251001_RateLetter</t>
  </si>
  <si>
    <t>200000000059_20251001_RateLetter</t>
  </si>
  <si>
    <t>200000000242_20251001_RateLetter</t>
  </si>
  <si>
    <t>200000000021_20251001_RateLetter</t>
  </si>
  <si>
    <t>200000000055_20251001_RateLetter</t>
  </si>
  <si>
    <t>200000000048_20251001_RateLetter</t>
  </si>
  <si>
    <t>200000000061_20251001_RateLetter</t>
  </si>
  <si>
    <t>200000000032_20251001_RateLetter</t>
  </si>
  <si>
    <t>200000000227_20251001_RateLetter</t>
  </si>
  <si>
    <t>200000000266_20251001_RateLetter</t>
  </si>
  <si>
    <t>200000000127_20251001_RateLetter</t>
  </si>
  <si>
    <t>200000000237_20251001_RateLetter</t>
  </si>
  <si>
    <t>200000000001_20251001_RateLetter</t>
  </si>
  <si>
    <t>200000000024_20251001_RateLetter</t>
  </si>
  <si>
    <t>200000000049_20251001_RateLetter</t>
  </si>
  <si>
    <t>200000000092_20251001_RateLetter</t>
  </si>
  <si>
    <t>200000000065_20251001_RateLetter</t>
  </si>
  <si>
    <t>200000000304_20251001_RateLetter</t>
  </si>
  <si>
    <t>200000000133_20251001_RateLetter</t>
  </si>
  <si>
    <t>200000000039_20251001_RateLetter</t>
  </si>
  <si>
    <t>200000000261_20251001_RateLetter</t>
  </si>
  <si>
    <t>200000000134_20251001_RateLetter</t>
  </si>
  <si>
    <t>200000000037_20251001_RateLetter</t>
  </si>
  <si>
    <t>200000000135_20251001_RateLetter</t>
  </si>
  <si>
    <t>200000000031_20251001_RateLetter</t>
  </si>
  <si>
    <t>200000000005_20251001_RateLetter</t>
  </si>
  <si>
    <t>200000000136_20251001_RateLetter</t>
  </si>
  <si>
    <t>200000000025_20251001_RateLetter</t>
  </si>
  <si>
    <t>200000000137_20251001_RateLetter</t>
  </si>
  <si>
    <t>200000000139_20251001_RateLetter</t>
  </si>
  <si>
    <t>200000000140_20251001_RateLetter</t>
  </si>
  <si>
    <t>200000000103_20251001_RateLetter</t>
  </si>
  <si>
    <t>200000000486_20251001_RateLetter</t>
  </si>
  <si>
    <t>200000000267_20251001_RateLetter</t>
  </si>
  <si>
    <t>200000000112_20251001_RateLetter</t>
  </si>
  <si>
    <t>200000000113_20251001_RateLetter</t>
  </si>
  <si>
    <t>200000000154_20251001_RateLetter</t>
  </si>
  <si>
    <t>200000000170_20251001_RateLetter</t>
  </si>
  <si>
    <t>200000000212_20251001_RateLetter</t>
  </si>
  <si>
    <t>200000000003_20251001_RateLetter</t>
  </si>
  <si>
    <t>200000000252_20251001_RateLetter</t>
  </si>
  <si>
    <t>200000000130_20251001_RateLetter</t>
  </si>
  <si>
    <t>200000000218_20251001_RateLetter</t>
  </si>
  <si>
    <t>200000000222_20251001_RateLetter</t>
  </si>
  <si>
    <t>200000000234_20251001_RateLetter</t>
  </si>
  <si>
    <t>200000000072_20251001_RateLetter</t>
  </si>
  <si>
    <t>200000000146_20251001_RateLetter</t>
  </si>
  <si>
    <t>200000000147_20251001_RateLetter</t>
  </si>
  <si>
    <t>200000000120_20251001_RateLetter</t>
  </si>
  <si>
    <t>200000000018_20251001_RateLetter</t>
  </si>
  <si>
    <t>200000000156_20251001_RateLetter</t>
  </si>
  <si>
    <t>200000000036_20251001_RateLetter</t>
  </si>
  <si>
    <t>200000000126_20251001_RateLetter</t>
  </si>
  <si>
    <t>200000000002_20251001_RateLetter</t>
  </si>
  <si>
    <t>200000000165_20251001_RateLetter</t>
  </si>
  <si>
    <t>200000000166_20251001_RateLetter</t>
  </si>
  <si>
    <t>200000000160_20251001_RateLetter</t>
  </si>
  <si>
    <t>200000000303_20251001_RateLetter</t>
  </si>
  <si>
    <t>200000000264_20251001_RateLetter</t>
  </si>
  <si>
    <t>200000000064_20251001_RateLetter</t>
  </si>
  <si>
    <t>200000000174_20251001_RateLetter</t>
  </si>
  <si>
    <t>200000000046_20251001_RateLetter</t>
  </si>
  <si>
    <t>200000000189_20251001_RateLetter</t>
  </si>
  <si>
    <t>200000000175_20251001_RateLetter</t>
  </si>
  <si>
    <t>200000000022_20251001_RateLetter</t>
  </si>
  <si>
    <t>200000000079_20251001_RateLetter</t>
  </si>
  <si>
    <t>200000000009_20251001_RateLetter</t>
  </si>
  <si>
    <t>200000000480_20251001_RateLetter</t>
  </si>
  <si>
    <t>200000000301_20251001_RateLetter</t>
  </si>
  <si>
    <t>200000000271_20251001_RateLetter</t>
  </si>
  <si>
    <t>200000000179_20251001_RateLetter</t>
  </si>
  <si>
    <t>200000000479_20251001_RateLetter</t>
  </si>
  <si>
    <t>200000000299_20251001_RateLetter</t>
  </si>
  <si>
    <t>200000000294_20251001_RateLetter</t>
  </si>
  <si>
    <t>200000000181_20251001_RateLetter</t>
  </si>
  <si>
    <t>200000000182_20251001_RateLetter</t>
  </si>
  <si>
    <t>200000000190_20251001_RateLetter</t>
  </si>
  <si>
    <t>200000000191_20251001_RateLetter</t>
  </si>
  <si>
    <t>200000000185_20251001_RateLetter</t>
  </si>
  <si>
    <t>200000000111_20251001_RateLetter</t>
  </si>
  <si>
    <t>200000000204_20251001_RateLetter</t>
  </si>
  <si>
    <t>200000000483_20251001_RateLetter</t>
  </si>
  <si>
    <t>200000000298_20251001_RateLetter</t>
  </si>
  <si>
    <t>200000000151_20251001_RateLetter</t>
  </si>
  <si>
    <t>200000000187_20251001_RateLetter</t>
  </si>
  <si>
    <t>200000000188_20251001_RateLetter</t>
  </si>
  <si>
    <t>200000000207_20251001_RateLetter</t>
  </si>
  <si>
    <t>200000000210_20251001_RateLetter</t>
  </si>
  <si>
    <t>200000000214_20251001_RateLetter</t>
  </si>
  <si>
    <t>200000000216_20251001_RateLetter</t>
  </si>
  <si>
    <t>200000000217_20251001_RateLetter</t>
  </si>
  <si>
    <t>200000000068_20251001_RateLetter</t>
  </si>
  <si>
    <t>200000000169_20251001_RateLetter</t>
  </si>
  <si>
    <t>200000000129_20251001_RateLetter</t>
  </si>
  <si>
    <t>200000000053_20251001_RateLetter</t>
  </si>
  <si>
    <t>200000000063_20251001_RateLetter</t>
  </si>
  <si>
    <t>200000000176_20251001_RateLetter</t>
  </si>
  <si>
    <t>200000000243_20251001_RateLetter</t>
  </si>
  <si>
    <t>200000000228_20251001_RateLetter</t>
  </si>
  <si>
    <t>200000000122_20251001_RateLetter</t>
  </si>
  <si>
    <t>200000000006_20251001_RateLetter</t>
  </si>
  <si>
    <t>200000000060_20251001_RateLetter</t>
  </si>
  <si>
    <t>200000000224_20251001_RateLetter</t>
  </si>
  <si>
    <t>200000000178_20251001_RateLetter</t>
  </si>
  <si>
    <t>200000000225_20251001_RateLetter</t>
  </si>
  <si>
    <t>200000000011_20251001_RateLetter</t>
  </si>
  <si>
    <t>200000000029_20251001_RateLetter</t>
  </si>
  <si>
    <t>200000000481_20251001_RateLetter</t>
  </si>
  <si>
    <t>200000000295_20251001_RateLetter</t>
  </si>
  <si>
    <t>200000000232_20251001_RateLetter</t>
  </si>
  <si>
    <t>200000000107_20251001_RateLetter</t>
  </si>
  <si>
    <t>200000000050_20251001_RateLetter</t>
  </si>
  <si>
    <t>200000000235_20251001_RateLetter</t>
  </si>
  <si>
    <t>200000000062_20251001_RateLetter</t>
  </si>
  <si>
    <t>200000000008_20251001_RateLetter</t>
  </si>
  <si>
    <t>200000000238_20251001_RateLetter</t>
  </si>
  <si>
    <t>200000000223_20251001_RateLetter</t>
  </si>
  <si>
    <t>200000000045_20251001_RateLetter</t>
  </si>
  <si>
    <t>200000000240_20251001_RateLetter</t>
  </si>
  <si>
    <t>200000000241_20251001_RateLetter</t>
  </si>
  <si>
    <t>200000000044_20251001_RateLetter</t>
  </si>
  <si>
    <t>200000000125_20251001_RateLetter</t>
  </si>
  <si>
    <t>200000000004_20251001_RateLetter</t>
  </si>
  <si>
    <t>200000000195_20251001_RateLetter</t>
  </si>
  <si>
    <t>200000000196_20251001_RateLetter</t>
  </si>
  <si>
    <t>200000000198_20251001_RateLetter</t>
  </si>
  <si>
    <t>200000000162_20251001_RateLetter</t>
  </si>
  <si>
    <t>200000000180_20251001_RateLetter</t>
  </si>
  <si>
    <t>200000000231_20251001_RateLetter</t>
  </si>
  <si>
    <t>200000000478_20251001_RateLetter</t>
  </si>
  <si>
    <t>200000000034_20251001_RateLetter</t>
  </si>
  <si>
    <t>200000000263_20251001_RateLetter</t>
  </si>
  <si>
    <t>200000000251_20251001_RateLetter</t>
  </si>
  <si>
    <t>200000000254_20251001_RateLetter</t>
  </si>
  <si>
    <t>200000000230_20251001_RateLetter</t>
  </si>
  <si>
    <t>200000000257_20251001_RateLetter</t>
  </si>
  <si>
    <t>200000000258_20251001_RateLetter</t>
  </si>
  <si>
    <t>200000000259_20251001_RateLetter</t>
  </si>
  <si>
    <t>April, 2026</t>
  </si>
  <si>
    <t>200000000159_20260101_RateLetter</t>
  </si>
  <si>
    <t>200000000159_20260401_RateLetter</t>
  </si>
  <si>
    <t>200000000010_20260101_RateLetter</t>
  </si>
  <si>
    <t>200000000010_20260401_RateLetter</t>
  </si>
  <si>
    <t>200000000047_20260101_RateLetter</t>
  </si>
  <si>
    <t>200000000047_20260401_RateLetter</t>
  </si>
  <si>
    <t>200000000077_20260101_RateLetter</t>
  </si>
  <si>
    <t>200000000077_20260401_RateLetter</t>
  </si>
  <si>
    <t>200000000245_20260101_RateLetter</t>
  </si>
  <si>
    <t>200000000245_20260401_RateLetter</t>
  </si>
  <si>
    <t>200000000291_20260101_RateLetter</t>
  </si>
  <si>
    <t>200000000291_20260401_RateLetter</t>
  </si>
  <si>
    <t>200000000157_20260101_RateLetter</t>
  </si>
  <si>
    <t>200000000157_20260401_RateLetter</t>
  </si>
  <si>
    <t>200000000084_20260101_RateLetter</t>
  </si>
  <si>
    <t>200000000084_20260401_RateLetter</t>
  </si>
  <si>
    <t>200000000030_20260101_RateLetter</t>
  </si>
  <si>
    <t>200000000030_20260401_RateLetter</t>
  </si>
  <si>
    <t>200000000007_20260101_RateLetter</t>
  </si>
  <si>
    <t>200000000007_20260401_RateLetter</t>
  </si>
  <si>
    <t>200000000076_20260101_RateLetter</t>
  </si>
  <si>
    <t>200000000076_20260401_RateLetter</t>
  </si>
  <si>
    <t>200000000202_20260101_RateLetter</t>
  </si>
  <si>
    <t>200000000202_20260401_RateLetter</t>
  </si>
  <si>
    <t>200000000014_20260101_RateLetter</t>
  </si>
  <si>
    <t>200000000014_20260401_RateLetter</t>
  </si>
  <si>
    <t>200000000200_20260101_RateLetter</t>
  </si>
  <si>
    <t>200000000200_20260401_RateLetter</t>
  </si>
  <si>
    <t>200000000121_20260101_RateLetter</t>
  </si>
  <si>
    <t>200000000121_20260401_RateLetter</t>
  </si>
  <si>
    <t>200000000253_20260101_RateLetter</t>
  </si>
  <si>
    <t>200000000253_20260401_RateLetter</t>
  </si>
  <si>
    <t>200000000095_20260101_RateLetter</t>
  </si>
  <si>
    <t>200000000095_20260401_RateLetter</t>
  </si>
  <si>
    <t>200000000148_20260101_RateLetter</t>
  </si>
  <si>
    <t>200000000148_20260401_RateLetter</t>
  </si>
  <si>
    <t>200000000082_20260101_RateLetter</t>
  </si>
  <si>
    <t>200000000082_20260401_RateLetter</t>
  </si>
  <si>
    <t>200000000013_20260101_RateLetter</t>
  </si>
  <si>
    <t>200000000013_20260401_RateLetter</t>
  </si>
  <si>
    <t>200000000145_20260101_RateLetter</t>
  </si>
  <si>
    <t>200000000145_20260401_RateLetter</t>
  </si>
  <si>
    <t>200000000033_20260101_RateLetter</t>
  </si>
  <si>
    <t>200000000033_20260401_RateLetter</t>
  </si>
  <si>
    <t>200000000186_20260101_RateLetter</t>
  </si>
  <si>
    <t>200000000186_20260401_RateLetter</t>
  </si>
  <si>
    <t>200000000124_20260101_RateLetter</t>
  </si>
  <si>
    <t>200000000124_20260401_RateLetter</t>
  </si>
  <si>
    <t>200000000144_20260101_RateLetter</t>
  </si>
  <si>
    <t>200000000144_20260401_RateLetter</t>
  </si>
  <si>
    <t>200000000199_20260101_RateLetter</t>
  </si>
  <si>
    <t>200000000199_20260401_RateLetter</t>
  </si>
  <si>
    <t>200000000019_20260101_RateLetter</t>
  </si>
  <si>
    <t>200000000019_20260401_RateLetter</t>
  </si>
  <si>
    <t>200000000058_20260101_RateLetter</t>
  </si>
  <si>
    <t>200000000058_20260401_RateLetter</t>
  </si>
  <si>
    <t>200000000023_20260101_RateLetter</t>
  </si>
  <si>
    <t>200000000023_20260401_RateLetter</t>
  </si>
  <si>
    <t>200000000177_20260101_RateLetter</t>
  </si>
  <si>
    <t>200000000177_20260401_RateLetter</t>
  </si>
  <si>
    <t>200000000164_20260101_RateLetter</t>
  </si>
  <si>
    <t>200000000164_20260401_RateLetter</t>
  </si>
  <si>
    <t>200000000292_20260101_RateLetter</t>
  </si>
  <si>
    <t>200000000292_20260401_RateLetter</t>
  </si>
  <si>
    <t>200000000201_20260101_RateLetter</t>
  </si>
  <si>
    <t>200000000201_20260401_RateLetter</t>
  </si>
  <si>
    <t>200000000016_20260101_RateLetter</t>
  </si>
  <si>
    <t>200000000016_20260401_RateLetter</t>
  </si>
  <si>
    <t>200000000194_20260101_RateLetter</t>
  </si>
  <si>
    <t>200000000194_20260401_RateLetter</t>
  </si>
  <si>
    <t>200000000052_20260101_RateLetter</t>
  </si>
  <si>
    <t>200000000052_20260401_RateLetter</t>
  </si>
  <si>
    <t>200000000221_20260101_RateLetter</t>
  </si>
  <si>
    <t>200000000221_20260401_RateLetter</t>
  </si>
  <si>
    <t>200000000041_20260101_RateLetter</t>
  </si>
  <si>
    <t>200000000041_20260401_RateLetter</t>
  </si>
  <si>
    <t>200000000183_20260101_RateLetter</t>
  </si>
  <si>
    <t>200000000183_20260401_RateLetter</t>
  </si>
  <si>
    <t>200000000184_20260101_RateLetter</t>
  </si>
  <si>
    <t>200000000184_20260401_RateLetter</t>
  </si>
  <si>
    <t>200000000051_20260101_RateLetter</t>
  </si>
  <si>
    <t>200000000051_20260401_RateLetter</t>
  </si>
  <si>
    <t>200000000193_20260101_RateLetter</t>
  </si>
  <si>
    <t>200000000193_20260401_RateLetter</t>
  </si>
  <si>
    <t>200000000020_20260101_RateLetter</t>
  </si>
  <si>
    <t>200000000020_20260401_RateLetter</t>
  </si>
  <si>
    <t>200000000035_20260101_RateLetter</t>
  </si>
  <si>
    <t>200000000035_20260401_RateLetter</t>
  </si>
  <si>
    <t>200000000091_20260101_RateLetter</t>
  </si>
  <si>
    <t>200000000091_20260401_RateLetter</t>
  </si>
  <si>
    <t>200000000208_20260101_RateLetter</t>
  </si>
  <si>
    <t>200000000208_20260401_RateLetter</t>
  </si>
  <si>
    <t>200000000096_20260101_RateLetter</t>
  </si>
  <si>
    <t>200000000096_20260401_RateLetter</t>
  </si>
  <si>
    <t>200000000293_20260101_RateLetter</t>
  </si>
  <si>
    <t>200000000293_20260401_RateLetter</t>
  </si>
  <si>
    <t>200000000100_20260101_RateLetter</t>
  </si>
  <si>
    <t>200000000100_20260401_RateLetter</t>
  </si>
  <si>
    <t>200000000269_20260101_RateLetter</t>
  </si>
  <si>
    <t>200000000269_20260401_RateLetter</t>
  </si>
  <si>
    <t>200000000101_20260101_RateLetter</t>
  </si>
  <si>
    <t>200000000101_20260401_RateLetter</t>
  </si>
  <si>
    <t>200000000080_20260101_RateLetter</t>
  </si>
  <si>
    <t>200000000080_20260401_RateLetter</t>
  </si>
  <si>
    <t>200000000105_20260101_RateLetter</t>
  </si>
  <si>
    <t>200000000105_20260401_RateLetter</t>
  </si>
  <si>
    <t>200000000106_20260101_RateLetter</t>
  </si>
  <si>
    <t>200000000106_20260401_RateLetter</t>
  </si>
  <si>
    <t>200000000012_20260101_RateLetter</t>
  </si>
  <si>
    <t>200000000012_20260401_RateLetter</t>
  </si>
  <si>
    <t>200000000229_20260101_RateLetter</t>
  </si>
  <si>
    <t>200000000229_20260401_RateLetter</t>
  </si>
  <si>
    <t>200000000108_20260101_RateLetter</t>
  </si>
  <si>
    <t>200000000108_20260401_RateLetter</t>
  </si>
  <si>
    <t>200000000088_20260101_RateLetter</t>
  </si>
  <si>
    <t>200000000088_20260401_RateLetter</t>
  </si>
  <si>
    <t>200000000114_20260101_RateLetter</t>
  </si>
  <si>
    <t>200000000114_20260401_RateLetter</t>
  </si>
  <si>
    <t>200000000115_20260101_RateLetter</t>
  </si>
  <si>
    <t>200000000115_20260401_RateLetter</t>
  </si>
  <si>
    <t>200000000116_20260101_RateLetter</t>
  </si>
  <si>
    <t>200000000116_20260401_RateLetter</t>
  </si>
  <si>
    <t>200000000203_20260101_RateLetter</t>
  </si>
  <si>
    <t>200000000203_20260401_RateLetter</t>
  </si>
  <si>
    <t>200000000040_20260101_RateLetter</t>
  </si>
  <si>
    <t>200000000040_20260401_RateLetter</t>
  </si>
  <si>
    <t>200000000118_20260101_RateLetter</t>
  </si>
  <si>
    <t>200000000118_20260401_RateLetter</t>
  </si>
  <si>
    <t>200000000078_20260101_RateLetter</t>
  </si>
  <si>
    <t>200000000078_20260401_RateLetter</t>
  </si>
  <si>
    <t>200000000015_20260101_RateLetter</t>
  </si>
  <si>
    <t>200000000015_20260401_RateLetter</t>
  </si>
  <si>
    <t>200000000488_20260101_RateLetter</t>
  </si>
  <si>
    <t>200000000488_20260401_RateLetter</t>
  </si>
  <si>
    <t>200000000059_20260101_RateLetter</t>
  </si>
  <si>
    <t>200000000059_20260401_RateLetter</t>
  </si>
  <si>
    <t>200000000242_20260101_RateLetter</t>
  </si>
  <si>
    <t>200000000242_20260401_RateLetter</t>
  </si>
  <si>
    <t>200000000021_20260101_RateLetter</t>
  </si>
  <si>
    <t>200000000021_20260401_RateLetter</t>
  </si>
  <si>
    <t>200000000055_20260101_RateLetter</t>
  </si>
  <si>
    <t>200000000055_20260401_RateLetter</t>
  </si>
  <si>
    <t>200000000048_20260101_RateLetter</t>
  </si>
  <si>
    <t>200000000048_20260401_RateLetter</t>
  </si>
  <si>
    <t>200000000061_20260101_RateLetter</t>
  </si>
  <si>
    <t>200000000061_20260401_RateLetter</t>
  </si>
  <si>
    <t>200000000032_20260101_RateLetter</t>
  </si>
  <si>
    <t>200000000032_20260401_RateLetter</t>
  </si>
  <si>
    <t>200000000227_20260101_RateLetter</t>
  </si>
  <si>
    <t>200000000227_20260401_RateLetter</t>
  </si>
  <si>
    <t>200000000266_20260101_RateLetter</t>
  </si>
  <si>
    <t>200000000266_20260401_RateLetter</t>
  </si>
  <si>
    <t>200000000127_20260101_RateLetter</t>
  </si>
  <si>
    <t>200000000127_20260401_RateLetter</t>
  </si>
  <si>
    <t>200000000237_20260101_RateLetter</t>
  </si>
  <si>
    <t>200000000237_20260401_RateLetter</t>
  </si>
  <si>
    <t>200000000001_20260101_RateLetter</t>
  </si>
  <si>
    <t>200000000001_20260401_RateLetter</t>
  </si>
  <si>
    <t>200000000024_20260101_RateLetter</t>
  </si>
  <si>
    <t>200000000024_20260401_RateLetter</t>
  </si>
  <si>
    <t>200000000049_20260101_RateLetter</t>
  </si>
  <si>
    <t>200000000049_20260401_RateLetter</t>
  </si>
  <si>
    <t>200000000092_20260101_RateLetter</t>
  </si>
  <si>
    <t>200000000092_20260401_RateLetter</t>
  </si>
  <si>
    <t>200000000065_20260101_RateLetter</t>
  </si>
  <si>
    <t>200000000065_20260401_RateLetter</t>
  </si>
  <si>
    <t>200000000304_20260101_RateLetter</t>
  </si>
  <si>
    <t>200000000304_20260401_RateLetter</t>
  </si>
  <si>
    <t>200000000133_20260101_RateLetter</t>
  </si>
  <si>
    <t>200000000133_20260401_RateLetter</t>
  </si>
  <si>
    <t>200000000039_20260101_RateLetter</t>
  </si>
  <si>
    <t>200000000039_20260401_RateLetter</t>
  </si>
  <si>
    <t>200000000261_20260101_RateLetter</t>
  </si>
  <si>
    <t>200000000261_20260401_RateLetter</t>
  </si>
  <si>
    <t>200000000134_20260101_RateLetter</t>
  </si>
  <si>
    <t>200000000134_20260401_RateLetter</t>
  </si>
  <si>
    <t>200000000037_20260101_RateLetter</t>
  </si>
  <si>
    <t>200000000037_20260401_RateLetter</t>
  </si>
  <si>
    <t>200000000135_20260101_RateLetter</t>
  </si>
  <si>
    <t>200000000135_20260401_RateLetter</t>
  </si>
  <si>
    <t>200000000031_20260101_RateLetter</t>
  </si>
  <si>
    <t>200000000031_20260401_RateLetter</t>
  </si>
  <si>
    <t>200000000005_20260101_RateLetter</t>
  </si>
  <si>
    <t>200000000005_20260401_RateLetter</t>
  </si>
  <si>
    <t>200000000136_20260101_RateLetter</t>
  </si>
  <si>
    <t>200000000136_20260401_RateLetter</t>
  </si>
  <si>
    <t>200000000025_20260101_RateLetter</t>
  </si>
  <si>
    <t>200000000025_20260401_RateLetter</t>
  </si>
  <si>
    <t>200000000137_20260101_RateLetter</t>
  </si>
  <si>
    <t>200000000137_20260401_RateLetter</t>
  </si>
  <si>
    <t>200000000139_20260101_RateLetter</t>
  </si>
  <si>
    <t>200000000139_20260401_RateLetter</t>
  </si>
  <si>
    <t>200000000140_20260101_RateLetter</t>
  </si>
  <si>
    <t>200000000140_20260401_RateLetter</t>
  </si>
  <si>
    <t>200000000103_20260101_RateLetter</t>
  </si>
  <si>
    <t>200000000103_20260401_RateLetter</t>
  </si>
  <si>
    <t>200000000486_20260101_RateLetter</t>
  </si>
  <si>
    <t>200000000486_20260401_RateLetter</t>
  </si>
  <si>
    <t>200000000267_20260101_RateLetter</t>
  </si>
  <si>
    <t>200000000267_20260401_RateLetter</t>
  </si>
  <si>
    <t>200000000112_20260101_RateLetter</t>
  </si>
  <si>
    <t>200000000112_20260401_RateLetter</t>
  </si>
  <si>
    <t>200000000113_20260101_RateLetter</t>
  </si>
  <si>
    <t>200000000113_20260401_RateLetter</t>
  </si>
  <si>
    <t>200000000154_20260101_RateLetter</t>
  </si>
  <si>
    <t>200000000154_20260401_RateLetter</t>
  </si>
  <si>
    <t>200000000170_20260101_RateLetter</t>
  </si>
  <si>
    <t>200000000170_20260401_RateLetter</t>
  </si>
  <si>
    <t>200000000212_20260101_RateLetter</t>
  </si>
  <si>
    <t>200000000212_20260401_RateLetter</t>
  </si>
  <si>
    <t>200000000003_20260101_RateLetter</t>
  </si>
  <si>
    <t>200000000003_20260401_RateLetter</t>
  </si>
  <si>
    <t>200000000252_20260101_RateLetter</t>
  </si>
  <si>
    <t>200000000252_20260401_RateLetter</t>
  </si>
  <si>
    <t>200000000130_20260101_RateLetter</t>
  </si>
  <si>
    <t>200000000130_20260401_RateLetter</t>
  </si>
  <si>
    <t>200000000218_20260101_RateLetter</t>
  </si>
  <si>
    <t>200000000218_20260401_RateLetter</t>
  </si>
  <si>
    <t>200000000222_20260101_RateLetter</t>
  </si>
  <si>
    <t>200000000222_20260401_RateLetter</t>
  </si>
  <si>
    <t>200000000234_20260101_RateLetter</t>
  </si>
  <si>
    <t>200000000234_20260401_RateLetter</t>
  </si>
  <si>
    <t>200000000072_20260101_RateLetter</t>
  </si>
  <si>
    <t>200000000072_20260401_RateLetter</t>
  </si>
  <si>
    <t>200000000146_20260101_RateLetter</t>
  </si>
  <si>
    <t>200000000146_20260401_RateLetter</t>
  </si>
  <si>
    <t>200000000147_20260101_RateLetter</t>
  </si>
  <si>
    <t>200000000147_20260401_RateLetter</t>
  </si>
  <si>
    <t>200000000120_20260101_RateLetter</t>
  </si>
  <si>
    <t>200000000120_20260401_RateLetter</t>
  </si>
  <si>
    <t>200000000018_20260101_RateLetter</t>
  </si>
  <si>
    <t>200000000018_20260401_RateLetter</t>
  </si>
  <si>
    <t>200000000156_20260101_RateLetter</t>
  </si>
  <si>
    <t>200000000156_20260401_RateLetter</t>
  </si>
  <si>
    <t>200000000036_20260101_RateLetter</t>
  </si>
  <si>
    <t>200000000036_20260401_RateLetter</t>
  </si>
  <si>
    <t>200000000126_20260101_RateLetter</t>
  </si>
  <si>
    <t>200000000126_20260401_RateLetter</t>
  </si>
  <si>
    <t>200000000002_20260101_RateLetter</t>
  </si>
  <si>
    <t>200000000002_20260401_RateLetter</t>
  </si>
  <si>
    <t>200000000165_20260101_RateLetter</t>
  </si>
  <si>
    <t>200000000165_20260401_RateLetter</t>
  </si>
  <si>
    <t>200000000166_20260101_RateLetter</t>
  </si>
  <si>
    <t>200000000166_20260401_RateLetter</t>
  </si>
  <si>
    <t>200000000160_20260101_RateLetter</t>
  </si>
  <si>
    <t>200000000160_20260401_RateLetter</t>
  </si>
  <si>
    <t>200000000303_20260101_RateLetter</t>
  </si>
  <si>
    <t>200000000303_20260401_RateLetter</t>
  </si>
  <si>
    <t>200000000264_20260101_RateLetter</t>
  </si>
  <si>
    <t>200000000264_20260401_RateLetter</t>
  </si>
  <si>
    <t>200000000064_20260101_RateLetter</t>
  </si>
  <si>
    <t>200000000064_20260401_RateLetter</t>
  </si>
  <si>
    <t>200000000174_20260101_RateLetter</t>
  </si>
  <si>
    <t>200000000174_20260401_RateLetter</t>
  </si>
  <si>
    <t>200000000046_20260101_RateLetter</t>
  </si>
  <si>
    <t>200000000046_20260401_RateLetter</t>
  </si>
  <si>
    <t>200000000189_20260101_RateLetter</t>
  </si>
  <si>
    <t>200000000189_20260401_RateLetter</t>
  </si>
  <si>
    <t>200000000175_20260101_RateLetter</t>
  </si>
  <si>
    <t>200000000175_20260401_RateLetter</t>
  </si>
  <si>
    <t>200000000022_20260101_RateLetter</t>
  </si>
  <si>
    <t>200000000022_20260401_RateLetter</t>
  </si>
  <si>
    <t>200000000079_20260101_RateLetter</t>
  </si>
  <si>
    <t>200000000079_20260401_RateLetter</t>
  </si>
  <si>
    <t>200000000009_20260101_RateLetter</t>
  </si>
  <si>
    <t>200000000009_20260401_RateLetter</t>
  </si>
  <si>
    <t>200000000480_20260101_RateLetter</t>
  </si>
  <si>
    <t>200000000480_20260401_RateLetter</t>
  </si>
  <si>
    <t>200000000301_20260101_RateLetter</t>
  </si>
  <si>
    <t>200000000301_20260401_RateLetter</t>
  </si>
  <si>
    <t>200000000271_20260101_RateLetter</t>
  </si>
  <si>
    <t>200000000271_20260401_RateLetter</t>
  </si>
  <si>
    <t>200000000179_20260101_RateLetter</t>
  </si>
  <si>
    <t>200000000179_20260401_RateLetter</t>
  </si>
  <si>
    <t>200000000479_20260101_RateLetter</t>
  </si>
  <si>
    <t>200000000479_20260401_RateLetter</t>
  </si>
  <si>
    <t>200000000299_20260101_RateLetter</t>
  </si>
  <si>
    <t>200000000299_20260401_RateLetter</t>
  </si>
  <si>
    <t>200000000294_20260101_RateLetter</t>
  </si>
  <si>
    <t>200000000294_20260401_RateLetter</t>
  </si>
  <si>
    <t>200000000181_20260101_RateLetter</t>
  </si>
  <si>
    <t>200000000181_20260401_RateLetter</t>
  </si>
  <si>
    <t>200000000182_20260101_RateLetter</t>
  </si>
  <si>
    <t>200000000182_20260401_RateLetter</t>
  </si>
  <si>
    <t>200000000190_20260101_RateLetter</t>
  </si>
  <si>
    <t>200000000190_20260401_RateLetter</t>
  </si>
  <si>
    <t>200000000191_20260101_RateLetter</t>
  </si>
  <si>
    <t>200000000191_20260401_RateLetter</t>
  </si>
  <si>
    <t>200000000185_20260101_RateLetter</t>
  </si>
  <si>
    <t>200000000185_20260401_RateLetter</t>
  </si>
  <si>
    <t>200000000111_20260101_RateLetter</t>
  </si>
  <si>
    <t>200000000111_20260401_RateLetter</t>
  </si>
  <si>
    <t>200000000204_20260101_RateLetter</t>
  </si>
  <si>
    <t>200000000204_20260401_RateLetter</t>
  </si>
  <si>
    <t>200000000483_20260101_RateLetter</t>
  </si>
  <si>
    <t>200000000483_20260401_RateLetter</t>
  </si>
  <si>
    <t>200000000298_20260101_RateLetter</t>
  </si>
  <si>
    <t>200000000298_20260401_RateLetter</t>
  </si>
  <si>
    <t>200000000151_20260101_RateLetter</t>
  </si>
  <si>
    <t>200000000151_20260401_RateLetter</t>
  </si>
  <si>
    <t>200000000187_20260101_RateLetter</t>
  </si>
  <si>
    <t>200000000187_20260401_RateLetter</t>
  </si>
  <si>
    <t>200000000188_20260101_RateLetter</t>
  </si>
  <si>
    <t>200000000188_20260401_RateLetter</t>
  </si>
  <si>
    <t>200000000207_20260101_RateLetter</t>
  </si>
  <si>
    <t>200000000207_20260401_RateLetter</t>
  </si>
  <si>
    <t>200000000210_20260101_RateLetter</t>
  </si>
  <si>
    <t>200000000210_20260401_RateLetter</t>
  </si>
  <si>
    <t>200000000214_20260101_RateLetter</t>
  </si>
  <si>
    <t>200000000214_20260401_RateLetter</t>
  </si>
  <si>
    <t>200000000216_20260101_RateLetter</t>
  </si>
  <si>
    <t>200000000216_20260401_RateLetter</t>
  </si>
  <si>
    <t>200000000217_20260101_RateLetter</t>
  </si>
  <si>
    <t>200000000217_20260401_RateLetter</t>
  </si>
  <si>
    <t>200000000068_20260101_RateLetter</t>
  </si>
  <si>
    <t>200000000068_20260401_RateLetter</t>
  </si>
  <si>
    <t>200000000169_20260101_RateLetter</t>
  </si>
  <si>
    <t>200000000169_20260401_RateLetter</t>
  </si>
  <si>
    <t>200000000129_20260101_RateLetter</t>
  </si>
  <si>
    <t>200000000129_20260401_RateLetter</t>
  </si>
  <si>
    <t>200000000053_20260101_RateLetter</t>
  </si>
  <si>
    <t>200000000053_20260401_RateLetter</t>
  </si>
  <si>
    <t>200000000063_20260101_RateLetter</t>
  </si>
  <si>
    <t>200000000063_20260401_RateLetter</t>
  </si>
  <si>
    <t>200000000176_20260101_RateLetter</t>
  </si>
  <si>
    <t>200000000176_20260401_RateLetter</t>
  </si>
  <si>
    <t>200000000243_20260101_RateLetter</t>
  </si>
  <si>
    <t>200000000243_20260401_RateLetter</t>
  </si>
  <si>
    <t>200000000228_20260101_RateLetter</t>
  </si>
  <si>
    <t>200000000228_20260401_RateLetter</t>
  </si>
  <si>
    <t>200000000122_20260101_RateLetter</t>
  </si>
  <si>
    <t>200000000122_20260401_RateLetter</t>
  </si>
  <si>
    <t>200000000006_20260101_RateLetter</t>
  </si>
  <si>
    <t>200000000006_20260401_RateLetter</t>
  </si>
  <si>
    <t>200000000060_20260101_RateLetter</t>
  </si>
  <si>
    <t>200000000060_20260401_RateLetter</t>
  </si>
  <si>
    <t>200000000224_20260101_RateLetter</t>
  </si>
  <si>
    <t>200000000224_20260401_RateLetter</t>
  </si>
  <si>
    <t>200000000178_20260101_RateLetter</t>
  </si>
  <si>
    <t>200000000178_20260401_RateLetter</t>
  </si>
  <si>
    <t>200000000225_20260101_RateLetter</t>
  </si>
  <si>
    <t>200000000225_20260401_RateLetter</t>
  </si>
  <si>
    <t>200000000011_20260101_RateLetter</t>
  </si>
  <si>
    <t>200000000011_20260401_RateLetter</t>
  </si>
  <si>
    <t>200000000029_20260101_RateLetter</t>
  </si>
  <si>
    <t>200000000029_20260401_RateLetter</t>
  </si>
  <si>
    <t>200000000481_20260101_RateLetter</t>
  </si>
  <si>
    <t>200000000481_20260401_RateLetter</t>
  </si>
  <si>
    <t>200000000295_20260101_RateLetter</t>
  </si>
  <si>
    <t>200000000295_20260401_RateLetter</t>
  </si>
  <si>
    <t>200000000232_20260101_RateLetter</t>
  </si>
  <si>
    <t>200000000232_20260401_RateLetter</t>
  </si>
  <si>
    <t>200000000107_20260101_RateLetter</t>
  </si>
  <si>
    <t>200000000107_20260401_RateLetter</t>
  </si>
  <si>
    <t>200000000050_20260101_RateLetter</t>
  </si>
  <si>
    <t>200000000050_20260401_RateLetter</t>
  </si>
  <si>
    <t>200000000235_20260101_RateLetter</t>
  </si>
  <si>
    <t>200000000235_20260401_RateLetter</t>
  </si>
  <si>
    <t>200000000062_20260101_RateLetter</t>
  </si>
  <si>
    <t>200000000062_20260401_RateLetter</t>
  </si>
  <si>
    <t>200000000008_20260101_RateLetter</t>
  </si>
  <si>
    <t>200000000008_20260401_RateLetter</t>
  </si>
  <si>
    <t>200000000238_20260101_RateLetter</t>
  </si>
  <si>
    <t>200000000238_20260401_RateLetter</t>
  </si>
  <si>
    <t>200000000223_20260101_RateLetter</t>
  </si>
  <si>
    <t>200000000223_20260401_RateLetter</t>
  </si>
  <si>
    <t>200000000045_20260101_RateLetter</t>
  </si>
  <si>
    <t>200000000045_20260401_RateLetter</t>
  </si>
  <si>
    <t>200000000240_20260101_RateLetter</t>
  </si>
  <si>
    <t>200000000240_20260401_RateLetter</t>
  </si>
  <si>
    <t>200000000241_20260101_RateLetter</t>
  </si>
  <si>
    <t>200000000241_20260401_RateLetter</t>
  </si>
  <si>
    <t>200000000044_20260101_RateLetter</t>
  </si>
  <si>
    <t>200000000044_20260401_RateLetter</t>
  </si>
  <si>
    <t>200000000125_20260101_RateLetter</t>
  </si>
  <si>
    <t>200000000125_20260401_RateLetter</t>
  </si>
  <si>
    <t>200000000004_20260101_RateLetter</t>
  </si>
  <si>
    <t>200000000004_20260401_RateLetter</t>
  </si>
  <si>
    <t>200000000195_20260101_RateLetter</t>
  </si>
  <si>
    <t>200000000195_20260401_RateLetter</t>
  </si>
  <si>
    <t>200000000196_20260101_RateLetter</t>
  </si>
  <si>
    <t>200000000196_20260401_RateLetter</t>
  </si>
  <si>
    <t>200000000198_20260101_RateLetter</t>
  </si>
  <si>
    <t>200000000198_20260401_RateLetter</t>
  </si>
  <si>
    <t>200000000162_20260101_RateLetter</t>
  </si>
  <si>
    <t>200000000162_20260401_RateLetter</t>
  </si>
  <si>
    <t>200000000180_20260101_RateLetter</t>
  </si>
  <si>
    <t>200000000180_20260401_RateLetter</t>
  </si>
  <si>
    <t>200000000231_20260101_RateLetter</t>
  </si>
  <si>
    <t>200000000231_20260401_RateLetter</t>
  </si>
  <si>
    <t>200000000478_20260101_RateLetter</t>
  </si>
  <si>
    <t>200000000478_20260401_RateLetter</t>
  </si>
  <si>
    <t>200000000034_20260101_RateLetter</t>
  </si>
  <si>
    <t>200000000034_20260401_RateLetter</t>
  </si>
  <si>
    <t>200000000263_20260101_RateLetter</t>
  </si>
  <si>
    <t>200000000263_20260401_RateLetter</t>
  </si>
  <si>
    <t>200000000251_20260101_RateLetter</t>
  </si>
  <si>
    <t>200000000251_20260401_RateLetter</t>
  </si>
  <si>
    <t>200000000254_20260101_RateLetter</t>
  </si>
  <si>
    <t>200000000254_20260401_RateLetter</t>
  </si>
  <si>
    <t>200000000230_20260101_RateLetter</t>
  </si>
  <si>
    <t>200000000230_20260401_RateLetter</t>
  </si>
  <si>
    <t>200000000257_20260101_RateLetter</t>
  </si>
  <si>
    <t>200000000257_20260401_RateLetter</t>
  </si>
  <si>
    <t>200000000258_20260101_RateLetter</t>
  </si>
  <si>
    <t>200000000258_20260401_RateLetter</t>
  </si>
  <si>
    <t>200000000259_20260101_RateLetter</t>
  </si>
  <si>
    <t>200000000259_20260401_RateLetter</t>
  </si>
  <si>
    <t>Effective July 1, 2025 - September 30, 2025</t>
  </si>
  <si>
    <t>MD0001_20250701_Average_RateLetter</t>
  </si>
  <si>
    <t>MD0001_20251001_Average_RateLetter</t>
  </si>
  <si>
    <t>MD0002_20250701_Average_RateLetter</t>
  </si>
  <si>
    <t>MD0002_20251001_Average_RateLetter</t>
  </si>
  <si>
    <t>MD0004_20250701_Average_RateLetter</t>
  </si>
  <si>
    <t>MD0004_20251001_Average_RateLetter</t>
  </si>
  <si>
    <t>MD0005_20250701_Average_RateLetter</t>
  </si>
  <si>
    <t>MD0005_20251001_Average_RateLetter</t>
  </si>
  <si>
    <t>MD0006_20250701_Average_RateLetter</t>
  </si>
  <si>
    <t>MD0006_20251001_Average_RateLetter</t>
  </si>
  <si>
    <t>MD0007_20250701_Average_RateLetter</t>
  </si>
  <si>
    <t>MD0007_20251001_Average_RateLetter</t>
  </si>
  <si>
    <t>200000000487_20250701_Average_RateLetter</t>
  </si>
  <si>
    <t>200000000487_20251001_Average_RateLetter</t>
  </si>
  <si>
    <t>MD0009_20250701_Average_RateLetter</t>
  </si>
  <si>
    <t>MD0009_20251001_Average_RateLetter</t>
  </si>
  <si>
    <t>MD0010_20250701_Average_RateLetter</t>
  </si>
  <si>
    <t>MD0010_20251001_Average_RateLetter</t>
  </si>
  <si>
    <t>200000000099_20250701_Average_RateLetter</t>
  </si>
  <si>
    <t>200000000099_20251001_Average_RateLetter</t>
  </si>
  <si>
    <t>MD0001_20260101_Average_RateLetter</t>
  </si>
  <si>
    <t>MD0001_20260401_Average_RateLetter</t>
  </si>
  <si>
    <t>MD0002_20260101_Average_RateLetter</t>
  </si>
  <si>
    <t>MD0002_20260401_Average_RateLetter</t>
  </si>
  <si>
    <t>MD0004_20260101_Average_RateLetter</t>
  </si>
  <si>
    <t>MD0004_20260401_Average_RateLetter</t>
  </si>
  <si>
    <t>MD0005_20260101_Average_RateLetter</t>
  </si>
  <si>
    <t>MD0005_20260401_Average_RateLetter</t>
  </si>
  <si>
    <t>MD0006_20260101_Average_RateLetter</t>
  </si>
  <si>
    <t>MD0006_20260401_Average_RateLetter</t>
  </si>
  <si>
    <t>MD0007_20260101_Average_RateLetter</t>
  </si>
  <si>
    <t>MD0007_20260401_Average_RateLetter</t>
  </si>
  <si>
    <t>200000000487_20260101_Average_RateLetter</t>
  </si>
  <si>
    <t>200000000487_20260401_Average_RateLetter</t>
  </si>
  <si>
    <t>MD0009_20260101_Average_RateLetter</t>
  </si>
  <si>
    <t>MD0009_20260401_Average_RateLetter</t>
  </si>
  <si>
    <t>MD0010_20260101_Average_RateLetter</t>
  </si>
  <si>
    <t>MD0010_20260401_Average_RateLetter</t>
  </si>
  <si>
    <t>200000000099_20260101_Average_RateLetter</t>
  </si>
  <si>
    <t>200000000099_20260401_Average_RateLetter</t>
  </si>
  <si>
    <t>JULY 2025</t>
  </si>
  <si>
    <t>OCTOBER 2025</t>
  </si>
  <si>
    <t>CY 2024 Paid Days Excluding Hospital, Therapeutic, Administrative &amp; Vent Days</t>
  </si>
  <si>
    <t>CY 2024 Admin Days</t>
  </si>
  <si>
    <t>CY 2024 Total Add Ons</t>
  </si>
  <si>
    <t>CY 2024
Therapeutic Days</t>
  </si>
  <si>
    <t>Updated the inflation tab with the Q4 2024 rates</t>
  </si>
  <si>
    <t xml:space="preserve">Updated Real Estate Tax from 2024 cost reports. </t>
  </si>
  <si>
    <t>The expected QA per diem for SFY2025 for non-Medicare days are $33.92 and $5.86 for the following 5 high Medicaid day providers:</t>
  </si>
  <si>
    <t>FY 25 Statewide Average Rate (All Payments and Days)</t>
  </si>
  <si>
    <t>Rate Details - July 2025</t>
  </si>
  <si>
    <t>Effective October 1, 2025 - December 31, 2025</t>
  </si>
  <si>
    <t>Rate Details - October 2025</t>
  </si>
  <si>
    <t>Effective January 1, 2026 - March 31, 2026</t>
  </si>
  <si>
    <t>RUG Rate Comparison - January 2026</t>
  </si>
  <si>
    <t>Effective April 1, 2026 - June 30, 2026</t>
  </si>
  <si>
    <t>RUG Rate Comparison - April 2026</t>
  </si>
  <si>
    <t>Rate Comparison - July 2025</t>
  </si>
  <si>
    <t>Rate Comparison - October 2025</t>
  </si>
  <si>
    <r>
      <t xml:space="preserve">Quarter Ending 03/31/2025 Facility Average Medicaid CMI </t>
    </r>
    <r>
      <rPr>
        <vertAlign val="superscript"/>
        <sz val="10"/>
        <rFont val="Arial Unicode MS"/>
        <family val="2"/>
      </rPr>
      <t>(1)</t>
    </r>
  </si>
  <si>
    <t>Index from Midpoint of 2024-2025 to Midpoint of 2025-2026</t>
  </si>
  <si>
    <t>Regional Price (See July 2024 letter)</t>
  </si>
  <si>
    <r>
      <t>Indexed Regional Price (Line 16 x Line 17</t>
    </r>
    <r>
      <rPr>
        <sz val="10"/>
        <color indexed="8"/>
        <rFont val="Arial Unicode MS"/>
        <family val="2"/>
      </rPr>
      <t>)</t>
    </r>
  </si>
  <si>
    <r>
      <t>Indexed Regional Price (Line 16 x Line 19</t>
    </r>
    <r>
      <rPr>
        <sz val="10"/>
        <color indexed="8"/>
        <rFont val="Arial Unicode MS"/>
        <family val="2"/>
      </rPr>
      <t>)</t>
    </r>
  </si>
  <si>
    <t>Total Appraisal Amount (Line 23 + Line 24 + (Line 25 x Line 26))</t>
  </si>
  <si>
    <r>
      <t xml:space="preserve">Appraised Value Per Bed (Line 27 </t>
    </r>
    <r>
      <rPr>
        <sz val="10"/>
        <color indexed="8"/>
        <rFont val="Arial"/>
        <family val="2"/>
      </rPr>
      <t>÷</t>
    </r>
    <r>
      <rPr>
        <sz val="10"/>
        <color indexed="8"/>
        <rFont val="Arial Unicode MS"/>
        <family val="2"/>
      </rPr>
      <t xml:space="preserve"> Line 26)</t>
    </r>
  </si>
  <si>
    <t>Final Appraised Value Per Bed (Line 28 Capped at Line 29)</t>
  </si>
  <si>
    <t>Gross Value (Line 26 x Line 30)</t>
  </si>
  <si>
    <t>Facility Annual Fair Rental Value (Line 26 x Line 30 x Line 32)</t>
  </si>
  <si>
    <r>
      <t xml:space="preserve">Fair Rental Value Per Diem (Line 33 </t>
    </r>
    <r>
      <rPr>
        <sz val="10"/>
        <color indexed="8"/>
        <rFont val="Arial"/>
        <family val="2"/>
      </rPr>
      <t>÷</t>
    </r>
    <r>
      <rPr>
        <sz val="10"/>
        <color indexed="8"/>
        <rFont val="Arial Unicode MS"/>
        <family val="2"/>
      </rPr>
      <t xml:space="preserve"> Higher of Line 14 or Line 15)</t>
    </r>
  </si>
  <si>
    <t>Capital Cost Center Rate (Line 34 + Line 35)</t>
  </si>
  <si>
    <t>Administrative and Routine (Line 18)</t>
  </si>
  <si>
    <t>Other Patient Care (Line 20)</t>
  </si>
  <si>
    <t>Capital (Line 36)</t>
  </si>
  <si>
    <r>
      <t>Nursing Service Cost Per Diem (See July 2024 letter</t>
    </r>
    <r>
      <rPr>
        <sz val="10"/>
        <color indexed="8"/>
        <rFont val="Arial Unicode MS"/>
        <family val="2"/>
      </rPr>
      <t>)</t>
    </r>
  </si>
  <si>
    <t>Indexed Nursing Service Cost Per Diem (Line 16 x Line 37)</t>
  </si>
  <si>
    <r>
      <t>Indexed Regional Price (Line 16 x</t>
    </r>
    <r>
      <rPr>
        <sz val="10"/>
        <color indexed="8"/>
        <rFont val="Arial Unicode MS"/>
        <family val="2"/>
      </rPr>
      <t xml:space="preserve"> Line 39)</t>
    </r>
  </si>
  <si>
    <r>
      <t xml:space="preserve">Initial Nursing Service Rate (Line 41 x Line 12 </t>
    </r>
    <r>
      <rPr>
        <sz val="10"/>
        <color indexed="8"/>
        <rFont val="Arial"/>
        <family val="2"/>
      </rPr>
      <t>÷</t>
    </r>
    <r>
      <rPr>
        <sz val="10"/>
        <color indexed="8"/>
        <rFont val="Arial Unicode MS"/>
        <family val="2"/>
      </rPr>
      <t xml:space="preserve"> Line 10)</t>
    </r>
  </si>
  <si>
    <t>Less Positive Difference Between Line 46 and Initial Nursing Service Rate (max(0,Line 47))</t>
  </si>
  <si>
    <t>Final Nursing Service Rate Per Day (Line 42 + Line 43)</t>
  </si>
  <si>
    <r>
      <t xml:space="preserve">Adjusted to Facility Total Facility CMI (Line 40 x Line 10 </t>
    </r>
    <r>
      <rPr>
        <sz val="10"/>
        <color indexed="8"/>
        <rFont val="Arial"/>
        <family val="2"/>
      </rPr>
      <t>÷</t>
    </r>
    <r>
      <rPr>
        <sz val="10"/>
        <color indexed="8"/>
        <rFont val="Arial Unicode MS"/>
        <family val="2"/>
      </rPr>
      <t xml:space="preserve"> Line 11)</t>
    </r>
  </si>
  <si>
    <r>
      <t xml:space="preserve">Medicaid Adjusted Nursing Service Cost Per Diem (Line 38 x Line 12 </t>
    </r>
    <r>
      <rPr>
        <sz val="10"/>
        <color indexed="8"/>
        <rFont val="Arial"/>
        <family val="2"/>
      </rPr>
      <t>÷</t>
    </r>
    <r>
      <rPr>
        <sz val="10"/>
        <color indexed="8"/>
        <rFont val="Arial Unicode MS"/>
        <family val="2"/>
      </rPr>
      <t xml:space="preserve"> Line 10)</t>
    </r>
  </si>
  <si>
    <t>95% of Initial Nursing Service Rate (Line 42 x .95)</t>
  </si>
  <si>
    <t>Difference Between Line 46 and Medicaid Adjusted Nursing Service Cost Per Diem (Line 46 - Line 45)</t>
  </si>
  <si>
    <r>
      <t xml:space="preserve">Nursing Service </t>
    </r>
    <r>
      <rPr>
        <sz val="10"/>
        <color indexed="8"/>
        <rFont val="Arial Unicode MS"/>
        <family val="2"/>
      </rPr>
      <t>(Line 44)</t>
    </r>
  </si>
  <si>
    <r>
      <t xml:space="preserve">(1) Quarter Ending 03/31/2025 </t>
    </r>
    <r>
      <rPr>
        <u/>
        <sz val="8"/>
        <color indexed="8"/>
        <rFont val="Arial Unicode MS"/>
        <family val="2"/>
      </rPr>
      <t>Statewide</t>
    </r>
    <r>
      <rPr>
        <sz val="8"/>
        <color indexed="8"/>
        <rFont val="Arial Unicode MS"/>
        <family val="2"/>
      </rPr>
      <t xml:space="preserve"> Average Medicaid CMI  = 1.4062.</t>
    </r>
  </si>
  <si>
    <t>Complete Care at Annapolis LLC and Lorien Bulle Rock had the default Vent Care CMI of 3.84 applied for their quarter ending 3/31 CMIs since none were available.</t>
  </si>
  <si>
    <t>168937100</t>
  </si>
  <si>
    <t>200000000173_20250701_RateLetter</t>
  </si>
  <si>
    <t>ISSUED 06/30/2025</t>
  </si>
  <si>
    <t>Maryland Nursing Facility Medical Assistance 
Rates Effective July 1, 2025 
As Distributed via Email June 30, 2025</t>
  </si>
  <si>
    <t>Maryland Nursing Facility Medical Assistance 
Ventilator Rates Effective July 1, 2025 
As Distributed via Email June 30, 2025</t>
  </si>
  <si>
    <t>FRV Modeling Summary</t>
  </si>
  <si>
    <t>Current Model</t>
  </si>
  <si>
    <t>Price per Bed Cap</t>
  </si>
  <si>
    <t>Optional Model Changes</t>
  </si>
  <si>
    <t>Facilities greater than 120,000</t>
  </si>
  <si>
    <t>Facilities less than 120,000</t>
  </si>
  <si>
    <t>Average Value per Bed</t>
  </si>
  <si>
    <t>Depreciated Appraised Value for 2022</t>
  </si>
  <si>
    <t>Revised Rate</t>
  </si>
  <si>
    <t>Difference</t>
  </si>
  <si>
    <t>$ Per Diem Change</t>
  </si>
  <si>
    <t>($10) - ($5)</t>
  </si>
  <si>
    <t>$5 - $10</t>
  </si>
  <si>
    <t>$10 - $15</t>
  </si>
  <si>
    <t>$15 - $20</t>
  </si>
  <si>
    <t>$0 - $2</t>
  </si>
  <si>
    <t>$2 - $5</t>
  </si>
  <si>
    <t>($2) - $0</t>
  </si>
  <si>
    <t>($5) - ($2)</t>
  </si>
  <si>
    <t>Nursing Regions</t>
  </si>
  <si>
    <t>Chain</t>
  </si>
  <si>
    <t>Autumn Lake Healthcare</t>
  </si>
  <si>
    <t>CommuniCare Health Services</t>
  </si>
  <si>
    <t>Engage Healthcare</t>
  </si>
  <si>
    <t>FutureCare Health &amp; Management Co.</t>
  </si>
  <si>
    <t>LifeBridge Health Partners</t>
  </si>
  <si>
    <t>Atlas Healthcare</t>
  </si>
  <si>
    <t>Vita Healthcare</t>
  </si>
  <si>
    <t>Marquis Health Services</t>
  </si>
  <si>
    <t>Erickson Living Management, LLC</t>
  </si>
  <si>
    <t>Complete Care Management LLC</t>
  </si>
  <si>
    <t>Maryland Health Enterprises</t>
  </si>
  <si>
    <t>Fundamental Administrative Services</t>
  </si>
  <si>
    <t>ACTS Retirement-Life Communities</t>
  </si>
  <si>
    <t>Genesis Health Care, LLC</t>
  </si>
  <si>
    <t>Azria Health</t>
  </si>
  <si>
    <t>Lunar Healthcare</t>
  </si>
  <si>
    <t>Sterling Care</t>
  </si>
  <si>
    <t>Key Health Management</t>
  </si>
  <si>
    <t>Venza Care</t>
  </si>
  <si>
    <t>Asbury Atlantic, Inc.</t>
  </si>
  <si>
    <t>Homewood Retirement Centers</t>
  </si>
  <si>
    <t>Green Tree Healthcare</t>
  </si>
  <si>
    <t>Sunrise Senior Living</t>
  </si>
  <si>
    <t>Brooke Grove Foundation</t>
  </si>
  <si>
    <t>Asbury Communities, Inc.</t>
  </si>
  <si>
    <t>Preferred Care Health Centers</t>
  </si>
  <si>
    <t>National Lutheran Communities &amp; Serv</t>
  </si>
  <si>
    <t>Fahrney Keedy</t>
  </si>
  <si>
    <t>n/a</t>
  </si>
  <si>
    <t>Chain Name</t>
  </si>
  <si>
    <t>Chain Estimated Annual Revenue Variance</t>
  </si>
  <si>
    <t>Number of Facilities</t>
  </si>
  <si>
    <t>Revenue Variance</t>
  </si>
  <si>
    <t>baf</t>
  </si>
  <si>
    <t xml:space="preserve">CY 2024 Paid Days </t>
  </si>
  <si>
    <t>Win - Total Rate</t>
  </si>
  <si>
    <t>Lose - Total Rate</t>
  </si>
  <si>
    <t>FRV - Current Rate</t>
  </si>
  <si>
    <t>FRV Rate Variance</t>
  </si>
  <si>
    <t>$ FRV Rate Change</t>
  </si>
  <si>
    <t>$0</t>
  </si>
  <si>
    <t>Avg Facility Estimated Annual Revenue Variance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</si>
</sst>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0"/>
    <numFmt numFmtId="165" formatCode="0.000"/>
    <numFmt numFmtId="166" formatCode="#,##0.000"/>
    <numFmt numFmtId="167" formatCode="&quot;$&quot;#,##0.00"/>
    <numFmt numFmtId="168" formatCode="0.0000"/>
    <numFmt numFmtId="169" formatCode="&quot;$&quot;#,##0"/>
    <numFmt numFmtId="170" formatCode="#,##0.00000"/>
    <numFmt numFmtId="171" formatCode="mm/dd/yyyy"/>
    <numFmt numFmtId="172" formatCode="[$-409]mmmm\ d\,\ yyyy;@"/>
    <numFmt numFmtId="173" formatCode="000000000"/>
    <numFmt numFmtId="174" formatCode="yyyy&quot; Q1&quot;"/>
    <numFmt numFmtId="175" formatCode="yyyy&quot; Q4&quot;"/>
    <numFmt numFmtId="176" formatCode="yyyy&quot; Q3&quot;"/>
    <numFmt numFmtId="177" formatCode="yyyy&quot; Q2&quot;"/>
    <numFmt numFmtId="178" formatCode="0.000000"/>
    <numFmt numFmtId="179" formatCode="0.00_);\(0.00\)"/>
    <numFmt numFmtId="180" formatCode="0.00000"/>
    <numFmt numFmtId="181" formatCode="#,##0.0000_);\(#,##0.0000\)"/>
    <numFmt numFmtId="182" formatCode="[h]:m"/>
    <numFmt numFmtId="183" formatCode="m/d/yyyy;@"/>
    <numFmt numFmtId="184" formatCode="#,##0.0000000_);\(#,##0.0000000\)"/>
    <numFmt numFmtId="185" formatCode="#,##0.000000"/>
    <numFmt numFmtId="186" formatCode="[$-F800]dddd\,\ mmmm\ dd\,\ yyyy"/>
    <numFmt numFmtId="187" formatCode="0.0%"/>
    <numFmt numFmtId="188" formatCode="#,##0.00000_);\(#,##0.00000\)"/>
  </numFmts>
  <fonts count="82" x14ac:knownFonts="1">
    <font>
      <sz val="10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Times New Roman"/>
      <family val="2"/>
    </font>
    <font>
      <sz val="10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0"/>
      <name val="Arial"/>
      <family val="2"/>
    </font>
    <font>
      <sz val="8"/>
      <name val="Times New Roman"/>
      <family val="2"/>
    </font>
    <font>
      <sz val="10"/>
      <name val="Arial Unicode MS"/>
      <family val="2"/>
    </font>
    <font>
      <b/>
      <u/>
      <sz val="12"/>
      <name val="Arial Unicode MS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 Unicode MS"/>
      <family val="2"/>
    </font>
    <font>
      <sz val="10"/>
      <color indexed="8"/>
      <name val="Verdana"/>
      <family val="2"/>
    </font>
    <font>
      <sz val="8"/>
      <color indexed="8"/>
      <name val="Arial Unicode MS"/>
      <family val="2"/>
    </font>
    <font>
      <vertAlign val="superscript"/>
      <sz val="10"/>
      <name val="Arial Unicode MS"/>
      <family val="2"/>
    </font>
    <font>
      <u/>
      <sz val="8"/>
      <color indexed="8"/>
      <name val="Arial Unicode MS"/>
      <family val="2"/>
    </font>
    <font>
      <sz val="10"/>
      <color theme="1"/>
      <name val="Times New Roman"/>
      <family val="2"/>
    </font>
    <font>
      <sz val="10"/>
      <color theme="0"/>
      <name val="Times New Roman"/>
      <family val="2"/>
    </font>
    <font>
      <sz val="10"/>
      <color rgb="FF9C0006"/>
      <name val="Times New Roman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1"/>
      <color theme="1"/>
      <name val="Calibri"/>
      <family val="2"/>
      <scheme val="minor"/>
    </font>
    <font>
      <i/>
      <sz val="10"/>
      <color rgb="FF7F7F7F"/>
      <name val="Times New Roman"/>
      <family val="2"/>
    </font>
    <font>
      <sz val="10"/>
      <color rgb="FF006100"/>
      <name val="Times New Roman"/>
      <family val="2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10"/>
      <color rgb="FF3F3F76"/>
      <name val="Times New Roman"/>
      <family val="2"/>
    </font>
    <font>
      <sz val="10"/>
      <color rgb="FFFA7D00"/>
      <name val="Times New Roman"/>
      <family val="2"/>
    </font>
    <font>
      <sz val="10"/>
      <color rgb="FF9C6500"/>
      <name val="Times New Roman"/>
      <family val="2"/>
    </font>
    <font>
      <b/>
      <sz val="10"/>
      <color rgb="FF3F3F3F"/>
      <name val="Times New Roman"/>
      <family val="2"/>
    </font>
    <font>
      <b/>
      <sz val="18"/>
      <color theme="3"/>
      <name val="Cambria"/>
      <family val="2"/>
      <scheme val="major"/>
    </font>
    <font>
      <b/>
      <sz val="10"/>
      <color theme="1"/>
      <name val="Times New Roman"/>
      <family val="2"/>
    </font>
    <font>
      <sz val="10"/>
      <color rgb="FFFF0000"/>
      <name val="Times New Roman"/>
      <family val="2"/>
    </font>
    <font>
      <sz val="10"/>
      <color theme="1"/>
      <name val="Arial Unicode MS"/>
      <family val="2"/>
    </font>
    <font>
      <b/>
      <sz val="14"/>
      <color theme="1"/>
      <name val="Arial Unicode MS"/>
      <family val="2"/>
    </font>
    <font>
      <sz val="12"/>
      <color theme="1"/>
      <name val="Arial Unicode MS"/>
      <family val="2"/>
    </font>
    <font>
      <b/>
      <u/>
      <sz val="12"/>
      <color theme="1"/>
      <name val="Arial Unicode MS"/>
      <family val="2"/>
    </font>
    <font>
      <b/>
      <u/>
      <sz val="10"/>
      <color theme="1"/>
      <name val="Arial Unicode MS"/>
      <family val="2"/>
    </font>
    <font>
      <u/>
      <sz val="12"/>
      <color theme="1"/>
      <name val="Arial Unicode MS"/>
      <family val="2"/>
    </font>
    <font>
      <sz val="9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12"/>
      <color theme="1"/>
      <name val="Arial Unicode MS"/>
      <family val="2"/>
    </font>
    <font>
      <sz val="9"/>
      <color theme="1"/>
      <name val="Arial Unicode MS"/>
      <family val="2"/>
    </font>
    <font>
      <sz val="8"/>
      <color theme="1"/>
      <name val="Arial Unicode MS"/>
      <family val="2"/>
    </font>
    <font>
      <i/>
      <sz val="12"/>
      <color theme="1"/>
      <name val="Arial Unicode MS"/>
      <family val="2"/>
    </font>
    <font>
      <sz val="72"/>
      <color theme="1"/>
      <name val="Arial Unicode MS"/>
      <family val="2"/>
    </font>
    <font>
      <sz val="10"/>
      <color rgb="FF000000"/>
      <name val="Times New Roman"/>
      <family val="1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Times New Roman"/>
      <family val="1"/>
    </font>
    <font>
      <sz val="14"/>
      <color theme="1"/>
      <name val="Times New Roman"/>
      <family val="1"/>
    </font>
    <font>
      <sz val="9"/>
      <name val="Times New Roman"/>
      <family val="1"/>
    </font>
    <font>
      <sz val="9"/>
      <color indexed="8"/>
      <name val="Times New Roman"/>
      <family val="1"/>
    </font>
    <font>
      <sz val="10"/>
      <color indexed="8"/>
      <name val="Times New Roman"/>
      <family val="1"/>
    </font>
    <font>
      <b/>
      <sz val="48"/>
      <color theme="1"/>
      <name val="Times New Roman"/>
      <family val="1"/>
    </font>
    <font>
      <sz val="10"/>
      <name val="Times New Roman"/>
      <family val="1"/>
    </font>
    <font>
      <b/>
      <sz val="10"/>
      <color theme="1"/>
      <name val="Arial"/>
      <family val="2"/>
    </font>
    <font>
      <b/>
      <sz val="10"/>
      <color theme="1"/>
      <name val="Arial Unicode MS"/>
      <family val="2"/>
    </font>
    <font>
      <sz val="10"/>
      <color rgb="FFFF0000"/>
      <name val="Arial Unicode MS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sz val="9"/>
      <color theme="1"/>
      <name val="Times New Roman"/>
      <family val="1"/>
    </font>
    <font>
      <sz val="12"/>
      <color rgb="FFFF0000"/>
      <name val="Arial Unicode MS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3">
    <xf numFmtId="0" fontId="0" fillId="0" borderId="0"/>
    <xf numFmtId="0" fontId="17" fillId="0" borderId="0" applyNumberFormat="0">
      <alignment readingOrder="1"/>
      <protection locked="0"/>
    </xf>
    <xf numFmtId="0" fontId="17" fillId="0" borderId="0" applyNumberFormat="0">
      <alignment readingOrder="1"/>
      <protection locked="0"/>
    </xf>
    <xf numFmtId="0" fontId="17" fillId="0" borderId="0" applyNumberFormat="0">
      <alignment readingOrder="1"/>
      <protection locked="0"/>
    </xf>
    <xf numFmtId="166" fontId="17" fillId="0" borderId="0">
      <alignment readingOrder="1"/>
      <protection locked="0"/>
    </xf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3" fillId="26" borderId="0" applyNumberFormat="0" applyBorder="0" applyAlignment="0" applyProtection="0"/>
    <xf numFmtId="0" fontId="24" fillId="27" borderId="29" applyNumberFormat="0" applyAlignment="0" applyProtection="0"/>
    <xf numFmtId="0" fontId="25" fillId="28" borderId="30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29" borderId="0" applyNumberFormat="0" applyBorder="0" applyAlignment="0" applyProtection="0"/>
    <xf numFmtId="0" fontId="29" fillId="0" borderId="31" applyNumberFormat="0" applyFill="0" applyAlignment="0" applyProtection="0"/>
    <xf numFmtId="0" fontId="30" fillId="0" borderId="32" applyNumberFormat="0" applyFill="0" applyAlignment="0" applyProtection="0"/>
    <xf numFmtId="0" fontId="31" fillId="0" borderId="33" applyNumberFormat="0" applyFill="0" applyAlignment="0" applyProtection="0"/>
    <xf numFmtId="0" fontId="31" fillId="0" borderId="0" applyNumberFormat="0" applyFill="0" applyBorder="0" applyAlignment="0" applyProtection="0"/>
    <xf numFmtId="0" fontId="32" fillId="30" borderId="29" applyNumberFormat="0" applyAlignment="0" applyProtection="0"/>
    <xf numFmtId="0" fontId="33" fillId="0" borderId="34" applyNumberFormat="0" applyFill="0" applyAlignment="0" applyProtection="0"/>
    <xf numFmtId="0" fontId="34" fillId="31" borderId="0" applyNumberFormat="0" applyBorder="0" applyAlignment="0" applyProtection="0"/>
    <xf numFmtId="0" fontId="4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4" fillId="0" borderId="0"/>
    <xf numFmtId="0" fontId="6" fillId="0" borderId="0"/>
    <xf numFmtId="0" fontId="6" fillId="0" borderId="0"/>
    <xf numFmtId="0" fontId="10" fillId="0" borderId="0"/>
    <xf numFmtId="0" fontId="5" fillId="32" borderId="35" applyNumberFormat="0" applyFont="0" applyAlignment="0" applyProtection="0"/>
    <xf numFmtId="0" fontId="35" fillId="27" borderId="36" applyNumberFormat="0" applyAlignment="0" applyProtection="0"/>
    <xf numFmtId="9" fontId="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37" applyNumberFormat="0" applyFill="0" applyAlignment="0" applyProtection="0"/>
    <xf numFmtId="0" fontId="38" fillId="0" borderId="0" applyNumberForma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</cellStyleXfs>
  <cellXfs count="355">
    <xf numFmtId="0" fontId="0" fillId="0" borderId="0" xfId="0"/>
    <xf numFmtId="0" fontId="8" fillId="0" borderId="0" xfId="0" applyFont="1"/>
    <xf numFmtId="0" fontId="8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3" fontId="8" fillId="0" borderId="0" xfId="0" applyNumberFormat="1" applyFont="1"/>
    <xf numFmtId="14" fontId="8" fillId="0" borderId="0" xfId="0" applyNumberFormat="1" applyFont="1"/>
    <xf numFmtId="44" fontId="8" fillId="0" borderId="0" xfId="0" applyNumberFormat="1" applyFont="1"/>
    <xf numFmtId="0" fontId="39" fillId="0" borderId="0" xfId="0" applyFont="1"/>
    <xf numFmtId="0" fontId="12" fillId="0" borderId="0" xfId="0" applyFont="1"/>
    <xf numFmtId="0" fontId="39" fillId="0" borderId="0" xfId="0" applyFont="1" applyAlignment="1">
      <alignment horizontal="center"/>
    </xf>
    <xf numFmtId="167" fontId="39" fillId="0" borderId="0" xfId="0" applyNumberFormat="1" applyFont="1"/>
    <xf numFmtId="0" fontId="40" fillId="0" borderId="0" xfId="0" applyFont="1" applyAlignment="1">
      <alignment horizontal="center"/>
    </xf>
    <xf numFmtId="0" fontId="41" fillId="0" borderId="0" xfId="0" applyFont="1"/>
    <xf numFmtId="0" fontId="43" fillId="0" borderId="0" xfId="0" applyFont="1" applyAlignment="1">
      <alignment horizontal="center"/>
    </xf>
    <xf numFmtId="168" fontId="39" fillId="0" borderId="0" xfId="0" applyNumberFormat="1" applyFont="1" applyAlignment="1">
      <alignment horizontal="right"/>
    </xf>
    <xf numFmtId="0" fontId="12" fillId="0" borderId="0" xfId="0" applyFont="1" applyAlignment="1">
      <alignment horizontal="left"/>
    </xf>
    <xf numFmtId="168" fontId="12" fillId="0" borderId="0" xfId="0" applyNumberFormat="1" applyFont="1" applyAlignment="1">
      <alignment horizontal="right"/>
    </xf>
    <xf numFmtId="4" fontId="39" fillId="0" borderId="0" xfId="0" applyNumberFormat="1" applyFont="1"/>
    <xf numFmtId="168" fontId="39" fillId="0" borderId="0" xfId="0" applyNumberFormat="1" applyFont="1"/>
    <xf numFmtId="2" fontId="39" fillId="0" borderId="0" xfId="0" applyNumberFormat="1" applyFont="1"/>
    <xf numFmtId="0" fontId="39" fillId="0" borderId="0" xfId="0" applyFont="1" applyAlignment="1">
      <alignment horizontal="center" wrapText="1"/>
    </xf>
    <xf numFmtId="0" fontId="44" fillId="0" borderId="0" xfId="0" applyFont="1"/>
    <xf numFmtId="0" fontId="42" fillId="0" borderId="0" xfId="0" applyFont="1" applyAlignment="1">
      <alignment horizontal="right"/>
    </xf>
    <xf numFmtId="0" fontId="46" fillId="0" borderId="0" xfId="0" applyFont="1"/>
    <xf numFmtId="0" fontId="45" fillId="0" borderId="0" xfId="0" applyFont="1"/>
    <xf numFmtId="0" fontId="47" fillId="0" borderId="0" xfId="0" applyFont="1"/>
    <xf numFmtId="0" fontId="46" fillId="0" borderId="0" xfId="0" applyFont="1" applyAlignment="1">
      <alignment horizontal="right"/>
    </xf>
    <xf numFmtId="3" fontId="46" fillId="0" borderId="0" xfId="0" applyNumberFormat="1" applyFont="1"/>
    <xf numFmtId="0" fontId="47" fillId="0" borderId="0" xfId="0" applyFont="1" applyAlignment="1">
      <alignment horizontal="left"/>
    </xf>
    <xf numFmtId="0" fontId="46" fillId="0" borderId="0" xfId="0" applyFont="1" applyAlignment="1">
      <alignment horizontal="center" wrapText="1"/>
    </xf>
    <xf numFmtId="0" fontId="46" fillId="0" borderId="0" xfId="0" applyFont="1" applyAlignment="1">
      <alignment horizontal="center"/>
    </xf>
    <xf numFmtId="1" fontId="49" fillId="0" borderId="0" xfId="0" applyNumberFormat="1" applyFont="1"/>
    <xf numFmtId="0" fontId="45" fillId="0" borderId="0" xfId="0" applyFont="1" applyAlignment="1">
      <alignment horizontal="center"/>
    </xf>
    <xf numFmtId="0" fontId="49" fillId="0" borderId="0" xfId="0" applyFont="1"/>
    <xf numFmtId="0" fontId="49" fillId="0" borderId="0" xfId="0" applyFont="1" applyAlignment="1">
      <alignment horizontal="center"/>
    </xf>
    <xf numFmtId="169" fontId="46" fillId="0" borderId="0" xfId="0" applyNumberFormat="1" applyFont="1"/>
    <xf numFmtId="0" fontId="7" fillId="0" borderId="0" xfId="49" applyFont="1" applyAlignment="1">
      <alignment horizontal="center" wrapText="1"/>
    </xf>
    <xf numFmtId="0" fontId="51" fillId="0" borderId="0" xfId="0" applyFont="1"/>
    <xf numFmtId="0" fontId="39" fillId="0" borderId="1" xfId="0" applyFont="1" applyBorder="1" applyAlignment="1">
      <alignment wrapText="1"/>
    </xf>
    <xf numFmtId="0" fontId="39" fillId="0" borderId="2" xfId="0" applyFont="1" applyBorder="1" applyAlignment="1">
      <alignment wrapText="1"/>
    </xf>
    <xf numFmtId="0" fontId="39" fillId="0" borderId="1" xfId="0" applyFont="1" applyBorder="1" applyAlignment="1">
      <alignment horizontal="left" wrapText="1"/>
    </xf>
    <xf numFmtId="4" fontId="39" fillId="0" borderId="0" xfId="0" applyNumberFormat="1" applyFont="1" applyAlignment="1">
      <alignment horizontal="right"/>
    </xf>
    <xf numFmtId="0" fontId="39" fillId="0" borderId="0" xfId="0" applyFont="1" applyAlignment="1">
      <alignment horizontal="right"/>
    </xf>
    <xf numFmtId="0" fontId="41" fillId="0" borderId="3" xfId="0" applyFont="1" applyBorder="1" applyAlignment="1">
      <alignment horizontal="center" wrapText="1"/>
    </xf>
    <xf numFmtId="0" fontId="41" fillId="0" borderId="4" xfId="0" applyFont="1" applyBorder="1" applyAlignment="1">
      <alignment horizontal="center"/>
    </xf>
    <xf numFmtId="0" fontId="41" fillId="0" borderId="5" xfId="0" applyFont="1" applyBorder="1" applyAlignment="1">
      <alignment wrapText="1"/>
    </xf>
    <xf numFmtId="49" fontId="41" fillId="0" borderId="1" xfId="0" applyNumberFormat="1" applyFont="1" applyBorder="1" applyAlignment="1">
      <alignment horizontal="center" wrapText="1"/>
    </xf>
    <xf numFmtId="0" fontId="41" fillId="0" borderId="6" xfId="0" applyFont="1" applyBorder="1" applyAlignment="1">
      <alignment horizontal="right"/>
    </xf>
    <xf numFmtId="167" fontId="41" fillId="0" borderId="6" xfId="0" applyNumberFormat="1" applyFont="1" applyBorder="1" applyAlignment="1">
      <alignment horizontal="right" wrapText="1"/>
    </xf>
    <xf numFmtId="0" fontId="41" fillId="0" borderId="7" xfId="0" applyFont="1" applyBorder="1" applyAlignment="1">
      <alignment wrapText="1"/>
    </xf>
    <xf numFmtId="49" fontId="41" fillId="0" borderId="2" xfId="0" applyNumberFormat="1" applyFont="1" applyBorder="1" applyAlignment="1">
      <alignment horizontal="center" wrapText="1"/>
    </xf>
    <xf numFmtId="0" fontId="39" fillId="0" borderId="8" xfId="0" applyFont="1" applyBorder="1" applyAlignment="1">
      <alignment horizontal="center" wrapText="1"/>
    </xf>
    <xf numFmtId="0" fontId="41" fillId="0" borderId="9" xfId="0" applyFont="1" applyBorder="1" applyAlignment="1">
      <alignment horizontal="center" wrapText="1"/>
    </xf>
    <xf numFmtId="4" fontId="41" fillId="0" borderId="6" xfId="0" applyNumberFormat="1" applyFont="1" applyBorder="1" applyAlignment="1">
      <alignment horizontal="right"/>
    </xf>
    <xf numFmtId="167" fontId="41" fillId="0" borderId="8" xfId="0" applyNumberFormat="1" applyFont="1" applyBorder="1" applyAlignment="1">
      <alignment horizontal="right" wrapText="1"/>
    </xf>
    <xf numFmtId="2" fontId="39" fillId="0" borderId="0" xfId="0" applyNumberFormat="1" applyFont="1" applyAlignment="1">
      <alignment horizontal="right"/>
    </xf>
    <xf numFmtId="0" fontId="9" fillId="0" borderId="0" xfId="0" applyFont="1" applyAlignment="1">
      <alignment horizontal="center"/>
    </xf>
    <xf numFmtId="167" fontId="39" fillId="0" borderId="11" xfId="0" applyNumberFormat="1" applyFont="1" applyBorder="1"/>
    <xf numFmtId="170" fontId="39" fillId="0" borderId="0" xfId="0" applyNumberFormat="1" applyFont="1" applyAlignment="1">
      <alignment horizontal="right"/>
    </xf>
    <xf numFmtId="0" fontId="9" fillId="33" borderId="0" xfId="0" applyFont="1" applyFill="1"/>
    <xf numFmtId="0" fontId="9" fillId="33" borderId="0" xfId="0" applyFont="1" applyFill="1" applyAlignment="1">
      <alignment horizontal="center"/>
    </xf>
    <xf numFmtId="0" fontId="8" fillId="33" borderId="0" xfId="0" applyFont="1" applyFill="1"/>
    <xf numFmtId="0" fontId="53" fillId="0" borderId="0" xfId="0" applyFont="1"/>
    <xf numFmtId="0" fontId="49" fillId="0" borderId="0" xfId="0" applyFont="1" applyAlignment="1">
      <alignment horizontal="right"/>
    </xf>
    <xf numFmtId="14" fontId="47" fillId="0" borderId="0" xfId="0" applyNumberFormat="1" applyFont="1" applyAlignment="1">
      <alignment horizontal="left"/>
    </xf>
    <xf numFmtId="180" fontId="8" fillId="0" borderId="0" xfId="0" applyNumberFormat="1" applyFont="1"/>
    <xf numFmtId="168" fontId="8" fillId="0" borderId="0" xfId="0" applyNumberFormat="1" applyFont="1"/>
    <xf numFmtId="168" fontId="7" fillId="0" borderId="0" xfId="60" applyNumberFormat="1" applyFont="1"/>
    <xf numFmtId="4" fontId="8" fillId="0" borderId="0" xfId="0" applyNumberFormat="1" applyFont="1"/>
    <xf numFmtId="0" fontId="8" fillId="0" borderId="0" xfId="0" applyFont="1" applyAlignment="1">
      <alignment horizontal="right"/>
    </xf>
    <xf numFmtId="3" fontId="8" fillId="0" borderId="0" xfId="0" applyNumberFormat="1" applyFont="1" applyAlignment="1">
      <alignment horizontal="right"/>
    </xf>
    <xf numFmtId="178" fontId="8" fillId="0" borderId="0" xfId="0" applyNumberFormat="1" applyFont="1"/>
    <xf numFmtId="164" fontId="8" fillId="0" borderId="0" xfId="0" applyNumberFormat="1" applyFont="1"/>
    <xf numFmtId="44" fontId="8" fillId="0" borderId="0" xfId="0" quotePrefix="1" applyNumberFormat="1" applyFont="1"/>
    <xf numFmtId="9" fontId="8" fillId="0" borderId="0" xfId="0" applyNumberFormat="1" applyFont="1" applyAlignment="1">
      <alignment horizontal="right"/>
    </xf>
    <xf numFmtId="2" fontId="8" fillId="0" borderId="0" xfId="0" applyNumberFormat="1" applyFont="1"/>
    <xf numFmtId="0" fontId="50" fillId="0" borderId="0" xfId="0" applyFont="1"/>
    <xf numFmtId="42" fontId="8" fillId="0" borderId="0" xfId="0" applyNumberFormat="1" applyFont="1"/>
    <xf numFmtId="0" fontId="48" fillId="0" borderId="0" xfId="0" applyFont="1"/>
    <xf numFmtId="14" fontId="48" fillId="0" borderId="0" xfId="0" applyNumberFormat="1" applyFont="1"/>
    <xf numFmtId="0" fontId="6" fillId="0" borderId="0" xfId="0" applyFont="1" applyAlignment="1">
      <alignment horizontal="center"/>
    </xf>
    <xf numFmtId="10" fontId="6" fillId="0" borderId="0" xfId="50" applyNumberFormat="1" applyAlignment="1">
      <alignment horizontal="center" wrapText="1"/>
    </xf>
    <xf numFmtId="14" fontId="51" fillId="0" borderId="0" xfId="0" applyNumberFormat="1" applyFont="1"/>
    <xf numFmtId="184" fontId="8" fillId="0" borderId="0" xfId="0" applyNumberFormat="1" applyFont="1"/>
    <xf numFmtId="0" fontId="55" fillId="0" borderId="14" xfId="0" applyFont="1" applyBorder="1" applyAlignment="1">
      <alignment horizontal="center" wrapText="1"/>
    </xf>
    <xf numFmtId="0" fontId="55" fillId="0" borderId="15" xfId="0" applyFont="1" applyBorder="1" applyAlignment="1">
      <alignment horizontal="center" wrapText="1"/>
    </xf>
    <xf numFmtId="0" fontId="55" fillId="0" borderId="16" xfId="0" applyFont="1" applyBorder="1" applyAlignment="1">
      <alignment horizontal="center" wrapText="1"/>
    </xf>
    <xf numFmtId="173" fontId="45" fillId="0" borderId="0" xfId="0" applyNumberFormat="1" applyFont="1"/>
    <xf numFmtId="0" fontId="39" fillId="0" borderId="0" xfId="0" quotePrefix="1" applyFont="1"/>
    <xf numFmtId="0" fontId="9" fillId="0" borderId="0" xfId="0" applyFont="1"/>
    <xf numFmtId="0" fontId="50" fillId="0" borderId="0" xfId="0" applyFont="1" applyAlignment="1">
      <alignment horizontal="center"/>
    </xf>
    <xf numFmtId="0" fontId="50" fillId="0" borderId="0" xfId="0" applyFont="1" applyAlignment="1">
      <alignment horizontal="center" wrapText="1"/>
    </xf>
    <xf numFmtId="0" fontId="46" fillId="0" borderId="0" xfId="0" applyFont="1" applyAlignment="1">
      <alignment horizontal="left"/>
    </xf>
    <xf numFmtId="14" fontId="47" fillId="0" borderId="0" xfId="0" applyNumberFormat="1" applyFont="1"/>
    <xf numFmtId="173" fontId="45" fillId="0" borderId="0" xfId="0" applyNumberFormat="1" applyFont="1" applyAlignment="1">
      <alignment horizontal="center"/>
    </xf>
    <xf numFmtId="4" fontId="39" fillId="0" borderId="0" xfId="0" quotePrefix="1" applyNumberFormat="1" applyFont="1"/>
    <xf numFmtId="4" fontId="39" fillId="0" borderId="0" xfId="0" quotePrefix="1" applyNumberFormat="1" applyFont="1" applyAlignment="1">
      <alignment horizontal="right"/>
    </xf>
    <xf numFmtId="0" fontId="52" fillId="0" borderId="0" xfId="0" applyFont="1" applyAlignment="1">
      <alignment horizontal="center"/>
    </xf>
    <xf numFmtId="0" fontId="60" fillId="0" borderId="0" xfId="0" applyFont="1"/>
    <xf numFmtId="0" fontId="60" fillId="0" borderId="0" xfId="0" applyFont="1" applyAlignment="1">
      <alignment horizontal="center" wrapText="1"/>
    </xf>
    <xf numFmtId="0" fontId="62" fillId="0" borderId="0" xfId="0" applyFont="1" applyAlignment="1">
      <alignment horizontal="center" wrapText="1"/>
    </xf>
    <xf numFmtId="0" fontId="60" fillId="0" borderId="0" xfId="0" applyFont="1" applyAlignment="1">
      <alignment horizontal="center"/>
    </xf>
    <xf numFmtId="2" fontId="60" fillId="0" borderId="0" xfId="0" applyNumberFormat="1" applyFont="1" applyAlignment="1">
      <alignment horizontal="center"/>
    </xf>
    <xf numFmtId="0" fontId="63" fillId="0" borderId="0" xfId="0" applyFont="1"/>
    <xf numFmtId="0" fontId="60" fillId="0" borderId="0" xfId="0" applyFont="1" applyAlignment="1">
      <alignment horizontal="right"/>
    </xf>
    <xf numFmtId="2" fontId="60" fillId="0" borderId="0" xfId="0" applyNumberFormat="1" applyFont="1"/>
    <xf numFmtId="168" fontId="60" fillId="0" borderId="0" xfId="0" applyNumberFormat="1" applyFont="1"/>
    <xf numFmtId="3" fontId="60" fillId="0" borderId="0" xfId="0" applyNumberFormat="1" applyFont="1"/>
    <xf numFmtId="171" fontId="60" fillId="0" borderId="0" xfId="0" applyNumberFormat="1" applyFont="1"/>
    <xf numFmtId="4" fontId="60" fillId="0" borderId="0" xfId="0" applyNumberFormat="1" applyFont="1"/>
    <xf numFmtId="39" fontId="60" fillId="0" borderId="0" xfId="0" applyNumberFormat="1" applyFont="1"/>
    <xf numFmtId="179" fontId="60" fillId="0" borderId="0" xfId="0" applyNumberFormat="1" applyFont="1"/>
    <xf numFmtId="39" fontId="60" fillId="0" borderId="0" xfId="0" applyNumberFormat="1" applyFont="1" applyAlignment="1">
      <alignment horizontal="right"/>
    </xf>
    <xf numFmtId="2" fontId="60" fillId="0" borderId="0" xfId="0" applyNumberFormat="1" applyFont="1" applyAlignment="1">
      <alignment horizontal="right"/>
    </xf>
    <xf numFmtId="164" fontId="60" fillId="0" borderId="0" xfId="0" applyNumberFormat="1" applyFont="1"/>
    <xf numFmtId="0" fontId="64" fillId="0" borderId="0" xfId="0" applyFont="1"/>
    <xf numFmtId="0" fontId="9" fillId="35" borderId="0" xfId="0" applyFont="1" applyFill="1"/>
    <xf numFmtId="0" fontId="0" fillId="0" borderId="10" xfId="0" applyBorder="1"/>
    <xf numFmtId="4" fontId="0" fillId="0" borderId="0" xfId="0" applyNumberFormat="1"/>
    <xf numFmtId="167" fontId="41" fillId="0" borderId="6" xfId="0" applyNumberFormat="1" applyFont="1" applyBorder="1" applyAlignment="1">
      <alignment horizontal="right"/>
    </xf>
    <xf numFmtId="185" fontId="60" fillId="0" borderId="0" xfId="0" applyNumberFormat="1" applyFont="1" applyAlignment="1">
      <alignment horizontal="right"/>
    </xf>
    <xf numFmtId="4" fontId="60" fillId="0" borderId="0" xfId="0" applyNumberFormat="1" applyFont="1" applyAlignment="1">
      <alignment horizontal="right"/>
    </xf>
    <xf numFmtId="4" fontId="60" fillId="0" borderId="0" xfId="0" applyNumberFormat="1" applyFont="1" applyAlignment="1">
      <alignment horizontal="center"/>
    </xf>
    <xf numFmtId="178" fontId="39" fillId="0" borderId="0" xfId="0" applyNumberFormat="1" applyFont="1" applyProtection="1">
      <protection locked="0"/>
    </xf>
    <xf numFmtId="0" fontId="9" fillId="36" borderId="0" xfId="0" applyFont="1" applyFill="1"/>
    <xf numFmtId="0" fontId="9" fillId="36" borderId="0" xfId="0" applyFont="1" applyFill="1" applyAlignment="1">
      <alignment horizontal="center"/>
    </xf>
    <xf numFmtId="14" fontId="50" fillId="0" borderId="0" xfId="0" applyNumberFormat="1" applyFont="1"/>
    <xf numFmtId="14" fontId="39" fillId="37" borderId="0" xfId="0" applyNumberFormat="1" applyFont="1" applyFill="1"/>
    <xf numFmtId="37" fontId="6" fillId="0" borderId="0" xfId="50" applyNumberFormat="1" applyAlignment="1">
      <alignment horizontal="center"/>
    </xf>
    <xf numFmtId="37" fontId="6" fillId="0" borderId="0" xfId="50" applyNumberFormat="1" applyAlignment="1">
      <alignment horizontal="center" wrapText="1"/>
    </xf>
    <xf numFmtId="0" fontId="51" fillId="0" borderId="0" xfId="0" applyFont="1" applyAlignment="1">
      <alignment horizontal="center"/>
    </xf>
    <xf numFmtId="0" fontId="51" fillId="0" borderId="0" xfId="0" applyFont="1" applyAlignment="1">
      <alignment horizontal="center" wrapText="1"/>
    </xf>
    <xf numFmtId="164" fontId="51" fillId="0" borderId="0" xfId="0" applyNumberFormat="1" applyFont="1"/>
    <xf numFmtId="3" fontId="51" fillId="0" borderId="0" xfId="0" applyNumberFormat="1" applyFont="1"/>
    <xf numFmtId="4" fontId="51" fillId="0" borderId="0" xfId="0" applyNumberFormat="1" applyFont="1"/>
    <xf numFmtId="168" fontId="51" fillId="0" borderId="0" xfId="0" applyNumberFormat="1" applyFont="1"/>
    <xf numFmtId="44" fontId="51" fillId="0" borderId="0" xfId="0" quotePrefix="1" applyNumberFormat="1" applyFont="1"/>
    <xf numFmtId="44" fontId="51" fillId="0" borderId="0" xfId="0" applyNumberFormat="1" applyFont="1"/>
    <xf numFmtId="0" fontId="8" fillId="0" borderId="0" xfId="0" applyFont="1" applyAlignment="1">
      <alignment horizontal="center"/>
    </xf>
    <xf numFmtId="165" fontId="8" fillId="0" borderId="0" xfId="0" applyNumberFormat="1" applyFont="1"/>
    <xf numFmtId="168" fontId="8" fillId="0" borderId="0" xfId="0" quotePrefix="1" applyNumberFormat="1" applyFont="1"/>
    <xf numFmtId="171" fontId="8" fillId="0" borderId="0" xfId="0" applyNumberFormat="1" applyFont="1"/>
    <xf numFmtId="4" fontId="8" fillId="0" borderId="0" xfId="0" quotePrefix="1" applyNumberFormat="1" applyFont="1"/>
    <xf numFmtId="2" fontId="51" fillId="0" borderId="0" xfId="0" applyNumberFormat="1" applyFont="1"/>
    <xf numFmtId="14" fontId="67" fillId="0" borderId="0" xfId="0" applyNumberFormat="1" applyFont="1"/>
    <xf numFmtId="37" fontId="50" fillId="0" borderId="0" xfId="0" applyNumberFormat="1" applyFont="1"/>
    <xf numFmtId="14" fontId="45" fillId="0" borderId="0" xfId="0" applyNumberFormat="1" applyFont="1" applyAlignment="1">
      <alignment horizontal="center"/>
    </xf>
    <xf numFmtId="37" fontId="48" fillId="0" borderId="0" xfId="0" applyNumberFormat="1" applyFont="1"/>
    <xf numFmtId="181" fontId="48" fillId="0" borderId="0" xfId="0" applyNumberFormat="1" applyFont="1"/>
    <xf numFmtId="39" fontId="48" fillId="0" borderId="0" xfId="0" applyNumberFormat="1" applyFont="1"/>
    <xf numFmtId="0" fontId="48" fillId="0" borderId="0" xfId="0" applyFont="1" applyAlignment="1">
      <alignment horizontal="center"/>
    </xf>
    <xf numFmtId="187" fontId="48" fillId="0" borderId="0" xfId="0" applyNumberFormat="1" applyFont="1"/>
    <xf numFmtId="0" fontId="48" fillId="0" borderId="0" xfId="0" applyFont="1" applyAlignment="1">
      <alignment horizontal="right"/>
    </xf>
    <xf numFmtId="10" fontId="48" fillId="0" borderId="0" xfId="0" applyNumberFormat="1" applyFont="1"/>
    <xf numFmtId="37" fontId="8" fillId="0" borderId="0" xfId="0" applyNumberFormat="1" applyFont="1"/>
    <xf numFmtId="3" fontId="8" fillId="0" borderId="0" xfId="0" quotePrefix="1" applyNumberFormat="1" applyFont="1"/>
    <xf numFmtId="167" fontId="45" fillId="0" borderId="0" xfId="0" applyNumberFormat="1" applyFont="1"/>
    <xf numFmtId="167" fontId="46" fillId="0" borderId="0" xfId="0" applyNumberFormat="1" applyFont="1"/>
    <xf numFmtId="2" fontId="39" fillId="0" borderId="0" xfId="0" quotePrefix="1" applyNumberFormat="1" applyFont="1"/>
    <xf numFmtId="0" fontId="68" fillId="0" borderId="0" xfId="0" applyFont="1"/>
    <xf numFmtId="10" fontId="50" fillId="0" borderId="0" xfId="71" applyNumberFormat="1" applyFont="1" applyFill="1" applyBorder="1" applyAlignment="1">
      <alignment horizontal="center"/>
    </xf>
    <xf numFmtId="0" fontId="46" fillId="0" borderId="17" xfId="0" applyFont="1" applyBorder="1" applyAlignment="1">
      <alignment horizontal="center"/>
    </xf>
    <xf numFmtId="0" fontId="46" fillId="0" borderId="19" xfId="0" applyFont="1" applyBorder="1" applyAlignment="1">
      <alignment horizontal="center"/>
    </xf>
    <xf numFmtId="37" fontId="46" fillId="0" borderId="0" xfId="0" applyNumberFormat="1" applyFont="1"/>
    <xf numFmtId="180" fontId="60" fillId="0" borderId="0" xfId="0" applyNumberFormat="1" applyFont="1"/>
    <xf numFmtId="0" fontId="69" fillId="0" borderId="0" xfId="0" applyFont="1"/>
    <xf numFmtId="168" fontId="69" fillId="0" borderId="0" xfId="0" applyNumberFormat="1" applyFont="1"/>
    <xf numFmtId="0" fontId="66" fillId="0" borderId="0" xfId="0" applyFont="1" applyAlignment="1">
      <alignment horizontal="center" wrapText="1"/>
    </xf>
    <xf numFmtId="0" fontId="51" fillId="0" borderId="20" xfId="0" applyFont="1" applyBorder="1"/>
    <xf numFmtId="0" fontId="51" fillId="0" borderId="21" xfId="0" applyFont="1" applyBorder="1"/>
    <xf numFmtId="0" fontId="51" fillId="0" borderId="12" xfId="0" applyFont="1" applyBorder="1"/>
    <xf numFmtId="0" fontId="51" fillId="0" borderId="10" xfId="0" applyFont="1" applyBorder="1"/>
    <xf numFmtId="0" fontId="9" fillId="35" borderId="0" xfId="0" applyFont="1" applyFill="1" applyAlignment="1">
      <alignment horizontal="center"/>
    </xf>
    <xf numFmtId="0" fontId="47" fillId="0" borderId="0" xfId="0" applyFont="1" applyAlignment="1">
      <alignment horizontal="center"/>
    </xf>
    <xf numFmtId="44" fontId="73" fillId="0" borderId="0" xfId="0" applyNumberFormat="1" applyFont="1"/>
    <xf numFmtId="44" fontId="0" fillId="0" borderId="0" xfId="0" applyNumberFormat="1"/>
    <xf numFmtId="0" fontId="6" fillId="0" borderId="0" xfId="0" applyFont="1"/>
    <xf numFmtId="2" fontId="8" fillId="0" borderId="0" xfId="0" applyNumberFormat="1" applyFont="1" applyAlignment="1">
      <alignment horizontal="center" wrapText="1"/>
    </xf>
    <xf numFmtId="166" fontId="8" fillId="0" borderId="0" xfId="0" applyNumberFormat="1" applyFont="1"/>
    <xf numFmtId="0" fontId="58" fillId="0" borderId="0" xfId="0" applyFont="1"/>
    <xf numFmtId="182" fontId="48" fillId="0" borderId="0" xfId="0" applyNumberFormat="1" applyFont="1"/>
    <xf numFmtId="165" fontId="48" fillId="0" borderId="0" xfId="0" applyNumberFormat="1" applyFont="1" applyAlignment="1">
      <alignment vertical="center" wrapText="1"/>
    </xf>
    <xf numFmtId="179" fontId="8" fillId="0" borderId="0" xfId="0" applyNumberFormat="1" applyFont="1"/>
    <xf numFmtId="168" fontId="63" fillId="0" borderId="0" xfId="0" applyNumberFormat="1" applyFont="1"/>
    <xf numFmtId="0" fontId="51" fillId="0" borderId="0" xfId="0" applyFont="1" applyAlignment="1">
      <alignment horizontal="left"/>
    </xf>
    <xf numFmtId="39" fontId="51" fillId="0" borderId="0" xfId="0" applyNumberFormat="1" applyFont="1"/>
    <xf numFmtId="0" fontId="51" fillId="0" borderId="13" xfId="0" applyFont="1" applyBorder="1"/>
    <xf numFmtId="183" fontId="46" fillId="0" borderId="1" xfId="0" applyNumberFormat="1" applyFont="1" applyBorder="1"/>
    <xf numFmtId="173" fontId="45" fillId="0" borderId="1" xfId="0" applyNumberFormat="1" applyFont="1" applyBorder="1" applyAlignment="1">
      <alignment horizontal="center"/>
    </xf>
    <xf numFmtId="0" fontId="46" fillId="0" borderId="1" xfId="0" applyFont="1" applyBorder="1"/>
    <xf numFmtId="0" fontId="48" fillId="0" borderId="0" xfId="0" applyFont="1" applyAlignment="1">
      <alignment horizontal="center" wrapText="1"/>
    </xf>
    <xf numFmtId="181" fontId="48" fillId="0" borderId="0" xfId="0" applyNumberFormat="1" applyFont="1" applyAlignment="1">
      <alignment horizontal="right"/>
    </xf>
    <xf numFmtId="2" fontId="8" fillId="0" borderId="0" xfId="0" quotePrefix="1" applyNumberFormat="1" applyFont="1"/>
    <xf numFmtId="0" fontId="48" fillId="0" borderId="21" xfId="0" applyFont="1" applyBorder="1"/>
    <xf numFmtId="39" fontId="8" fillId="0" borderId="0" xfId="0" quotePrefix="1" applyNumberFormat="1" applyFont="1"/>
    <xf numFmtId="0" fontId="58" fillId="0" borderId="0" xfId="0" applyFont="1" applyAlignment="1">
      <alignment horizontal="center" wrapText="1"/>
    </xf>
    <xf numFmtId="14" fontId="48" fillId="0" borderId="0" xfId="0" quotePrefix="1" applyNumberFormat="1" applyFont="1"/>
    <xf numFmtId="181" fontId="12" fillId="0" borderId="0" xfId="0" applyNumberFormat="1" applyFont="1" applyAlignment="1">
      <alignment horizontal="right"/>
    </xf>
    <xf numFmtId="181" fontId="39" fillId="0" borderId="0" xfId="0" applyNumberFormat="1" applyFont="1"/>
    <xf numFmtId="181" fontId="39" fillId="0" borderId="0" xfId="0" applyNumberFormat="1" applyFont="1" applyAlignment="1">
      <alignment horizontal="right"/>
    </xf>
    <xf numFmtId="166" fontId="39" fillId="0" borderId="0" xfId="0" applyNumberFormat="1" applyFont="1"/>
    <xf numFmtId="3" fontId="39" fillId="0" borderId="0" xfId="0" applyNumberFormat="1" applyFont="1"/>
    <xf numFmtId="0" fontId="42" fillId="0" borderId="0" xfId="0" applyFont="1" applyAlignment="1">
      <alignment horizontal="left"/>
    </xf>
    <xf numFmtId="0" fontId="43" fillId="0" borderId="0" xfId="0" applyFont="1" applyAlignment="1">
      <alignment horizontal="left"/>
    </xf>
    <xf numFmtId="0" fontId="13" fillId="0" borderId="0" xfId="0" applyFont="1" applyAlignment="1">
      <alignment horizontal="right"/>
    </xf>
    <xf numFmtId="172" fontId="12" fillId="0" borderId="0" xfId="0" applyNumberFormat="1" applyFont="1" applyAlignment="1">
      <alignment horizontal="right"/>
    </xf>
    <xf numFmtId="3" fontId="12" fillId="0" borderId="0" xfId="0" applyNumberFormat="1" applyFont="1" applyAlignment="1">
      <alignment horizontal="right"/>
    </xf>
    <xf numFmtId="10" fontId="12" fillId="0" borderId="0" xfId="0" applyNumberFormat="1" applyFont="1" applyAlignment="1">
      <alignment horizontal="right"/>
    </xf>
    <xf numFmtId="14" fontId="46" fillId="0" borderId="0" xfId="0" applyNumberFormat="1" applyFont="1"/>
    <xf numFmtId="0" fontId="46" fillId="0" borderId="1" xfId="0" applyFont="1" applyBorder="1" applyAlignment="1">
      <alignment horizontal="center" wrapText="1"/>
    </xf>
    <xf numFmtId="0" fontId="49" fillId="0" borderId="1" xfId="49" applyFont="1" applyBorder="1" applyAlignment="1">
      <alignment horizontal="center" wrapText="1"/>
    </xf>
    <xf numFmtId="183" fontId="46" fillId="0" borderId="0" xfId="0" applyNumberFormat="1" applyFont="1"/>
    <xf numFmtId="14" fontId="60" fillId="0" borderId="0" xfId="0" applyNumberFormat="1" applyFont="1"/>
    <xf numFmtId="2" fontId="0" fillId="0" borderId="0" xfId="0" applyNumberFormat="1"/>
    <xf numFmtId="10" fontId="60" fillId="0" borderId="0" xfId="0" applyNumberFormat="1" applyFont="1"/>
    <xf numFmtId="179" fontId="60" fillId="0" borderId="0" xfId="0" applyNumberFormat="1" applyFont="1" applyAlignment="1">
      <alignment horizontal="right"/>
    </xf>
    <xf numFmtId="2" fontId="46" fillId="0" borderId="0" xfId="0" applyNumberFormat="1" applyFont="1"/>
    <xf numFmtId="42" fontId="51" fillId="0" borderId="0" xfId="0" applyNumberFormat="1" applyFont="1"/>
    <xf numFmtId="0" fontId="48" fillId="0" borderId="0" xfId="0" applyFont="1" applyAlignment="1">
      <alignment wrapText="1"/>
    </xf>
    <xf numFmtId="39" fontId="39" fillId="0" borderId="0" xfId="0" applyNumberFormat="1" applyFont="1" applyAlignment="1">
      <alignment horizontal="right"/>
    </xf>
    <xf numFmtId="0" fontId="64" fillId="0" borderId="0" xfId="0" applyFont="1" applyAlignment="1">
      <alignment horizontal="center"/>
    </xf>
    <xf numFmtId="0" fontId="7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4" fontId="60" fillId="0" borderId="0" xfId="0" applyNumberFormat="1" applyFont="1" applyAlignment="1">
      <alignment horizontal="center" wrapText="1"/>
    </xf>
    <xf numFmtId="14" fontId="6" fillId="0" borderId="0" xfId="0" applyNumberFormat="1" applyFont="1" applyAlignment="1">
      <alignment horizontal="center"/>
    </xf>
    <xf numFmtId="0" fontId="58" fillId="0" borderId="0" xfId="0" applyFont="1" applyAlignment="1">
      <alignment horizontal="center"/>
    </xf>
    <xf numFmtId="14" fontId="58" fillId="0" borderId="0" xfId="0" applyNumberFormat="1" applyFont="1"/>
    <xf numFmtId="165" fontId="58" fillId="0" borderId="0" xfId="0" applyNumberFormat="1" applyFont="1" applyAlignment="1">
      <alignment horizontal="right"/>
    </xf>
    <xf numFmtId="174" fontId="59" fillId="0" borderId="0" xfId="2" applyNumberFormat="1" applyFont="1">
      <alignment readingOrder="1"/>
      <protection locked="0"/>
    </xf>
    <xf numFmtId="182" fontId="58" fillId="0" borderId="0" xfId="0" applyNumberFormat="1" applyFont="1"/>
    <xf numFmtId="165" fontId="58" fillId="0" borderId="0" xfId="0" applyNumberFormat="1" applyFont="1"/>
    <xf numFmtId="177" fontId="59" fillId="0" borderId="0" xfId="2" applyNumberFormat="1" applyFont="1">
      <alignment readingOrder="1"/>
      <protection locked="0"/>
    </xf>
    <xf numFmtId="176" fontId="59" fillId="0" borderId="0" xfId="2" applyNumberFormat="1" applyFont="1">
      <alignment readingOrder="1"/>
      <protection locked="0"/>
    </xf>
    <xf numFmtId="175" fontId="59" fillId="0" borderId="0" xfId="2" applyNumberFormat="1" applyFont="1">
      <alignment readingOrder="1"/>
      <protection locked="0"/>
    </xf>
    <xf numFmtId="0" fontId="0" fillId="0" borderId="13" xfId="0" applyBorder="1"/>
    <xf numFmtId="0" fontId="51" fillId="0" borderId="17" xfId="0" applyFont="1" applyBorder="1"/>
    <xf numFmtId="0" fontId="72" fillId="0" borderId="18" xfId="0" applyFont="1" applyBorder="1"/>
    <xf numFmtId="0" fontId="7" fillId="0" borderId="18" xfId="0" applyFont="1" applyBorder="1" applyAlignment="1">
      <alignment horizontal="center"/>
    </xf>
    <xf numFmtId="0" fontId="51" fillId="0" borderId="19" xfId="0" applyFont="1" applyBorder="1"/>
    <xf numFmtId="0" fontId="7" fillId="0" borderId="19" xfId="0" applyFont="1" applyBorder="1" applyAlignment="1">
      <alignment horizontal="center"/>
    </xf>
    <xf numFmtId="0" fontId="48" fillId="0" borderId="19" xfId="0" applyFont="1" applyBorder="1"/>
    <xf numFmtId="39" fontId="7" fillId="0" borderId="0" xfId="0" applyNumberFormat="1" applyFont="1"/>
    <xf numFmtId="2" fontId="46" fillId="0" borderId="12" xfId="0" applyNumberFormat="1" applyFont="1" applyBorder="1" applyAlignment="1">
      <alignment horizontal="center"/>
    </xf>
    <xf numFmtId="2" fontId="45" fillId="0" borderId="13" xfId="0" applyNumberFormat="1" applyFont="1" applyBorder="1" applyAlignment="1">
      <alignment horizontal="center"/>
    </xf>
    <xf numFmtId="4" fontId="39" fillId="0" borderId="0" xfId="72" applyNumberFormat="1" applyFont="1" applyFill="1"/>
    <xf numFmtId="0" fontId="45" fillId="0" borderId="0" xfId="0" applyFont="1" applyAlignment="1">
      <alignment horizontal="left"/>
    </xf>
    <xf numFmtId="37" fontId="63" fillId="0" borderId="0" xfId="0" applyNumberFormat="1" applyFont="1"/>
    <xf numFmtId="39" fontId="0" fillId="0" borderId="0" xfId="0" applyNumberFormat="1"/>
    <xf numFmtId="37" fontId="60" fillId="0" borderId="0" xfId="0" applyNumberFormat="1" applyFont="1"/>
    <xf numFmtId="10" fontId="60" fillId="0" borderId="0" xfId="71" applyNumberFormat="1" applyFont="1" applyFill="1"/>
    <xf numFmtId="0" fontId="51" fillId="38" borderId="0" xfId="0" applyFont="1" applyFill="1"/>
    <xf numFmtId="0" fontId="8" fillId="38" borderId="0" xfId="0" applyFont="1" applyFill="1"/>
    <xf numFmtId="14" fontId="8" fillId="38" borderId="0" xfId="0" applyNumberFormat="1" applyFont="1" applyFill="1"/>
    <xf numFmtId="37" fontId="8" fillId="38" borderId="0" xfId="0" applyNumberFormat="1" applyFont="1" applyFill="1"/>
    <xf numFmtId="3" fontId="8" fillId="38" borderId="0" xfId="0" applyNumberFormat="1" applyFont="1" applyFill="1"/>
    <xf numFmtId="37" fontId="9" fillId="38" borderId="0" xfId="0" applyNumberFormat="1" applyFont="1" applyFill="1"/>
    <xf numFmtId="3" fontId="8" fillId="38" borderId="0" xfId="0" quotePrefix="1" applyNumberFormat="1" applyFont="1" applyFill="1"/>
    <xf numFmtId="44" fontId="8" fillId="38" borderId="0" xfId="0" applyNumberFormat="1" applyFont="1" applyFill="1"/>
    <xf numFmtId="0" fontId="3" fillId="0" borderId="0" xfId="0" applyFont="1"/>
    <xf numFmtId="37" fontId="3" fillId="0" borderId="0" xfId="0" applyNumberFormat="1" applyFont="1"/>
    <xf numFmtId="0" fontId="77" fillId="0" borderId="0" xfId="0" applyFont="1"/>
    <xf numFmtId="0" fontId="78" fillId="0" borderId="0" xfId="0" applyFont="1" applyAlignment="1">
      <alignment horizontal="center" wrapText="1"/>
    </xf>
    <xf numFmtId="0" fontId="79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39" fontId="3" fillId="0" borderId="0" xfId="0" applyNumberFormat="1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center" wrapText="1"/>
    </xf>
    <xf numFmtId="37" fontId="3" fillId="0" borderId="41" xfId="0" applyNumberFormat="1" applyFont="1" applyBorder="1"/>
    <xf numFmtId="37" fontId="3" fillId="0" borderId="42" xfId="0" applyNumberFormat="1" applyFont="1" applyBorder="1"/>
    <xf numFmtId="37" fontId="3" fillId="0" borderId="43" xfId="0" applyNumberFormat="1" applyFont="1" applyBorder="1"/>
    <xf numFmtId="0" fontId="79" fillId="0" borderId="0" xfId="0" applyFont="1"/>
    <xf numFmtId="10" fontId="80" fillId="0" borderId="18" xfId="0" applyNumberFormat="1" applyFont="1" applyBorder="1" applyAlignment="1">
      <alignment horizontal="center"/>
    </xf>
    <xf numFmtId="37" fontId="76" fillId="0" borderId="18" xfId="0" applyNumberFormat="1" applyFont="1" applyBorder="1" applyAlignment="1">
      <alignment horizontal="center"/>
    </xf>
    <xf numFmtId="0" fontId="76" fillId="0" borderId="17" xfId="0" applyFont="1" applyBorder="1" applyAlignment="1">
      <alignment horizontal="left"/>
    </xf>
    <xf numFmtId="0" fontId="3" fillId="0" borderId="19" xfId="0" applyFont="1" applyBorder="1"/>
    <xf numFmtId="0" fontId="79" fillId="0" borderId="20" xfId="0" applyFont="1" applyBorder="1"/>
    <xf numFmtId="0" fontId="3" fillId="0" borderId="21" xfId="0" applyFont="1" applyBorder="1"/>
    <xf numFmtId="0" fontId="3" fillId="0" borderId="12" xfId="0" applyFont="1" applyBorder="1"/>
    <xf numFmtId="0" fontId="3" fillId="0" borderId="10" xfId="0" applyFont="1" applyBorder="1"/>
    <xf numFmtId="0" fontId="3" fillId="0" borderId="13" xfId="0" applyFont="1" applyBorder="1"/>
    <xf numFmtId="0" fontId="3" fillId="0" borderId="11" xfId="0" applyFont="1" applyBorder="1"/>
    <xf numFmtId="0" fontId="3" fillId="0" borderId="44" xfId="0" applyFont="1" applyBorder="1"/>
    <xf numFmtId="0" fontId="3" fillId="0" borderId="8" xfId="0" applyFont="1" applyBorder="1"/>
    <xf numFmtId="0" fontId="76" fillId="0" borderId="17" xfId="0" applyFont="1" applyBorder="1"/>
    <xf numFmtId="0" fontId="3" fillId="0" borderId="18" xfId="0" applyFont="1" applyBorder="1"/>
    <xf numFmtId="0" fontId="3" fillId="0" borderId="20" xfId="0" applyFont="1" applyBorder="1"/>
    <xf numFmtId="188" fontId="3" fillId="0" borderId="0" xfId="0" applyNumberFormat="1" applyFont="1"/>
    <xf numFmtId="187" fontId="3" fillId="0" borderId="21" xfId="71" applyNumberFormat="1" applyFont="1" applyBorder="1"/>
    <xf numFmtId="37" fontId="3" fillId="37" borderId="0" xfId="0" applyNumberFormat="1" applyFont="1" applyFill="1"/>
    <xf numFmtId="0" fontId="81" fillId="0" borderId="17" xfId="0" applyFont="1" applyBorder="1" applyAlignment="1">
      <alignment horizontal="center" wrapText="1"/>
    </xf>
    <xf numFmtId="0" fontId="76" fillId="0" borderId="18" xfId="0" applyFont="1" applyBorder="1" applyAlignment="1">
      <alignment horizontal="center" wrapText="1"/>
    </xf>
    <xf numFmtId="0" fontId="76" fillId="0" borderId="19" xfId="0" applyFont="1" applyBorder="1" applyAlignment="1">
      <alignment horizontal="center" wrapText="1"/>
    </xf>
    <xf numFmtId="37" fontId="3" fillId="0" borderId="21" xfId="0" applyNumberFormat="1" applyFont="1" applyBorder="1"/>
    <xf numFmtId="0" fontId="79" fillId="0" borderId="12" xfId="0" applyFont="1" applyBorder="1"/>
    <xf numFmtId="37" fontId="3" fillId="0" borderId="10" xfId="0" applyNumberFormat="1" applyFont="1" applyBorder="1"/>
    <xf numFmtId="37" fontId="3" fillId="0" borderId="13" xfId="0" applyNumberFormat="1" applyFont="1" applyBorder="1"/>
    <xf numFmtId="37" fontId="3" fillId="0" borderId="40" xfId="0" applyNumberFormat="1" applyFont="1" applyBorder="1"/>
    <xf numFmtId="37" fontId="79" fillId="0" borderId="0" xfId="0" applyNumberFormat="1" applyFont="1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37" fontId="76" fillId="0" borderId="18" xfId="0" quotePrefix="1" applyNumberFormat="1" applyFont="1" applyBorder="1" applyAlignment="1">
      <alignment horizontal="center"/>
    </xf>
    <xf numFmtId="0" fontId="3" fillId="0" borderId="17" xfId="0" applyFont="1" applyBorder="1"/>
    <xf numFmtId="0" fontId="8" fillId="0" borderId="19" xfId="0" applyFont="1" applyBorder="1"/>
    <xf numFmtId="0" fontId="8" fillId="0" borderId="21" xfId="71" applyNumberFormat="1" applyFont="1" applyFill="1" applyBorder="1"/>
    <xf numFmtId="0" fontId="8" fillId="0" borderId="21" xfId="0" applyFont="1" applyBorder="1"/>
    <xf numFmtId="0" fontId="1" fillId="0" borderId="20" xfId="0" applyFont="1" applyBorder="1"/>
    <xf numFmtId="0" fontId="8" fillId="0" borderId="20" xfId="0" applyFont="1" applyBorder="1"/>
    <xf numFmtId="0" fontId="8" fillId="0" borderId="12" xfId="0" applyFont="1" applyBorder="1"/>
    <xf numFmtId="0" fontId="8" fillId="0" borderId="13" xfId="0" applyFont="1" applyBorder="1"/>
    <xf numFmtId="0" fontId="9" fillId="33" borderId="0" xfId="0" quotePrefix="1" applyFont="1" applyFill="1" applyAlignment="1">
      <alignment horizontal="center"/>
    </xf>
    <xf numFmtId="0" fontId="9" fillId="35" borderId="0" xfId="0" quotePrefix="1" applyFont="1" applyFill="1" applyAlignment="1">
      <alignment horizontal="center"/>
    </xf>
    <xf numFmtId="0" fontId="9" fillId="36" borderId="0" xfId="0" quotePrefix="1" applyFont="1" applyFill="1" applyAlignment="1">
      <alignment horizontal="center"/>
    </xf>
    <xf numFmtId="17" fontId="9" fillId="35" borderId="0" xfId="0" quotePrefix="1" applyNumberFormat="1" applyFont="1" applyFill="1" applyAlignment="1">
      <alignment horizontal="center"/>
    </xf>
    <xf numFmtId="0" fontId="75" fillId="0" borderId="10" xfId="0" applyFont="1" applyBorder="1" applyAlignment="1">
      <alignment horizontal="center"/>
    </xf>
    <xf numFmtId="0" fontId="40" fillId="0" borderId="17" xfId="0" applyFont="1" applyBorder="1" applyAlignment="1">
      <alignment horizontal="center"/>
    </xf>
    <xf numFmtId="0" fontId="40" fillId="0" borderId="18" xfId="0" applyFont="1" applyBorder="1" applyAlignment="1">
      <alignment horizontal="center"/>
    </xf>
    <xf numFmtId="0" fontId="40" fillId="0" borderId="19" xfId="0" applyFont="1" applyBorder="1" applyAlignment="1">
      <alignment horizontal="center"/>
    </xf>
    <xf numFmtId="0" fontId="52" fillId="0" borderId="20" xfId="0" applyFont="1" applyBorder="1" applyAlignment="1">
      <alignment horizontal="center"/>
    </xf>
    <xf numFmtId="0" fontId="52" fillId="0" borderId="0" xfId="0" applyFont="1" applyAlignment="1">
      <alignment horizontal="center"/>
    </xf>
    <xf numFmtId="0" fontId="52" fillId="0" borderId="21" xfId="0" applyFont="1" applyBorder="1" applyAlignment="1">
      <alignment horizontal="center"/>
    </xf>
    <xf numFmtId="0" fontId="54" fillId="0" borderId="0" xfId="0" applyFont="1" applyAlignment="1">
      <alignment horizontal="left" wrapText="1"/>
    </xf>
    <xf numFmtId="0" fontId="13" fillId="0" borderId="0" xfId="0" applyFont="1" applyAlignment="1">
      <alignment horizontal="center"/>
    </xf>
    <xf numFmtId="0" fontId="55" fillId="0" borderId="14" xfId="0" applyFont="1" applyBorder="1" applyAlignment="1">
      <alignment horizontal="center" wrapText="1"/>
    </xf>
    <xf numFmtId="0" fontId="55" fillId="0" borderId="15" xfId="0" applyFont="1" applyBorder="1" applyAlignment="1">
      <alignment horizontal="center" wrapText="1"/>
    </xf>
    <xf numFmtId="0" fontId="55" fillId="0" borderId="16" xfId="0" applyFont="1" applyBorder="1" applyAlignment="1">
      <alignment horizontal="center" wrapText="1"/>
    </xf>
    <xf numFmtId="0" fontId="42" fillId="0" borderId="0" xfId="0" applyFont="1" applyAlignment="1">
      <alignment horizontal="center"/>
    </xf>
    <xf numFmtId="0" fontId="56" fillId="0" borderId="0" xfId="0" applyFont="1" applyAlignment="1">
      <alignment horizontal="center"/>
    </xf>
    <xf numFmtId="0" fontId="52" fillId="0" borderId="12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13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65" fillId="0" borderId="20" xfId="0" applyFont="1" applyBorder="1" applyAlignment="1">
      <alignment horizontal="center"/>
    </xf>
    <xf numFmtId="0" fontId="52" fillId="0" borderId="17" xfId="0" applyFont="1" applyBorder="1" applyAlignment="1">
      <alignment horizontal="center"/>
    </xf>
    <xf numFmtId="0" fontId="52" fillId="0" borderId="18" xfId="0" applyFont="1" applyBorder="1" applyAlignment="1">
      <alignment horizontal="center"/>
    </xf>
    <xf numFmtId="0" fontId="52" fillId="0" borderId="19" xfId="0" applyFont="1" applyBorder="1" applyAlignment="1">
      <alignment horizontal="center"/>
    </xf>
    <xf numFmtId="0" fontId="52" fillId="0" borderId="38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39" xfId="0" applyFont="1" applyBorder="1" applyAlignment="1">
      <alignment horizontal="center"/>
    </xf>
    <xf numFmtId="0" fontId="52" fillId="0" borderId="22" xfId="0" applyFont="1" applyBorder="1" applyAlignment="1">
      <alignment horizontal="center"/>
    </xf>
    <xf numFmtId="0" fontId="52" fillId="0" borderId="24" xfId="0" applyFont="1" applyBorder="1" applyAlignment="1">
      <alignment horizontal="center"/>
    </xf>
    <xf numFmtId="0" fontId="52" fillId="0" borderId="25" xfId="0" applyFont="1" applyBorder="1" applyAlignment="1">
      <alignment horizontal="center"/>
    </xf>
    <xf numFmtId="0" fontId="52" fillId="0" borderId="26" xfId="0" applyFont="1" applyBorder="1" applyAlignment="1">
      <alignment horizontal="center"/>
    </xf>
    <xf numFmtId="0" fontId="52" fillId="0" borderId="27" xfId="0" applyFont="1" applyBorder="1" applyAlignment="1">
      <alignment horizontal="center"/>
    </xf>
    <xf numFmtId="0" fontId="52" fillId="0" borderId="11" xfId="0" applyFont="1" applyBorder="1" applyAlignment="1">
      <alignment horizontal="center"/>
    </xf>
    <xf numFmtId="0" fontId="52" fillId="0" borderId="28" xfId="0" applyFont="1" applyBorder="1" applyAlignment="1">
      <alignment horizontal="center"/>
    </xf>
    <xf numFmtId="0" fontId="56" fillId="0" borderId="25" xfId="0" applyFont="1" applyBorder="1" applyAlignment="1">
      <alignment horizontal="center"/>
    </xf>
    <xf numFmtId="15" fontId="9" fillId="34" borderId="0" xfId="0" quotePrefix="1" applyNumberFormat="1" applyFont="1" applyFill="1" applyAlignment="1">
      <alignment horizontal="center"/>
    </xf>
    <xf numFmtId="0" fontId="9" fillId="34" borderId="0" xfId="0" applyFont="1" applyFill="1" applyAlignment="1">
      <alignment horizontal="center"/>
    </xf>
    <xf numFmtId="0" fontId="9" fillId="35" borderId="0" xfId="0" applyFont="1" applyFill="1" applyAlignment="1">
      <alignment horizontal="center"/>
    </xf>
    <xf numFmtId="186" fontId="9" fillId="36" borderId="0" xfId="0" quotePrefix="1" applyNumberFormat="1" applyFont="1" applyFill="1" applyAlignment="1">
      <alignment horizontal="center"/>
    </xf>
    <xf numFmtId="186" fontId="9" fillId="36" borderId="0" xfId="0" applyNumberFormat="1" applyFont="1" applyFill="1" applyAlignment="1">
      <alignment horizontal="center"/>
    </xf>
    <xf numFmtId="0" fontId="9" fillId="36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61" fillId="0" borderId="0" xfId="0" applyFont="1" applyAlignment="1">
      <alignment horizontal="center" vertical="center" wrapText="1"/>
    </xf>
  </cellXfs>
  <cellStyles count="73">
    <cellStyle name="_ColumnTitles" xfId="1" xr:uid="{00000000-0005-0000-0000-000000000000}"/>
    <cellStyle name="_DateRange" xfId="2" xr:uid="{00000000-0005-0000-0000-000001000000}"/>
    <cellStyle name="_SeriesAttributes" xfId="3" xr:uid="{00000000-0005-0000-0000-000002000000}"/>
    <cellStyle name="_SeriesData" xfId="4" xr:uid="{00000000-0005-0000-0000-000003000000}"/>
    <cellStyle name="20% - Accent1" xfId="5" builtinId="30" customBuiltin="1"/>
    <cellStyle name="20% - Accent2" xfId="6" builtinId="34" customBuiltin="1"/>
    <cellStyle name="20% - Accent3" xfId="7" builtinId="38" customBuiltin="1"/>
    <cellStyle name="20% - Accent4" xfId="8" builtinId="42" customBuiltin="1"/>
    <cellStyle name="20% - Accent5" xfId="9" builtinId="46" customBuiltin="1"/>
    <cellStyle name="20% - Accent6" xfId="10" builtinId="50" customBuiltin="1"/>
    <cellStyle name="40% - Accent1" xfId="11" builtinId="31" customBuiltin="1"/>
    <cellStyle name="40% - Accent2" xfId="12" builtinId="35" customBuiltin="1"/>
    <cellStyle name="40% - Accent3" xfId="13" builtinId="39" customBuiltin="1"/>
    <cellStyle name="40% - Accent4" xfId="14" builtinId="43" customBuiltin="1"/>
    <cellStyle name="40% - Accent5" xfId="15" builtinId="47" customBuiltin="1"/>
    <cellStyle name="40% - Accent6" xfId="16" builtinId="51" customBuiltin="1"/>
    <cellStyle name="60% - Accent1" xfId="17" builtinId="32" customBuiltin="1"/>
    <cellStyle name="60% - Accent2" xfId="18" builtinId="36" customBuiltin="1"/>
    <cellStyle name="60% - Accent3" xfId="19" builtinId="40" customBuiltin="1"/>
    <cellStyle name="60% - Accent4" xfId="20" builtinId="44" customBuiltin="1"/>
    <cellStyle name="60% - Accent5" xfId="21" builtinId="48" customBuiltin="1"/>
    <cellStyle name="60% - Accent6" xfId="22" builtinId="52" customBuiltin="1"/>
    <cellStyle name="Accent1" xfId="23" builtinId="29" customBuiltin="1"/>
    <cellStyle name="Accent2" xfId="24" builtinId="33" customBuiltin="1"/>
    <cellStyle name="Accent3" xfId="25" builtinId="37" customBuiltin="1"/>
    <cellStyle name="Accent4" xfId="26" builtinId="41" customBuiltin="1"/>
    <cellStyle name="Accent5" xfId="27" builtinId="45" customBuiltin="1"/>
    <cellStyle name="Accent6" xfId="28" builtinId="49" customBuiltin="1"/>
    <cellStyle name="Bad" xfId="29" builtinId="27" customBuiltin="1"/>
    <cellStyle name="Calculation" xfId="30" builtinId="22" customBuiltin="1"/>
    <cellStyle name="Check Cell" xfId="31" builtinId="23" customBuiltin="1"/>
    <cellStyle name="Comma" xfId="72" builtinId="3"/>
    <cellStyle name="Comma 2" xfId="32" xr:uid="{00000000-0005-0000-0000-000020000000}"/>
    <cellStyle name="Comma 3" xfId="33" xr:uid="{00000000-0005-0000-0000-000021000000}"/>
    <cellStyle name="Comma 4" xfId="34" xr:uid="{00000000-0005-0000-0000-000022000000}"/>
    <cellStyle name="Comma 4 2" xfId="35" xr:uid="{00000000-0005-0000-0000-000023000000}"/>
    <cellStyle name="Comma 5" xfId="36" xr:uid="{00000000-0005-0000-0000-000024000000}"/>
    <cellStyle name="Comma 6" xfId="37" xr:uid="{00000000-0005-0000-0000-000025000000}"/>
    <cellStyle name="Comma 7" xfId="38" xr:uid="{00000000-0005-0000-0000-000026000000}"/>
    <cellStyle name="Currency 2" xfId="39" xr:uid="{00000000-0005-0000-0000-000027000000}"/>
    <cellStyle name="Explanatory Text" xfId="40" builtinId="53" customBuiltin="1"/>
    <cellStyle name="Good" xfId="41" builtinId="26" customBuiltin="1"/>
    <cellStyle name="Heading 1" xfId="42" builtinId="16" customBuiltin="1"/>
    <cellStyle name="Heading 2" xfId="43" builtinId="17" customBuiltin="1"/>
    <cellStyle name="Heading 3" xfId="44" builtinId="18" customBuiltin="1"/>
    <cellStyle name="Heading 4" xfId="45" builtinId="19" customBuiltin="1"/>
    <cellStyle name="Input" xfId="46" builtinId="20" customBuiltin="1"/>
    <cellStyle name="Linked Cell" xfId="47" builtinId="24" customBuiltin="1"/>
    <cellStyle name="Neutral" xfId="48" builtinId="28" customBuiltin="1"/>
    <cellStyle name="Normal" xfId="0" builtinId="0"/>
    <cellStyle name="Normal 2" xfId="49" xr:uid="{00000000-0005-0000-0000-000032000000}"/>
    <cellStyle name="Normal 2 2" xfId="50" xr:uid="{00000000-0005-0000-0000-000033000000}"/>
    <cellStyle name="Normal 3" xfId="51" xr:uid="{00000000-0005-0000-0000-000034000000}"/>
    <cellStyle name="Normal 4" xfId="52" xr:uid="{00000000-0005-0000-0000-000035000000}"/>
    <cellStyle name="Normal 5" xfId="53" xr:uid="{00000000-0005-0000-0000-000036000000}"/>
    <cellStyle name="Normal 5 2" xfId="54" xr:uid="{00000000-0005-0000-0000-000037000000}"/>
    <cellStyle name="Normal 6" xfId="55" xr:uid="{00000000-0005-0000-0000-000038000000}"/>
    <cellStyle name="Normal 7" xfId="56" xr:uid="{00000000-0005-0000-0000-000039000000}"/>
    <cellStyle name="Normal 8" xfId="57" xr:uid="{00000000-0005-0000-0000-00003A000000}"/>
    <cellStyle name="Normal 8 2" xfId="58" xr:uid="{00000000-0005-0000-0000-00003B000000}"/>
    <cellStyle name="Normal 9" xfId="59" xr:uid="{00000000-0005-0000-0000-00003C000000}"/>
    <cellStyle name="Normal_CMI Data" xfId="60" xr:uid="{00000000-0005-0000-0000-00003D000000}"/>
    <cellStyle name="Note" xfId="61" builtinId="10" customBuiltin="1"/>
    <cellStyle name="Output" xfId="62" builtinId="21" customBuiltin="1"/>
    <cellStyle name="Percent" xfId="71" builtinId="5"/>
    <cellStyle name="Percent 2" xfId="63" xr:uid="{00000000-0005-0000-0000-000041000000}"/>
    <cellStyle name="Percent 3" xfId="64" xr:uid="{00000000-0005-0000-0000-000042000000}"/>
    <cellStyle name="Percent 4" xfId="65" xr:uid="{00000000-0005-0000-0000-000043000000}"/>
    <cellStyle name="Percent 4 2" xfId="66" xr:uid="{00000000-0005-0000-0000-000044000000}"/>
    <cellStyle name="Percent 5" xfId="67" xr:uid="{00000000-0005-0000-0000-000045000000}"/>
    <cellStyle name="Title" xfId="68" builtinId="15" customBuiltin="1"/>
    <cellStyle name="Total" xfId="69" builtinId="25" customBuiltin="1"/>
    <cellStyle name="Warning Text" xfId="70" builtinId="11" customBuiltin="1"/>
  </cellStyles>
  <dxfs count="2">
    <dxf>
      <font>
        <b/>
        <i val="0"/>
        <color theme="6" tint="-0.499984740745262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FCCCC"/>
        </patternFill>
      </fill>
    </dxf>
  </dxfs>
  <tableStyles count="0" defaultTableStyle="TableStyleMedium9" defaultPivotStyle="PivotStyleLight16"/>
  <colors>
    <mruColors>
      <color rgb="FFCCFFFF"/>
      <color rgb="FFFFFFCC"/>
      <color rgb="FFCC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Style="combo" dx="15" fmlaLink="$G$3" fmlaRange="'Rate Calculation'!$B$4:$B$208" noThreeD="1" sel="189" val="183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Drop" dropStyle="combo" dx="15" fmlaLink="$G$3" fmlaRange="#REF!" noThreeD="1" sel="0" val="0"/>
</file>

<file path=xl/ctrlProps/ctrlProp4.xml><?xml version="1.0" encoding="utf-8"?>
<formControlPr xmlns="http://schemas.microsoft.com/office/spreadsheetml/2009/9/main" objectType="Drop" dropStyle="combo" dx="15" fmlaLink="$G$3" fmlaRange="#REF!" noThreeD="1" sel="0" val="0"/>
</file>

<file path=xl/ctrlProps/ctrlProp5.xml><?xml version="1.0" encoding="utf-8"?>
<formControlPr xmlns="http://schemas.microsoft.com/office/spreadsheetml/2009/9/main" objectType="Drop" dropStyle="combo" dx="15" fmlaLink="$G$3" fmlaRange="'Vent Rate Calculation'!$AQ$4:$AQ$21" noThreeD="1" sel="1" val="6"/>
</file>

<file path=xl/ctrlProps/ctrlProp6.xml><?xml version="1.0" encoding="utf-8"?>
<formControlPr xmlns="http://schemas.microsoft.com/office/spreadsheetml/2009/9/main" objectType="Drop" dropStyle="combo" dx="15" fmlaLink="$G$5" fmlaRange="$L$5:$L$14" noThreeD="1" sel="1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3</xdr:row>
          <xdr:rowOff>25400</xdr:rowOff>
        </xdr:from>
        <xdr:to>
          <xdr:col>10</xdr:col>
          <xdr:colOff>76200</xdr:colOff>
          <xdr:row>4</xdr:row>
          <xdr:rowOff>101600</xdr:rowOff>
        </xdr:to>
        <xdr:sp macro="" textlink="">
          <xdr:nvSpPr>
            <xdr:cNvPr id="14337" name="Drop Down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2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406400</xdr:colOff>
          <xdr:row>4</xdr:row>
          <xdr:rowOff>76200</xdr:rowOff>
        </xdr:from>
        <xdr:to>
          <xdr:col>14</xdr:col>
          <xdr:colOff>406400</xdr:colOff>
          <xdr:row>5</xdr:row>
          <xdr:rowOff>0</xdr:rowOff>
        </xdr:to>
        <xdr:sp macro="" textlink="">
          <xdr:nvSpPr>
            <xdr:cNvPr id="14517" name="Button 181" hidden="1">
              <a:extLst>
                <a:ext uri="{63B3BB69-23CF-44E3-9099-C40C66FF867C}">
                  <a14:compatExt spid="_x0000_s14517"/>
                </a:ext>
                <a:ext uri="{FF2B5EF4-FFF2-40B4-BE49-F238E27FC236}">
                  <a16:creationId xmlns:a16="http://schemas.microsoft.com/office/drawing/2014/main" id="{00000000-0008-0000-0200-0000B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Times New Roman" pitchFamily="1" charset="0"/>
                  <a:cs typeface="Times New Roman" pitchFamily="1" charset="0"/>
                </a:rPr>
                <a:t>PRINT ALL</a:t>
              </a:r>
            </a:p>
          </xdr:txBody>
        </xdr:sp>
        <xdr:clientData fPrintsWithSheet="0"/>
      </xdr:twoCellAnchor>
    </mc:Choice>
    <mc:Fallback/>
  </mc:AlternateContent>
  <xdr:twoCellAnchor>
    <xdr:from>
      <xdr:col>0</xdr:col>
      <xdr:colOff>0</xdr:colOff>
      <xdr:row>136</xdr:row>
      <xdr:rowOff>0</xdr:rowOff>
    </xdr:from>
    <xdr:to>
      <xdr:col>2</xdr:col>
      <xdr:colOff>238125</xdr:colOff>
      <xdr:row>137</xdr:row>
      <xdr:rowOff>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0" y="20821652"/>
          <a:ext cx="5543550" cy="314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 u="sng">
              <a:latin typeface="Arial Unicode MS" pitchFamily="34" charset="-128"/>
              <a:ea typeface="Arial Unicode MS" pitchFamily="34" charset="-128"/>
              <a:cs typeface="Arial Unicode MS" pitchFamily="34" charset="-128"/>
            </a:rPr>
            <a:t>Nursing Service Cost Center Rate - All Levels</a:t>
          </a:r>
        </a:p>
      </xdr:txBody>
    </xdr:sp>
    <xdr:clientData/>
  </xdr:twoCellAnchor>
  <xdr:twoCellAnchor>
    <xdr:from>
      <xdr:col>0</xdr:col>
      <xdr:colOff>0</xdr:colOff>
      <xdr:row>197</xdr:row>
      <xdr:rowOff>0</xdr:rowOff>
    </xdr:from>
    <xdr:to>
      <xdr:col>2</xdr:col>
      <xdr:colOff>238125</xdr:colOff>
      <xdr:row>198</xdr:row>
      <xdr:rowOff>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0" y="40111680"/>
          <a:ext cx="6600825" cy="3276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 u="sng">
              <a:latin typeface="Arial Unicode MS" pitchFamily="34" charset="-128"/>
              <a:ea typeface="Arial Unicode MS" pitchFamily="34" charset="-128"/>
              <a:cs typeface="Arial Unicode MS" pitchFamily="34" charset="-128"/>
            </a:rPr>
            <a:t>Nursing Service Cost Center Rate - All Levels</a:t>
          </a:r>
        </a:p>
      </xdr:txBody>
    </xdr:sp>
    <xdr:clientData/>
  </xdr:twoCellAnchor>
  <xdr:twoCellAnchor>
    <xdr:from>
      <xdr:col>0</xdr:col>
      <xdr:colOff>0</xdr:colOff>
      <xdr:row>258</xdr:row>
      <xdr:rowOff>0</xdr:rowOff>
    </xdr:from>
    <xdr:to>
      <xdr:col>2</xdr:col>
      <xdr:colOff>238125</xdr:colOff>
      <xdr:row>259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0" y="58910220"/>
          <a:ext cx="6600825" cy="3276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 u="sng">
              <a:latin typeface="Arial Unicode MS" pitchFamily="34" charset="-128"/>
              <a:ea typeface="Arial Unicode MS" pitchFamily="34" charset="-128"/>
              <a:cs typeface="Arial Unicode MS" pitchFamily="34" charset="-128"/>
            </a:rPr>
            <a:t>Nursing Service Cost Center Rate - All Levels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254000</xdr:colOff>
          <xdr:row>3</xdr:row>
          <xdr:rowOff>63500</xdr:rowOff>
        </xdr:from>
        <xdr:to>
          <xdr:col>10</xdr:col>
          <xdr:colOff>76200</xdr:colOff>
          <xdr:row>4</xdr:row>
          <xdr:rowOff>76200</xdr:rowOff>
        </xdr:to>
        <xdr:sp macro="" textlink="">
          <xdr:nvSpPr>
            <xdr:cNvPr id="27649" name="Drop Down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03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406400</xdr:colOff>
          <xdr:row>3</xdr:row>
          <xdr:rowOff>114300</xdr:rowOff>
        </xdr:from>
        <xdr:to>
          <xdr:col>10</xdr:col>
          <xdr:colOff>215900</xdr:colOff>
          <xdr:row>4</xdr:row>
          <xdr:rowOff>114300</xdr:rowOff>
        </xdr:to>
        <xdr:sp macro="" textlink="">
          <xdr:nvSpPr>
            <xdr:cNvPr id="27651" name="Drop Down 3" hidden="1">
              <a:extLst>
                <a:ext uri="{63B3BB69-23CF-44E3-9099-C40C66FF867C}">
                  <a14:compatExt spid="_x0000_s27651"/>
                </a:ext>
                <a:ext uri="{FF2B5EF4-FFF2-40B4-BE49-F238E27FC236}">
                  <a16:creationId xmlns:a16="http://schemas.microsoft.com/office/drawing/2014/main" id="{00000000-0008-0000-0300-00000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3</xdr:row>
          <xdr:rowOff>63500</xdr:rowOff>
        </xdr:from>
        <xdr:to>
          <xdr:col>10</xdr:col>
          <xdr:colOff>508000</xdr:colOff>
          <xdr:row>4</xdr:row>
          <xdr:rowOff>139700</xdr:rowOff>
        </xdr:to>
        <xdr:sp macro="" textlink="">
          <xdr:nvSpPr>
            <xdr:cNvPr id="27652" name="Drop Down 4" hidden="1">
              <a:extLst>
                <a:ext uri="{63B3BB69-23CF-44E3-9099-C40C66FF867C}">
                  <a14:compatExt spid="_x0000_s27652"/>
                </a:ext>
                <a:ext uri="{FF2B5EF4-FFF2-40B4-BE49-F238E27FC236}">
                  <a16:creationId xmlns:a16="http://schemas.microsoft.com/office/drawing/2014/main" id="{00000000-0008-0000-0300-00000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129</xdr:row>
      <xdr:rowOff>161925</xdr:rowOff>
    </xdr:from>
    <xdr:to>
      <xdr:col>2</xdr:col>
      <xdr:colOff>238125</xdr:colOff>
      <xdr:row>131</xdr:row>
      <xdr:rowOff>66675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 txBox="1"/>
      </xdr:nvSpPr>
      <xdr:spPr>
        <a:xfrm>
          <a:off x="0" y="34328100"/>
          <a:ext cx="55340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 u="sng">
              <a:latin typeface="Arial Unicode MS" pitchFamily="34" charset="-128"/>
              <a:ea typeface="Arial Unicode MS" pitchFamily="34" charset="-128"/>
              <a:cs typeface="Arial Unicode MS" pitchFamily="34" charset="-128"/>
            </a:rPr>
            <a:t>Nursing Service Cost Center Rate - All Levels</a:t>
          </a:r>
        </a:p>
      </xdr:txBody>
    </xdr:sp>
    <xdr:clientData/>
  </xdr:twoCellAnchor>
  <xdr:twoCellAnchor>
    <xdr:from>
      <xdr:col>0</xdr:col>
      <xdr:colOff>0</xdr:colOff>
      <xdr:row>184</xdr:row>
      <xdr:rowOff>0</xdr:rowOff>
    </xdr:from>
    <xdr:to>
      <xdr:col>2</xdr:col>
      <xdr:colOff>238125</xdr:colOff>
      <xdr:row>185</xdr:row>
      <xdr:rowOff>95250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0" y="38408610"/>
          <a:ext cx="6600825" cy="350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 u="sng">
              <a:latin typeface="Arial Unicode MS" pitchFamily="34" charset="-128"/>
              <a:ea typeface="Arial Unicode MS" pitchFamily="34" charset="-128"/>
              <a:cs typeface="Arial Unicode MS" pitchFamily="34" charset="-128"/>
            </a:rPr>
            <a:t>Nursing Service Cost Center Rate - All Levels</a:t>
          </a:r>
        </a:p>
      </xdr:txBody>
    </xdr:sp>
    <xdr:clientData/>
  </xdr:twoCellAnchor>
  <xdr:twoCellAnchor>
    <xdr:from>
      <xdr:col>0</xdr:col>
      <xdr:colOff>0</xdr:colOff>
      <xdr:row>238</xdr:row>
      <xdr:rowOff>0</xdr:rowOff>
    </xdr:from>
    <xdr:to>
      <xdr:col>2</xdr:col>
      <xdr:colOff>238125</xdr:colOff>
      <xdr:row>239</xdr:row>
      <xdr:rowOff>95250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0" y="56132730"/>
          <a:ext cx="6600825" cy="350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 u="sng">
              <a:latin typeface="Arial Unicode MS" pitchFamily="34" charset="-128"/>
              <a:ea typeface="Arial Unicode MS" pitchFamily="34" charset="-128"/>
              <a:cs typeface="Arial Unicode MS" pitchFamily="34" charset="-128"/>
            </a:rPr>
            <a:t>Nursing Service Cost Center Rate - All Levels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5</xdr:row>
          <xdr:rowOff>177800</xdr:rowOff>
        </xdr:from>
        <xdr:to>
          <xdr:col>9</xdr:col>
          <xdr:colOff>774700</xdr:colOff>
          <xdr:row>7</xdr:row>
          <xdr:rowOff>25400</xdr:rowOff>
        </xdr:to>
        <xdr:sp macro="" textlink="">
          <xdr:nvSpPr>
            <xdr:cNvPr id="28673" name="Drop Down 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0000000-0008-0000-04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/Maryland%20Rate%20Models/Rate%20Calc%202015/Rate%20Cal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/Maryland%20Rate%20Models/Rate%20Calc%202017/Rate%20Calc%20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s and Impact"/>
      <sheetName val="Facility Summary - Current Rate"/>
      <sheetName val="Phase In Option"/>
      <sheetName val="Facility Profile"/>
      <sheetName val="Vent Profile"/>
      <sheetName val="Averages Profiles"/>
      <sheetName val="Rate Calculation"/>
      <sheetName val="Vent Rate Calculation"/>
      <sheetName val="DC CMI Limit"/>
      <sheetName val="CR Limit"/>
      <sheetName val="Admin OP Limit"/>
      <sheetName val="FRV"/>
      <sheetName val="Inflation"/>
      <sheetName val="CMI Data"/>
      <sheetName val="Interim Rate FY 2014"/>
      <sheetName val="2013 and 2012 Cost Reports"/>
      <sheetName val="2012 Final Per Diem Rate"/>
      <sheetName val="QA Data"/>
      <sheetName val="Vent Website"/>
      <sheetName val="April 2016 Website"/>
      <sheetName val="January 2016 Website"/>
      <sheetName val="October 2015 Website"/>
      <sheetName val="July 2015 Website"/>
      <sheetName val="April 2015 Website"/>
      <sheetName val="Days Exceptions"/>
      <sheetName val="Documentation"/>
    </sheetNames>
    <sheetDataSet>
      <sheetData sheetId="0">
        <row r="15">
          <cell r="E15">
            <v>0.95</v>
          </cell>
        </row>
        <row r="49">
          <cell r="B49">
            <v>0.91</v>
          </cell>
        </row>
      </sheetData>
      <sheetData sheetId="1"/>
      <sheetData sheetId="2">
        <row r="9">
          <cell r="BK9">
            <v>0.96719999999999995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13">
          <cell r="E213">
            <v>1.0721000000000001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ase In Option"/>
      <sheetName val="Facility Profile"/>
      <sheetName val="Vent Profile"/>
      <sheetName val="Averages Profiles"/>
      <sheetName val="Rate Calculation"/>
      <sheetName val="Vent Rate Calculation"/>
      <sheetName val="FRV"/>
      <sheetName val="Inflation"/>
      <sheetName val="CMI Data"/>
      <sheetName val="Interim Rate FY 2014"/>
      <sheetName val="2013 and 2012 Cost Reports"/>
      <sheetName val="2012 Final Per Diem Rate"/>
      <sheetName val="July 2016 Website"/>
      <sheetName val="October 2016 Website"/>
      <sheetName val="January 2017 Website"/>
      <sheetName val="April 2017 Website"/>
      <sheetName val="Days Exceptions"/>
      <sheetName val="Documentation"/>
    </sheetNames>
    <sheetDataSet>
      <sheetData sheetId="0"/>
      <sheetData sheetId="1"/>
      <sheetData sheetId="2"/>
      <sheetData sheetId="3"/>
      <sheetData sheetId="4">
        <row r="3">
          <cell r="A3" t="str">
            <v>MSLC ID</v>
          </cell>
        </row>
      </sheetData>
      <sheetData sheetId="5"/>
      <sheetData sheetId="6">
        <row r="3">
          <cell r="A3" t="str">
            <v>MSLC ID</v>
          </cell>
        </row>
      </sheetData>
      <sheetData sheetId="7"/>
      <sheetData sheetId="8">
        <row r="215">
          <cell r="E215">
            <v>1.0721000000000001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28EB1-271B-45AF-AC2B-56450A7AAB8F}">
  <sheetPr>
    <tabColor rgb="FFCCFFFF"/>
  </sheetPr>
  <dimension ref="A1:Q278"/>
  <sheetViews>
    <sheetView tabSelected="1" workbookViewId="0">
      <selection activeCell="E3" sqref="E3"/>
    </sheetView>
  </sheetViews>
  <sheetFormatPr baseColWidth="10" defaultColWidth="9.3984375" defaultRowHeight="15" x14ac:dyDescent="0.2"/>
  <cols>
    <col min="1" max="1" width="9.3984375" style="258"/>
    <col min="2" max="2" width="32" style="258" customWidth="1"/>
    <col min="3" max="3" width="20.3984375" style="258" customWidth="1"/>
    <col min="4" max="4" width="12.3984375" style="258" customWidth="1"/>
    <col min="5" max="5" width="16.19921875" style="258" customWidth="1"/>
    <col min="6" max="6" width="12.19921875" style="258" customWidth="1"/>
    <col min="7" max="7" width="27.59765625" style="258" customWidth="1"/>
    <col min="8" max="8" width="12.3984375" style="258" customWidth="1"/>
    <col min="9" max="9" width="13.3984375" style="258" customWidth="1"/>
    <col min="10" max="15" width="12.3984375" style="258" customWidth="1"/>
    <col min="16" max="16384" width="9.3984375" style="258"/>
  </cols>
  <sheetData>
    <row r="1" spans="1:17" ht="21" x14ac:dyDescent="0.25">
      <c r="A1" s="260" t="s">
        <v>1867</v>
      </c>
    </row>
    <row r="2" spans="1:17" ht="16" thickBot="1" x14ac:dyDescent="0.25"/>
    <row r="3" spans="1:17" x14ac:dyDescent="0.2">
      <c r="A3" s="283" t="s">
        <v>1868</v>
      </c>
      <c r="B3" s="284"/>
      <c r="C3" s="284"/>
      <c r="D3" s="274"/>
      <c r="G3" s="273" t="s">
        <v>1877</v>
      </c>
      <c r="H3" s="271" t="s">
        <v>1878</v>
      </c>
      <c r="I3" s="271" t="s">
        <v>1885</v>
      </c>
      <c r="J3" s="271" t="s">
        <v>1884</v>
      </c>
      <c r="K3" s="301" t="s">
        <v>1928</v>
      </c>
      <c r="L3" s="272" t="s">
        <v>1882</v>
      </c>
      <c r="M3" s="272" t="s">
        <v>1883</v>
      </c>
      <c r="N3" s="272" t="s">
        <v>1879</v>
      </c>
      <c r="O3" s="272" t="s">
        <v>1880</v>
      </c>
      <c r="P3" s="272" t="s">
        <v>1881</v>
      </c>
      <c r="Q3" s="274"/>
    </row>
    <row r="4" spans="1:17" x14ac:dyDescent="0.2">
      <c r="A4" s="285"/>
      <c r="B4" s="258" t="s">
        <v>1869</v>
      </c>
      <c r="C4" s="259">
        <v>120000</v>
      </c>
      <c r="D4" s="276"/>
      <c r="G4" s="275" t="s">
        <v>134</v>
      </c>
      <c r="H4" s="258">
        <f>COUNTIFS($H$61:$H$159,"&gt;-10",$H$61:$H$159,"&lt;=-5")</f>
        <v>7</v>
      </c>
      <c r="I4" s="258">
        <f>COUNTIFS($H$61:$H$159,"&gt;-5",$H$61:$H$159,"&lt;=-2")</f>
        <v>45</v>
      </c>
      <c r="J4" s="258">
        <f>COUNTIFS($H$61:$H$159,"&gt;-2",$H$61:$H$159,"&lt;0")</f>
        <v>5</v>
      </c>
      <c r="K4" s="258">
        <f>COUNTIF($H$61:$H$159,"=0")</f>
        <v>0</v>
      </c>
      <c r="L4" s="258">
        <f>COUNTIFS($H$61:$H$159,"&gt;0",$H$61:$H$159,"&lt;2")</f>
        <v>3</v>
      </c>
      <c r="M4" s="258">
        <f>COUNTIFS($H$61:$H$159,"&gt;=2",$H$61:$H$159,"&lt;5")</f>
        <v>7</v>
      </c>
      <c r="N4" s="258">
        <f>COUNTIFS($H$61:$H$159,"&gt;=5",$H$61:$H$159,"&lt;10")</f>
        <v>32</v>
      </c>
      <c r="O4" s="258">
        <f>COUNTIFS($H$61:$H$159,"&gt;=10",$H$61:$H$159,"&lt;15")</f>
        <v>0</v>
      </c>
      <c r="P4" s="258">
        <f>COUNTIFS($H$61:$H$159,"&gt;=15",$H$61:$H$159,"&lt;20")</f>
        <v>0</v>
      </c>
      <c r="Q4" s="276"/>
    </row>
    <row r="5" spans="1:17" x14ac:dyDescent="0.2">
      <c r="A5" s="285"/>
      <c r="B5" s="258" t="s">
        <v>442</v>
      </c>
      <c r="C5" s="286">
        <v>1.00176</v>
      </c>
      <c r="D5" s="276"/>
      <c r="G5" s="275" t="s">
        <v>483</v>
      </c>
      <c r="H5" s="258">
        <f>COUNTIFS($H$160:$H$176,"&gt;-10",$H$160:$H$176,"&lt;=-5")</f>
        <v>0</v>
      </c>
      <c r="I5" s="258">
        <f>COUNTIFS($H$160:$H$176,"&gt;-5",$H$160:$H$176,"&lt;=-2")</f>
        <v>14</v>
      </c>
      <c r="J5" s="258">
        <f>COUNTIFS($H$160:$H$176,"&gt;-2",$H$160:$H$176,"&lt;0")</f>
        <v>0</v>
      </c>
      <c r="K5" s="258">
        <f>COUNTIF($H$160:$H$176,"=0")</f>
        <v>0</v>
      </c>
      <c r="L5" s="258">
        <f>COUNTIFS($H$160:$H$176,"&gt;0",$H$160:$H$176,"&lt;2")</f>
        <v>1</v>
      </c>
      <c r="M5" s="258">
        <f>COUNTIFS($H$160:$H$176,"&gt;=2",$H$160:$H$176,"&lt;5")</f>
        <v>0</v>
      </c>
      <c r="N5" s="258">
        <f>COUNTIFS($H$160:$H$176,"&gt;=5",$H$160:$H$176,"&lt;10")</f>
        <v>2</v>
      </c>
      <c r="O5" s="258">
        <f>COUNTIFS($H$160:$H$176,"&gt;=10",$H$160:$H$176,"&lt;15")</f>
        <v>0</v>
      </c>
      <c r="P5" s="258">
        <f>COUNTIFS($H$160:$H$176,"&gt;=15",$H$160:$H$176,"&lt;20")</f>
        <v>0</v>
      </c>
      <c r="Q5" s="276"/>
    </row>
    <row r="6" spans="1:17" x14ac:dyDescent="0.2">
      <c r="A6" s="285"/>
      <c r="B6" s="258" t="s">
        <v>1871</v>
      </c>
      <c r="C6" s="258">
        <v>143</v>
      </c>
      <c r="D6" s="287">
        <f>C6/SUM(C6+C7)</f>
        <v>0.69799999999999995</v>
      </c>
      <c r="G6" s="275" t="s">
        <v>141</v>
      </c>
      <c r="H6" s="258">
        <f>COUNTIFS($H$177:$H$245,"&gt;-10",$H$177:$H$245,"&lt;=-5")</f>
        <v>0</v>
      </c>
      <c r="I6" s="258">
        <f>COUNTIFS($H$177:$H$245,"&gt;-5",$H$177:$H$245,"&lt;=-2")</f>
        <v>20</v>
      </c>
      <c r="J6" s="258">
        <f>COUNTIFS($H$177:$H$245,"&gt;-2",$H$177:$H$245,"&lt;0")</f>
        <v>4</v>
      </c>
      <c r="K6" s="258">
        <f>COUNTIF($H$177:$H$245,"=0")</f>
        <v>0</v>
      </c>
      <c r="L6" s="258">
        <f>COUNTIFS($H$177:$H$245,"&gt;0",$H$177:$H$245,"&lt;2")</f>
        <v>10</v>
      </c>
      <c r="M6" s="258">
        <f>COUNTIFS($H$177:$H$245,"&gt;=2",$H$177:$H$245,"&lt;5")</f>
        <v>6</v>
      </c>
      <c r="N6" s="258">
        <f>COUNTIFS($H$177:$H$245,"&gt;=5",$H$177:$H$245,"&lt;10")</f>
        <v>29</v>
      </c>
      <c r="O6" s="258">
        <f>COUNTIFS($H$177:$H$245,"&gt;=10",$H$177:$H$245,"&lt;15")</f>
        <v>0</v>
      </c>
      <c r="P6" s="258">
        <f>COUNTIFS($H$177:$H$245,"&gt;=15",$H$177:$H$245,"&lt;20")</f>
        <v>0</v>
      </c>
      <c r="Q6" s="276"/>
    </row>
    <row r="7" spans="1:17" x14ac:dyDescent="0.2">
      <c r="A7" s="285"/>
      <c r="B7" s="258" t="s">
        <v>1872</v>
      </c>
      <c r="C7" s="258">
        <v>62</v>
      </c>
      <c r="D7" s="287">
        <f>C7/SUM(C6+C7)</f>
        <v>0.30199999999999999</v>
      </c>
      <c r="G7" s="275" t="s">
        <v>482</v>
      </c>
      <c r="H7" s="280">
        <f>COUNTIFS($H$246:$H$265,"&gt;-10",$H$246:$H$265,"&lt;=-5")</f>
        <v>0</v>
      </c>
      <c r="I7" s="280">
        <f>COUNTIFS($H$246:$H$265,"&gt;-5",$H$246:$H$265,"&lt;=-2")</f>
        <v>9</v>
      </c>
      <c r="J7" s="280">
        <f>COUNTIFS($H$246:$H$265,"&gt;-2",$H$246:$H$265,"&lt;0")</f>
        <v>1</v>
      </c>
      <c r="K7" s="280">
        <f>COUNTIF($H$246:$H$265,"=0")</f>
        <v>0</v>
      </c>
      <c r="L7" s="280">
        <f>COUNTIFS($H$246:$H$265,"&gt;0",$H$246:$H$265,"&lt;2")</f>
        <v>0</v>
      </c>
      <c r="M7" s="280">
        <f>COUNTIFS($H$246:$H$265,"&gt;=2",$H$246:$H$265,"&lt;5")</f>
        <v>1</v>
      </c>
      <c r="N7" s="280">
        <f>COUNTIFS($H$246:$H$265,"&gt;=5",$H$246:$H$265,"&lt;10")</f>
        <v>9</v>
      </c>
      <c r="O7" s="280">
        <f>COUNTIFS($H$246:$H$265,"&gt;=10",$H$246:$H$265,"&lt;15")</f>
        <v>0</v>
      </c>
      <c r="P7" s="280">
        <f>COUNTIFS($H$246:$H$265,"&gt;=15",$H$246:$H$265,"&lt;20")</f>
        <v>0</v>
      </c>
      <c r="Q7" s="281"/>
    </row>
    <row r="8" spans="1:17" ht="16" thickBot="1" x14ac:dyDescent="0.25">
      <c r="A8" s="285"/>
      <c r="B8" s="258" t="s">
        <v>1873</v>
      </c>
      <c r="C8" s="259">
        <v>151931</v>
      </c>
      <c r="D8" s="276"/>
      <c r="G8" s="277"/>
      <c r="H8" s="278">
        <f>SUM(H4:H7)</f>
        <v>7</v>
      </c>
      <c r="I8" s="278">
        <f t="shared" ref="I8:J8" si="0">SUM(I4:I7)</f>
        <v>88</v>
      </c>
      <c r="J8" s="278">
        <f t="shared" si="0"/>
        <v>10</v>
      </c>
      <c r="K8" s="278">
        <f t="shared" ref="K8:P8" si="1">SUM(K4:K7)</f>
        <v>0</v>
      </c>
      <c r="L8" s="278">
        <f t="shared" si="1"/>
        <v>14</v>
      </c>
      <c r="M8" s="278">
        <f t="shared" si="1"/>
        <v>14</v>
      </c>
      <c r="N8" s="278">
        <f t="shared" si="1"/>
        <v>72</v>
      </c>
      <c r="O8" s="278">
        <f t="shared" si="1"/>
        <v>0</v>
      </c>
      <c r="P8" s="278">
        <f t="shared" si="1"/>
        <v>0</v>
      </c>
      <c r="Q8" s="282">
        <f>SUM(H8:P8)</f>
        <v>205</v>
      </c>
    </row>
    <row r="9" spans="1:17" ht="16" thickBot="1" x14ac:dyDescent="0.25">
      <c r="A9" s="277"/>
      <c r="B9" s="278"/>
      <c r="C9" s="278"/>
      <c r="D9" s="279"/>
    </row>
    <row r="11" spans="1:17" ht="16" thickBot="1" x14ac:dyDescent="0.25"/>
    <row r="12" spans="1:17" x14ac:dyDescent="0.2">
      <c r="A12" s="283" t="s">
        <v>1870</v>
      </c>
      <c r="B12" s="284"/>
      <c r="C12" s="284"/>
      <c r="D12" s="274"/>
      <c r="G12" s="273" t="s">
        <v>1927</v>
      </c>
      <c r="H12" s="271" t="s">
        <v>1878</v>
      </c>
      <c r="I12" s="271" t="s">
        <v>1885</v>
      </c>
      <c r="J12" s="271" t="s">
        <v>1884</v>
      </c>
      <c r="K12" s="301" t="s">
        <v>1928</v>
      </c>
      <c r="L12" s="272" t="s">
        <v>1882</v>
      </c>
      <c r="M12" s="272" t="s">
        <v>1883</v>
      </c>
      <c r="N12" s="272" t="s">
        <v>1879</v>
      </c>
      <c r="O12" s="272" t="s">
        <v>1880</v>
      </c>
      <c r="P12" s="272" t="s">
        <v>1881</v>
      </c>
      <c r="Q12" s="274"/>
    </row>
    <row r="13" spans="1:17" x14ac:dyDescent="0.2">
      <c r="A13" s="285"/>
      <c r="B13" s="258" t="s">
        <v>1869</v>
      </c>
      <c r="C13" s="288">
        <v>164737</v>
      </c>
      <c r="D13" s="276"/>
      <c r="G13" s="275" t="s">
        <v>134</v>
      </c>
      <c r="H13" s="258">
        <f>COUNTIFS($L$61:$L$159,"&gt;-10",$L$61:$L$159,"&lt;=-5")</f>
        <v>0</v>
      </c>
      <c r="I13" s="258">
        <f>COUNTIFS($L$61:$L$159,"&gt;-5",$L$61:$L$159,"&lt;=-2")</f>
        <v>0</v>
      </c>
      <c r="J13" s="258">
        <f>COUNTIFS($L$61:$L$159,"&gt;-2",$L$61:$L$159,"&lt;0")</f>
        <v>0</v>
      </c>
      <c r="K13" s="258">
        <f>COUNTIF($L$61:$L$159,"=0")</f>
        <v>36</v>
      </c>
      <c r="L13" s="258">
        <f>COUNTIFS($L$61:$L$159,"&gt;0",$L$61:$L$159,"&lt;2")</f>
        <v>12</v>
      </c>
      <c r="M13" s="258">
        <f>COUNTIFS($L$61:$L$159,"&gt;=2",$L$61:$L$159,"&lt;5")</f>
        <v>9</v>
      </c>
      <c r="N13" s="258">
        <f>COUNTIFS($L$61:$L$159,"&gt;=5",$L$61:$L$159,"&lt;10")</f>
        <v>10</v>
      </c>
      <c r="O13" s="258">
        <f>COUNTIFS($L$61:$L$159,"&gt;=10",$L$61:$L$159,"&lt;15")</f>
        <v>31</v>
      </c>
      <c r="P13" s="258">
        <f>COUNTIFS($L$61:$L$159,"&gt;=15",$L$61:$L$159,"&lt;20")</f>
        <v>1</v>
      </c>
      <c r="Q13" s="276"/>
    </row>
    <row r="14" spans="1:17" x14ac:dyDescent="0.2">
      <c r="A14" s="285"/>
      <c r="B14" s="258" t="s">
        <v>442</v>
      </c>
      <c r="C14" s="286">
        <f>_baf</f>
        <v>0.98772000000000004</v>
      </c>
      <c r="D14" s="276"/>
      <c r="G14" s="275" t="s">
        <v>483</v>
      </c>
      <c r="H14" s="258">
        <f>COUNTIFS($L$160:$L$176,"&gt;-10",$L$160:$L$176,"&lt;=-5")</f>
        <v>0</v>
      </c>
      <c r="I14" s="258">
        <f>COUNTIFS($L$160:$L$176,"&gt;-5",$L$160:$L$176,"&lt;=-2")</f>
        <v>0</v>
      </c>
      <c r="J14" s="258">
        <f>COUNTIFS($L$160:$L$176,"&gt;-2",$L$160:$L$176,"&lt;0")</f>
        <v>0</v>
      </c>
      <c r="K14" s="258">
        <f>COUNTIF($L$160:$L$176,"=0")</f>
        <v>7</v>
      </c>
      <c r="L14" s="258">
        <f>COUNTIFS($L$160:$L$176,"&gt;0",$L$160:$L$176,"&lt;2")</f>
        <v>6</v>
      </c>
      <c r="M14" s="258">
        <f>COUNTIFS($L$160:$L$176,"&gt;=2",$L$160:$L$176,"&lt;5")</f>
        <v>1</v>
      </c>
      <c r="N14" s="258">
        <f>COUNTIFS($L$160:$L$176,"&gt;=5",$L$160:$L$176,"&lt;10")</f>
        <v>1</v>
      </c>
      <c r="O14" s="258">
        <f>COUNTIFS($L$160:$L$176,"&gt;=10",$L$160:$L$176,"&lt;15")</f>
        <v>2</v>
      </c>
      <c r="P14" s="258">
        <f>COUNTIFS($L$160:$L$176,"&gt;=15",$L$160:$L$176,"&lt;20")</f>
        <v>0</v>
      </c>
      <c r="Q14" s="276"/>
    </row>
    <row r="15" spans="1:17" x14ac:dyDescent="0.2">
      <c r="A15" s="285"/>
      <c r="D15" s="287"/>
      <c r="G15" s="275" t="s">
        <v>141</v>
      </c>
      <c r="H15" s="258">
        <f>COUNTIFS($L$177:$L$245,"&gt;-10",$L$177:$L$245,"&lt;=-5")</f>
        <v>0</v>
      </c>
      <c r="I15" s="258">
        <f>COUNTIFS($L$177:$L$245,"&gt;-5",$L$177:$L$245,"&lt;=-2")</f>
        <v>0</v>
      </c>
      <c r="J15" s="258">
        <f>COUNTIFS($L$177:$L$245,"&gt;-2",$L$177:$L$245,"&lt;0")</f>
        <v>0</v>
      </c>
      <c r="K15" s="258">
        <f>COUNTIF($L$177:$L$245,"=0")</f>
        <v>14</v>
      </c>
      <c r="L15" s="258">
        <f>COUNTIFS($L$177:$L$245,"&gt;0",$L$177:$L$245,"&lt;2")</f>
        <v>3</v>
      </c>
      <c r="M15" s="258">
        <f>COUNTIFS($L$177:$L$245,"&gt;=2",$L$177:$L$245,"&lt;5")</f>
        <v>13</v>
      </c>
      <c r="N15" s="258">
        <f>COUNTIFS($L$177:$L$245,"&gt;=5",$L$177:$L$245,"&lt;10")</f>
        <v>11</v>
      </c>
      <c r="O15" s="258">
        <f>COUNTIFS($L$177:$L$245,"&gt;=10",$L$177:$L$245,"&lt;15")</f>
        <v>28</v>
      </c>
      <c r="P15" s="258">
        <f>COUNTIFS($L$177:$L$245,"&gt;=15",$L$177:$L$245,"&lt;20")</f>
        <v>0</v>
      </c>
      <c r="Q15" s="276"/>
    </row>
    <row r="16" spans="1:17" x14ac:dyDescent="0.2">
      <c r="A16" s="285"/>
      <c r="B16" s="298" t="s">
        <v>1923</v>
      </c>
      <c r="C16" s="258">
        <f>COUNTIF($H$61:$H$265,"&gt;=0")</f>
        <v>100</v>
      </c>
      <c r="D16" s="287">
        <f>C16/SUM(C16+C17)</f>
        <v>0.48799999999999999</v>
      </c>
      <c r="G16" s="275" t="s">
        <v>482</v>
      </c>
      <c r="H16" s="280">
        <f>COUNTIFS($L$246:$L$265,"&gt;-10",$L$246:$L$265,"&lt;=-5")</f>
        <v>0</v>
      </c>
      <c r="I16" s="280">
        <f>COUNTIFS($L$246:$L$265,"&gt;-5",$L$246:$L$265,"&lt;=-2")</f>
        <v>0</v>
      </c>
      <c r="J16" s="280">
        <f>COUNTIFS($L$246:$L$265,"&gt;-2",$L$246:$L$265,"&lt;0")</f>
        <v>0</v>
      </c>
      <c r="K16" s="280">
        <f>COUNTIF($L$246:$L$265,"=0")</f>
        <v>5</v>
      </c>
      <c r="L16" s="280">
        <f>COUNTIFS($L$246:$L$265,"&gt;0",$L$246:$L$265,"&lt;2")</f>
        <v>2</v>
      </c>
      <c r="M16" s="280">
        <f>COUNTIFS($L$246:$L$265,"&gt;=2",$L$246:$L$265,"&lt;5")</f>
        <v>3</v>
      </c>
      <c r="N16" s="280">
        <f>COUNTIFS($L$246:$L$265,"&gt;=5",$L$246:$L$265,"&lt;10")</f>
        <v>1</v>
      </c>
      <c r="O16" s="280">
        <f>COUNTIFS($L$246:$L$265,"&gt;=10",$L$246:$L$265,"&lt;15")</f>
        <v>9</v>
      </c>
      <c r="P16" s="280">
        <f>COUNTIFS($L$246:$L$265,"&gt;=15",$L$246:$L$265,"&lt;20")</f>
        <v>0</v>
      </c>
      <c r="Q16" s="281"/>
    </row>
    <row r="17" spans="1:17" ht="16" thickBot="1" x14ac:dyDescent="0.25">
      <c r="A17" s="285"/>
      <c r="B17" s="298" t="s">
        <v>1924</v>
      </c>
      <c r="C17" s="258">
        <f>COUNTIF($H$61:$H$265,"&lt;0")</f>
        <v>105</v>
      </c>
      <c r="D17" s="287">
        <f>C17/SUM(C16+C17)</f>
        <v>0.51200000000000001</v>
      </c>
      <c r="G17" s="277"/>
      <c r="H17" s="278">
        <f>SUM(H13:H16)</f>
        <v>0</v>
      </c>
      <c r="I17" s="278">
        <f t="shared" ref="I17:J17" si="2">SUM(I13:I16)</f>
        <v>0</v>
      </c>
      <c r="J17" s="278">
        <f t="shared" si="2"/>
        <v>0</v>
      </c>
      <c r="K17" s="278">
        <f t="shared" ref="K17:P17" si="3">SUM(K13:K16)</f>
        <v>62</v>
      </c>
      <c r="L17" s="278">
        <f t="shared" si="3"/>
        <v>23</v>
      </c>
      <c r="M17" s="278">
        <f t="shared" si="3"/>
        <v>26</v>
      </c>
      <c r="N17" s="278">
        <f t="shared" si="3"/>
        <v>23</v>
      </c>
      <c r="O17" s="278">
        <f t="shared" si="3"/>
        <v>70</v>
      </c>
      <c r="P17" s="278">
        <f t="shared" si="3"/>
        <v>1</v>
      </c>
      <c r="Q17" s="282">
        <f>SUM(H17:P17)</f>
        <v>205</v>
      </c>
    </row>
    <row r="18" spans="1:17" x14ac:dyDescent="0.2">
      <c r="A18" s="285"/>
      <c r="D18" s="276"/>
    </row>
    <row r="19" spans="1:17" x14ac:dyDescent="0.2">
      <c r="A19" s="285"/>
      <c r="B19" s="258" t="str">
        <f>"Facilities greater than "&amp;FRV_amt</f>
        <v>Facilities greater than 164737</v>
      </c>
      <c r="C19" s="258">
        <f>COUNTIF(FRV!R4:R208,"&gt;"&amp;FRV_amt)</f>
        <v>68</v>
      </c>
      <c r="D19" s="287">
        <f>C19/SUM(C19+C20)</f>
        <v>0.33200000000000002</v>
      </c>
    </row>
    <row r="20" spans="1:17" x14ac:dyDescent="0.2">
      <c r="A20" s="285"/>
      <c r="B20" s="258" t="str">
        <f>"Facilities less than "&amp;FRV_amt</f>
        <v>Facilities less than 164737</v>
      </c>
      <c r="C20" s="258">
        <f>COUNTIF(FRV!R4:R208,"&lt;="&amp;FRV_amt)</f>
        <v>137</v>
      </c>
      <c r="D20" s="287">
        <f>C20/SUM(C19+C20)</f>
        <v>0.66800000000000004</v>
      </c>
    </row>
    <row r="21" spans="1:17" ht="16" thickBot="1" x14ac:dyDescent="0.25">
      <c r="A21" s="277"/>
      <c r="B21" s="278"/>
      <c r="C21" s="278"/>
      <c r="D21" s="279"/>
    </row>
    <row r="24" spans="1:17" ht="16" thickBot="1" x14ac:dyDescent="0.25"/>
    <row r="25" spans="1:17" ht="80" x14ac:dyDescent="0.2">
      <c r="B25" s="289" t="s">
        <v>1917</v>
      </c>
      <c r="C25" s="284"/>
      <c r="D25" s="290" t="s">
        <v>1918</v>
      </c>
      <c r="E25" s="290" t="s">
        <v>1919</v>
      </c>
      <c r="F25" s="291" t="s">
        <v>1929</v>
      </c>
    </row>
    <row r="26" spans="1:17" x14ac:dyDescent="0.2">
      <c r="B26" s="275" t="s">
        <v>1900</v>
      </c>
      <c r="D26" s="259">
        <f t="shared" ref="D26:D54" si="4">SUMIF($D$61:$D$265,B26,$I$61:$I$265)</f>
        <v>2922</v>
      </c>
      <c r="E26" s="259">
        <f t="shared" ref="E26:E54" si="5">COUNTIF($D$61:$D$265,B26)</f>
        <v>3</v>
      </c>
      <c r="F26" s="292">
        <f t="shared" ref="F26:F54" si="6">ROUND(D26/E26,0)</f>
        <v>974</v>
      </c>
    </row>
    <row r="27" spans="1:17" x14ac:dyDescent="0.2">
      <c r="B27" s="275" t="s">
        <v>1907</v>
      </c>
      <c r="D27" s="259">
        <f t="shared" si="4"/>
        <v>35980</v>
      </c>
      <c r="E27" s="259">
        <f t="shared" si="5"/>
        <v>1</v>
      </c>
      <c r="F27" s="292">
        <f t="shared" si="6"/>
        <v>35980</v>
      </c>
    </row>
    <row r="28" spans="1:17" x14ac:dyDescent="0.2">
      <c r="B28" s="275" t="s">
        <v>1912</v>
      </c>
      <c r="D28" s="259">
        <f t="shared" si="4"/>
        <v>212118</v>
      </c>
      <c r="E28" s="259">
        <f t="shared" si="5"/>
        <v>1</v>
      </c>
      <c r="F28" s="292">
        <f t="shared" si="6"/>
        <v>212118</v>
      </c>
    </row>
    <row r="29" spans="1:17" x14ac:dyDescent="0.2">
      <c r="B29" s="275" t="s">
        <v>1893</v>
      </c>
      <c r="D29" s="259">
        <f t="shared" si="4"/>
        <v>-100126</v>
      </c>
      <c r="E29" s="259">
        <f t="shared" si="5"/>
        <v>3</v>
      </c>
      <c r="F29" s="292">
        <f t="shared" si="6"/>
        <v>-33375</v>
      </c>
    </row>
    <row r="30" spans="1:17" x14ac:dyDescent="0.2">
      <c r="B30" s="275" t="s">
        <v>1888</v>
      </c>
      <c r="D30" s="259">
        <f t="shared" si="4"/>
        <v>-1999026</v>
      </c>
      <c r="E30" s="259">
        <f t="shared" si="5"/>
        <v>37</v>
      </c>
      <c r="F30" s="292">
        <f t="shared" si="6"/>
        <v>-54028</v>
      </c>
    </row>
    <row r="31" spans="1:17" x14ac:dyDescent="0.2">
      <c r="B31" s="275" t="s">
        <v>1902</v>
      </c>
      <c r="D31" s="259">
        <f t="shared" si="4"/>
        <v>-4058</v>
      </c>
      <c r="E31" s="259">
        <f t="shared" si="5"/>
        <v>6</v>
      </c>
      <c r="F31" s="292">
        <f t="shared" si="6"/>
        <v>-676</v>
      </c>
    </row>
    <row r="32" spans="1:17" x14ac:dyDescent="0.2">
      <c r="B32" s="275" t="s">
        <v>1911</v>
      </c>
      <c r="D32" s="259">
        <f t="shared" si="4"/>
        <v>176617</v>
      </c>
      <c r="E32" s="259">
        <f t="shared" si="5"/>
        <v>1</v>
      </c>
      <c r="F32" s="292">
        <f t="shared" si="6"/>
        <v>176617</v>
      </c>
    </row>
    <row r="33" spans="2:6" x14ac:dyDescent="0.2">
      <c r="B33" s="275" t="s">
        <v>1889</v>
      </c>
      <c r="D33" s="259">
        <f t="shared" si="4"/>
        <v>-1746841</v>
      </c>
      <c r="E33" s="259">
        <f t="shared" si="5"/>
        <v>18</v>
      </c>
      <c r="F33" s="292">
        <f t="shared" si="6"/>
        <v>-97047</v>
      </c>
    </row>
    <row r="34" spans="2:6" x14ac:dyDescent="0.2">
      <c r="B34" s="275" t="s">
        <v>1897</v>
      </c>
      <c r="D34" s="259">
        <f t="shared" si="4"/>
        <v>-613353</v>
      </c>
      <c r="E34" s="259">
        <f t="shared" si="5"/>
        <v>10</v>
      </c>
      <c r="F34" s="292">
        <f t="shared" si="6"/>
        <v>-61335</v>
      </c>
    </row>
    <row r="35" spans="2:6" x14ac:dyDescent="0.2">
      <c r="B35" s="275" t="s">
        <v>1890</v>
      </c>
      <c r="D35" s="259">
        <f t="shared" si="4"/>
        <v>-270521</v>
      </c>
      <c r="E35" s="259">
        <f t="shared" si="5"/>
        <v>5</v>
      </c>
      <c r="F35" s="292">
        <f t="shared" si="6"/>
        <v>-54104</v>
      </c>
    </row>
    <row r="36" spans="2:6" x14ac:dyDescent="0.2">
      <c r="B36" s="275" t="s">
        <v>1896</v>
      </c>
      <c r="D36" s="259">
        <f t="shared" si="4"/>
        <v>137935</v>
      </c>
      <c r="E36" s="259">
        <f t="shared" si="5"/>
        <v>3</v>
      </c>
      <c r="F36" s="292">
        <f t="shared" si="6"/>
        <v>45978</v>
      </c>
    </row>
    <row r="37" spans="2:6" x14ac:dyDescent="0.2">
      <c r="B37" s="275" t="s">
        <v>1915</v>
      </c>
      <c r="D37" s="259">
        <f t="shared" si="4"/>
        <v>60563</v>
      </c>
      <c r="E37" s="259">
        <f t="shared" si="5"/>
        <v>1</v>
      </c>
      <c r="F37" s="292">
        <f t="shared" si="6"/>
        <v>60563</v>
      </c>
    </row>
    <row r="38" spans="2:6" x14ac:dyDescent="0.2">
      <c r="B38" s="275" t="s">
        <v>1899</v>
      </c>
      <c r="D38" s="259">
        <f t="shared" si="4"/>
        <v>334004</v>
      </c>
      <c r="E38" s="259">
        <f t="shared" si="5"/>
        <v>11</v>
      </c>
      <c r="F38" s="292">
        <f t="shared" si="6"/>
        <v>30364</v>
      </c>
    </row>
    <row r="39" spans="2:6" x14ac:dyDescent="0.2">
      <c r="B39" s="275" t="s">
        <v>1891</v>
      </c>
      <c r="D39" s="259">
        <f t="shared" si="4"/>
        <v>141425</v>
      </c>
      <c r="E39" s="259">
        <f t="shared" si="5"/>
        <v>15</v>
      </c>
      <c r="F39" s="292">
        <f t="shared" si="6"/>
        <v>9428</v>
      </c>
    </row>
    <row r="40" spans="2:6" x14ac:dyDescent="0.2">
      <c r="B40" s="275" t="s">
        <v>1901</v>
      </c>
      <c r="D40" s="259">
        <f t="shared" si="4"/>
        <v>-4281</v>
      </c>
      <c r="E40" s="259">
        <f t="shared" si="5"/>
        <v>6</v>
      </c>
      <c r="F40" s="292">
        <f t="shared" si="6"/>
        <v>-714</v>
      </c>
    </row>
    <row r="41" spans="2:6" x14ac:dyDescent="0.2">
      <c r="B41" s="275" t="s">
        <v>1909</v>
      </c>
      <c r="D41" s="259">
        <f t="shared" si="4"/>
        <v>-133027</v>
      </c>
      <c r="E41" s="259">
        <f t="shared" si="5"/>
        <v>2</v>
      </c>
      <c r="F41" s="292">
        <f t="shared" si="6"/>
        <v>-66514</v>
      </c>
    </row>
    <row r="42" spans="2:6" x14ac:dyDescent="0.2">
      <c r="B42" s="275" t="s">
        <v>1908</v>
      </c>
      <c r="D42" s="259">
        <f t="shared" si="4"/>
        <v>98385</v>
      </c>
      <c r="E42" s="259">
        <f t="shared" si="5"/>
        <v>2</v>
      </c>
      <c r="F42" s="292">
        <f t="shared" si="6"/>
        <v>49193</v>
      </c>
    </row>
    <row r="43" spans="2:6" x14ac:dyDescent="0.2">
      <c r="B43" s="275" t="s">
        <v>1905</v>
      </c>
      <c r="D43" s="259">
        <f t="shared" si="4"/>
        <v>-632992</v>
      </c>
      <c r="E43" s="259">
        <f t="shared" si="5"/>
        <v>7</v>
      </c>
      <c r="F43" s="292">
        <f t="shared" si="6"/>
        <v>-90427</v>
      </c>
    </row>
    <row r="44" spans="2:6" x14ac:dyDescent="0.2">
      <c r="B44" s="275" t="s">
        <v>1892</v>
      </c>
      <c r="D44" s="259">
        <f t="shared" si="4"/>
        <v>324343</v>
      </c>
      <c r="E44" s="259">
        <f t="shared" si="5"/>
        <v>2</v>
      </c>
      <c r="F44" s="292">
        <f t="shared" si="6"/>
        <v>162172</v>
      </c>
    </row>
    <row r="45" spans="2:6" x14ac:dyDescent="0.2">
      <c r="B45" s="275" t="s">
        <v>1903</v>
      </c>
      <c r="D45" s="259">
        <f t="shared" si="4"/>
        <v>-27044</v>
      </c>
      <c r="E45" s="259">
        <f t="shared" si="5"/>
        <v>2</v>
      </c>
      <c r="F45" s="292">
        <f t="shared" si="6"/>
        <v>-13522</v>
      </c>
    </row>
    <row r="46" spans="2:6" x14ac:dyDescent="0.2">
      <c r="B46" s="275" t="s">
        <v>1895</v>
      </c>
      <c r="D46" s="259">
        <f t="shared" si="4"/>
        <v>-105846</v>
      </c>
      <c r="E46" s="259">
        <f t="shared" si="5"/>
        <v>6</v>
      </c>
      <c r="F46" s="292">
        <f t="shared" si="6"/>
        <v>-17641</v>
      </c>
    </row>
    <row r="47" spans="2:6" x14ac:dyDescent="0.2">
      <c r="B47" s="275" t="s">
        <v>1898</v>
      </c>
      <c r="D47" s="259">
        <f t="shared" si="4"/>
        <v>919320</v>
      </c>
      <c r="E47" s="259">
        <f t="shared" si="5"/>
        <v>8</v>
      </c>
      <c r="F47" s="292">
        <f t="shared" si="6"/>
        <v>114915</v>
      </c>
    </row>
    <row r="48" spans="2:6" x14ac:dyDescent="0.2">
      <c r="B48" s="275" t="s">
        <v>1916</v>
      </c>
      <c r="D48" s="259">
        <f t="shared" si="4"/>
        <v>2587982</v>
      </c>
      <c r="E48" s="259">
        <f t="shared" si="5"/>
        <v>32</v>
      </c>
      <c r="F48" s="292">
        <f t="shared" si="6"/>
        <v>80874</v>
      </c>
    </row>
    <row r="49" spans="1:12" x14ac:dyDescent="0.2">
      <c r="B49" s="275" t="s">
        <v>1914</v>
      </c>
      <c r="D49" s="259">
        <f t="shared" si="4"/>
        <v>177336</v>
      </c>
      <c r="E49" s="259">
        <f t="shared" si="5"/>
        <v>1</v>
      </c>
      <c r="F49" s="292">
        <f t="shared" si="6"/>
        <v>177336</v>
      </c>
    </row>
    <row r="50" spans="1:12" x14ac:dyDescent="0.2">
      <c r="B50" s="275" t="s">
        <v>1913</v>
      </c>
      <c r="D50" s="259">
        <f t="shared" si="4"/>
        <v>286692</v>
      </c>
      <c r="E50" s="259">
        <f t="shared" si="5"/>
        <v>4</v>
      </c>
      <c r="F50" s="292">
        <f t="shared" si="6"/>
        <v>71673</v>
      </c>
    </row>
    <row r="51" spans="1:12" x14ac:dyDescent="0.2">
      <c r="B51" s="275" t="s">
        <v>1904</v>
      </c>
      <c r="D51" s="259">
        <f t="shared" si="4"/>
        <v>-7797</v>
      </c>
      <c r="E51" s="259">
        <f t="shared" si="5"/>
        <v>6</v>
      </c>
      <c r="F51" s="292">
        <f t="shared" si="6"/>
        <v>-1300</v>
      </c>
    </row>
    <row r="52" spans="1:12" x14ac:dyDescent="0.2">
      <c r="B52" s="275" t="s">
        <v>1910</v>
      </c>
      <c r="D52" s="259">
        <f t="shared" si="4"/>
        <v>54956</v>
      </c>
      <c r="E52" s="259">
        <f t="shared" si="5"/>
        <v>1</v>
      </c>
      <c r="F52" s="292">
        <f t="shared" si="6"/>
        <v>54956</v>
      </c>
    </row>
    <row r="53" spans="1:12" x14ac:dyDescent="0.2">
      <c r="B53" s="275" t="s">
        <v>1906</v>
      </c>
      <c r="D53" s="259">
        <f t="shared" si="4"/>
        <v>-46077</v>
      </c>
      <c r="E53" s="259">
        <f t="shared" si="5"/>
        <v>1</v>
      </c>
      <c r="F53" s="292">
        <f t="shared" si="6"/>
        <v>-46077</v>
      </c>
    </row>
    <row r="54" spans="1:12" ht="16" thickBot="1" x14ac:dyDescent="0.25">
      <c r="B54" s="293" t="s">
        <v>1894</v>
      </c>
      <c r="C54" s="278"/>
      <c r="D54" s="294">
        <f t="shared" si="4"/>
        <v>-42650</v>
      </c>
      <c r="E54" s="294">
        <f t="shared" si="5"/>
        <v>10</v>
      </c>
      <c r="F54" s="295">
        <f t="shared" si="6"/>
        <v>-4265</v>
      </c>
    </row>
    <row r="55" spans="1:12" ht="16" thickBot="1" x14ac:dyDescent="0.25">
      <c r="E55" s="296">
        <f>SUM(E26:E54)</f>
        <v>205</v>
      </c>
    </row>
    <row r="60" spans="1:12" ht="48" x14ac:dyDescent="0.2">
      <c r="A60" s="261" t="s">
        <v>145</v>
      </c>
      <c r="B60" s="262" t="s">
        <v>128</v>
      </c>
      <c r="C60" s="262" t="s">
        <v>1886</v>
      </c>
      <c r="D60" s="262" t="s">
        <v>1887</v>
      </c>
      <c r="E60" s="262" t="s">
        <v>1922</v>
      </c>
      <c r="F60" s="266" t="s">
        <v>354</v>
      </c>
      <c r="G60" s="266" t="s">
        <v>1875</v>
      </c>
      <c r="H60" s="258" t="s">
        <v>1876</v>
      </c>
      <c r="I60" s="265" t="s">
        <v>1920</v>
      </c>
      <c r="J60" s="300" t="s">
        <v>1925</v>
      </c>
      <c r="K60" s="266" t="str">
        <f>"FRV - $"&amp;FRV_amt&amp;" Rate"</f>
        <v>FRV - $164737 Rate</v>
      </c>
      <c r="L60" s="299" t="s">
        <v>1926</v>
      </c>
    </row>
    <row r="61" spans="1:12" x14ac:dyDescent="0.2">
      <c r="A61" s="263">
        <v>224</v>
      </c>
      <c r="B61" s="258" t="s">
        <v>466</v>
      </c>
      <c r="C61" s="270" t="s">
        <v>134</v>
      </c>
      <c r="D61" s="270" t="s">
        <v>1888</v>
      </c>
      <c r="E61" s="297">
        <f>VLOOKUP(A61,'Phase In Option'!$A$16:$D$220,4,FALSE)</f>
        <v>21880</v>
      </c>
      <c r="F61" s="264">
        <v>400.81</v>
      </c>
      <c r="G61" s="264">
        <f>VLOOKUP(A61,'Phase In Option'!$A$16:$H$220,8,FALSE)</f>
        <v>396.99</v>
      </c>
      <c r="H61" s="264">
        <f t="shared" ref="H61:H124" si="7">G61-F61</f>
        <v>-3.82</v>
      </c>
      <c r="I61" s="259">
        <f>ROUND(E61*H61,0)</f>
        <v>-83582</v>
      </c>
      <c r="J61" s="264">
        <v>35.049999999999997</v>
      </c>
      <c r="K61" s="264">
        <f>VLOOKUP(A61,FRV!$A$4:$U$208,21,FALSE)</f>
        <v>36.46</v>
      </c>
      <c r="L61" s="264">
        <f>K61-J61</f>
        <v>1.41</v>
      </c>
    </row>
    <row r="62" spans="1:12" x14ac:dyDescent="0.2">
      <c r="A62" s="263">
        <v>32</v>
      </c>
      <c r="B62" s="258" t="s">
        <v>349</v>
      </c>
      <c r="C62" s="270" t="s">
        <v>134</v>
      </c>
      <c r="D62" s="270" t="s">
        <v>1888</v>
      </c>
      <c r="E62" s="297">
        <f>VLOOKUP(A62,'Phase In Option'!$A$16:$D$220,4,FALSE)</f>
        <v>27841</v>
      </c>
      <c r="F62" s="264">
        <v>383.8</v>
      </c>
      <c r="G62" s="264">
        <f>VLOOKUP(A62,'Phase In Option'!$A$16:$H$220,8,FALSE)</f>
        <v>378.82</v>
      </c>
      <c r="H62" s="264">
        <f t="shared" si="7"/>
        <v>-4.9800000000000004</v>
      </c>
      <c r="I62" s="259">
        <f t="shared" ref="I62:I125" si="8">ROUND(E62*H62,0)</f>
        <v>-138648</v>
      </c>
      <c r="J62" s="264">
        <v>38.450000000000003</v>
      </c>
      <c r="K62" s="264">
        <f>VLOOKUP(A62,FRV!$A$4:$U$208,21,FALSE)</f>
        <v>38.450000000000003</v>
      </c>
      <c r="L62" s="264">
        <f t="shared" ref="L62:L125" si="9">K62-J62</f>
        <v>0</v>
      </c>
    </row>
    <row r="63" spans="1:12" x14ac:dyDescent="0.2">
      <c r="A63" s="263">
        <v>741</v>
      </c>
      <c r="B63" s="258" t="s">
        <v>435</v>
      </c>
      <c r="C63" s="270" t="s">
        <v>134</v>
      </c>
      <c r="D63" s="270" t="s">
        <v>1888</v>
      </c>
      <c r="E63" s="297">
        <f>VLOOKUP(A63,'Phase In Option'!$A$16:$D$220,4,FALSE)</f>
        <v>23192</v>
      </c>
      <c r="F63" s="264">
        <v>435.77</v>
      </c>
      <c r="G63" s="264">
        <f>VLOOKUP(A63,'Phase In Option'!$A$16:$H$220,8,FALSE)</f>
        <v>436.9</v>
      </c>
      <c r="H63" s="264">
        <f t="shared" si="7"/>
        <v>1.1299999999999999</v>
      </c>
      <c r="I63" s="259">
        <f t="shared" si="8"/>
        <v>26207</v>
      </c>
      <c r="J63" s="264">
        <v>37.11</v>
      </c>
      <c r="K63" s="264">
        <f>VLOOKUP(A63,FRV!$A$4:$U$208,21,FALSE)</f>
        <v>44.06</v>
      </c>
      <c r="L63" s="264">
        <f t="shared" si="9"/>
        <v>6.95</v>
      </c>
    </row>
    <row r="64" spans="1:12" x14ac:dyDescent="0.2">
      <c r="A64" s="263">
        <v>246</v>
      </c>
      <c r="B64" s="258" t="s">
        <v>553</v>
      </c>
      <c r="C64" s="270" t="s">
        <v>134</v>
      </c>
      <c r="D64" s="270" t="s">
        <v>1888</v>
      </c>
      <c r="E64" s="297">
        <f>VLOOKUP(A64,'Phase In Option'!$A$16:$D$220,4,FALSE)</f>
        <v>26847</v>
      </c>
      <c r="F64" s="264">
        <v>405.44</v>
      </c>
      <c r="G64" s="264">
        <f>VLOOKUP(A64,'Phase In Option'!$A$16:$H$220,8,FALSE)</f>
        <v>400.12</v>
      </c>
      <c r="H64" s="264">
        <f t="shared" si="7"/>
        <v>-5.32</v>
      </c>
      <c r="I64" s="259">
        <f t="shared" si="8"/>
        <v>-142826</v>
      </c>
      <c r="J64" s="264">
        <v>33.31</v>
      </c>
      <c r="K64" s="264">
        <f>VLOOKUP(A64,FRV!$A$4:$U$208,21,FALSE)</f>
        <v>33.31</v>
      </c>
      <c r="L64" s="264">
        <f t="shared" si="9"/>
        <v>0</v>
      </c>
    </row>
    <row r="65" spans="1:12" x14ac:dyDescent="0.2">
      <c r="A65" s="263">
        <v>282</v>
      </c>
      <c r="B65" s="258" t="s">
        <v>555</v>
      </c>
      <c r="C65" s="270" t="s">
        <v>134</v>
      </c>
      <c r="D65" s="270" t="s">
        <v>1888</v>
      </c>
      <c r="E65" s="297">
        <f>VLOOKUP(A65,'Phase In Option'!$A$16:$D$220,4,FALSE)</f>
        <v>32959</v>
      </c>
      <c r="F65" s="264">
        <v>406.37</v>
      </c>
      <c r="G65" s="264">
        <f>VLOOKUP(A65,'Phase In Option'!$A$16:$H$220,8,FALSE)</f>
        <v>401.07</v>
      </c>
      <c r="H65" s="264">
        <f t="shared" si="7"/>
        <v>-5.3</v>
      </c>
      <c r="I65" s="259">
        <f t="shared" si="8"/>
        <v>-174683</v>
      </c>
      <c r="J65" s="264">
        <v>35.619999999999997</v>
      </c>
      <c r="K65" s="264">
        <f>VLOOKUP(A65,FRV!$A$4:$U$208,21,FALSE)</f>
        <v>35.619999999999997</v>
      </c>
      <c r="L65" s="264">
        <f t="shared" si="9"/>
        <v>0</v>
      </c>
    </row>
    <row r="66" spans="1:12" x14ac:dyDescent="0.2">
      <c r="A66" s="263">
        <v>358</v>
      </c>
      <c r="B66" s="258" t="s">
        <v>619</v>
      </c>
      <c r="C66" s="270" t="s">
        <v>134</v>
      </c>
      <c r="D66" s="270" t="s">
        <v>1888</v>
      </c>
      <c r="E66" s="297">
        <f>VLOOKUP(A66,'Phase In Option'!$A$16:$D$220,4,FALSE)</f>
        <v>36897</v>
      </c>
      <c r="F66" s="264">
        <v>407</v>
      </c>
      <c r="G66" s="264">
        <f>VLOOKUP(A66,'Phase In Option'!$A$16:$H$220,8,FALSE)</f>
        <v>401.67</v>
      </c>
      <c r="H66" s="264">
        <f t="shared" si="7"/>
        <v>-5.33</v>
      </c>
      <c r="I66" s="259">
        <f t="shared" si="8"/>
        <v>-196661</v>
      </c>
      <c r="J66" s="264">
        <v>34.6</v>
      </c>
      <c r="K66" s="264">
        <f>VLOOKUP(A66,FRV!$A$4:$U$208,21,FALSE)</f>
        <v>34.6</v>
      </c>
      <c r="L66" s="264">
        <f t="shared" si="9"/>
        <v>0</v>
      </c>
    </row>
    <row r="67" spans="1:12" x14ac:dyDescent="0.2">
      <c r="A67" s="263">
        <v>699</v>
      </c>
      <c r="B67" s="258" t="s">
        <v>239</v>
      </c>
      <c r="C67" s="270" t="s">
        <v>134</v>
      </c>
      <c r="D67" s="270" t="s">
        <v>1889</v>
      </c>
      <c r="E67" s="297">
        <f>VLOOKUP(A67,'Phase In Option'!$A$16:$D$220,4,FALSE)</f>
        <v>38005</v>
      </c>
      <c r="F67" s="264">
        <v>375.26</v>
      </c>
      <c r="G67" s="264">
        <f>VLOOKUP(A67,'Phase In Option'!$A$16:$H$220,8,FALSE)</f>
        <v>370.45</v>
      </c>
      <c r="H67" s="264">
        <f t="shared" si="7"/>
        <v>-4.8099999999999996</v>
      </c>
      <c r="I67" s="259">
        <f t="shared" si="8"/>
        <v>-182804</v>
      </c>
      <c r="J67" s="264">
        <v>27.91</v>
      </c>
      <c r="K67" s="264">
        <f>VLOOKUP(A67,FRV!$A$4:$U$208,21,FALSE)</f>
        <v>27.91</v>
      </c>
      <c r="L67" s="264">
        <f t="shared" si="9"/>
        <v>0</v>
      </c>
    </row>
    <row r="68" spans="1:12" x14ac:dyDescent="0.2">
      <c r="A68" s="263">
        <v>86</v>
      </c>
      <c r="B68" s="258" t="s">
        <v>707</v>
      </c>
      <c r="C68" s="270" t="s">
        <v>134</v>
      </c>
      <c r="D68" s="270" t="s">
        <v>1890</v>
      </c>
      <c r="E68" s="297">
        <f>VLOOKUP(A68,'Phase In Option'!$A$16:$D$220,4,FALSE)</f>
        <v>25450</v>
      </c>
      <c r="F68" s="264">
        <v>367.17</v>
      </c>
      <c r="G68" s="264">
        <f>VLOOKUP(A68,'Phase In Option'!$A$16:$H$220,8,FALSE)</f>
        <v>362.46</v>
      </c>
      <c r="H68" s="264">
        <f t="shared" si="7"/>
        <v>-4.71</v>
      </c>
      <c r="I68" s="259">
        <f t="shared" si="8"/>
        <v>-119870</v>
      </c>
      <c r="J68" s="264">
        <v>32.43</v>
      </c>
      <c r="K68" s="264">
        <f>VLOOKUP(A68,FRV!$A$4:$U$208,21,FALSE)</f>
        <v>32.43</v>
      </c>
      <c r="L68" s="264">
        <f t="shared" si="9"/>
        <v>0</v>
      </c>
    </row>
    <row r="69" spans="1:12" x14ac:dyDescent="0.2">
      <c r="A69" s="263">
        <v>729</v>
      </c>
      <c r="B69" s="258" t="s">
        <v>209</v>
      </c>
      <c r="C69" s="270" t="s">
        <v>134</v>
      </c>
      <c r="D69" s="270" t="s">
        <v>1889</v>
      </c>
      <c r="E69" s="297">
        <f>VLOOKUP(A69,'Phase In Option'!$A$16:$D$220,4,FALSE)</f>
        <v>39629</v>
      </c>
      <c r="F69" s="264">
        <v>354.31</v>
      </c>
      <c r="G69" s="264">
        <f>VLOOKUP(A69,'Phase In Option'!$A$16:$H$220,8,FALSE)</f>
        <v>349.79</v>
      </c>
      <c r="H69" s="264">
        <f t="shared" si="7"/>
        <v>-4.5199999999999996</v>
      </c>
      <c r="I69" s="259">
        <f t="shared" si="8"/>
        <v>-179123</v>
      </c>
      <c r="J69" s="264">
        <v>36.78</v>
      </c>
      <c r="K69" s="264">
        <f>VLOOKUP(A69,FRV!$A$4:$U$208,21,FALSE)</f>
        <v>36.78</v>
      </c>
      <c r="L69" s="264">
        <f t="shared" si="9"/>
        <v>0</v>
      </c>
    </row>
    <row r="70" spans="1:12" x14ac:dyDescent="0.2">
      <c r="A70" s="263">
        <v>178</v>
      </c>
      <c r="B70" s="258" t="s">
        <v>185</v>
      </c>
      <c r="C70" s="270" t="s">
        <v>134</v>
      </c>
      <c r="D70" s="270" t="s">
        <v>1891</v>
      </c>
      <c r="E70" s="297">
        <f>VLOOKUP(A70,'Phase In Option'!$A$16:$D$220,4,FALSE)</f>
        <v>39585</v>
      </c>
      <c r="F70" s="264">
        <v>418.49</v>
      </c>
      <c r="G70" s="264">
        <f>VLOOKUP(A70,'Phase In Option'!$A$16:$H$220,8,FALSE)</f>
        <v>421.46</v>
      </c>
      <c r="H70" s="264">
        <f t="shared" si="7"/>
        <v>2.97</v>
      </c>
      <c r="I70" s="259">
        <f t="shared" si="8"/>
        <v>117567</v>
      </c>
      <c r="J70" s="264">
        <v>38.03</v>
      </c>
      <c r="K70" s="264">
        <f>VLOOKUP(A70,FRV!$A$4:$U$208,21,FALSE)</f>
        <v>46.56</v>
      </c>
      <c r="L70" s="264">
        <f t="shared" si="9"/>
        <v>8.5299999999999994</v>
      </c>
    </row>
    <row r="71" spans="1:12" x14ac:dyDescent="0.2">
      <c r="A71" s="263">
        <v>723</v>
      </c>
      <c r="B71" s="258" t="s">
        <v>188</v>
      </c>
      <c r="C71" s="270" t="s">
        <v>134</v>
      </c>
      <c r="D71" s="270" t="s">
        <v>1891</v>
      </c>
      <c r="E71" s="297">
        <f>VLOOKUP(A71,'Phase In Option'!$A$16:$D$220,4,FALSE)</f>
        <v>26735</v>
      </c>
      <c r="F71" s="264">
        <v>384.3</v>
      </c>
      <c r="G71" s="264">
        <f>VLOOKUP(A71,'Phase In Option'!$A$16:$H$220,8,FALSE)</f>
        <v>381.51</v>
      </c>
      <c r="H71" s="264">
        <f t="shared" si="7"/>
        <v>-2.79</v>
      </c>
      <c r="I71" s="259">
        <f t="shared" si="8"/>
        <v>-74591</v>
      </c>
      <c r="J71" s="264">
        <v>35.72</v>
      </c>
      <c r="K71" s="264">
        <f>VLOOKUP(A71,FRV!$A$4:$U$208,21,FALSE)</f>
        <v>37.96</v>
      </c>
      <c r="L71" s="264">
        <f t="shared" si="9"/>
        <v>2.2400000000000002</v>
      </c>
    </row>
    <row r="72" spans="1:12" x14ac:dyDescent="0.2">
      <c r="A72" s="263">
        <v>220</v>
      </c>
      <c r="B72" s="258" t="s">
        <v>198</v>
      </c>
      <c r="C72" s="270" t="s">
        <v>134</v>
      </c>
      <c r="D72" s="270" t="s">
        <v>1891</v>
      </c>
      <c r="E72" s="297">
        <f>VLOOKUP(A72,'Phase In Option'!$A$16:$D$220,4,FALSE)</f>
        <v>29110</v>
      </c>
      <c r="F72" s="264">
        <v>401.81</v>
      </c>
      <c r="G72" s="264">
        <f>VLOOKUP(A72,'Phase In Option'!$A$16:$H$220,8,FALSE)</f>
        <v>398.41</v>
      </c>
      <c r="H72" s="264">
        <f t="shared" si="7"/>
        <v>-3.4</v>
      </c>
      <c r="I72" s="259">
        <f t="shared" si="8"/>
        <v>-98974</v>
      </c>
      <c r="J72" s="264">
        <v>37.17</v>
      </c>
      <c r="K72" s="264">
        <f>VLOOKUP(A72,FRV!$A$4:$U$208,21,FALSE)</f>
        <v>39.06</v>
      </c>
      <c r="L72" s="264">
        <f t="shared" si="9"/>
        <v>1.89</v>
      </c>
    </row>
    <row r="73" spans="1:12" x14ac:dyDescent="0.2">
      <c r="A73" s="263">
        <v>186</v>
      </c>
      <c r="B73" s="258" t="s">
        <v>44</v>
      </c>
      <c r="C73" s="270" t="s">
        <v>134</v>
      </c>
      <c r="D73" s="270" t="s">
        <v>1891</v>
      </c>
      <c r="E73" s="297">
        <f>VLOOKUP(A73,'Phase In Option'!$A$16:$D$220,4,FALSE)</f>
        <v>24242</v>
      </c>
      <c r="F73" s="264">
        <v>426.64</v>
      </c>
      <c r="G73" s="264">
        <f>VLOOKUP(A73,'Phase In Option'!$A$16:$H$220,8,FALSE)</f>
        <v>435.53</v>
      </c>
      <c r="H73" s="264">
        <f t="shared" si="7"/>
        <v>8.89</v>
      </c>
      <c r="I73" s="259">
        <f t="shared" si="8"/>
        <v>215511</v>
      </c>
      <c r="J73" s="264">
        <v>39.35</v>
      </c>
      <c r="K73" s="264">
        <f>VLOOKUP(A73,FRV!$A$4:$U$208,21,FALSE)</f>
        <v>54.03</v>
      </c>
      <c r="L73" s="264">
        <f t="shared" si="9"/>
        <v>14.68</v>
      </c>
    </row>
    <row r="74" spans="1:12" x14ac:dyDescent="0.2">
      <c r="A74" s="263">
        <v>713</v>
      </c>
      <c r="B74" s="258" t="s">
        <v>41</v>
      </c>
      <c r="C74" s="270" t="s">
        <v>134</v>
      </c>
      <c r="D74" s="270" t="s">
        <v>1891</v>
      </c>
      <c r="E74" s="297">
        <f>VLOOKUP(A74,'Phase In Option'!$A$16:$D$220,4,FALSE)</f>
        <v>40959</v>
      </c>
      <c r="F74" s="264">
        <v>428.23</v>
      </c>
      <c r="G74" s="264">
        <f>VLOOKUP(A74,'Phase In Option'!$A$16:$H$220,8,FALSE)</f>
        <v>434.91</v>
      </c>
      <c r="H74" s="264">
        <f t="shared" si="7"/>
        <v>6.68</v>
      </c>
      <c r="I74" s="259">
        <f t="shared" si="8"/>
        <v>273606</v>
      </c>
      <c r="J74" s="264">
        <v>37.69</v>
      </c>
      <c r="K74" s="264">
        <f>VLOOKUP(A74,FRV!$A$4:$U$208,21,FALSE)</f>
        <v>50.12</v>
      </c>
      <c r="L74" s="264">
        <f t="shared" si="9"/>
        <v>12.43</v>
      </c>
    </row>
    <row r="75" spans="1:12" x14ac:dyDescent="0.2">
      <c r="A75" s="263">
        <v>717</v>
      </c>
      <c r="B75" s="258" t="s">
        <v>190</v>
      </c>
      <c r="C75" s="270" t="s">
        <v>134</v>
      </c>
      <c r="D75" s="270" t="s">
        <v>1891</v>
      </c>
      <c r="E75" s="297">
        <f>VLOOKUP(A75,'Phase In Option'!$A$16:$D$220,4,FALSE)</f>
        <v>54555</v>
      </c>
      <c r="F75" s="264">
        <v>381.16</v>
      </c>
      <c r="G75" s="264">
        <f>VLOOKUP(A75,'Phase In Option'!$A$16:$H$220,8,FALSE)</f>
        <v>385.38</v>
      </c>
      <c r="H75" s="264">
        <f t="shared" si="7"/>
        <v>4.22</v>
      </c>
      <c r="I75" s="259">
        <f t="shared" si="8"/>
        <v>230222</v>
      </c>
      <c r="J75" s="264">
        <v>35.17</v>
      </c>
      <c r="K75" s="264">
        <f>VLOOKUP(A75,FRV!$A$4:$U$208,21,FALSE)</f>
        <v>44.82</v>
      </c>
      <c r="L75" s="264">
        <f t="shared" si="9"/>
        <v>9.65</v>
      </c>
    </row>
    <row r="76" spans="1:12" x14ac:dyDescent="0.2">
      <c r="A76" s="263">
        <v>194</v>
      </c>
      <c r="B76" s="258" t="s">
        <v>187</v>
      </c>
      <c r="C76" s="270" t="s">
        <v>134</v>
      </c>
      <c r="D76" s="270" t="s">
        <v>1891</v>
      </c>
      <c r="E76" s="297">
        <f>VLOOKUP(A76,'Phase In Option'!$A$16:$D$220,4,FALSE)</f>
        <v>37390</v>
      </c>
      <c r="F76" s="264">
        <v>384.15</v>
      </c>
      <c r="G76" s="264">
        <f>VLOOKUP(A76,'Phase In Option'!$A$16:$H$220,8,FALSE)</f>
        <v>380.49</v>
      </c>
      <c r="H76" s="264">
        <f t="shared" si="7"/>
        <v>-3.66</v>
      </c>
      <c r="I76" s="259">
        <f t="shared" si="8"/>
        <v>-136847</v>
      </c>
      <c r="J76" s="264">
        <v>36.840000000000003</v>
      </c>
      <c r="K76" s="264">
        <f>VLOOKUP(A76,FRV!$A$4:$U$208,21,FALSE)</f>
        <v>38.159999999999997</v>
      </c>
      <c r="L76" s="264">
        <f t="shared" si="9"/>
        <v>1.32</v>
      </c>
    </row>
    <row r="77" spans="1:12" x14ac:dyDescent="0.2">
      <c r="A77" s="263">
        <v>208</v>
      </c>
      <c r="B77" s="258" t="s">
        <v>367</v>
      </c>
      <c r="C77" s="270" t="s">
        <v>134</v>
      </c>
      <c r="D77" s="270" t="s">
        <v>1891</v>
      </c>
      <c r="E77" s="297">
        <f>VLOOKUP(A77,'Phase In Option'!$A$16:$D$220,4,FALSE)</f>
        <v>32220</v>
      </c>
      <c r="F77" s="264">
        <v>403.05</v>
      </c>
      <c r="G77" s="264">
        <f>VLOOKUP(A77,'Phase In Option'!$A$16:$H$220,8,FALSE)</f>
        <v>402.27</v>
      </c>
      <c r="H77" s="264">
        <f t="shared" si="7"/>
        <v>-0.78</v>
      </c>
      <c r="I77" s="259">
        <f t="shared" si="8"/>
        <v>-25132</v>
      </c>
      <c r="J77" s="264">
        <v>35.97</v>
      </c>
      <c r="K77" s="264">
        <f>VLOOKUP(A77,FRV!$A$4:$U$208,21,FALSE)</f>
        <v>40.56</v>
      </c>
      <c r="L77" s="264">
        <f t="shared" si="9"/>
        <v>4.59</v>
      </c>
    </row>
    <row r="78" spans="1:12" x14ac:dyDescent="0.2">
      <c r="A78" s="263">
        <v>258</v>
      </c>
      <c r="B78" s="258" t="s">
        <v>204</v>
      </c>
      <c r="C78" s="270" t="s">
        <v>134</v>
      </c>
      <c r="D78" s="270" t="s">
        <v>1916</v>
      </c>
      <c r="E78" s="297">
        <f>VLOOKUP(A78,'Phase In Option'!$A$16:$D$220,4,FALSE)</f>
        <v>37506</v>
      </c>
      <c r="F78" s="264">
        <v>413.48</v>
      </c>
      <c r="G78" s="264">
        <f>VLOOKUP(A78,'Phase In Option'!$A$16:$H$220,8,FALSE)</f>
        <v>422.91</v>
      </c>
      <c r="H78" s="264">
        <f t="shared" si="7"/>
        <v>9.43</v>
      </c>
      <c r="I78" s="259">
        <f t="shared" si="8"/>
        <v>353682</v>
      </c>
      <c r="J78" s="264">
        <v>40.32</v>
      </c>
      <c r="K78" s="264">
        <f>VLOOKUP(A78,FRV!$A$4:$U$208,21,FALSE)</f>
        <v>55.36</v>
      </c>
      <c r="L78" s="264">
        <f t="shared" si="9"/>
        <v>15.04</v>
      </c>
    </row>
    <row r="79" spans="1:12" x14ac:dyDescent="0.2">
      <c r="A79" s="263">
        <v>270</v>
      </c>
      <c r="B79" s="258" t="s">
        <v>38</v>
      </c>
      <c r="C79" s="270" t="s">
        <v>134</v>
      </c>
      <c r="D79" s="270" t="s">
        <v>1892</v>
      </c>
      <c r="E79" s="297">
        <f>VLOOKUP(A79,'Phase In Option'!$A$16:$D$220,4,FALSE)</f>
        <v>32573</v>
      </c>
      <c r="F79" s="264">
        <v>404.02</v>
      </c>
      <c r="G79" s="264">
        <f>VLOOKUP(A79,'Phase In Option'!$A$16:$H$220,8,FALSE)</f>
        <v>412.61</v>
      </c>
      <c r="H79" s="264">
        <f t="shared" si="7"/>
        <v>8.59</v>
      </c>
      <c r="I79" s="259">
        <f t="shared" si="8"/>
        <v>279802</v>
      </c>
      <c r="J79" s="264">
        <v>37.700000000000003</v>
      </c>
      <c r="K79" s="264">
        <f>VLOOKUP(A79,FRV!$A$4:$U$208,21,FALSE)</f>
        <v>51.75</v>
      </c>
      <c r="L79" s="264">
        <f t="shared" si="9"/>
        <v>14.05</v>
      </c>
    </row>
    <row r="80" spans="1:12" x14ac:dyDescent="0.2">
      <c r="A80" s="263">
        <v>320</v>
      </c>
      <c r="B80" s="258" t="s">
        <v>751</v>
      </c>
      <c r="C80" s="270" t="s">
        <v>134</v>
      </c>
      <c r="D80" s="270" t="s">
        <v>1893</v>
      </c>
      <c r="E80" s="297">
        <f>VLOOKUP(A80,'Phase In Option'!$A$16:$D$220,4,FALSE)</f>
        <v>24533</v>
      </c>
      <c r="F80" s="264">
        <v>395.08</v>
      </c>
      <c r="G80" s="264">
        <f>VLOOKUP(A80,'Phase In Option'!$A$16:$H$220,8,FALSE)</f>
        <v>400.68</v>
      </c>
      <c r="H80" s="264">
        <f t="shared" si="7"/>
        <v>5.6</v>
      </c>
      <c r="I80" s="259">
        <f t="shared" si="8"/>
        <v>137385</v>
      </c>
      <c r="J80" s="264">
        <v>40.19</v>
      </c>
      <c r="K80" s="264">
        <f>VLOOKUP(A80,FRV!$A$4:$U$208,21,FALSE)</f>
        <v>51.08</v>
      </c>
      <c r="L80" s="264">
        <f t="shared" si="9"/>
        <v>10.89</v>
      </c>
    </row>
    <row r="81" spans="1:12" x14ac:dyDescent="0.2">
      <c r="A81" s="263">
        <v>332</v>
      </c>
      <c r="B81" s="258" t="s">
        <v>172</v>
      </c>
      <c r="C81" s="270" t="s">
        <v>134</v>
      </c>
      <c r="D81" s="270" t="s">
        <v>1916</v>
      </c>
      <c r="E81" s="297">
        <f>VLOOKUP(A81,'Phase In Option'!$A$16:$D$220,4,FALSE)</f>
        <v>8366</v>
      </c>
      <c r="F81" s="264">
        <v>280.42</v>
      </c>
      <c r="G81" s="264">
        <f>VLOOKUP(A81,'Phase In Option'!$A$16:$H$220,8,FALSE)</f>
        <v>276.49</v>
      </c>
      <c r="H81" s="264">
        <f t="shared" si="7"/>
        <v>-3.93</v>
      </c>
      <c r="I81" s="259">
        <f t="shared" si="8"/>
        <v>-32878</v>
      </c>
      <c r="J81" s="264">
        <v>15.44</v>
      </c>
      <c r="K81" s="264">
        <f>VLOOKUP(A81,FRV!$A$4:$U$208,21,FALSE)</f>
        <v>15.44</v>
      </c>
      <c r="L81" s="264">
        <f t="shared" si="9"/>
        <v>0</v>
      </c>
    </row>
    <row r="82" spans="1:12" x14ac:dyDescent="0.2">
      <c r="A82" s="263">
        <v>719</v>
      </c>
      <c r="B82" s="258" t="s">
        <v>238</v>
      </c>
      <c r="C82" s="270" t="s">
        <v>134</v>
      </c>
      <c r="D82" s="270" t="s">
        <v>1889</v>
      </c>
      <c r="E82" s="297">
        <f>VLOOKUP(A82,'Phase In Option'!$A$16:$D$220,4,FALSE)</f>
        <v>26978</v>
      </c>
      <c r="F82" s="264">
        <v>373.29</v>
      </c>
      <c r="G82" s="264">
        <f>VLOOKUP(A82,'Phase In Option'!$A$16:$H$220,8,FALSE)</f>
        <v>368.51</v>
      </c>
      <c r="H82" s="264">
        <f t="shared" si="7"/>
        <v>-4.78</v>
      </c>
      <c r="I82" s="259">
        <f t="shared" si="8"/>
        <v>-128955</v>
      </c>
      <c r="J82" s="264">
        <v>34.99</v>
      </c>
      <c r="K82" s="264">
        <f>VLOOKUP(A82,FRV!$A$4:$U$208,21,FALSE)</f>
        <v>34.99</v>
      </c>
      <c r="L82" s="264">
        <f t="shared" si="9"/>
        <v>0</v>
      </c>
    </row>
    <row r="83" spans="1:12" x14ac:dyDescent="0.2">
      <c r="A83" s="263">
        <v>294</v>
      </c>
      <c r="B83" s="258" t="s">
        <v>468</v>
      </c>
      <c r="C83" s="270" t="s">
        <v>134</v>
      </c>
      <c r="D83" s="270" t="s">
        <v>1888</v>
      </c>
      <c r="E83" s="297">
        <f>VLOOKUP(A83,'Phase In Option'!$A$16:$D$220,4,FALSE)</f>
        <v>53671</v>
      </c>
      <c r="F83" s="264">
        <v>388.03</v>
      </c>
      <c r="G83" s="264">
        <f>VLOOKUP(A83,'Phase In Option'!$A$16:$H$220,8,FALSE)</f>
        <v>386.61</v>
      </c>
      <c r="H83" s="264">
        <f t="shared" si="7"/>
        <v>-1.42</v>
      </c>
      <c r="I83" s="259">
        <f t="shared" si="8"/>
        <v>-76213</v>
      </c>
      <c r="J83" s="264">
        <v>35.67</v>
      </c>
      <c r="K83" s="264">
        <f>VLOOKUP(A83,FRV!$A$4:$U$208,21,FALSE)</f>
        <v>39.71</v>
      </c>
      <c r="L83" s="264">
        <f t="shared" si="9"/>
        <v>4.04</v>
      </c>
    </row>
    <row r="84" spans="1:12" x14ac:dyDescent="0.2">
      <c r="A84" s="263">
        <v>416</v>
      </c>
      <c r="B84" s="258" t="s">
        <v>208</v>
      </c>
      <c r="C84" s="270" t="s">
        <v>134</v>
      </c>
      <c r="D84" s="270" t="s">
        <v>1916</v>
      </c>
      <c r="E84" s="297">
        <f>VLOOKUP(A84,'Phase In Option'!$A$16:$D$220,4,FALSE)</f>
        <v>27651</v>
      </c>
      <c r="F84" s="264">
        <v>390.04</v>
      </c>
      <c r="G84" s="264">
        <f>VLOOKUP(A84,'Phase In Option'!$A$16:$H$220,8,FALSE)</f>
        <v>398.77</v>
      </c>
      <c r="H84" s="264">
        <f t="shared" si="7"/>
        <v>8.73</v>
      </c>
      <c r="I84" s="259">
        <f t="shared" si="8"/>
        <v>241393</v>
      </c>
      <c r="J84" s="264">
        <v>37.65</v>
      </c>
      <c r="K84" s="264">
        <f>VLOOKUP(A84,FRV!$A$4:$U$208,21,FALSE)</f>
        <v>51.69</v>
      </c>
      <c r="L84" s="264">
        <f t="shared" si="9"/>
        <v>14.04</v>
      </c>
    </row>
    <row r="85" spans="1:12" x14ac:dyDescent="0.2">
      <c r="A85" s="263">
        <v>1203</v>
      </c>
      <c r="B85" s="258" t="s">
        <v>407</v>
      </c>
      <c r="C85" s="270" t="s">
        <v>134</v>
      </c>
      <c r="D85" s="270" t="s">
        <v>1894</v>
      </c>
      <c r="E85" s="297">
        <f>VLOOKUP(A85,'Phase In Option'!$A$16:$D$220,4,FALSE)</f>
        <v>8938</v>
      </c>
      <c r="F85" s="264">
        <v>360.83</v>
      </c>
      <c r="G85" s="264">
        <f>VLOOKUP(A85,'Phase In Option'!$A$16:$H$220,8,FALSE)</f>
        <v>369.05</v>
      </c>
      <c r="H85" s="264">
        <f t="shared" si="7"/>
        <v>8.2200000000000006</v>
      </c>
      <c r="I85" s="259">
        <f t="shared" si="8"/>
        <v>73470</v>
      </c>
      <c r="J85" s="264">
        <v>35.369999999999997</v>
      </c>
      <c r="K85" s="264">
        <f>VLOOKUP(A85,FRV!$A$4:$U$208,21,FALSE)</f>
        <v>48.55</v>
      </c>
      <c r="L85" s="264">
        <f t="shared" si="9"/>
        <v>13.18</v>
      </c>
    </row>
    <row r="86" spans="1:12" x14ac:dyDescent="0.2">
      <c r="A86" s="263">
        <v>386</v>
      </c>
      <c r="B86" s="258" t="s">
        <v>338</v>
      </c>
      <c r="C86" s="270" t="s">
        <v>134</v>
      </c>
      <c r="D86" s="270" t="s">
        <v>1895</v>
      </c>
      <c r="E86" s="297">
        <f>VLOOKUP(A86,'Phase In Option'!$A$16:$D$220,4,FALSE)</f>
        <v>32307</v>
      </c>
      <c r="F86" s="264">
        <v>384.4</v>
      </c>
      <c r="G86" s="264">
        <f>VLOOKUP(A86,'Phase In Option'!$A$16:$H$220,8,FALSE)</f>
        <v>389.81</v>
      </c>
      <c r="H86" s="264">
        <f t="shared" si="7"/>
        <v>5.41</v>
      </c>
      <c r="I86" s="259">
        <f t="shared" si="8"/>
        <v>174781</v>
      </c>
      <c r="J86" s="264">
        <v>35.56</v>
      </c>
      <c r="K86" s="264">
        <f>VLOOKUP(A86,FRV!$A$4:$U$208,21,FALSE)</f>
        <v>46.1</v>
      </c>
      <c r="L86" s="264">
        <f t="shared" si="9"/>
        <v>10.54</v>
      </c>
    </row>
    <row r="87" spans="1:12" x14ac:dyDescent="0.2">
      <c r="A87" s="263">
        <v>70</v>
      </c>
      <c r="B87" s="258" t="s">
        <v>697</v>
      </c>
      <c r="C87" s="270" t="s">
        <v>134</v>
      </c>
      <c r="D87" s="270" t="s">
        <v>1888</v>
      </c>
      <c r="E87" s="297">
        <f>VLOOKUP(A87,'Phase In Option'!$A$16:$D$220,4,FALSE)</f>
        <v>6265</v>
      </c>
      <c r="F87" s="264">
        <v>384.13</v>
      </c>
      <c r="G87" s="264">
        <f>VLOOKUP(A87,'Phase In Option'!$A$16:$H$220,8,FALSE)</f>
        <v>390.74</v>
      </c>
      <c r="H87" s="264">
        <f t="shared" si="7"/>
        <v>6.61</v>
      </c>
      <c r="I87" s="259">
        <f t="shared" si="8"/>
        <v>41412</v>
      </c>
      <c r="J87" s="264">
        <v>32.26</v>
      </c>
      <c r="K87" s="264">
        <f>VLOOKUP(A87,FRV!$A$4:$U$208,21,FALSE)</f>
        <v>44.29</v>
      </c>
      <c r="L87" s="264">
        <f t="shared" si="9"/>
        <v>12.03</v>
      </c>
    </row>
    <row r="88" spans="1:12" x14ac:dyDescent="0.2">
      <c r="A88" s="263">
        <v>671</v>
      </c>
      <c r="B88" s="258" t="s">
        <v>606</v>
      </c>
      <c r="C88" s="270" t="s">
        <v>134</v>
      </c>
      <c r="D88" s="270" t="s">
        <v>1892</v>
      </c>
      <c r="E88" s="297">
        <f>VLOOKUP(A88,'Phase In Option'!$A$16:$D$220,4,FALSE)</f>
        <v>7070</v>
      </c>
      <c r="F88" s="264">
        <v>370.98</v>
      </c>
      <c r="G88" s="264">
        <f>VLOOKUP(A88,'Phase In Option'!$A$16:$H$220,8,FALSE)</f>
        <v>377.28</v>
      </c>
      <c r="H88" s="264">
        <f t="shared" si="7"/>
        <v>6.3</v>
      </c>
      <c r="I88" s="259">
        <f t="shared" si="8"/>
        <v>44541</v>
      </c>
      <c r="J88" s="264">
        <v>30.56</v>
      </c>
      <c r="K88" s="264">
        <f>VLOOKUP(A88,FRV!$A$4:$U$208,21,FALSE)</f>
        <v>41.95</v>
      </c>
      <c r="L88" s="264">
        <f t="shared" si="9"/>
        <v>11.39</v>
      </c>
    </row>
    <row r="89" spans="1:12" x14ac:dyDescent="0.2">
      <c r="A89" s="263">
        <v>46</v>
      </c>
      <c r="B89" s="258" t="s">
        <v>746</v>
      </c>
      <c r="C89" s="270" t="s">
        <v>134</v>
      </c>
      <c r="D89" s="270" t="s">
        <v>1916</v>
      </c>
      <c r="E89" s="297">
        <f>VLOOKUP(A89,'Phase In Option'!$A$16:$D$220,4,FALSE)</f>
        <v>23933</v>
      </c>
      <c r="F89" s="264">
        <v>359.62</v>
      </c>
      <c r="G89" s="264">
        <f>VLOOKUP(A89,'Phase In Option'!$A$16:$H$220,8,FALSE)</f>
        <v>366.43</v>
      </c>
      <c r="H89" s="264">
        <f t="shared" si="7"/>
        <v>6.81</v>
      </c>
      <c r="I89" s="259">
        <f t="shared" si="8"/>
        <v>162984</v>
      </c>
      <c r="J89" s="264">
        <v>32.17</v>
      </c>
      <c r="K89" s="264">
        <f>VLOOKUP(A89,FRV!$A$4:$U$208,21,FALSE)</f>
        <v>44.17</v>
      </c>
      <c r="L89" s="264">
        <f t="shared" si="9"/>
        <v>12</v>
      </c>
    </row>
    <row r="90" spans="1:12" x14ac:dyDescent="0.2">
      <c r="A90" s="263">
        <v>725</v>
      </c>
      <c r="B90" s="258" t="s">
        <v>624</v>
      </c>
      <c r="C90" s="270" t="s">
        <v>134</v>
      </c>
      <c r="D90" s="270" t="s">
        <v>1888</v>
      </c>
      <c r="E90" s="297">
        <f>VLOOKUP(A90,'Phase In Option'!$A$16:$D$220,4,FALSE)</f>
        <v>24040</v>
      </c>
      <c r="F90" s="264">
        <v>334.88</v>
      </c>
      <c r="G90" s="264">
        <f>VLOOKUP(A90,'Phase In Option'!$A$16:$H$220,8,FALSE)</f>
        <v>330.5</v>
      </c>
      <c r="H90" s="264">
        <f t="shared" si="7"/>
        <v>-4.38</v>
      </c>
      <c r="I90" s="259">
        <f t="shared" si="8"/>
        <v>-105295</v>
      </c>
      <c r="J90" s="264">
        <v>26.01</v>
      </c>
      <c r="K90" s="264">
        <f>VLOOKUP(A90,FRV!$A$4:$U$208,21,FALSE)</f>
        <v>26.01</v>
      </c>
      <c r="L90" s="264">
        <f t="shared" si="9"/>
        <v>0</v>
      </c>
    </row>
    <row r="91" spans="1:12" x14ac:dyDescent="0.2">
      <c r="A91" s="263">
        <v>122</v>
      </c>
      <c r="B91" s="258" t="s">
        <v>634</v>
      </c>
      <c r="C91" s="270" t="s">
        <v>134</v>
      </c>
      <c r="D91" s="270" t="s">
        <v>1888</v>
      </c>
      <c r="E91" s="297">
        <f>VLOOKUP(A91,'Phase In Option'!$A$16:$D$220,4,FALSE)</f>
        <v>31135</v>
      </c>
      <c r="F91" s="264">
        <v>367.27</v>
      </c>
      <c r="G91" s="264">
        <f>VLOOKUP(A91,'Phase In Option'!$A$16:$H$220,8,FALSE)</f>
        <v>362.51</v>
      </c>
      <c r="H91" s="264">
        <f t="shared" si="7"/>
        <v>-4.76</v>
      </c>
      <c r="I91" s="259">
        <f t="shared" si="8"/>
        <v>-148203</v>
      </c>
      <c r="J91" s="264">
        <v>29.69</v>
      </c>
      <c r="K91" s="264">
        <f>VLOOKUP(A91,FRV!$A$4:$U$208,21,FALSE)</f>
        <v>29.69</v>
      </c>
      <c r="L91" s="264">
        <f t="shared" si="9"/>
        <v>0</v>
      </c>
    </row>
    <row r="92" spans="1:12" x14ac:dyDescent="0.2">
      <c r="A92" s="263">
        <v>88</v>
      </c>
      <c r="B92" s="258" t="s">
        <v>544</v>
      </c>
      <c r="C92" s="270" t="s">
        <v>134</v>
      </c>
      <c r="D92" s="270" t="s">
        <v>1888</v>
      </c>
      <c r="E92" s="297">
        <f>VLOOKUP(A92,'Phase In Option'!$A$16:$D$220,4,FALSE)</f>
        <v>32985</v>
      </c>
      <c r="F92" s="264">
        <v>366.81</v>
      </c>
      <c r="G92" s="264">
        <f>VLOOKUP(A92,'Phase In Option'!$A$16:$H$220,8,FALSE)</f>
        <v>362.05</v>
      </c>
      <c r="H92" s="264">
        <f t="shared" si="7"/>
        <v>-4.76</v>
      </c>
      <c r="I92" s="259">
        <f t="shared" si="8"/>
        <v>-157009</v>
      </c>
      <c r="J92" s="264">
        <v>26.07</v>
      </c>
      <c r="K92" s="264">
        <f>VLOOKUP(A92,FRV!$A$4:$U$208,21,FALSE)</f>
        <v>26.07</v>
      </c>
      <c r="L92" s="264">
        <f t="shared" si="9"/>
        <v>0</v>
      </c>
    </row>
    <row r="93" spans="1:12" x14ac:dyDescent="0.2">
      <c r="A93" s="263">
        <v>132</v>
      </c>
      <c r="B93" s="258" t="s">
        <v>589</v>
      </c>
      <c r="C93" s="270" t="s">
        <v>134</v>
      </c>
      <c r="D93" s="270" t="s">
        <v>1888</v>
      </c>
      <c r="E93" s="297">
        <f>VLOOKUP(A93,'Phase In Option'!$A$16:$D$220,4,FALSE)</f>
        <v>27913</v>
      </c>
      <c r="F93" s="264">
        <v>373.67</v>
      </c>
      <c r="G93" s="264">
        <f>VLOOKUP(A93,'Phase In Option'!$A$16:$H$220,8,FALSE)</f>
        <v>371.52</v>
      </c>
      <c r="H93" s="264">
        <f t="shared" si="7"/>
        <v>-2.15</v>
      </c>
      <c r="I93" s="259">
        <f t="shared" si="8"/>
        <v>-60013</v>
      </c>
      <c r="J93" s="264">
        <v>29.3</v>
      </c>
      <c r="K93" s="264">
        <f>VLOOKUP(A93,FRV!$A$4:$U$208,21,FALSE)</f>
        <v>32.15</v>
      </c>
      <c r="L93" s="264">
        <f t="shared" si="9"/>
        <v>2.85</v>
      </c>
    </row>
    <row r="94" spans="1:12" x14ac:dyDescent="0.2">
      <c r="A94" s="263">
        <v>687</v>
      </c>
      <c r="B94" s="258" t="s">
        <v>621</v>
      </c>
      <c r="C94" s="270" t="s">
        <v>134</v>
      </c>
      <c r="D94" s="270" t="s">
        <v>1888</v>
      </c>
      <c r="E94" s="297">
        <f>VLOOKUP(A94,'Phase In Option'!$A$16:$D$220,4,FALSE)</f>
        <v>42655</v>
      </c>
      <c r="F94" s="264">
        <v>356.55</v>
      </c>
      <c r="G94" s="264">
        <f>VLOOKUP(A94,'Phase In Option'!$A$16:$H$220,8,FALSE)</f>
        <v>354.19</v>
      </c>
      <c r="H94" s="264">
        <f t="shared" si="7"/>
        <v>-2.36</v>
      </c>
      <c r="I94" s="259">
        <f t="shared" si="8"/>
        <v>-100666</v>
      </c>
      <c r="J94" s="264">
        <v>29.71</v>
      </c>
      <c r="K94" s="264">
        <f>VLOOKUP(A94,FRV!$A$4:$U$208,21,FALSE)</f>
        <v>32.04</v>
      </c>
      <c r="L94" s="264">
        <f t="shared" si="9"/>
        <v>2.33</v>
      </c>
    </row>
    <row r="95" spans="1:12" x14ac:dyDescent="0.2">
      <c r="A95" s="263">
        <v>278</v>
      </c>
      <c r="B95" s="258" t="s">
        <v>583</v>
      </c>
      <c r="C95" s="270" t="s">
        <v>134</v>
      </c>
      <c r="D95" s="270" t="s">
        <v>1888</v>
      </c>
      <c r="E95" s="297">
        <f>VLOOKUP(A95,'Phase In Option'!$A$16:$D$220,4,FALSE)</f>
        <v>26369</v>
      </c>
      <c r="F95" s="264">
        <v>379.02</v>
      </c>
      <c r="G95" s="264">
        <f>VLOOKUP(A95,'Phase In Option'!$A$16:$H$220,8,FALSE)</f>
        <v>374.06</v>
      </c>
      <c r="H95" s="264">
        <f t="shared" si="7"/>
        <v>-4.96</v>
      </c>
      <c r="I95" s="259">
        <f t="shared" si="8"/>
        <v>-130790</v>
      </c>
      <c r="J95" s="264">
        <v>22.4</v>
      </c>
      <c r="K95" s="264">
        <f>VLOOKUP(A95,FRV!$A$4:$U$208,21,FALSE)</f>
        <v>22.4</v>
      </c>
      <c r="L95" s="264">
        <f t="shared" si="9"/>
        <v>0</v>
      </c>
    </row>
    <row r="96" spans="1:12" x14ac:dyDescent="0.2">
      <c r="A96" s="263">
        <v>284</v>
      </c>
      <c r="B96" s="258" t="s">
        <v>639</v>
      </c>
      <c r="C96" s="270" t="s">
        <v>134</v>
      </c>
      <c r="D96" s="270" t="s">
        <v>1888</v>
      </c>
      <c r="E96" s="297">
        <f>VLOOKUP(A96,'Phase In Option'!$A$16:$D$220,4,FALSE)</f>
        <v>19671</v>
      </c>
      <c r="F96" s="264">
        <v>386.91</v>
      </c>
      <c r="G96" s="264">
        <f>VLOOKUP(A96,'Phase In Option'!$A$16:$H$220,8,FALSE)</f>
        <v>390.05</v>
      </c>
      <c r="H96" s="264">
        <f t="shared" si="7"/>
        <v>3.14</v>
      </c>
      <c r="I96" s="259">
        <f t="shared" si="8"/>
        <v>61767</v>
      </c>
      <c r="J96" s="264">
        <v>28.69</v>
      </c>
      <c r="K96" s="264">
        <f>VLOOKUP(A96,FRV!$A$4:$U$208,21,FALSE)</f>
        <v>37.03</v>
      </c>
      <c r="L96" s="264">
        <f t="shared" si="9"/>
        <v>8.34</v>
      </c>
    </row>
    <row r="97" spans="1:12" x14ac:dyDescent="0.2">
      <c r="A97" s="263">
        <v>134</v>
      </c>
      <c r="B97" s="258" t="s">
        <v>581</v>
      </c>
      <c r="C97" s="270" t="s">
        <v>134</v>
      </c>
      <c r="D97" s="270" t="s">
        <v>1888</v>
      </c>
      <c r="E97" s="297">
        <f>VLOOKUP(A97,'Phase In Option'!$A$16:$D$220,4,FALSE)</f>
        <v>30750</v>
      </c>
      <c r="F97" s="264">
        <v>374.69</v>
      </c>
      <c r="G97" s="264">
        <f>VLOOKUP(A97,'Phase In Option'!$A$16:$H$220,8,FALSE)</f>
        <v>370.28</v>
      </c>
      <c r="H97" s="264">
        <f t="shared" si="7"/>
        <v>-4.41</v>
      </c>
      <c r="I97" s="259">
        <f t="shared" si="8"/>
        <v>-135608</v>
      </c>
      <c r="J97" s="264">
        <v>31.93</v>
      </c>
      <c r="K97" s="264">
        <f>VLOOKUP(A97,FRV!$A$4:$U$208,21,FALSE)</f>
        <v>32.42</v>
      </c>
      <c r="L97" s="264">
        <f t="shared" si="9"/>
        <v>0.49</v>
      </c>
    </row>
    <row r="98" spans="1:12" x14ac:dyDescent="0.2">
      <c r="A98" s="263">
        <v>362</v>
      </c>
      <c r="B98" s="258" t="s">
        <v>558</v>
      </c>
      <c r="C98" s="270" t="s">
        <v>134</v>
      </c>
      <c r="D98" s="270" t="s">
        <v>1888</v>
      </c>
      <c r="E98" s="297">
        <f>VLOOKUP(A98,'Phase In Option'!$A$16:$D$220,4,FALSE)</f>
        <v>24565</v>
      </c>
      <c r="F98" s="264">
        <v>364.18</v>
      </c>
      <c r="G98" s="264">
        <f>VLOOKUP(A98,'Phase In Option'!$A$16:$H$220,8,FALSE)</f>
        <v>359.45</v>
      </c>
      <c r="H98" s="264">
        <f t="shared" si="7"/>
        <v>-4.7300000000000004</v>
      </c>
      <c r="I98" s="259">
        <f t="shared" si="8"/>
        <v>-116192</v>
      </c>
      <c r="J98" s="264">
        <v>26.66</v>
      </c>
      <c r="K98" s="264">
        <f>VLOOKUP(A98,FRV!$A$4:$U$208,21,FALSE)</f>
        <v>26.66</v>
      </c>
      <c r="L98" s="264">
        <f t="shared" si="9"/>
        <v>0</v>
      </c>
    </row>
    <row r="99" spans="1:12" x14ac:dyDescent="0.2">
      <c r="A99" s="263">
        <v>390</v>
      </c>
      <c r="B99" s="258" t="s">
        <v>450</v>
      </c>
      <c r="C99" s="270" t="s">
        <v>134</v>
      </c>
      <c r="D99" s="270" t="s">
        <v>1888</v>
      </c>
      <c r="E99" s="297">
        <f>VLOOKUP(A99,'Phase In Option'!$A$16:$D$220,4,FALSE)</f>
        <v>29131</v>
      </c>
      <c r="F99" s="264">
        <v>395.35</v>
      </c>
      <c r="G99" s="264">
        <f>VLOOKUP(A99,'Phase In Option'!$A$16:$H$220,8,FALSE)</f>
        <v>390.17</v>
      </c>
      <c r="H99" s="264">
        <f t="shared" si="7"/>
        <v>-5.18</v>
      </c>
      <c r="I99" s="259">
        <f t="shared" si="8"/>
        <v>-150899</v>
      </c>
      <c r="J99" s="264">
        <v>28.84</v>
      </c>
      <c r="K99" s="264">
        <f>VLOOKUP(A99,FRV!$A$4:$U$208,21,FALSE)</f>
        <v>28.84</v>
      </c>
      <c r="L99" s="264">
        <f t="shared" si="9"/>
        <v>0</v>
      </c>
    </row>
    <row r="100" spans="1:12" x14ac:dyDescent="0.2">
      <c r="A100" s="263">
        <v>384</v>
      </c>
      <c r="B100" s="258" t="s">
        <v>493</v>
      </c>
      <c r="C100" s="270" t="s">
        <v>134</v>
      </c>
      <c r="D100" s="270" t="s">
        <v>1888</v>
      </c>
      <c r="E100" s="297">
        <f>VLOOKUP(A100,'Phase In Option'!$A$16:$D$220,4,FALSE)</f>
        <v>51265</v>
      </c>
      <c r="F100" s="264">
        <v>335.99</v>
      </c>
      <c r="G100" s="264">
        <f>VLOOKUP(A100,'Phase In Option'!$A$16:$H$220,8,FALSE)</f>
        <v>332.17</v>
      </c>
      <c r="H100" s="264">
        <f t="shared" si="7"/>
        <v>-3.82</v>
      </c>
      <c r="I100" s="259">
        <f t="shared" si="8"/>
        <v>-195832</v>
      </c>
      <c r="J100" s="264">
        <v>28.48</v>
      </c>
      <c r="K100" s="264">
        <f>VLOOKUP(A100,FRV!$A$4:$U$208,21,FALSE)</f>
        <v>29.35</v>
      </c>
      <c r="L100" s="264">
        <f t="shared" si="9"/>
        <v>0.87</v>
      </c>
    </row>
    <row r="101" spans="1:12" x14ac:dyDescent="0.2">
      <c r="A101" s="263">
        <v>314</v>
      </c>
      <c r="B101" s="258" t="s">
        <v>691</v>
      </c>
      <c r="C101" s="270" t="s">
        <v>134</v>
      </c>
      <c r="D101" s="270" t="s">
        <v>1888</v>
      </c>
      <c r="E101" s="297">
        <f>VLOOKUP(A101,'Phase In Option'!$A$16:$D$220,4,FALSE)</f>
        <v>39731</v>
      </c>
      <c r="F101" s="264">
        <v>392.16</v>
      </c>
      <c r="G101" s="264">
        <f>VLOOKUP(A101,'Phase In Option'!$A$16:$H$220,8,FALSE)</f>
        <v>393.85</v>
      </c>
      <c r="H101" s="264">
        <f t="shared" si="7"/>
        <v>1.69</v>
      </c>
      <c r="I101" s="259">
        <f t="shared" si="8"/>
        <v>67145</v>
      </c>
      <c r="J101" s="264">
        <v>32.26</v>
      </c>
      <c r="K101" s="264">
        <f>VLOOKUP(A101,FRV!$A$4:$U$208,21,FALSE)</f>
        <v>39.159999999999997</v>
      </c>
      <c r="L101" s="264">
        <f t="shared" si="9"/>
        <v>6.9</v>
      </c>
    </row>
    <row r="102" spans="1:12" x14ac:dyDescent="0.2">
      <c r="A102" s="263">
        <v>410</v>
      </c>
      <c r="B102" s="258" t="s">
        <v>560</v>
      </c>
      <c r="C102" s="270" t="s">
        <v>134</v>
      </c>
      <c r="D102" s="270" t="s">
        <v>1888</v>
      </c>
      <c r="E102" s="297">
        <f>VLOOKUP(A102,'Phase In Option'!$A$16:$D$220,4,FALSE)</f>
        <v>20460</v>
      </c>
      <c r="F102" s="264">
        <v>385.89</v>
      </c>
      <c r="G102" s="264">
        <f>VLOOKUP(A102,'Phase In Option'!$A$16:$H$220,8,FALSE)</f>
        <v>391.41</v>
      </c>
      <c r="H102" s="264">
        <f t="shared" si="7"/>
        <v>5.52</v>
      </c>
      <c r="I102" s="259">
        <f t="shared" si="8"/>
        <v>112939</v>
      </c>
      <c r="J102" s="264">
        <v>28.92</v>
      </c>
      <c r="K102" s="264">
        <f>VLOOKUP(A102,FRV!$A$4:$U$208,21,FALSE)</f>
        <v>39.700000000000003</v>
      </c>
      <c r="L102" s="264">
        <f t="shared" si="9"/>
        <v>10.78</v>
      </c>
    </row>
    <row r="103" spans="1:12" x14ac:dyDescent="0.2">
      <c r="A103" s="263">
        <v>679</v>
      </c>
      <c r="B103" s="258" t="s">
        <v>620</v>
      </c>
      <c r="C103" s="270" t="s">
        <v>134</v>
      </c>
      <c r="D103" s="270" t="s">
        <v>1888</v>
      </c>
      <c r="E103" s="297">
        <f>VLOOKUP(A103,'Phase In Option'!$A$16:$D$220,4,FALSE)</f>
        <v>34267</v>
      </c>
      <c r="F103" s="264">
        <v>375.71</v>
      </c>
      <c r="G103" s="264">
        <f>VLOOKUP(A103,'Phase In Option'!$A$16:$H$220,8,FALSE)</f>
        <v>372.12</v>
      </c>
      <c r="H103" s="264">
        <f t="shared" si="7"/>
        <v>-3.59</v>
      </c>
      <c r="I103" s="259">
        <f t="shared" si="8"/>
        <v>-123019</v>
      </c>
      <c r="J103" s="264">
        <v>28.78</v>
      </c>
      <c r="K103" s="264">
        <f>VLOOKUP(A103,FRV!$A$4:$U$208,21,FALSE)</f>
        <v>30.08</v>
      </c>
      <c r="L103" s="264">
        <f t="shared" si="9"/>
        <v>1.3</v>
      </c>
    </row>
    <row r="104" spans="1:12" x14ac:dyDescent="0.2">
      <c r="A104" s="263">
        <v>260</v>
      </c>
      <c r="B104" s="258" t="s">
        <v>562</v>
      </c>
      <c r="C104" s="270" t="s">
        <v>134</v>
      </c>
      <c r="D104" s="270" t="s">
        <v>1888</v>
      </c>
      <c r="E104" s="297">
        <f>VLOOKUP(A104,'Phase In Option'!$A$16:$D$220,4,FALSE)</f>
        <v>9999</v>
      </c>
      <c r="F104" s="264">
        <v>386.84</v>
      </c>
      <c r="G104" s="264">
        <f>VLOOKUP(A104,'Phase In Option'!$A$16:$H$220,8,FALSE)</f>
        <v>392.04</v>
      </c>
      <c r="H104" s="264">
        <f t="shared" si="7"/>
        <v>5.2</v>
      </c>
      <c r="I104" s="259">
        <f t="shared" si="8"/>
        <v>51995</v>
      </c>
      <c r="J104" s="264">
        <v>28.47</v>
      </c>
      <c r="K104" s="264">
        <f>VLOOKUP(A104,FRV!$A$4:$U$208,21,FALSE)</f>
        <v>39.08</v>
      </c>
      <c r="L104" s="264">
        <f t="shared" si="9"/>
        <v>10.61</v>
      </c>
    </row>
    <row r="105" spans="1:12" x14ac:dyDescent="0.2">
      <c r="A105" s="263">
        <v>84</v>
      </c>
      <c r="B105" s="258" t="s">
        <v>201</v>
      </c>
      <c r="C105" s="270" t="s">
        <v>134</v>
      </c>
      <c r="D105" s="270" t="s">
        <v>1916</v>
      </c>
      <c r="E105" s="297">
        <f>VLOOKUP(A105,'Phase In Option'!$A$16:$D$220,4,FALSE)</f>
        <v>13221</v>
      </c>
      <c r="F105" s="264">
        <v>336.63</v>
      </c>
      <c r="G105" s="264">
        <f>VLOOKUP(A105,'Phase In Option'!$A$16:$H$220,8,FALSE)</f>
        <v>343.8</v>
      </c>
      <c r="H105" s="264">
        <f t="shared" si="7"/>
        <v>7.17</v>
      </c>
      <c r="I105" s="259">
        <f t="shared" si="8"/>
        <v>94795</v>
      </c>
      <c r="J105" s="264">
        <v>32.26</v>
      </c>
      <c r="K105" s="264">
        <f>VLOOKUP(A105,FRV!$A$4:$U$208,21,FALSE)</f>
        <v>44.29</v>
      </c>
      <c r="L105" s="264">
        <f t="shared" si="9"/>
        <v>12.03</v>
      </c>
    </row>
    <row r="106" spans="1:12" x14ac:dyDescent="0.2">
      <c r="A106" s="263">
        <v>90</v>
      </c>
      <c r="B106" s="258" t="s">
        <v>379</v>
      </c>
      <c r="C106" s="270" t="s">
        <v>134</v>
      </c>
      <c r="D106" s="270" t="s">
        <v>1916</v>
      </c>
      <c r="E106" s="297">
        <f>VLOOKUP(A106,'Phase In Option'!$A$16:$D$220,4,FALSE)</f>
        <v>13877</v>
      </c>
      <c r="F106" s="264">
        <v>357.15</v>
      </c>
      <c r="G106" s="264">
        <f>VLOOKUP(A106,'Phase In Option'!$A$16:$H$220,8,FALSE)</f>
        <v>354.36</v>
      </c>
      <c r="H106" s="264">
        <f t="shared" si="7"/>
        <v>-2.79</v>
      </c>
      <c r="I106" s="259">
        <f t="shared" si="8"/>
        <v>-38717</v>
      </c>
      <c r="J106" s="264">
        <v>31.76</v>
      </c>
      <c r="K106" s="264">
        <f>VLOOKUP(A106,FRV!$A$4:$U$208,21,FALSE)</f>
        <v>33.58</v>
      </c>
      <c r="L106" s="264">
        <f t="shared" si="9"/>
        <v>1.82</v>
      </c>
    </row>
    <row r="107" spans="1:12" x14ac:dyDescent="0.2">
      <c r="A107" s="263">
        <v>94</v>
      </c>
      <c r="B107" s="258" t="s">
        <v>220</v>
      </c>
      <c r="C107" s="270" t="s">
        <v>134</v>
      </c>
      <c r="D107" s="270" t="s">
        <v>1896</v>
      </c>
      <c r="E107" s="297">
        <f>VLOOKUP(A107,'Phase In Option'!$A$16:$D$220,4,FALSE)</f>
        <v>8426</v>
      </c>
      <c r="F107" s="264">
        <v>331.4</v>
      </c>
      <c r="G107" s="264">
        <f>VLOOKUP(A107,'Phase In Option'!$A$16:$H$220,8,FALSE)</f>
        <v>337.6</v>
      </c>
      <c r="H107" s="264">
        <f t="shared" si="7"/>
        <v>6.2</v>
      </c>
      <c r="I107" s="259">
        <f t="shared" si="8"/>
        <v>52241</v>
      </c>
      <c r="J107" s="264">
        <v>29.45</v>
      </c>
      <c r="K107" s="264">
        <f>VLOOKUP(A107,FRV!$A$4:$U$208,21,FALSE)</f>
        <v>40.43</v>
      </c>
      <c r="L107" s="264">
        <f t="shared" si="9"/>
        <v>10.98</v>
      </c>
    </row>
    <row r="108" spans="1:12" x14ac:dyDescent="0.2">
      <c r="A108" s="263">
        <v>106</v>
      </c>
      <c r="B108" s="258" t="s">
        <v>203</v>
      </c>
      <c r="C108" s="270" t="s">
        <v>134</v>
      </c>
      <c r="D108" s="270" t="s">
        <v>1916</v>
      </c>
      <c r="E108" s="297">
        <f>VLOOKUP(A108,'Phase In Option'!$A$16:$D$220,4,FALSE)</f>
        <v>30852</v>
      </c>
      <c r="F108" s="264">
        <v>366.08</v>
      </c>
      <c r="G108" s="264">
        <f>VLOOKUP(A108,'Phase In Option'!$A$16:$H$220,8,FALSE)</f>
        <v>364.74</v>
      </c>
      <c r="H108" s="264">
        <f t="shared" si="7"/>
        <v>-1.34</v>
      </c>
      <c r="I108" s="259">
        <f t="shared" si="8"/>
        <v>-41342</v>
      </c>
      <c r="J108" s="264">
        <v>32.26</v>
      </c>
      <c r="K108" s="264">
        <f>VLOOKUP(A108,FRV!$A$4:$U$208,21,FALSE)</f>
        <v>35.68</v>
      </c>
      <c r="L108" s="264">
        <f t="shared" si="9"/>
        <v>3.42</v>
      </c>
    </row>
    <row r="109" spans="1:12" x14ac:dyDescent="0.2">
      <c r="A109" s="263">
        <v>665</v>
      </c>
      <c r="B109" s="258" t="s">
        <v>645</v>
      </c>
      <c r="C109" s="270" t="s">
        <v>134</v>
      </c>
      <c r="D109" s="270" t="s">
        <v>1897</v>
      </c>
      <c r="E109" s="297">
        <f>VLOOKUP(A109,'Phase In Option'!$A$16:$D$220,4,FALSE)</f>
        <v>19774</v>
      </c>
      <c r="F109" s="264">
        <v>400.11</v>
      </c>
      <c r="G109" s="264">
        <f>VLOOKUP(A109,'Phase In Option'!$A$16:$H$220,8,FALSE)</f>
        <v>398</v>
      </c>
      <c r="H109" s="264">
        <f t="shared" si="7"/>
        <v>-2.11</v>
      </c>
      <c r="I109" s="259">
        <f t="shared" si="8"/>
        <v>-41723</v>
      </c>
      <c r="J109" s="264">
        <v>32.17</v>
      </c>
      <c r="K109" s="264">
        <f>VLOOKUP(A109,FRV!$A$4:$U$208,21,FALSE)</f>
        <v>35.32</v>
      </c>
      <c r="L109" s="264">
        <f t="shared" si="9"/>
        <v>3.15</v>
      </c>
    </row>
    <row r="110" spans="1:12" x14ac:dyDescent="0.2">
      <c r="A110" s="263">
        <v>232</v>
      </c>
      <c r="B110" s="258" t="s">
        <v>600</v>
      </c>
      <c r="C110" s="270" t="s">
        <v>134</v>
      </c>
      <c r="D110" s="270" t="s">
        <v>1897</v>
      </c>
      <c r="E110" s="297">
        <f>VLOOKUP(A110,'Phase In Option'!$A$16:$D$220,4,FALSE)</f>
        <v>34685</v>
      </c>
      <c r="F110" s="264">
        <v>347.12</v>
      </c>
      <c r="G110" s="264">
        <f>VLOOKUP(A110,'Phase In Option'!$A$16:$H$220,8,FALSE)</f>
        <v>342.64</v>
      </c>
      <c r="H110" s="264">
        <f t="shared" si="7"/>
        <v>-4.4800000000000004</v>
      </c>
      <c r="I110" s="259">
        <f t="shared" si="8"/>
        <v>-155389</v>
      </c>
      <c r="J110" s="264">
        <v>22.98</v>
      </c>
      <c r="K110" s="264">
        <f>VLOOKUP(A110,FRV!$A$4:$U$208,21,FALSE)</f>
        <v>22.98</v>
      </c>
      <c r="L110" s="264">
        <f t="shared" si="9"/>
        <v>0</v>
      </c>
    </row>
    <row r="111" spans="1:12" x14ac:dyDescent="0.2">
      <c r="A111" s="263">
        <v>342</v>
      </c>
      <c r="B111" s="258" t="s">
        <v>602</v>
      </c>
      <c r="C111" s="270" t="s">
        <v>134</v>
      </c>
      <c r="D111" s="270" t="s">
        <v>1897</v>
      </c>
      <c r="E111" s="297">
        <f>VLOOKUP(A111,'Phase In Option'!$A$16:$D$220,4,FALSE)</f>
        <v>16976</v>
      </c>
      <c r="F111" s="264">
        <v>378.3</v>
      </c>
      <c r="G111" s="264">
        <f>VLOOKUP(A111,'Phase In Option'!$A$16:$H$220,8,FALSE)</f>
        <v>374.15</v>
      </c>
      <c r="H111" s="264">
        <f t="shared" si="7"/>
        <v>-4.1500000000000004</v>
      </c>
      <c r="I111" s="259">
        <f t="shared" si="8"/>
        <v>-70450</v>
      </c>
      <c r="J111" s="264">
        <v>30.08</v>
      </c>
      <c r="K111" s="264">
        <f>VLOOKUP(A111,FRV!$A$4:$U$208,21,FALSE)</f>
        <v>30.97</v>
      </c>
      <c r="L111" s="264">
        <f t="shared" si="9"/>
        <v>0.89</v>
      </c>
    </row>
    <row r="112" spans="1:12" x14ac:dyDescent="0.2">
      <c r="A112" s="263">
        <v>400</v>
      </c>
      <c r="B112" s="258" t="s">
        <v>599</v>
      </c>
      <c r="C112" s="270" t="s">
        <v>134</v>
      </c>
      <c r="D112" s="270" t="s">
        <v>1897</v>
      </c>
      <c r="E112" s="297">
        <f>VLOOKUP(A112,'Phase In Option'!$A$16:$D$220,4,FALSE)</f>
        <v>29647</v>
      </c>
      <c r="F112" s="264">
        <v>373.36</v>
      </c>
      <c r="G112" s="264">
        <f>VLOOKUP(A112,'Phase In Option'!$A$16:$H$220,8,FALSE)</f>
        <v>368.5</v>
      </c>
      <c r="H112" s="264">
        <f t="shared" si="7"/>
        <v>-4.8600000000000003</v>
      </c>
      <c r="I112" s="259">
        <f t="shared" si="8"/>
        <v>-144084</v>
      </c>
      <c r="J112" s="264">
        <v>24.61</v>
      </c>
      <c r="K112" s="264">
        <f>VLOOKUP(A112,FRV!$A$4:$U$208,21,FALSE)</f>
        <v>24.61</v>
      </c>
      <c r="L112" s="264">
        <f t="shared" si="9"/>
        <v>0</v>
      </c>
    </row>
    <row r="113" spans="1:12" x14ac:dyDescent="0.2">
      <c r="A113" s="263">
        <v>733</v>
      </c>
      <c r="B113" s="258" t="s">
        <v>211</v>
      </c>
      <c r="C113" s="270" t="s">
        <v>134</v>
      </c>
      <c r="D113" s="270" t="s">
        <v>1889</v>
      </c>
      <c r="E113" s="297">
        <f>VLOOKUP(A113,'Phase In Option'!$A$16:$D$220,4,FALSE)</f>
        <v>46842</v>
      </c>
      <c r="F113" s="264">
        <v>329.71</v>
      </c>
      <c r="G113" s="264">
        <f>VLOOKUP(A113,'Phase In Option'!$A$16:$H$220,8,FALSE)</f>
        <v>326.74</v>
      </c>
      <c r="H113" s="264">
        <f t="shared" si="7"/>
        <v>-2.97</v>
      </c>
      <c r="I113" s="259">
        <f t="shared" si="8"/>
        <v>-139121</v>
      </c>
      <c r="J113" s="264">
        <v>31.68</v>
      </c>
      <c r="K113" s="264">
        <f>VLOOKUP(A113,FRV!$A$4:$U$208,21,FALSE)</f>
        <v>32.92</v>
      </c>
      <c r="L113" s="264">
        <f t="shared" si="9"/>
        <v>1.24</v>
      </c>
    </row>
    <row r="114" spans="1:12" x14ac:dyDescent="0.2">
      <c r="A114" s="263">
        <v>1132</v>
      </c>
      <c r="B114" s="258" t="s">
        <v>196</v>
      </c>
      <c r="C114" s="270" t="s">
        <v>134</v>
      </c>
      <c r="D114" s="270" t="s">
        <v>1898</v>
      </c>
      <c r="E114" s="297">
        <f>VLOOKUP(A114,'Phase In Option'!$A$16:$D$220,4,FALSE)</f>
        <v>17739</v>
      </c>
      <c r="F114" s="264">
        <v>393.14</v>
      </c>
      <c r="G114" s="264">
        <f>VLOOKUP(A114,'Phase In Option'!$A$16:$H$220,8,FALSE)</f>
        <v>398.7</v>
      </c>
      <c r="H114" s="264">
        <f t="shared" si="7"/>
        <v>5.56</v>
      </c>
      <c r="I114" s="259">
        <f t="shared" si="8"/>
        <v>98629</v>
      </c>
      <c r="J114" s="264">
        <v>29.15</v>
      </c>
      <c r="K114" s="264">
        <f>VLOOKUP(A114,FRV!$A$4:$U$208,21,FALSE)</f>
        <v>40.020000000000003</v>
      </c>
      <c r="L114" s="264">
        <f t="shared" si="9"/>
        <v>10.87</v>
      </c>
    </row>
    <row r="115" spans="1:12" x14ac:dyDescent="0.2">
      <c r="A115" s="263">
        <v>152</v>
      </c>
      <c r="B115" s="258" t="s">
        <v>383</v>
      </c>
      <c r="C115" s="270" t="s">
        <v>134</v>
      </c>
      <c r="D115" s="270" t="s">
        <v>1899</v>
      </c>
      <c r="E115" s="297">
        <f>VLOOKUP(A115,'Phase In Option'!$A$16:$D$220,4,FALSE)</f>
        <v>16645</v>
      </c>
      <c r="F115" s="264">
        <v>343.41</v>
      </c>
      <c r="G115" s="264">
        <f>VLOOKUP(A115,'Phase In Option'!$A$16:$H$220,8,FALSE)</f>
        <v>350.83</v>
      </c>
      <c r="H115" s="264">
        <f t="shared" si="7"/>
        <v>7.42</v>
      </c>
      <c r="I115" s="259">
        <f t="shared" si="8"/>
        <v>123506</v>
      </c>
      <c r="J115" s="264">
        <v>32.26</v>
      </c>
      <c r="K115" s="264">
        <f>VLOOKUP(A115,FRV!$A$4:$U$208,21,FALSE)</f>
        <v>44.29</v>
      </c>
      <c r="L115" s="264">
        <f t="shared" si="9"/>
        <v>12.03</v>
      </c>
    </row>
    <row r="116" spans="1:12" x14ac:dyDescent="0.2">
      <c r="A116" s="263">
        <v>1324</v>
      </c>
      <c r="B116" s="258" t="s">
        <v>477</v>
      </c>
      <c r="C116" s="270" t="s">
        <v>134</v>
      </c>
      <c r="D116" s="270" t="s">
        <v>1900</v>
      </c>
      <c r="E116" s="297">
        <f>VLOOKUP(A116,'Phase In Option'!$A$16:$D$220,4,FALSE)</f>
        <v>2503</v>
      </c>
      <c r="F116" s="264">
        <v>290.41000000000003</v>
      </c>
      <c r="G116" s="264">
        <f>VLOOKUP(A116,'Phase In Option'!$A$16:$H$220,8,FALSE)</f>
        <v>287.99</v>
      </c>
      <c r="H116" s="264">
        <f t="shared" si="7"/>
        <v>-2.42</v>
      </c>
      <c r="I116" s="259">
        <f t="shared" si="8"/>
        <v>-6057</v>
      </c>
      <c r="J116" s="264">
        <v>32.26</v>
      </c>
      <c r="K116" s="264">
        <f>VLOOKUP(A116,FRV!$A$4:$U$208,21,FALSE)</f>
        <v>33.93</v>
      </c>
      <c r="L116" s="264">
        <f t="shared" si="9"/>
        <v>1.67</v>
      </c>
    </row>
    <row r="117" spans="1:12" x14ac:dyDescent="0.2">
      <c r="A117" s="263">
        <v>156</v>
      </c>
      <c r="B117" s="258" t="s">
        <v>413</v>
      </c>
      <c r="C117" s="270" t="s">
        <v>134</v>
      </c>
      <c r="D117" s="270" t="s">
        <v>1899</v>
      </c>
      <c r="E117" s="297">
        <f>VLOOKUP(A117,'Phase In Option'!$A$16:$D$220,4,FALSE)</f>
        <v>44658</v>
      </c>
      <c r="F117" s="264">
        <v>345.94</v>
      </c>
      <c r="G117" s="264">
        <f>VLOOKUP(A117,'Phase In Option'!$A$16:$H$220,8,FALSE)</f>
        <v>341.55</v>
      </c>
      <c r="H117" s="264">
        <f t="shared" si="7"/>
        <v>-4.3899999999999997</v>
      </c>
      <c r="I117" s="259">
        <f t="shared" si="8"/>
        <v>-196049</v>
      </c>
      <c r="J117" s="264">
        <v>27.77</v>
      </c>
      <c r="K117" s="264">
        <f>VLOOKUP(A117,FRV!$A$4:$U$208,21,FALSE)</f>
        <v>27.77</v>
      </c>
      <c r="L117" s="264">
        <f t="shared" si="9"/>
        <v>0</v>
      </c>
    </row>
    <row r="118" spans="1:12" x14ac:dyDescent="0.2">
      <c r="A118" s="263">
        <v>168</v>
      </c>
      <c r="B118" s="258" t="s">
        <v>177</v>
      </c>
      <c r="C118" s="270" t="s">
        <v>134</v>
      </c>
      <c r="D118" s="270" t="s">
        <v>1901</v>
      </c>
      <c r="E118" s="297">
        <f>VLOOKUP(A118,'Phase In Option'!$A$16:$D$220,4,FALSE)</f>
        <v>13218</v>
      </c>
      <c r="F118" s="264">
        <v>379.75</v>
      </c>
      <c r="G118" s="264">
        <f>VLOOKUP(A118,'Phase In Option'!$A$16:$H$220,8,FALSE)</f>
        <v>385.02</v>
      </c>
      <c r="H118" s="264">
        <f t="shared" si="7"/>
        <v>5.27</v>
      </c>
      <c r="I118" s="259">
        <f t="shared" si="8"/>
        <v>69659</v>
      </c>
      <c r="J118" s="264">
        <v>28.15</v>
      </c>
      <c r="K118" s="264">
        <f>VLOOKUP(A118,FRV!$A$4:$U$208,21,FALSE)</f>
        <v>38.65</v>
      </c>
      <c r="L118" s="264">
        <f t="shared" si="9"/>
        <v>10.5</v>
      </c>
    </row>
    <row r="119" spans="1:12" x14ac:dyDescent="0.2">
      <c r="A119" s="263">
        <v>172</v>
      </c>
      <c r="B119" s="258" t="s">
        <v>709</v>
      </c>
      <c r="C119" s="270" t="s">
        <v>134</v>
      </c>
      <c r="D119" s="270" t="s">
        <v>1890</v>
      </c>
      <c r="E119" s="297">
        <f>VLOOKUP(A119,'Phase In Option'!$A$16:$D$220,4,FALSE)</f>
        <v>24727</v>
      </c>
      <c r="F119" s="264">
        <v>320.36</v>
      </c>
      <c r="G119" s="264">
        <f>VLOOKUP(A119,'Phase In Option'!$A$16:$H$220,8,FALSE)</f>
        <v>316.29000000000002</v>
      </c>
      <c r="H119" s="264">
        <f t="shared" si="7"/>
        <v>-4.07</v>
      </c>
      <c r="I119" s="259">
        <f t="shared" si="8"/>
        <v>-100639</v>
      </c>
      <c r="J119" s="264">
        <v>27.06</v>
      </c>
      <c r="K119" s="264">
        <f>VLOOKUP(A119,FRV!$A$4:$U$208,21,FALSE)</f>
        <v>27.06</v>
      </c>
      <c r="L119" s="264">
        <f t="shared" si="9"/>
        <v>0</v>
      </c>
    </row>
    <row r="120" spans="1:12" x14ac:dyDescent="0.2">
      <c r="A120" s="263">
        <v>182</v>
      </c>
      <c r="B120" s="258" t="s">
        <v>219</v>
      </c>
      <c r="C120" s="270" t="s">
        <v>134</v>
      </c>
      <c r="D120" s="270" t="s">
        <v>1891</v>
      </c>
      <c r="E120" s="297">
        <f>VLOOKUP(A120,'Phase In Option'!$A$16:$D$220,4,FALSE)</f>
        <v>40538</v>
      </c>
      <c r="F120" s="264">
        <v>364.58</v>
      </c>
      <c r="G120" s="264">
        <f>VLOOKUP(A120,'Phase In Option'!$A$16:$H$220,8,FALSE)</f>
        <v>359.86</v>
      </c>
      <c r="H120" s="264">
        <f t="shared" si="7"/>
        <v>-4.72</v>
      </c>
      <c r="I120" s="259">
        <f t="shared" si="8"/>
        <v>-191339</v>
      </c>
      <c r="J120" s="264">
        <v>31.79</v>
      </c>
      <c r="K120" s="264">
        <f>VLOOKUP(A120,FRV!$A$4:$U$208,21,FALSE)</f>
        <v>31.79</v>
      </c>
      <c r="L120" s="264">
        <f t="shared" si="9"/>
        <v>0</v>
      </c>
    </row>
    <row r="121" spans="1:12" x14ac:dyDescent="0.2">
      <c r="A121" s="263">
        <v>184</v>
      </c>
      <c r="B121" s="258" t="s">
        <v>175</v>
      </c>
      <c r="C121" s="270" t="s">
        <v>134</v>
      </c>
      <c r="D121" s="270" t="s">
        <v>1891</v>
      </c>
      <c r="E121" s="297">
        <f>VLOOKUP(A121,'Phase In Option'!$A$16:$D$220,4,FALSE)</f>
        <v>24783</v>
      </c>
      <c r="F121" s="264">
        <v>369.62</v>
      </c>
      <c r="G121" s="264">
        <f>VLOOKUP(A121,'Phase In Option'!$A$16:$H$220,8,FALSE)</f>
        <v>364.8</v>
      </c>
      <c r="H121" s="264">
        <f t="shared" si="7"/>
        <v>-4.82</v>
      </c>
      <c r="I121" s="259">
        <f t="shared" si="8"/>
        <v>-119454</v>
      </c>
      <c r="J121" s="264">
        <v>26.95</v>
      </c>
      <c r="K121" s="264">
        <f>VLOOKUP(A121,FRV!$A$4:$U$208,21,FALSE)</f>
        <v>26.95</v>
      </c>
      <c r="L121" s="264">
        <f t="shared" si="9"/>
        <v>0</v>
      </c>
    </row>
    <row r="122" spans="1:12" x14ac:dyDescent="0.2">
      <c r="A122" s="263">
        <v>250</v>
      </c>
      <c r="B122" s="258" t="s">
        <v>319</v>
      </c>
      <c r="C122" s="270" t="s">
        <v>134</v>
      </c>
      <c r="D122" s="270" t="s">
        <v>1891</v>
      </c>
      <c r="E122" s="297">
        <f>VLOOKUP(A122,'Phase In Option'!$A$16:$D$220,4,FALSE)</f>
        <v>41289</v>
      </c>
      <c r="F122" s="264">
        <v>382.28</v>
      </c>
      <c r="G122" s="264">
        <f>VLOOKUP(A122,'Phase In Option'!$A$16:$H$220,8,FALSE)</f>
        <v>385.17</v>
      </c>
      <c r="H122" s="264">
        <f t="shared" si="7"/>
        <v>2.89</v>
      </c>
      <c r="I122" s="259">
        <f t="shared" si="8"/>
        <v>119325</v>
      </c>
      <c r="J122" s="264">
        <v>28.55</v>
      </c>
      <c r="K122" s="264">
        <f>VLOOKUP(A122,FRV!$A$4:$U$208,21,FALSE)</f>
        <v>36.479999999999997</v>
      </c>
      <c r="L122" s="264">
        <f t="shared" si="9"/>
        <v>7.93</v>
      </c>
    </row>
    <row r="123" spans="1:12" x14ac:dyDescent="0.2">
      <c r="A123" s="263">
        <v>144</v>
      </c>
      <c r="B123" s="258" t="s">
        <v>193</v>
      </c>
      <c r="C123" s="270" t="s">
        <v>134</v>
      </c>
      <c r="D123" s="270" t="s">
        <v>1891</v>
      </c>
      <c r="E123" s="297">
        <f>VLOOKUP(A123,'Phase In Option'!$A$16:$D$220,4,FALSE)</f>
        <v>27911</v>
      </c>
      <c r="F123" s="264">
        <v>379.3</v>
      </c>
      <c r="G123" s="264">
        <f>VLOOKUP(A123,'Phase In Option'!$A$16:$H$220,8,FALSE)</f>
        <v>377.32</v>
      </c>
      <c r="H123" s="264">
        <f t="shared" si="7"/>
        <v>-1.98</v>
      </c>
      <c r="I123" s="259">
        <f t="shared" si="8"/>
        <v>-55264</v>
      </c>
      <c r="J123" s="264">
        <v>29.18</v>
      </c>
      <c r="K123" s="264">
        <f>VLOOKUP(A123,FRV!$A$4:$U$208,21,FALSE)</f>
        <v>32.200000000000003</v>
      </c>
      <c r="L123" s="264">
        <f t="shared" si="9"/>
        <v>3.02</v>
      </c>
    </row>
    <row r="124" spans="1:12" x14ac:dyDescent="0.2">
      <c r="A124" s="263">
        <v>190</v>
      </c>
      <c r="B124" s="258" t="s">
        <v>376</v>
      </c>
      <c r="C124" s="270" t="s">
        <v>134</v>
      </c>
      <c r="D124" s="270" t="s">
        <v>1891</v>
      </c>
      <c r="E124" s="297">
        <f>VLOOKUP(A124,'Phase In Option'!$A$16:$D$220,4,FALSE)</f>
        <v>35343</v>
      </c>
      <c r="F124" s="264">
        <v>361.33</v>
      </c>
      <c r="G124" s="264">
        <f>VLOOKUP(A124,'Phase In Option'!$A$16:$H$220,8,FALSE)</f>
        <v>356.65</v>
      </c>
      <c r="H124" s="264">
        <f t="shared" si="7"/>
        <v>-4.68</v>
      </c>
      <c r="I124" s="259">
        <f t="shared" si="8"/>
        <v>-165405</v>
      </c>
      <c r="J124" s="264">
        <v>22.29</v>
      </c>
      <c r="K124" s="264">
        <f>VLOOKUP(A124,FRV!$A$4:$U$208,21,FALSE)</f>
        <v>22.29</v>
      </c>
      <c r="L124" s="264">
        <f t="shared" si="9"/>
        <v>0</v>
      </c>
    </row>
    <row r="125" spans="1:12" x14ac:dyDescent="0.2">
      <c r="A125" s="263">
        <v>204</v>
      </c>
      <c r="B125" s="258" t="s">
        <v>181</v>
      </c>
      <c r="C125" s="270" t="s">
        <v>134</v>
      </c>
      <c r="D125" s="270" t="s">
        <v>1916</v>
      </c>
      <c r="E125" s="297">
        <f>VLOOKUP(A125,'Phase In Option'!$A$16:$D$220,4,FALSE)</f>
        <v>2498</v>
      </c>
      <c r="F125" s="264">
        <v>318.05</v>
      </c>
      <c r="G125" s="264">
        <f>VLOOKUP(A125,'Phase In Option'!$A$16:$H$220,8,FALSE)</f>
        <v>325.47000000000003</v>
      </c>
      <c r="H125" s="264">
        <f t="shared" ref="H125:H188" si="10">G125-F125</f>
        <v>7.42</v>
      </c>
      <c r="I125" s="259">
        <f t="shared" si="8"/>
        <v>18535</v>
      </c>
      <c r="J125" s="264">
        <v>32.26</v>
      </c>
      <c r="K125" s="264">
        <f>VLOOKUP(A125,FRV!$A$4:$U$208,21,FALSE)</f>
        <v>44.29</v>
      </c>
      <c r="L125" s="264">
        <f t="shared" si="9"/>
        <v>12.03</v>
      </c>
    </row>
    <row r="126" spans="1:12" x14ac:dyDescent="0.2">
      <c r="A126" s="263">
        <v>218</v>
      </c>
      <c r="B126" s="258" t="s">
        <v>195</v>
      </c>
      <c r="C126" s="270" t="s">
        <v>134</v>
      </c>
      <c r="D126" s="270" t="s">
        <v>1901</v>
      </c>
      <c r="E126" s="297">
        <f>VLOOKUP(A126,'Phase In Option'!$A$16:$D$220,4,FALSE)</f>
        <v>26331</v>
      </c>
      <c r="F126" s="264">
        <v>371.48</v>
      </c>
      <c r="G126" s="264">
        <f>VLOOKUP(A126,'Phase In Option'!$A$16:$H$220,8,FALSE)</f>
        <v>366.68</v>
      </c>
      <c r="H126" s="264">
        <f t="shared" si="10"/>
        <v>-4.8</v>
      </c>
      <c r="I126" s="259">
        <f t="shared" ref="I126:I189" si="11">ROUND(E126*H126,0)</f>
        <v>-126389</v>
      </c>
      <c r="J126" s="264">
        <v>24.36</v>
      </c>
      <c r="K126" s="264">
        <f>VLOOKUP(A126,FRV!$A$4:$U$208,21,FALSE)</f>
        <v>24.36</v>
      </c>
      <c r="L126" s="264">
        <f t="shared" ref="L126:L189" si="12">K126-J126</f>
        <v>0</v>
      </c>
    </row>
    <row r="127" spans="1:12" x14ac:dyDescent="0.2">
      <c r="A127" s="263">
        <v>238</v>
      </c>
      <c r="B127" s="258" t="s">
        <v>235</v>
      </c>
      <c r="C127" s="270" t="s">
        <v>134</v>
      </c>
      <c r="D127" s="270" t="s">
        <v>1889</v>
      </c>
      <c r="E127" s="297">
        <f>VLOOKUP(A127,'Phase In Option'!$A$16:$D$220,4,FALSE)</f>
        <v>21131</v>
      </c>
      <c r="F127" s="264">
        <v>370.43</v>
      </c>
      <c r="G127" s="264">
        <f>VLOOKUP(A127,'Phase In Option'!$A$16:$H$220,8,FALSE)</f>
        <v>376.56</v>
      </c>
      <c r="H127" s="264">
        <f t="shared" si="10"/>
        <v>6.13</v>
      </c>
      <c r="I127" s="259">
        <f t="shared" si="11"/>
        <v>129533</v>
      </c>
      <c r="J127" s="264">
        <v>29.55</v>
      </c>
      <c r="K127" s="264">
        <f>VLOOKUP(A127,FRV!$A$4:$U$208,21,FALSE)</f>
        <v>40.57</v>
      </c>
      <c r="L127" s="264">
        <f t="shared" si="12"/>
        <v>11.02</v>
      </c>
    </row>
    <row r="128" spans="1:12" x14ac:dyDescent="0.2">
      <c r="A128" s="263">
        <v>336</v>
      </c>
      <c r="B128" s="258" t="s">
        <v>385</v>
      </c>
      <c r="C128" s="270" t="s">
        <v>134</v>
      </c>
      <c r="D128" s="270" t="s">
        <v>1888</v>
      </c>
      <c r="E128" s="297">
        <f>VLOOKUP(A128,'Phase In Option'!$A$16:$D$220,4,FALSE)</f>
        <v>21535</v>
      </c>
      <c r="F128" s="264">
        <v>328.86</v>
      </c>
      <c r="G128" s="264">
        <f>VLOOKUP(A128,'Phase In Option'!$A$16:$H$220,8,FALSE)</f>
        <v>331.31</v>
      </c>
      <c r="H128" s="264">
        <f t="shared" si="10"/>
        <v>2.4500000000000002</v>
      </c>
      <c r="I128" s="259">
        <f t="shared" si="11"/>
        <v>52761</v>
      </c>
      <c r="J128" s="264">
        <v>28.8</v>
      </c>
      <c r="K128" s="264">
        <f>VLOOKUP(A128,FRV!$A$4:$U$208,21,FALSE)</f>
        <v>35.65</v>
      </c>
      <c r="L128" s="264">
        <f t="shared" si="12"/>
        <v>6.85</v>
      </c>
    </row>
    <row r="129" spans="1:12" x14ac:dyDescent="0.2">
      <c r="A129" s="263">
        <v>276</v>
      </c>
      <c r="B129" s="258" t="s">
        <v>180</v>
      </c>
      <c r="C129" s="270" t="s">
        <v>134</v>
      </c>
      <c r="D129" s="270" t="s">
        <v>1916</v>
      </c>
      <c r="E129" s="297">
        <f>VLOOKUP(A129,'Phase In Option'!$A$16:$D$220,4,FALSE)</f>
        <v>5639</v>
      </c>
      <c r="F129" s="264">
        <v>300.68</v>
      </c>
      <c r="G129" s="264">
        <f>VLOOKUP(A129,'Phase In Option'!$A$16:$H$220,8,FALSE)</f>
        <v>304.58999999999997</v>
      </c>
      <c r="H129" s="264">
        <f t="shared" si="10"/>
        <v>3.91</v>
      </c>
      <c r="I129" s="259">
        <f t="shared" si="11"/>
        <v>22048</v>
      </c>
      <c r="J129" s="264">
        <v>22.08</v>
      </c>
      <c r="K129" s="264">
        <f>VLOOKUP(A129,FRV!$A$4:$U$208,21,FALSE)</f>
        <v>30.31</v>
      </c>
      <c r="L129" s="264">
        <f t="shared" si="12"/>
        <v>8.23</v>
      </c>
    </row>
    <row r="130" spans="1:12" x14ac:dyDescent="0.2">
      <c r="A130" s="263">
        <v>1232</v>
      </c>
      <c r="B130" s="258" t="s">
        <v>255</v>
      </c>
      <c r="C130" s="270" t="s">
        <v>134</v>
      </c>
      <c r="D130" s="270" t="s">
        <v>1898</v>
      </c>
      <c r="E130" s="297">
        <f>VLOOKUP(A130,'Phase In Option'!$A$16:$D$220,4,FALSE)</f>
        <v>16409</v>
      </c>
      <c r="F130" s="264">
        <v>371.61</v>
      </c>
      <c r="G130" s="264">
        <f>VLOOKUP(A130,'Phase In Option'!$A$16:$H$220,8,FALSE)</f>
        <v>378.62</v>
      </c>
      <c r="H130" s="264">
        <f t="shared" si="10"/>
        <v>7.01</v>
      </c>
      <c r="I130" s="259">
        <f t="shared" si="11"/>
        <v>115027</v>
      </c>
      <c r="J130" s="264">
        <v>32.26</v>
      </c>
      <c r="K130" s="264">
        <f>VLOOKUP(A130,FRV!$A$4:$U$208,21,FALSE)</f>
        <v>44.29</v>
      </c>
      <c r="L130" s="264">
        <f t="shared" si="12"/>
        <v>12.03</v>
      </c>
    </row>
    <row r="131" spans="1:12" x14ac:dyDescent="0.2">
      <c r="A131" s="263">
        <v>940</v>
      </c>
      <c r="B131" s="258" t="s">
        <v>43</v>
      </c>
      <c r="C131" s="270" t="s">
        <v>134</v>
      </c>
      <c r="D131" s="270" t="s">
        <v>1898</v>
      </c>
      <c r="E131" s="297">
        <f>VLOOKUP(A131,'Phase In Option'!$A$16:$D$220,4,FALSE)</f>
        <v>18195</v>
      </c>
      <c r="F131" s="264">
        <v>362.45</v>
      </c>
      <c r="G131" s="264">
        <f>VLOOKUP(A131,'Phase In Option'!$A$16:$H$220,8,FALSE)</f>
        <v>366.06</v>
      </c>
      <c r="H131" s="264">
        <f t="shared" si="10"/>
        <v>3.61</v>
      </c>
      <c r="I131" s="259">
        <f t="shared" si="11"/>
        <v>65684</v>
      </c>
      <c r="J131" s="264">
        <v>29.23</v>
      </c>
      <c r="K131" s="264">
        <f>VLOOKUP(A131,FRV!$A$4:$U$208,21,FALSE)</f>
        <v>37.67</v>
      </c>
      <c r="L131" s="264">
        <f t="shared" si="12"/>
        <v>8.44</v>
      </c>
    </row>
    <row r="132" spans="1:12" x14ac:dyDescent="0.2">
      <c r="A132" s="263">
        <v>290</v>
      </c>
      <c r="B132" s="258" t="s">
        <v>40</v>
      </c>
      <c r="C132" s="270" t="s">
        <v>134</v>
      </c>
      <c r="D132" s="270" t="s">
        <v>1898</v>
      </c>
      <c r="E132" s="297">
        <f>VLOOKUP(A132,'Phase In Option'!$A$16:$D$220,4,FALSE)</f>
        <v>11120</v>
      </c>
      <c r="F132" s="264">
        <v>398.75</v>
      </c>
      <c r="G132" s="264">
        <f>VLOOKUP(A132,'Phase In Option'!$A$16:$H$220,8,FALSE)</f>
        <v>404.65</v>
      </c>
      <c r="H132" s="264">
        <f t="shared" si="10"/>
        <v>5.9</v>
      </c>
      <c r="I132" s="259">
        <f t="shared" si="11"/>
        <v>65608</v>
      </c>
      <c r="J132" s="264">
        <v>30.28</v>
      </c>
      <c r="K132" s="264">
        <f>VLOOKUP(A132,FRV!$A$4:$U$208,21,FALSE)</f>
        <v>41.57</v>
      </c>
      <c r="L132" s="264">
        <f t="shared" si="12"/>
        <v>11.29</v>
      </c>
    </row>
    <row r="133" spans="1:12" x14ac:dyDescent="0.2">
      <c r="A133" s="263">
        <v>286</v>
      </c>
      <c r="B133" s="258" t="s">
        <v>37</v>
      </c>
      <c r="C133" s="270" t="s">
        <v>134</v>
      </c>
      <c r="D133" s="270" t="s">
        <v>1898</v>
      </c>
      <c r="E133" s="297">
        <f>VLOOKUP(A133,'Phase In Option'!$A$16:$D$220,4,FALSE)</f>
        <v>43767</v>
      </c>
      <c r="F133" s="264">
        <v>376.38</v>
      </c>
      <c r="G133" s="264">
        <f>VLOOKUP(A133,'Phase In Option'!$A$16:$H$220,8,FALSE)</f>
        <v>383.33</v>
      </c>
      <c r="H133" s="264">
        <f t="shared" si="10"/>
        <v>6.95</v>
      </c>
      <c r="I133" s="259">
        <f t="shared" si="11"/>
        <v>304181</v>
      </c>
      <c r="J133" s="264">
        <v>32.26</v>
      </c>
      <c r="K133" s="264">
        <f>VLOOKUP(A133,FRV!$A$4:$U$208,21,FALSE)</f>
        <v>44.29</v>
      </c>
      <c r="L133" s="264">
        <f t="shared" si="12"/>
        <v>12.03</v>
      </c>
    </row>
    <row r="134" spans="1:12" x14ac:dyDescent="0.2">
      <c r="A134" s="263">
        <v>1209</v>
      </c>
      <c r="B134" s="258" t="s">
        <v>217</v>
      </c>
      <c r="C134" s="270" t="s">
        <v>134</v>
      </c>
      <c r="D134" s="270" t="s">
        <v>1898</v>
      </c>
      <c r="E134" s="297">
        <f>VLOOKUP(A134,'Phase In Option'!$A$16:$D$220,4,FALSE)</f>
        <v>12077</v>
      </c>
      <c r="F134" s="264">
        <v>337.74</v>
      </c>
      <c r="G134" s="264">
        <f>VLOOKUP(A134,'Phase In Option'!$A$16:$H$220,8,FALSE)</f>
        <v>343.87</v>
      </c>
      <c r="H134" s="264">
        <f t="shared" si="10"/>
        <v>6.13</v>
      </c>
      <c r="I134" s="259">
        <f t="shared" si="11"/>
        <v>74032</v>
      </c>
      <c r="J134" s="264">
        <v>28.62</v>
      </c>
      <c r="K134" s="264">
        <f>VLOOKUP(A134,FRV!$A$4:$U$208,21,FALSE)</f>
        <v>39.29</v>
      </c>
      <c r="L134" s="264">
        <f t="shared" si="12"/>
        <v>10.67</v>
      </c>
    </row>
    <row r="135" spans="1:12" x14ac:dyDescent="0.2">
      <c r="A135" s="263">
        <v>296</v>
      </c>
      <c r="B135" s="258" t="s">
        <v>189</v>
      </c>
      <c r="C135" s="270" t="s">
        <v>134</v>
      </c>
      <c r="D135" s="270" t="s">
        <v>1898</v>
      </c>
      <c r="E135" s="297">
        <f>VLOOKUP(A135,'Phase In Option'!$A$16:$D$220,4,FALSE)</f>
        <v>10724</v>
      </c>
      <c r="F135" s="264">
        <v>378.37</v>
      </c>
      <c r="G135" s="264">
        <f>VLOOKUP(A135,'Phase In Option'!$A$16:$H$220,8,FALSE)</f>
        <v>384.58</v>
      </c>
      <c r="H135" s="264">
        <f t="shared" si="10"/>
        <v>6.21</v>
      </c>
      <c r="I135" s="259">
        <f t="shared" si="11"/>
        <v>66596</v>
      </c>
      <c r="J135" s="264">
        <v>30.35</v>
      </c>
      <c r="K135" s="264">
        <f>VLOOKUP(A135,FRV!$A$4:$U$208,21,FALSE)</f>
        <v>41.66</v>
      </c>
      <c r="L135" s="264">
        <f t="shared" si="12"/>
        <v>11.31</v>
      </c>
    </row>
    <row r="136" spans="1:12" x14ac:dyDescent="0.2">
      <c r="A136" s="263">
        <v>292</v>
      </c>
      <c r="B136" s="258" t="s">
        <v>191</v>
      </c>
      <c r="C136" s="270" t="s">
        <v>134</v>
      </c>
      <c r="D136" s="270" t="s">
        <v>1898</v>
      </c>
      <c r="E136" s="297">
        <f>VLOOKUP(A136,'Phase In Option'!$A$16:$D$220,4,FALSE)</f>
        <v>18509</v>
      </c>
      <c r="F136" s="264">
        <v>369.34</v>
      </c>
      <c r="G136" s="264">
        <f>VLOOKUP(A136,'Phase In Option'!$A$16:$H$220,8,FALSE)</f>
        <v>376.34</v>
      </c>
      <c r="H136" s="264">
        <f t="shared" si="10"/>
        <v>7</v>
      </c>
      <c r="I136" s="259">
        <f t="shared" si="11"/>
        <v>129563</v>
      </c>
      <c r="J136" s="264">
        <v>32.26</v>
      </c>
      <c r="K136" s="264">
        <f>VLOOKUP(A136,FRV!$A$4:$U$208,21,FALSE)</f>
        <v>44.29</v>
      </c>
      <c r="L136" s="264">
        <f t="shared" si="12"/>
        <v>12.03</v>
      </c>
    </row>
    <row r="137" spans="1:12" x14ac:dyDescent="0.2">
      <c r="A137" s="263">
        <v>322</v>
      </c>
      <c r="B137" s="258" t="s">
        <v>741</v>
      </c>
      <c r="C137" s="270" t="s">
        <v>134</v>
      </c>
      <c r="D137" s="270" t="s">
        <v>1893</v>
      </c>
      <c r="E137" s="297">
        <f>VLOOKUP(A137,'Phase In Option'!$A$16:$D$220,4,FALSE)</f>
        <v>25694</v>
      </c>
      <c r="F137" s="264">
        <v>379.25</v>
      </c>
      <c r="G137" s="264">
        <f>VLOOKUP(A137,'Phase In Option'!$A$16:$H$220,8,FALSE)</f>
        <v>374.25</v>
      </c>
      <c r="H137" s="264">
        <f t="shared" si="10"/>
        <v>-5</v>
      </c>
      <c r="I137" s="259">
        <f t="shared" si="11"/>
        <v>-128470</v>
      </c>
      <c r="J137" s="264">
        <v>25.86</v>
      </c>
      <c r="K137" s="264">
        <f>VLOOKUP(A137,FRV!$A$4:$U$208,21,FALSE)</f>
        <v>25.86</v>
      </c>
      <c r="L137" s="264">
        <f t="shared" si="12"/>
        <v>0</v>
      </c>
    </row>
    <row r="138" spans="1:12" x14ac:dyDescent="0.2">
      <c r="A138" s="263">
        <v>316</v>
      </c>
      <c r="B138" s="258" t="s">
        <v>740</v>
      </c>
      <c r="C138" s="270" t="s">
        <v>134</v>
      </c>
      <c r="D138" s="270" t="s">
        <v>1893</v>
      </c>
      <c r="E138" s="297">
        <f>VLOOKUP(A138,'Phase In Option'!$A$16:$D$220,4,FALSE)</f>
        <v>21984</v>
      </c>
      <c r="F138" s="264">
        <v>377.7</v>
      </c>
      <c r="G138" s="264">
        <f>VLOOKUP(A138,'Phase In Option'!$A$16:$H$220,8,FALSE)</f>
        <v>372.74</v>
      </c>
      <c r="H138" s="264">
        <f t="shared" si="10"/>
        <v>-4.96</v>
      </c>
      <c r="I138" s="259">
        <f t="shared" si="11"/>
        <v>-109041</v>
      </c>
      <c r="J138" s="264">
        <v>27.47</v>
      </c>
      <c r="K138" s="264">
        <f>VLOOKUP(A138,FRV!$A$4:$U$208,21,FALSE)</f>
        <v>27.47</v>
      </c>
      <c r="L138" s="264">
        <f t="shared" si="12"/>
        <v>0</v>
      </c>
    </row>
    <row r="139" spans="1:12" x14ac:dyDescent="0.2">
      <c r="A139" s="263">
        <v>739</v>
      </c>
      <c r="B139" s="258" t="s">
        <v>212</v>
      </c>
      <c r="C139" s="270" t="s">
        <v>134</v>
      </c>
      <c r="D139" s="270" t="s">
        <v>1889</v>
      </c>
      <c r="E139" s="297">
        <f>VLOOKUP(A139,'Phase In Option'!$A$16:$D$220,4,FALSE)</f>
        <v>19580</v>
      </c>
      <c r="F139" s="264">
        <v>338.24</v>
      </c>
      <c r="G139" s="264">
        <f>VLOOKUP(A139,'Phase In Option'!$A$16:$H$220,8,FALSE)</f>
        <v>333.86</v>
      </c>
      <c r="H139" s="264">
        <f t="shared" si="10"/>
        <v>-4.38</v>
      </c>
      <c r="I139" s="259">
        <f t="shared" si="11"/>
        <v>-85760</v>
      </c>
      <c r="J139" s="264">
        <v>21.43</v>
      </c>
      <c r="K139" s="264">
        <f>VLOOKUP(A139,FRV!$A$4:$U$208,21,FALSE)</f>
        <v>21.43</v>
      </c>
      <c r="L139" s="264">
        <f t="shared" si="12"/>
        <v>0</v>
      </c>
    </row>
    <row r="140" spans="1:12" x14ac:dyDescent="0.2">
      <c r="A140" s="263">
        <v>1326</v>
      </c>
      <c r="B140" s="258" t="s">
        <v>675</v>
      </c>
      <c r="C140" s="270" t="s">
        <v>134</v>
      </c>
      <c r="D140" s="270" t="s">
        <v>1916</v>
      </c>
      <c r="E140" s="297">
        <f>VLOOKUP(A140,'Phase In Option'!$A$16:$D$220,4,FALSE)</f>
        <v>7469</v>
      </c>
      <c r="F140" s="264">
        <v>336.63</v>
      </c>
      <c r="G140" s="264">
        <f>VLOOKUP(A140,'Phase In Option'!$A$16:$H$220,8,FALSE)</f>
        <v>343.8</v>
      </c>
      <c r="H140" s="264">
        <f t="shared" si="10"/>
        <v>7.17</v>
      </c>
      <c r="I140" s="259">
        <f t="shared" si="11"/>
        <v>53553</v>
      </c>
      <c r="J140" s="264">
        <v>32.26</v>
      </c>
      <c r="K140" s="264">
        <f>VLOOKUP(A140,FRV!$A$4:$U$208,21,FALSE)</f>
        <v>44.29</v>
      </c>
      <c r="L140" s="264">
        <f t="shared" si="12"/>
        <v>12.03</v>
      </c>
    </row>
    <row r="141" spans="1:12" x14ac:dyDescent="0.2">
      <c r="A141" s="263">
        <v>326</v>
      </c>
      <c r="B141" s="258" t="s">
        <v>456</v>
      </c>
      <c r="C141" s="270" t="s">
        <v>134</v>
      </c>
      <c r="D141" s="270" t="s">
        <v>1895</v>
      </c>
      <c r="E141" s="297">
        <f>VLOOKUP(A141,'Phase In Option'!$A$16:$D$220,4,FALSE)</f>
        <v>28024</v>
      </c>
      <c r="F141" s="264">
        <v>404</v>
      </c>
      <c r="G141" s="264">
        <f>VLOOKUP(A141,'Phase In Option'!$A$16:$H$220,8,FALSE)</f>
        <v>405.19</v>
      </c>
      <c r="H141" s="264">
        <f t="shared" si="10"/>
        <v>1.19</v>
      </c>
      <c r="I141" s="259">
        <f t="shared" si="11"/>
        <v>33349</v>
      </c>
      <c r="J141" s="264">
        <v>27.21</v>
      </c>
      <c r="K141" s="264">
        <f>VLOOKUP(A141,FRV!$A$4:$U$208,21,FALSE)</f>
        <v>33.799999999999997</v>
      </c>
      <c r="L141" s="264">
        <f t="shared" si="12"/>
        <v>6.59</v>
      </c>
    </row>
    <row r="142" spans="1:12" x14ac:dyDescent="0.2">
      <c r="A142" s="263">
        <v>354</v>
      </c>
      <c r="B142" s="258" t="s">
        <v>222</v>
      </c>
      <c r="C142" s="270" t="s">
        <v>134</v>
      </c>
      <c r="D142" s="270" t="s">
        <v>1896</v>
      </c>
      <c r="E142" s="297">
        <f>VLOOKUP(A142,'Phase In Option'!$A$16:$D$220,4,FALSE)</f>
        <v>6458</v>
      </c>
      <c r="F142" s="264">
        <v>344.56</v>
      </c>
      <c r="G142" s="264">
        <f>VLOOKUP(A142,'Phase In Option'!$A$16:$H$220,8,FALSE)</f>
        <v>351.61</v>
      </c>
      <c r="H142" s="264">
        <f t="shared" si="10"/>
        <v>7.05</v>
      </c>
      <c r="I142" s="259">
        <f t="shared" si="11"/>
        <v>45529</v>
      </c>
      <c r="J142" s="264">
        <v>32.26</v>
      </c>
      <c r="K142" s="264">
        <f>VLOOKUP(A142,FRV!$A$4:$U$208,21,FALSE)</f>
        <v>44.29</v>
      </c>
      <c r="L142" s="264">
        <f t="shared" si="12"/>
        <v>12.03</v>
      </c>
    </row>
    <row r="143" spans="1:12" x14ac:dyDescent="0.2">
      <c r="A143" s="263">
        <v>248</v>
      </c>
      <c r="B143" s="258" t="s">
        <v>592</v>
      </c>
      <c r="C143" s="270" t="s">
        <v>134</v>
      </c>
      <c r="D143" s="270" t="s">
        <v>1916</v>
      </c>
      <c r="E143" s="297">
        <f>VLOOKUP(A143,'Phase In Option'!$A$16:$D$220,4,FALSE)</f>
        <v>25557</v>
      </c>
      <c r="F143" s="264">
        <v>355.58</v>
      </c>
      <c r="G143" s="264">
        <f>VLOOKUP(A143,'Phase In Option'!$A$16:$H$220,8,FALSE)</f>
        <v>350.96</v>
      </c>
      <c r="H143" s="264">
        <f t="shared" si="10"/>
        <v>-4.62</v>
      </c>
      <c r="I143" s="259">
        <f t="shared" si="11"/>
        <v>-118073</v>
      </c>
      <c r="J143" s="264">
        <v>23.23</v>
      </c>
      <c r="K143" s="264">
        <f>VLOOKUP(A143,FRV!$A$4:$U$208,21,FALSE)</f>
        <v>23.23</v>
      </c>
      <c r="L143" s="264">
        <f t="shared" si="12"/>
        <v>0</v>
      </c>
    </row>
    <row r="144" spans="1:12" x14ac:dyDescent="0.2">
      <c r="A144" s="263">
        <v>318</v>
      </c>
      <c r="B144" s="258" t="s">
        <v>454</v>
      </c>
      <c r="C144" s="270" t="s">
        <v>134</v>
      </c>
      <c r="D144" s="270" t="s">
        <v>1895</v>
      </c>
      <c r="E144" s="297">
        <f>VLOOKUP(A144,'Phase In Option'!$A$16:$D$220,4,FALSE)</f>
        <v>29042</v>
      </c>
      <c r="F144" s="264">
        <v>396.58</v>
      </c>
      <c r="G144" s="264">
        <f>VLOOKUP(A144,'Phase In Option'!$A$16:$H$220,8,FALSE)</f>
        <v>391.39</v>
      </c>
      <c r="H144" s="264">
        <f t="shared" si="10"/>
        <v>-5.19</v>
      </c>
      <c r="I144" s="259">
        <f t="shared" si="11"/>
        <v>-150728</v>
      </c>
      <c r="J144" s="264">
        <v>27.95</v>
      </c>
      <c r="K144" s="264">
        <f>VLOOKUP(A144,FRV!$A$4:$U$208,21,FALSE)</f>
        <v>27.95</v>
      </c>
      <c r="L144" s="264">
        <f t="shared" si="12"/>
        <v>0</v>
      </c>
    </row>
    <row r="145" spans="1:12" x14ac:dyDescent="0.2">
      <c r="A145" s="263">
        <v>370</v>
      </c>
      <c r="B145" s="258" t="s">
        <v>705</v>
      </c>
      <c r="C145" s="270" t="s">
        <v>134</v>
      </c>
      <c r="D145" s="270" t="s">
        <v>1890</v>
      </c>
      <c r="E145" s="297">
        <f>VLOOKUP(A145,'Phase In Option'!$A$16:$D$220,4,FALSE)</f>
        <v>27403</v>
      </c>
      <c r="F145" s="264">
        <v>322.45999999999998</v>
      </c>
      <c r="G145" s="264">
        <f>VLOOKUP(A145,'Phase In Option'!$A$16:$H$220,8,FALSE)</f>
        <v>319.02999999999997</v>
      </c>
      <c r="H145" s="264">
        <f t="shared" si="10"/>
        <v>-3.43</v>
      </c>
      <c r="I145" s="259">
        <f t="shared" si="11"/>
        <v>-93992</v>
      </c>
      <c r="J145" s="264">
        <v>29.33</v>
      </c>
      <c r="K145" s="264">
        <f>VLOOKUP(A145,FRV!$A$4:$U$208,21,FALSE)</f>
        <v>30</v>
      </c>
      <c r="L145" s="264">
        <f t="shared" si="12"/>
        <v>0.67</v>
      </c>
    </row>
    <row r="146" spans="1:12" x14ac:dyDescent="0.2">
      <c r="A146" s="263">
        <v>382</v>
      </c>
      <c r="B146" s="258" t="s">
        <v>820</v>
      </c>
      <c r="C146" s="270" t="s">
        <v>134</v>
      </c>
      <c r="D146" s="270" t="s">
        <v>1902</v>
      </c>
      <c r="E146" s="297">
        <f>VLOOKUP(A146,'Phase In Option'!$A$16:$D$220,4,FALSE)</f>
        <v>10771</v>
      </c>
      <c r="F146" s="264">
        <v>356.37</v>
      </c>
      <c r="G146" s="264">
        <f>VLOOKUP(A146,'Phase In Option'!$A$16:$H$220,8,FALSE)</f>
        <v>351.77</v>
      </c>
      <c r="H146" s="264">
        <f t="shared" si="10"/>
        <v>-4.5999999999999996</v>
      </c>
      <c r="I146" s="259">
        <f t="shared" si="11"/>
        <v>-49547</v>
      </c>
      <c r="J146" s="264">
        <v>27.21</v>
      </c>
      <c r="K146" s="264">
        <f>VLOOKUP(A146,FRV!$A$4:$U$208,21,FALSE)</f>
        <v>27.21</v>
      </c>
      <c r="L146" s="264">
        <f t="shared" si="12"/>
        <v>0</v>
      </c>
    </row>
    <row r="147" spans="1:12" x14ac:dyDescent="0.2">
      <c r="A147" s="263">
        <v>124</v>
      </c>
      <c r="B147" s="258" t="s">
        <v>764</v>
      </c>
      <c r="C147" s="270" t="s">
        <v>134</v>
      </c>
      <c r="D147" s="270" t="s">
        <v>1903</v>
      </c>
      <c r="E147" s="297">
        <f>VLOOKUP(A147,'Phase In Option'!$A$16:$D$220,4,FALSE)</f>
        <v>14900</v>
      </c>
      <c r="F147" s="264">
        <v>347.67</v>
      </c>
      <c r="G147" s="264">
        <f>VLOOKUP(A147,'Phase In Option'!$A$16:$H$220,8,FALSE)</f>
        <v>353.46</v>
      </c>
      <c r="H147" s="264">
        <f t="shared" si="10"/>
        <v>5.79</v>
      </c>
      <c r="I147" s="259">
        <f t="shared" si="11"/>
        <v>86271</v>
      </c>
      <c r="J147" s="264">
        <v>28.04</v>
      </c>
      <c r="K147" s="264">
        <f>VLOOKUP(A147,FRV!$A$4:$U$208,21,FALSE)</f>
        <v>38.49</v>
      </c>
      <c r="L147" s="264">
        <f t="shared" si="12"/>
        <v>10.45</v>
      </c>
    </row>
    <row r="148" spans="1:12" x14ac:dyDescent="0.2">
      <c r="A148" s="263">
        <v>364</v>
      </c>
      <c r="B148" s="258" t="s">
        <v>178</v>
      </c>
      <c r="C148" s="270" t="s">
        <v>134</v>
      </c>
      <c r="D148" s="270" t="s">
        <v>1916</v>
      </c>
      <c r="E148" s="297">
        <f>VLOOKUP(A148,'Phase In Option'!$A$16:$D$220,4,FALSE)</f>
        <v>1703</v>
      </c>
      <c r="F148" s="264">
        <v>337.18</v>
      </c>
      <c r="G148" s="264">
        <f>VLOOKUP(A148,'Phase In Option'!$A$16:$H$220,8,FALSE)</f>
        <v>342.39</v>
      </c>
      <c r="H148" s="264">
        <f t="shared" si="10"/>
        <v>5.21</v>
      </c>
      <c r="I148" s="259">
        <f t="shared" si="11"/>
        <v>8873</v>
      </c>
      <c r="J148" s="264">
        <v>26.97</v>
      </c>
      <c r="K148" s="264">
        <f>VLOOKUP(A148,FRV!$A$4:$U$208,21,FALSE)</f>
        <v>37.03</v>
      </c>
      <c r="L148" s="264">
        <f t="shared" si="12"/>
        <v>10.06</v>
      </c>
    </row>
    <row r="149" spans="1:12" x14ac:dyDescent="0.2">
      <c r="A149" s="263">
        <v>366</v>
      </c>
      <c r="B149" s="258" t="s">
        <v>598</v>
      </c>
      <c r="C149" s="270" t="s">
        <v>134</v>
      </c>
      <c r="D149" s="270" t="s">
        <v>1889</v>
      </c>
      <c r="E149" s="297">
        <f>VLOOKUP(A149,'Phase In Option'!$A$16:$D$220,4,FALSE)</f>
        <v>23314</v>
      </c>
      <c r="F149" s="264">
        <v>339.55</v>
      </c>
      <c r="G149" s="264">
        <f>VLOOKUP(A149,'Phase In Option'!$A$16:$H$220,8,FALSE)</f>
        <v>335.23</v>
      </c>
      <c r="H149" s="264">
        <f t="shared" si="10"/>
        <v>-4.32</v>
      </c>
      <c r="I149" s="259">
        <f t="shared" si="11"/>
        <v>-100716</v>
      </c>
      <c r="J149" s="264">
        <v>20.309999999999999</v>
      </c>
      <c r="K149" s="264">
        <f>VLOOKUP(A149,FRV!$A$4:$U$208,21,FALSE)</f>
        <v>20.309999999999999</v>
      </c>
      <c r="L149" s="264">
        <f t="shared" si="12"/>
        <v>0</v>
      </c>
    </row>
    <row r="150" spans="1:12" x14ac:dyDescent="0.2">
      <c r="A150" s="263">
        <v>715</v>
      </c>
      <c r="B150" s="258" t="s">
        <v>210</v>
      </c>
      <c r="C150" s="270" t="s">
        <v>134</v>
      </c>
      <c r="D150" s="270" t="s">
        <v>1889</v>
      </c>
      <c r="E150" s="297">
        <f>VLOOKUP(A150,'Phase In Option'!$A$16:$D$220,4,FALSE)</f>
        <v>27638</v>
      </c>
      <c r="F150" s="264">
        <v>370.81</v>
      </c>
      <c r="G150" s="264">
        <f>VLOOKUP(A150,'Phase In Option'!$A$16:$H$220,8,FALSE)</f>
        <v>366</v>
      </c>
      <c r="H150" s="264">
        <f t="shared" si="10"/>
        <v>-4.8099999999999996</v>
      </c>
      <c r="I150" s="259">
        <f t="shared" si="11"/>
        <v>-132939</v>
      </c>
      <c r="J150" s="264">
        <v>27.66</v>
      </c>
      <c r="K150" s="264">
        <f>VLOOKUP(A150,FRV!$A$4:$U$208,21,FALSE)</f>
        <v>27.66</v>
      </c>
      <c r="L150" s="264">
        <f t="shared" si="12"/>
        <v>0</v>
      </c>
    </row>
    <row r="151" spans="1:12" x14ac:dyDescent="0.2">
      <c r="A151" s="263">
        <v>418</v>
      </c>
      <c r="B151" s="258" t="s">
        <v>672</v>
      </c>
      <c r="C151" s="270" t="s">
        <v>134</v>
      </c>
      <c r="D151" s="270" t="s">
        <v>1916</v>
      </c>
      <c r="E151" s="297">
        <f>VLOOKUP(A151,'Phase In Option'!$A$16:$D$220,4,FALSE)</f>
        <v>5267</v>
      </c>
      <c r="F151" s="264">
        <v>289.29000000000002</v>
      </c>
      <c r="G151" s="264">
        <f>VLOOKUP(A151,'Phase In Option'!$A$16:$H$220,8,FALSE)</f>
        <v>295.41000000000003</v>
      </c>
      <c r="H151" s="264">
        <f t="shared" si="10"/>
        <v>6.12</v>
      </c>
      <c r="I151" s="259">
        <f t="shared" si="11"/>
        <v>32234</v>
      </c>
      <c r="J151" s="264">
        <v>27.61</v>
      </c>
      <c r="K151" s="264">
        <f>VLOOKUP(A151,FRV!$A$4:$U$208,21,FALSE)</f>
        <v>37.909999999999997</v>
      </c>
      <c r="L151" s="264">
        <f t="shared" si="12"/>
        <v>10.3</v>
      </c>
    </row>
    <row r="152" spans="1:12" x14ac:dyDescent="0.2">
      <c r="A152" s="263">
        <v>428</v>
      </c>
      <c r="B152" s="258" t="s">
        <v>241</v>
      </c>
      <c r="C152" s="270" t="s">
        <v>134</v>
      </c>
      <c r="D152" s="270" t="s">
        <v>1916</v>
      </c>
      <c r="E152" s="297">
        <f>VLOOKUP(A152,'Phase In Option'!$A$16:$D$220,4,FALSE)</f>
        <v>54843</v>
      </c>
      <c r="F152" s="264">
        <v>349.13</v>
      </c>
      <c r="G152" s="264">
        <f>VLOOKUP(A152,'Phase In Option'!$A$16:$H$220,8,FALSE)</f>
        <v>355.39</v>
      </c>
      <c r="H152" s="264">
        <f t="shared" si="10"/>
        <v>6.26</v>
      </c>
      <c r="I152" s="259">
        <f t="shared" si="11"/>
        <v>343317</v>
      </c>
      <c r="J152" s="264">
        <v>30.21</v>
      </c>
      <c r="K152" s="264">
        <f>VLOOKUP(A152,FRV!$A$4:$U$208,21,FALSE)</f>
        <v>41.47</v>
      </c>
      <c r="L152" s="264">
        <f t="shared" si="12"/>
        <v>11.26</v>
      </c>
    </row>
    <row r="153" spans="1:12" x14ac:dyDescent="0.2">
      <c r="A153" s="263">
        <v>54</v>
      </c>
      <c r="B153" s="258" t="s">
        <v>603</v>
      </c>
      <c r="C153" s="270" t="s">
        <v>134</v>
      </c>
      <c r="D153" s="270" t="s">
        <v>1904</v>
      </c>
      <c r="E153" s="297">
        <f>VLOOKUP(A153,'Phase In Option'!$A$16:$D$220,4,FALSE)</f>
        <v>29126</v>
      </c>
      <c r="F153" s="264">
        <v>378.11</v>
      </c>
      <c r="G153" s="264">
        <f>VLOOKUP(A153,'Phase In Option'!$A$16:$H$220,8,FALSE)</f>
        <v>373.18</v>
      </c>
      <c r="H153" s="264">
        <f t="shared" si="10"/>
        <v>-4.93</v>
      </c>
      <c r="I153" s="259">
        <f t="shared" si="11"/>
        <v>-143591</v>
      </c>
      <c r="J153" s="264">
        <v>25.54</v>
      </c>
      <c r="K153" s="264">
        <f>VLOOKUP(A153,FRV!$A$4:$U$208,21,FALSE)</f>
        <v>25.54</v>
      </c>
      <c r="L153" s="264">
        <f t="shared" si="12"/>
        <v>0</v>
      </c>
    </row>
    <row r="154" spans="1:12" x14ac:dyDescent="0.2">
      <c r="A154" s="263">
        <v>663</v>
      </c>
      <c r="B154" s="258" t="s">
        <v>605</v>
      </c>
      <c r="C154" s="270" t="s">
        <v>134</v>
      </c>
      <c r="D154" s="270" t="s">
        <v>1904</v>
      </c>
      <c r="E154" s="297">
        <f>VLOOKUP(A154,'Phase In Option'!$A$16:$D$220,4,FALSE)</f>
        <v>24623</v>
      </c>
      <c r="F154" s="264">
        <v>399.61</v>
      </c>
      <c r="G154" s="264">
        <f>VLOOKUP(A154,'Phase In Option'!$A$16:$H$220,8,FALSE)</f>
        <v>394.34</v>
      </c>
      <c r="H154" s="264">
        <f t="shared" si="10"/>
        <v>-5.27</v>
      </c>
      <c r="I154" s="259">
        <f t="shared" si="11"/>
        <v>-129763</v>
      </c>
      <c r="J154" s="264">
        <v>31.21</v>
      </c>
      <c r="K154" s="264">
        <f>VLOOKUP(A154,FRV!$A$4:$U$208,21,FALSE)</f>
        <v>31.21</v>
      </c>
      <c r="L154" s="264">
        <f t="shared" si="12"/>
        <v>0</v>
      </c>
    </row>
    <row r="155" spans="1:12" x14ac:dyDescent="0.2">
      <c r="A155" s="263">
        <v>288</v>
      </c>
      <c r="B155" s="258" t="s">
        <v>479</v>
      </c>
      <c r="C155" s="270" t="s">
        <v>134</v>
      </c>
      <c r="D155" s="270" t="s">
        <v>1904</v>
      </c>
      <c r="E155" s="297">
        <f>VLOOKUP(A155,'Phase In Option'!$A$16:$D$220,4,FALSE)</f>
        <v>20433</v>
      </c>
      <c r="F155" s="264">
        <v>398.18</v>
      </c>
      <c r="G155" s="264">
        <f>VLOOKUP(A155,'Phase In Option'!$A$16:$H$220,8,FALSE)</f>
        <v>397.58</v>
      </c>
      <c r="H155" s="264">
        <f t="shared" si="10"/>
        <v>-0.6</v>
      </c>
      <c r="I155" s="259">
        <f t="shared" si="11"/>
        <v>-12260</v>
      </c>
      <c r="J155" s="264">
        <v>30.62</v>
      </c>
      <c r="K155" s="264">
        <f>VLOOKUP(A155,FRV!$A$4:$U$208,21,FALSE)</f>
        <v>35.340000000000003</v>
      </c>
      <c r="L155" s="264">
        <f t="shared" si="12"/>
        <v>4.72</v>
      </c>
    </row>
    <row r="156" spans="1:12" x14ac:dyDescent="0.2">
      <c r="A156" s="263">
        <v>452</v>
      </c>
      <c r="B156" s="258" t="s">
        <v>399</v>
      </c>
      <c r="C156" s="270" t="s">
        <v>134</v>
      </c>
      <c r="D156" s="270" t="s">
        <v>1889</v>
      </c>
      <c r="E156" s="297">
        <f>VLOOKUP(A156,'Phase In Option'!$A$16:$D$220,4,FALSE)</f>
        <v>32056</v>
      </c>
      <c r="F156" s="264">
        <v>372.27</v>
      </c>
      <c r="G156" s="264">
        <f>VLOOKUP(A156,'Phase In Option'!$A$16:$H$220,8,FALSE)</f>
        <v>367.48</v>
      </c>
      <c r="H156" s="264">
        <f t="shared" si="10"/>
        <v>-4.79</v>
      </c>
      <c r="I156" s="259">
        <f t="shared" si="11"/>
        <v>-153548</v>
      </c>
      <c r="J156" s="264">
        <v>21.9</v>
      </c>
      <c r="K156" s="264">
        <f>VLOOKUP(A156,FRV!$A$4:$U$208,21,FALSE)</f>
        <v>21.9</v>
      </c>
      <c r="L156" s="264">
        <f t="shared" si="12"/>
        <v>0</v>
      </c>
    </row>
    <row r="157" spans="1:12" x14ac:dyDescent="0.2">
      <c r="A157" s="263">
        <v>78</v>
      </c>
      <c r="B157" s="258" t="s">
        <v>636</v>
      </c>
      <c r="C157" s="270" t="s">
        <v>134</v>
      </c>
      <c r="D157" s="270" t="s">
        <v>1888</v>
      </c>
      <c r="E157" s="297">
        <f>VLOOKUP(A157,'Phase In Option'!$A$16:$D$220,4,FALSE)</f>
        <v>27899</v>
      </c>
      <c r="F157" s="264">
        <v>349.28</v>
      </c>
      <c r="G157" s="264">
        <f>VLOOKUP(A157,'Phase In Option'!$A$16:$H$220,8,FALSE)</f>
        <v>344.71</v>
      </c>
      <c r="H157" s="264">
        <f t="shared" si="10"/>
        <v>-4.57</v>
      </c>
      <c r="I157" s="259">
        <f t="shared" si="11"/>
        <v>-127498</v>
      </c>
      <c r="J157" s="264">
        <v>25.59</v>
      </c>
      <c r="K157" s="264">
        <f>VLOOKUP(A157,FRV!$A$4:$U$208,21,FALSE)</f>
        <v>25.59</v>
      </c>
      <c r="L157" s="264">
        <f t="shared" si="12"/>
        <v>0</v>
      </c>
    </row>
    <row r="158" spans="1:12" x14ac:dyDescent="0.2">
      <c r="A158" s="263">
        <v>434</v>
      </c>
      <c r="B158" s="258" t="s">
        <v>464</v>
      </c>
      <c r="C158" s="270" t="s">
        <v>134</v>
      </c>
      <c r="D158" s="270" t="s">
        <v>1894</v>
      </c>
      <c r="E158" s="297">
        <f>VLOOKUP(A158,'Phase In Option'!$A$16:$D$220,4,FALSE)</f>
        <v>39286</v>
      </c>
      <c r="F158" s="264">
        <v>339.99</v>
      </c>
      <c r="G158" s="264">
        <f>VLOOKUP(A158,'Phase In Option'!$A$16:$H$220,8,FALSE)</f>
        <v>335.79</v>
      </c>
      <c r="H158" s="264">
        <f t="shared" si="10"/>
        <v>-4.2</v>
      </c>
      <c r="I158" s="259">
        <f t="shared" si="11"/>
        <v>-165001</v>
      </c>
      <c r="J158" s="264">
        <v>27.72</v>
      </c>
      <c r="K158" s="264">
        <f>VLOOKUP(A158,FRV!$A$4:$U$208,21,FALSE)</f>
        <v>27.92</v>
      </c>
      <c r="L158" s="264">
        <f t="shared" si="12"/>
        <v>0.2</v>
      </c>
    </row>
    <row r="159" spans="1:12" x14ac:dyDescent="0.2">
      <c r="A159" s="263">
        <v>737</v>
      </c>
      <c r="B159" s="258" t="s">
        <v>229</v>
      </c>
      <c r="C159" s="270" t="s">
        <v>134</v>
      </c>
      <c r="D159" s="270" t="s">
        <v>1889</v>
      </c>
      <c r="E159" s="297">
        <f>VLOOKUP(A159,'Phase In Option'!$A$16:$D$220,4,FALSE)</f>
        <v>25422</v>
      </c>
      <c r="F159" s="264">
        <v>316.05</v>
      </c>
      <c r="G159" s="264">
        <f>VLOOKUP(A159,'Phase In Option'!$A$16:$H$220,8,FALSE)</f>
        <v>312.06</v>
      </c>
      <c r="H159" s="264">
        <f t="shared" si="10"/>
        <v>-3.99</v>
      </c>
      <c r="I159" s="259">
        <f t="shared" si="11"/>
        <v>-101434</v>
      </c>
      <c r="J159" s="264">
        <v>24.04</v>
      </c>
      <c r="K159" s="264">
        <f>VLOOKUP(A159,FRV!$A$4:$U$208,21,FALSE)</f>
        <v>24.04</v>
      </c>
      <c r="L159" s="264">
        <f t="shared" si="12"/>
        <v>0</v>
      </c>
    </row>
    <row r="160" spans="1:12" x14ac:dyDescent="0.2">
      <c r="A160" s="263">
        <v>30</v>
      </c>
      <c r="B160" s="258" t="s">
        <v>223</v>
      </c>
      <c r="C160" s="270" t="s">
        <v>483</v>
      </c>
      <c r="D160" s="270" t="s">
        <v>1916</v>
      </c>
      <c r="E160" s="297">
        <f>VLOOKUP(A160,'Phase In Option'!$A$16:$D$220,4,FALSE)</f>
        <v>16482</v>
      </c>
      <c r="F160" s="264">
        <v>337.56</v>
      </c>
      <c r="G160" s="264">
        <f>VLOOKUP(A160,'Phase In Option'!$A$16:$H$220,8,FALSE)</f>
        <v>344.17</v>
      </c>
      <c r="H160" s="264">
        <f t="shared" si="10"/>
        <v>6.61</v>
      </c>
      <c r="I160" s="259">
        <f t="shared" si="11"/>
        <v>108946</v>
      </c>
      <c r="J160" s="264">
        <v>29.7</v>
      </c>
      <c r="K160" s="264">
        <f>VLOOKUP(A160,FRV!$A$4:$U$208,21,FALSE)</f>
        <v>40.770000000000003</v>
      </c>
      <c r="L160" s="264">
        <f t="shared" si="12"/>
        <v>11.07</v>
      </c>
    </row>
    <row r="161" spans="1:12" x14ac:dyDescent="0.2">
      <c r="A161" s="263">
        <v>38</v>
      </c>
      <c r="B161" s="258" t="s">
        <v>240</v>
      </c>
      <c r="C161" s="270" t="s">
        <v>483</v>
      </c>
      <c r="D161" s="270" t="s">
        <v>1889</v>
      </c>
      <c r="E161" s="297">
        <f>VLOOKUP(A161,'Phase In Option'!$A$16:$D$220,4,FALSE)</f>
        <v>27939</v>
      </c>
      <c r="F161" s="264">
        <v>340.05</v>
      </c>
      <c r="G161" s="264">
        <f>VLOOKUP(A161,'Phase In Option'!$A$16:$H$220,8,FALSE)</f>
        <v>335.72</v>
      </c>
      <c r="H161" s="264">
        <f t="shared" si="10"/>
        <v>-4.33</v>
      </c>
      <c r="I161" s="259">
        <f t="shared" si="11"/>
        <v>-120976</v>
      </c>
      <c r="J161" s="264">
        <v>30.63</v>
      </c>
      <c r="K161" s="264">
        <f>VLOOKUP(A161,FRV!$A$4:$U$208,21,FALSE)</f>
        <v>30.63</v>
      </c>
      <c r="L161" s="264">
        <f t="shared" si="12"/>
        <v>0</v>
      </c>
    </row>
    <row r="162" spans="1:12" x14ac:dyDescent="0.2">
      <c r="A162" s="263">
        <v>100</v>
      </c>
      <c r="B162" s="258" t="s">
        <v>546</v>
      </c>
      <c r="C162" s="270" t="s">
        <v>483</v>
      </c>
      <c r="D162" s="270" t="s">
        <v>1888</v>
      </c>
      <c r="E162" s="297">
        <f>VLOOKUP(A162,'Phase In Option'!$A$16:$D$220,4,FALSE)</f>
        <v>25713</v>
      </c>
      <c r="F162" s="264">
        <v>322.67</v>
      </c>
      <c r="G162" s="264">
        <f>VLOOKUP(A162,'Phase In Option'!$A$16:$H$220,8,FALSE)</f>
        <v>318.52</v>
      </c>
      <c r="H162" s="264">
        <f t="shared" si="10"/>
        <v>-4.1500000000000004</v>
      </c>
      <c r="I162" s="259">
        <f t="shared" si="11"/>
        <v>-106709</v>
      </c>
      <c r="J162" s="264">
        <v>28.03</v>
      </c>
      <c r="K162" s="264">
        <f>VLOOKUP(A162,FRV!$A$4:$U$208,21,FALSE)</f>
        <v>28.03</v>
      </c>
      <c r="L162" s="264">
        <f t="shared" si="12"/>
        <v>0</v>
      </c>
    </row>
    <row r="163" spans="1:12" x14ac:dyDescent="0.2">
      <c r="A163" s="263">
        <v>701</v>
      </c>
      <c r="B163" s="258" t="s">
        <v>506</v>
      </c>
      <c r="C163" s="270" t="s">
        <v>483</v>
      </c>
      <c r="D163" s="270" t="s">
        <v>1900</v>
      </c>
      <c r="E163" s="297">
        <f>VLOOKUP(A163,'Phase In Option'!$A$16:$D$220,4,FALSE)</f>
        <v>11128</v>
      </c>
      <c r="F163" s="264">
        <v>315.27</v>
      </c>
      <c r="G163" s="264">
        <f>VLOOKUP(A163,'Phase In Option'!$A$16:$H$220,8,FALSE)</f>
        <v>315.94</v>
      </c>
      <c r="H163" s="264">
        <f t="shared" si="10"/>
        <v>0.67</v>
      </c>
      <c r="I163" s="259">
        <f t="shared" si="11"/>
        <v>7456</v>
      </c>
      <c r="J163" s="264">
        <v>32.26</v>
      </c>
      <c r="K163" s="264">
        <f>VLOOKUP(A163,FRV!$A$4:$U$208,21,FALSE)</f>
        <v>37.409999999999997</v>
      </c>
      <c r="L163" s="264">
        <f t="shared" si="12"/>
        <v>5.15</v>
      </c>
    </row>
    <row r="164" spans="1:12" x14ac:dyDescent="0.2">
      <c r="A164" s="263">
        <v>58</v>
      </c>
      <c r="B164" s="258" t="s">
        <v>42</v>
      </c>
      <c r="C164" s="270" t="s">
        <v>483</v>
      </c>
      <c r="D164" s="270" t="s">
        <v>1899</v>
      </c>
      <c r="E164" s="297">
        <f>VLOOKUP(A164,'Phase In Option'!$A$16:$D$220,4,FALSE)</f>
        <v>20343</v>
      </c>
      <c r="F164" s="264">
        <v>313.73</v>
      </c>
      <c r="G164" s="264">
        <f>VLOOKUP(A164,'Phase In Option'!$A$16:$H$220,8,FALSE)</f>
        <v>321.58999999999997</v>
      </c>
      <c r="H164" s="264">
        <f t="shared" si="10"/>
        <v>7.86</v>
      </c>
      <c r="I164" s="259">
        <f t="shared" si="11"/>
        <v>159896</v>
      </c>
      <c r="J164" s="264">
        <v>32.26</v>
      </c>
      <c r="K164" s="264">
        <f>VLOOKUP(A164,FRV!$A$4:$U$208,21,FALSE)</f>
        <v>44.29</v>
      </c>
      <c r="L164" s="264">
        <f t="shared" si="12"/>
        <v>12.03</v>
      </c>
    </row>
    <row r="165" spans="1:12" x14ac:dyDescent="0.2">
      <c r="A165" s="263">
        <v>82</v>
      </c>
      <c r="B165" s="258" t="s">
        <v>638</v>
      </c>
      <c r="C165" s="270" t="s">
        <v>483</v>
      </c>
      <c r="D165" s="270" t="s">
        <v>1905</v>
      </c>
      <c r="E165" s="297">
        <f>VLOOKUP(A165,'Phase In Option'!$A$16:$D$220,4,FALSE)</f>
        <v>19600</v>
      </c>
      <c r="F165" s="264">
        <v>369.42</v>
      </c>
      <c r="G165" s="264">
        <f>VLOOKUP(A165,'Phase In Option'!$A$16:$H$220,8,FALSE)</f>
        <v>365.05</v>
      </c>
      <c r="H165" s="264">
        <f t="shared" si="10"/>
        <v>-4.37</v>
      </c>
      <c r="I165" s="259">
        <f t="shared" si="11"/>
        <v>-85652</v>
      </c>
      <c r="J165" s="264">
        <v>30.41</v>
      </c>
      <c r="K165" s="264">
        <f>VLOOKUP(A165,FRV!$A$4:$U$208,21,FALSE)</f>
        <v>30.81</v>
      </c>
      <c r="L165" s="264">
        <f t="shared" si="12"/>
        <v>0.4</v>
      </c>
    </row>
    <row r="166" spans="1:12" x14ac:dyDescent="0.2">
      <c r="A166" s="263">
        <v>104</v>
      </c>
      <c r="B166" s="258" t="s">
        <v>678</v>
      </c>
      <c r="C166" s="270" t="s">
        <v>483</v>
      </c>
      <c r="D166" s="270" t="s">
        <v>1905</v>
      </c>
      <c r="E166" s="297">
        <f>VLOOKUP(A166,'Phase In Option'!$A$16:$D$220,4,FALSE)</f>
        <v>20476</v>
      </c>
      <c r="F166" s="264">
        <v>350.18</v>
      </c>
      <c r="G166" s="264">
        <f>VLOOKUP(A166,'Phase In Option'!$A$16:$H$220,8,FALSE)</f>
        <v>346.47</v>
      </c>
      <c r="H166" s="264">
        <f t="shared" si="10"/>
        <v>-3.71</v>
      </c>
      <c r="I166" s="259">
        <f t="shared" si="11"/>
        <v>-75966</v>
      </c>
      <c r="J166" s="264">
        <v>32.26</v>
      </c>
      <c r="K166" s="264">
        <f>VLOOKUP(A166,FRV!$A$4:$U$208,21,FALSE)</f>
        <v>33.090000000000003</v>
      </c>
      <c r="L166" s="264">
        <f t="shared" si="12"/>
        <v>0.83</v>
      </c>
    </row>
    <row r="167" spans="1:12" x14ac:dyDescent="0.2">
      <c r="A167" s="263">
        <v>126</v>
      </c>
      <c r="B167" s="258" t="s">
        <v>548</v>
      </c>
      <c r="C167" s="270" t="s">
        <v>483</v>
      </c>
      <c r="D167" s="270" t="s">
        <v>1897</v>
      </c>
      <c r="E167" s="297">
        <f>VLOOKUP(A167,'Phase In Option'!$A$16:$D$220,4,FALSE)</f>
        <v>24404</v>
      </c>
      <c r="F167" s="264">
        <v>356.07</v>
      </c>
      <c r="G167" s="264">
        <f>VLOOKUP(A167,'Phase In Option'!$A$16:$H$220,8,FALSE)</f>
        <v>353.05</v>
      </c>
      <c r="H167" s="264">
        <f t="shared" si="10"/>
        <v>-3.02</v>
      </c>
      <c r="I167" s="259">
        <f t="shared" si="11"/>
        <v>-73700</v>
      </c>
      <c r="J167" s="264">
        <v>31.29</v>
      </c>
      <c r="K167" s="264">
        <f>VLOOKUP(A167,FRV!$A$4:$U$208,21,FALSE)</f>
        <v>32.909999999999997</v>
      </c>
      <c r="L167" s="264">
        <f t="shared" si="12"/>
        <v>1.62</v>
      </c>
    </row>
    <row r="168" spans="1:12" x14ac:dyDescent="0.2">
      <c r="A168" s="263">
        <v>669</v>
      </c>
      <c r="B168" s="258" t="s">
        <v>679</v>
      </c>
      <c r="C168" s="270" t="s">
        <v>483</v>
      </c>
      <c r="D168" s="270" t="s">
        <v>1905</v>
      </c>
      <c r="E168" s="297">
        <f>VLOOKUP(A168,'Phase In Option'!$A$16:$D$220,4,FALSE)</f>
        <v>23295</v>
      </c>
      <c r="F168" s="264">
        <v>375.52</v>
      </c>
      <c r="G168" s="264">
        <f>VLOOKUP(A168,'Phase In Option'!$A$16:$H$220,8,FALSE)</f>
        <v>370.68</v>
      </c>
      <c r="H168" s="264">
        <f t="shared" si="10"/>
        <v>-4.84</v>
      </c>
      <c r="I168" s="259">
        <f t="shared" si="11"/>
        <v>-112748</v>
      </c>
      <c r="J168" s="264">
        <v>31.27</v>
      </c>
      <c r="K168" s="264">
        <f>VLOOKUP(A168,FRV!$A$4:$U$208,21,FALSE)</f>
        <v>31.28</v>
      </c>
      <c r="L168" s="264">
        <f t="shared" si="12"/>
        <v>0.01</v>
      </c>
    </row>
    <row r="169" spans="1:12" x14ac:dyDescent="0.2">
      <c r="A169" s="263">
        <v>222</v>
      </c>
      <c r="B169" s="258" t="s">
        <v>680</v>
      </c>
      <c r="C169" s="270" t="s">
        <v>483</v>
      </c>
      <c r="D169" s="270" t="s">
        <v>1905</v>
      </c>
      <c r="E169" s="297">
        <f>VLOOKUP(A169,'Phase In Option'!$A$16:$D$220,4,FALSE)</f>
        <v>16089</v>
      </c>
      <c r="F169" s="264">
        <v>334.43</v>
      </c>
      <c r="G169" s="264">
        <f>VLOOKUP(A169,'Phase In Option'!$A$16:$H$220,8,FALSE)</f>
        <v>332.01</v>
      </c>
      <c r="H169" s="264">
        <f t="shared" si="10"/>
        <v>-2.42</v>
      </c>
      <c r="I169" s="259">
        <f t="shared" si="11"/>
        <v>-38935</v>
      </c>
      <c r="J169" s="264">
        <v>32.020000000000003</v>
      </c>
      <c r="K169" s="264">
        <f>VLOOKUP(A169,FRV!$A$4:$U$208,21,FALSE)</f>
        <v>33.880000000000003</v>
      </c>
      <c r="L169" s="264">
        <f t="shared" si="12"/>
        <v>1.86</v>
      </c>
    </row>
    <row r="170" spans="1:12" x14ac:dyDescent="0.2">
      <c r="A170" s="263">
        <v>693</v>
      </c>
      <c r="B170" s="258" t="s">
        <v>670</v>
      </c>
      <c r="C170" s="270" t="s">
        <v>483</v>
      </c>
      <c r="D170" s="270" t="s">
        <v>1905</v>
      </c>
      <c r="E170" s="297">
        <f>VLOOKUP(A170,'Phase In Option'!$A$16:$D$220,4,FALSE)</f>
        <v>23549</v>
      </c>
      <c r="F170" s="264">
        <v>356.49</v>
      </c>
      <c r="G170" s="264">
        <f>VLOOKUP(A170,'Phase In Option'!$A$16:$H$220,8,FALSE)</f>
        <v>351.87</v>
      </c>
      <c r="H170" s="264">
        <f t="shared" si="10"/>
        <v>-4.62</v>
      </c>
      <c r="I170" s="259">
        <f t="shared" si="11"/>
        <v>-108796</v>
      </c>
      <c r="J170" s="264">
        <v>23.62</v>
      </c>
      <c r="K170" s="264">
        <f>VLOOKUP(A170,FRV!$A$4:$U$208,21,FALSE)</f>
        <v>23.62</v>
      </c>
      <c r="L170" s="264">
        <f t="shared" si="12"/>
        <v>0</v>
      </c>
    </row>
    <row r="171" spans="1:12" x14ac:dyDescent="0.2">
      <c r="A171" s="263">
        <v>302</v>
      </c>
      <c r="B171" s="258" t="s">
        <v>662</v>
      </c>
      <c r="C171" s="270" t="s">
        <v>483</v>
      </c>
      <c r="D171" s="270" t="s">
        <v>1905</v>
      </c>
      <c r="E171" s="297">
        <f>VLOOKUP(A171,'Phase In Option'!$A$16:$D$220,4,FALSE)</f>
        <v>28701</v>
      </c>
      <c r="F171" s="264">
        <v>322.75</v>
      </c>
      <c r="G171" s="264">
        <f>VLOOKUP(A171,'Phase In Option'!$A$16:$H$220,8,FALSE)</f>
        <v>318.64999999999998</v>
      </c>
      <c r="H171" s="264">
        <f t="shared" si="10"/>
        <v>-4.0999999999999996</v>
      </c>
      <c r="I171" s="259">
        <f t="shared" si="11"/>
        <v>-117674</v>
      </c>
      <c r="J171" s="264">
        <v>26.6</v>
      </c>
      <c r="K171" s="264">
        <f>VLOOKUP(A171,FRV!$A$4:$U$208,21,FALSE)</f>
        <v>26.6</v>
      </c>
      <c r="L171" s="264">
        <f t="shared" si="12"/>
        <v>0</v>
      </c>
    </row>
    <row r="172" spans="1:12" x14ac:dyDescent="0.2">
      <c r="A172" s="263">
        <v>436</v>
      </c>
      <c r="B172" s="258" t="s">
        <v>681</v>
      </c>
      <c r="C172" s="270" t="s">
        <v>483</v>
      </c>
      <c r="D172" s="270" t="s">
        <v>1905</v>
      </c>
      <c r="E172" s="297">
        <f>VLOOKUP(A172,'Phase In Option'!$A$16:$D$220,4,FALSE)</f>
        <v>20354</v>
      </c>
      <c r="F172" s="264">
        <v>352.24</v>
      </c>
      <c r="G172" s="264">
        <f>VLOOKUP(A172,'Phase In Option'!$A$16:$H$220,8,FALSE)</f>
        <v>347.66</v>
      </c>
      <c r="H172" s="264">
        <f t="shared" si="10"/>
        <v>-4.58</v>
      </c>
      <c r="I172" s="259">
        <f t="shared" si="11"/>
        <v>-93221</v>
      </c>
      <c r="J172" s="264">
        <v>30.8</v>
      </c>
      <c r="K172" s="264">
        <f>VLOOKUP(A172,FRV!$A$4:$U$208,21,FALSE)</f>
        <v>30.8</v>
      </c>
      <c r="L172" s="264">
        <f t="shared" si="12"/>
        <v>0</v>
      </c>
    </row>
    <row r="173" spans="1:12" x14ac:dyDescent="0.2">
      <c r="A173" s="263">
        <v>102</v>
      </c>
      <c r="B173" s="258" t="s">
        <v>445</v>
      </c>
      <c r="C173" s="270" t="s">
        <v>483</v>
      </c>
      <c r="D173" s="270" t="s">
        <v>1916</v>
      </c>
      <c r="E173" s="297">
        <f>VLOOKUP(A173,'Phase In Option'!$A$16:$D$220,4,FALSE)</f>
        <v>24730</v>
      </c>
      <c r="F173" s="264">
        <v>365.08</v>
      </c>
      <c r="G173" s="264">
        <f>VLOOKUP(A173,'Phase In Option'!$A$16:$H$220,8,FALSE)</f>
        <v>362.57</v>
      </c>
      <c r="H173" s="264">
        <f t="shared" si="10"/>
        <v>-2.5099999999999998</v>
      </c>
      <c r="I173" s="259">
        <f t="shared" si="11"/>
        <v>-62072</v>
      </c>
      <c r="J173" s="264">
        <v>29.19</v>
      </c>
      <c r="K173" s="264">
        <f>VLOOKUP(A173,FRV!$A$4:$U$208,21,FALSE)</f>
        <v>31.45</v>
      </c>
      <c r="L173" s="264">
        <f t="shared" si="12"/>
        <v>2.2599999999999998</v>
      </c>
    </row>
    <row r="174" spans="1:12" x14ac:dyDescent="0.2">
      <c r="A174" s="263">
        <v>398</v>
      </c>
      <c r="B174" s="258" t="s">
        <v>766</v>
      </c>
      <c r="C174" s="270" t="s">
        <v>483</v>
      </c>
      <c r="D174" s="270" t="s">
        <v>1895</v>
      </c>
      <c r="E174" s="297">
        <f>VLOOKUP(A174,'Phase In Option'!$A$16:$D$220,4,FALSE)</f>
        <v>47558</v>
      </c>
      <c r="F174" s="264">
        <v>356.38</v>
      </c>
      <c r="G174" s="264">
        <f>VLOOKUP(A174,'Phase In Option'!$A$16:$H$220,8,FALSE)</f>
        <v>353.18</v>
      </c>
      <c r="H174" s="264">
        <f t="shared" si="10"/>
        <v>-3.2</v>
      </c>
      <c r="I174" s="259">
        <f t="shared" si="11"/>
        <v>-152186</v>
      </c>
      <c r="J174" s="264">
        <v>32.26</v>
      </c>
      <c r="K174" s="264">
        <f>VLOOKUP(A174,FRV!$A$4:$U$208,21,FALSE)</f>
        <v>33.71</v>
      </c>
      <c r="L174" s="264">
        <f t="shared" si="12"/>
        <v>1.45</v>
      </c>
    </row>
    <row r="175" spans="1:12" x14ac:dyDescent="0.2">
      <c r="A175" s="263">
        <v>709</v>
      </c>
      <c r="B175" s="258" t="s">
        <v>225</v>
      </c>
      <c r="C175" s="270" t="s">
        <v>483</v>
      </c>
      <c r="D175" s="270" t="s">
        <v>1906</v>
      </c>
      <c r="E175" s="297">
        <f>VLOOKUP(A175,'Phase In Option'!$A$16:$D$220,4,FALSE)</f>
        <v>10666</v>
      </c>
      <c r="F175" s="264">
        <v>334.67</v>
      </c>
      <c r="G175" s="264">
        <f>VLOOKUP(A175,'Phase In Option'!$A$16:$H$220,8,FALSE)</f>
        <v>330.35</v>
      </c>
      <c r="H175" s="264">
        <f t="shared" si="10"/>
        <v>-4.32</v>
      </c>
      <c r="I175" s="259">
        <f t="shared" si="11"/>
        <v>-46077</v>
      </c>
      <c r="J175" s="264">
        <v>23.1</v>
      </c>
      <c r="K175" s="264">
        <f>VLOOKUP(A175,FRV!$A$4:$U$208,21,FALSE)</f>
        <v>23.1</v>
      </c>
      <c r="L175" s="264">
        <f t="shared" si="12"/>
        <v>0</v>
      </c>
    </row>
    <row r="176" spans="1:12" x14ac:dyDescent="0.2">
      <c r="A176" s="263">
        <v>454</v>
      </c>
      <c r="B176" s="258" t="s">
        <v>207</v>
      </c>
      <c r="C176" s="270" t="s">
        <v>483</v>
      </c>
      <c r="D176" s="270" t="s">
        <v>1916</v>
      </c>
      <c r="E176" s="297">
        <f>VLOOKUP(A176,'Phase In Option'!$A$16:$D$220,4,FALSE)</f>
        <v>14498</v>
      </c>
      <c r="F176" s="264">
        <v>354.69</v>
      </c>
      <c r="G176" s="264">
        <f>VLOOKUP(A176,'Phase In Option'!$A$16:$H$220,8,FALSE)</f>
        <v>350.12</v>
      </c>
      <c r="H176" s="264">
        <f t="shared" si="10"/>
        <v>-4.57</v>
      </c>
      <c r="I176" s="259">
        <f t="shared" si="11"/>
        <v>-66256</v>
      </c>
      <c r="J176" s="264">
        <v>30.54</v>
      </c>
      <c r="K176" s="264">
        <f>VLOOKUP(A176,FRV!$A$4:$U$208,21,FALSE)</f>
        <v>30.54</v>
      </c>
      <c r="L176" s="264">
        <f t="shared" si="12"/>
        <v>0</v>
      </c>
    </row>
    <row r="177" spans="1:12" x14ac:dyDescent="0.2">
      <c r="A177" s="263">
        <v>44</v>
      </c>
      <c r="B177" s="258" t="s">
        <v>396</v>
      </c>
      <c r="C177" s="270" t="s">
        <v>141</v>
      </c>
      <c r="D177" s="270" t="s">
        <v>1907</v>
      </c>
      <c r="E177" s="297">
        <f>VLOOKUP(A177,'Phase In Option'!$A$16:$D$220,4,FALSE)</f>
        <v>4823</v>
      </c>
      <c r="F177" s="264">
        <v>313.58999999999997</v>
      </c>
      <c r="G177" s="264">
        <f>VLOOKUP(A177,'Phase In Option'!$A$16:$H$220,8,FALSE)</f>
        <v>321.05</v>
      </c>
      <c r="H177" s="264">
        <f t="shared" si="10"/>
        <v>7.46</v>
      </c>
      <c r="I177" s="259">
        <f t="shared" si="11"/>
        <v>35980</v>
      </c>
      <c r="J177" s="264">
        <v>32.17</v>
      </c>
      <c r="K177" s="264">
        <f>VLOOKUP(A177,FRV!$A$4:$U$208,21,FALSE)</f>
        <v>44.17</v>
      </c>
      <c r="L177" s="264">
        <f t="shared" si="12"/>
        <v>12</v>
      </c>
    </row>
    <row r="178" spans="1:12" x14ac:dyDescent="0.2">
      <c r="A178" s="263">
        <v>116</v>
      </c>
      <c r="B178" s="258" t="s">
        <v>586</v>
      </c>
      <c r="C178" s="270" t="s">
        <v>141</v>
      </c>
      <c r="D178" s="270" t="s">
        <v>1888</v>
      </c>
      <c r="E178" s="297">
        <f>VLOOKUP(A178,'Phase In Option'!$A$16:$D$220,4,FALSE)</f>
        <v>23540</v>
      </c>
      <c r="F178" s="264">
        <v>366.15</v>
      </c>
      <c r="G178" s="264">
        <f>VLOOKUP(A178,'Phase In Option'!$A$16:$H$220,8,FALSE)</f>
        <v>372.36</v>
      </c>
      <c r="H178" s="264">
        <f t="shared" si="10"/>
        <v>6.21</v>
      </c>
      <c r="I178" s="259">
        <f t="shared" si="11"/>
        <v>146183</v>
      </c>
      <c r="J178" s="264">
        <v>30.07</v>
      </c>
      <c r="K178" s="264">
        <f>VLOOKUP(A178,FRV!$A$4:$U$208,21,FALSE)</f>
        <v>41.27</v>
      </c>
      <c r="L178" s="264">
        <f t="shared" si="12"/>
        <v>11.2</v>
      </c>
    </row>
    <row r="179" spans="1:12" x14ac:dyDescent="0.2">
      <c r="A179" s="263">
        <v>446</v>
      </c>
      <c r="B179" s="258" t="s">
        <v>674</v>
      </c>
      <c r="C179" s="270" t="s">
        <v>141</v>
      </c>
      <c r="D179" s="270" t="s">
        <v>1888</v>
      </c>
      <c r="E179" s="297">
        <f>VLOOKUP(A179,'Phase In Option'!$A$16:$D$220,4,FALSE)</f>
        <v>12633</v>
      </c>
      <c r="F179" s="264">
        <v>307.24</v>
      </c>
      <c r="G179" s="264">
        <f>VLOOKUP(A179,'Phase In Option'!$A$16:$H$220,8,FALSE)</f>
        <v>303.27999999999997</v>
      </c>
      <c r="H179" s="264">
        <f t="shared" si="10"/>
        <v>-3.96</v>
      </c>
      <c r="I179" s="259">
        <f t="shared" si="11"/>
        <v>-50027</v>
      </c>
      <c r="J179" s="264">
        <v>24.4</v>
      </c>
      <c r="K179" s="264">
        <f>VLOOKUP(A179,FRV!$A$4:$U$208,21,FALSE)</f>
        <v>24.4</v>
      </c>
      <c r="L179" s="264">
        <f t="shared" si="12"/>
        <v>0</v>
      </c>
    </row>
    <row r="180" spans="1:12" x14ac:dyDescent="0.2">
      <c r="A180" s="263">
        <v>198</v>
      </c>
      <c r="B180" s="258" t="s">
        <v>551</v>
      </c>
      <c r="C180" s="270" t="s">
        <v>141</v>
      </c>
      <c r="D180" s="270" t="s">
        <v>1888</v>
      </c>
      <c r="E180" s="297">
        <f>VLOOKUP(A180,'Phase In Option'!$A$16:$D$220,4,FALSE)</f>
        <v>24557</v>
      </c>
      <c r="F180" s="264">
        <v>355.37</v>
      </c>
      <c r="G180" s="264">
        <f>VLOOKUP(A180,'Phase In Option'!$A$16:$H$220,8,FALSE)</f>
        <v>361.54</v>
      </c>
      <c r="H180" s="264">
        <f t="shared" si="10"/>
        <v>6.17</v>
      </c>
      <c r="I180" s="259">
        <f t="shared" si="11"/>
        <v>151517</v>
      </c>
      <c r="J180" s="264">
        <v>29.47</v>
      </c>
      <c r="K180" s="264">
        <f>VLOOKUP(A180,FRV!$A$4:$U$208,21,FALSE)</f>
        <v>40.450000000000003</v>
      </c>
      <c r="L180" s="264">
        <f t="shared" si="12"/>
        <v>10.98</v>
      </c>
    </row>
    <row r="181" spans="1:12" x14ac:dyDescent="0.2">
      <c r="A181" s="263">
        <v>785</v>
      </c>
      <c r="B181" s="258" t="s">
        <v>504</v>
      </c>
      <c r="C181" s="270" t="s">
        <v>141</v>
      </c>
      <c r="D181" s="270" t="s">
        <v>1900</v>
      </c>
      <c r="E181" s="297">
        <f>VLOOKUP(A181,'Phase In Option'!$A$16:$D$220,4,FALSE)</f>
        <v>208</v>
      </c>
      <c r="F181" s="264">
        <v>324.83999999999997</v>
      </c>
      <c r="G181" s="264">
        <f>VLOOKUP(A181,'Phase In Option'!$A$16:$H$220,8,FALSE)</f>
        <v>332.16</v>
      </c>
      <c r="H181" s="264">
        <f t="shared" si="10"/>
        <v>7.32</v>
      </c>
      <c r="I181" s="259">
        <f t="shared" si="11"/>
        <v>1523</v>
      </c>
      <c r="J181" s="264">
        <v>32.26</v>
      </c>
      <c r="K181" s="264">
        <f>VLOOKUP(A181,FRV!$A$4:$U$208,21,FALSE)</f>
        <v>44.28</v>
      </c>
      <c r="L181" s="264">
        <f t="shared" si="12"/>
        <v>12.02</v>
      </c>
    </row>
    <row r="182" spans="1:12" x14ac:dyDescent="0.2">
      <c r="A182" s="263">
        <v>76</v>
      </c>
      <c r="B182" s="258" t="s">
        <v>462</v>
      </c>
      <c r="C182" s="270" t="s">
        <v>141</v>
      </c>
      <c r="D182" s="270" t="s">
        <v>1916</v>
      </c>
      <c r="E182" s="297">
        <f>VLOOKUP(A182,'Phase In Option'!$A$16:$D$220,4,FALSE)</f>
        <v>29316</v>
      </c>
      <c r="F182" s="264">
        <v>343.79</v>
      </c>
      <c r="G182" s="264">
        <f>VLOOKUP(A182,'Phase In Option'!$A$16:$H$220,8,FALSE)</f>
        <v>345.23</v>
      </c>
      <c r="H182" s="264">
        <f t="shared" si="10"/>
        <v>1.44</v>
      </c>
      <c r="I182" s="259">
        <f t="shared" si="11"/>
        <v>42215</v>
      </c>
      <c r="J182" s="264">
        <v>32.26</v>
      </c>
      <c r="K182" s="264">
        <f>VLOOKUP(A182,FRV!$A$4:$U$208,21,FALSE)</f>
        <v>38.21</v>
      </c>
      <c r="L182" s="264">
        <f t="shared" si="12"/>
        <v>5.95</v>
      </c>
    </row>
    <row r="183" spans="1:12" x14ac:dyDescent="0.2">
      <c r="A183" s="263">
        <v>677</v>
      </c>
      <c r="B183" s="258" t="s">
        <v>655</v>
      </c>
      <c r="C183" s="270" t="s">
        <v>141</v>
      </c>
      <c r="D183" s="270" t="s">
        <v>1903</v>
      </c>
      <c r="E183" s="297">
        <f>VLOOKUP(A183,'Phase In Option'!$A$16:$D$220,4,FALSE)</f>
        <v>25464</v>
      </c>
      <c r="F183" s="264">
        <v>345.6</v>
      </c>
      <c r="G183" s="264">
        <f>VLOOKUP(A183,'Phase In Option'!$A$16:$H$220,8,FALSE)</f>
        <v>341.15</v>
      </c>
      <c r="H183" s="264">
        <f t="shared" si="10"/>
        <v>-4.45</v>
      </c>
      <c r="I183" s="259">
        <f t="shared" si="11"/>
        <v>-113315</v>
      </c>
      <c r="J183" s="264">
        <v>19.34</v>
      </c>
      <c r="K183" s="264">
        <f>VLOOKUP(A183,FRV!$A$4:$U$208,21,FALSE)</f>
        <v>19.34</v>
      </c>
      <c r="L183" s="264">
        <f t="shared" si="12"/>
        <v>0</v>
      </c>
    </row>
    <row r="184" spans="1:12" x14ac:dyDescent="0.2">
      <c r="A184" s="263">
        <v>108</v>
      </c>
      <c r="B184" s="258" t="s">
        <v>364</v>
      </c>
      <c r="C184" s="270" t="s">
        <v>141</v>
      </c>
      <c r="D184" s="270" t="s">
        <v>1916</v>
      </c>
      <c r="E184" s="297">
        <f>VLOOKUP(A184,'Phase In Option'!$A$16:$D$220,4,FALSE)</f>
        <v>32370</v>
      </c>
      <c r="F184" s="264">
        <v>328.41</v>
      </c>
      <c r="G184" s="264">
        <f>VLOOKUP(A184,'Phase In Option'!$A$16:$H$220,8,FALSE)</f>
        <v>334.62</v>
      </c>
      <c r="H184" s="264">
        <f t="shared" si="10"/>
        <v>6.21</v>
      </c>
      <c r="I184" s="259">
        <f t="shared" si="11"/>
        <v>201018</v>
      </c>
      <c r="J184" s="264">
        <v>28.35</v>
      </c>
      <c r="K184" s="264">
        <f>VLOOKUP(A184,FRV!$A$4:$U$208,21,FALSE)</f>
        <v>38.92</v>
      </c>
      <c r="L184" s="264">
        <f t="shared" si="12"/>
        <v>10.57</v>
      </c>
    </row>
    <row r="185" spans="1:12" x14ac:dyDescent="0.2">
      <c r="A185" s="263">
        <v>62</v>
      </c>
      <c r="B185" s="258" t="s">
        <v>816</v>
      </c>
      <c r="C185" s="270" t="s">
        <v>141</v>
      </c>
      <c r="D185" s="270" t="s">
        <v>1916</v>
      </c>
      <c r="E185" s="297">
        <f>VLOOKUP(A185,'Phase In Option'!$A$16:$D$220,4,FALSE)</f>
        <v>16679</v>
      </c>
      <c r="F185" s="264">
        <v>335.97</v>
      </c>
      <c r="G185" s="264">
        <f>VLOOKUP(A185,'Phase In Option'!$A$16:$H$220,8,FALSE)</f>
        <v>331.68</v>
      </c>
      <c r="H185" s="264">
        <f t="shared" si="10"/>
        <v>-4.29</v>
      </c>
      <c r="I185" s="259">
        <f t="shared" si="11"/>
        <v>-71553</v>
      </c>
      <c r="J185" s="264">
        <v>26.66</v>
      </c>
      <c r="K185" s="264">
        <f>VLOOKUP(A185,FRV!$A$4:$U$208,21,FALSE)</f>
        <v>26.66</v>
      </c>
      <c r="L185" s="264">
        <f t="shared" si="12"/>
        <v>0</v>
      </c>
    </row>
    <row r="186" spans="1:12" x14ac:dyDescent="0.2">
      <c r="A186" s="263">
        <v>242</v>
      </c>
      <c r="B186" s="258" t="s">
        <v>200</v>
      </c>
      <c r="C186" s="270" t="s">
        <v>141</v>
      </c>
      <c r="D186" s="270" t="s">
        <v>1908</v>
      </c>
      <c r="E186" s="297">
        <f>VLOOKUP(A186,'Phase In Option'!$A$16:$D$220,4,FALSE)</f>
        <v>5090</v>
      </c>
      <c r="F186" s="264">
        <v>303.20999999999998</v>
      </c>
      <c r="G186" s="264">
        <f>VLOOKUP(A186,'Phase In Option'!$A$16:$H$220,8,FALSE)</f>
        <v>310.85000000000002</v>
      </c>
      <c r="H186" s="264">
        <f t="shared" si="10"/>
        <v>7.64</v>
      </c>
      <c r="I186" s="259">
        <f t="shared" si="11"/>
        <v>38888</v>
      </c>
      <c r="J186" s="264">
        <v>32.26</v>
      </c>
      <c r="K186" s="264">
        <f>VLOOKUP(A186,FRV!$A$4:$U$208,21,FALSE)</f>
        <v>44.29</v>
      </c>
      <c r="L186" s="264">
        <f t="shared" si="12"/>
        <v>12.03</v>
      </c>
    </row>
    <row r="187" spans="1:12" x14ac:dyDescent="0.2">
      <c r="A187" s="263">
        <v>348</v>
      </c>
      <c r="B187" s="258" t="s">
        <v>436</v>
      </c>
      <c r="C187" s="270" t="s">
        <v>141</v>
      </c>
      <c r="D187" s="270" t="s">
        <v>1899</v>
      </c>
      <c r="E187" s="297">
        <f>VLOOKUP(A187,'Phase In Option'!$A$16:$D$220,4,FALSE)</f>
        <v>31418</v>
      </c>
      <c r="F187" s="264">
        <v>344</v>
      </c>
      <c r="G187" s="264">
        <f>VLOOKUP(A187,'Phase In Option'!$A$16:$H$220,8,FALSE)</f>
        <v>344.38</v>
      </c>
      <c r="H187" s="264">
        <f t="shared" si="10"/>
        <v>0.38</v>
      </c>
      <c r="I187" s="259">
        <f t="shared" si="11"/>
        <v>11939</v>
      </c>
      <c r="J187" s="264">
        <v>32.26</v>
      </c>
      <c r="K187" s="264">
        <f>VLOOKUP(A187,FRV!$A$4:$U$208,21,FALSE)</f>
        <v>37.119999999999997</v>
      </c>
      <c r="L187" s="264">
        <f t="shared" si="12"/>
        <v>4.8600000000000003</v>
      </c>
    </row>
    <row r="188" spans="1:12" x14ac:dyDescent="0.2">
      <c r="A188" s="263">
        <v>406</v>
      </c>
      <c r="B188" s="258" t="s">
        <v>500</v>
      </c>
      <c r="C188" s="270" t="s">
        <v>141</v>
      </c>
      <c r="D188" s="270" t="s">
        <v>1909</v>
      </c>
      <c r="E188" s="297">
        <f>VLOOKUP(A188,'Phase In Option'!$A$16:$D$220,4,FALSE)</f>
        <v>17328</v>
      </c>
      <c r="F188" s="264">
        <v>327.32</v>
      </c>
      <c r="G188" s="264">
        <f>VLOOKUP(A188,'Phase In Option'!$A$16:$H$220,8,FALSE)</f>
        <v>325.62</v>
      </c>
      <c r="H188" s="264">
        <f t="shared" si="10"/>
        <v>-1.7</v>
      </c>
      <c r="I188" s="259">
        <f t="shared" si="11"/>
        <v>-29458</v>
      </c>
      <c r="J188" s="264">
        <v>27.96</v>
      </c>
      <c r="K188" s="264">
        <f>VLOOKUP(A188,FRV!$A$4:$U$208,21,FALSE)</f>
        <v>30.54</v>
      </c>
      <c r="L188" s="264">
        <f t="shared" si="12"/>
        <v>2.58</v>
      </c>
    </row>
    <row r="189" spans="1:12" x14ac:dyDescent="0.2">
      <c r="A189" s="263">
        <v>767</v>
      </c>
      <c r="B189" s="258" t="s">
        <v>216</v>
      </c>
      <c r="C189" s="270" t="s">
        <v>141</v>
      </c>
      <c r="D189" s="270" t="s">
        <v>1916</v>
      </c>
      <c r="E189" s="297">
        <f>VLOOKUP(A189,'Phase In Option'!$A$16:$D$220,4,FALSE)</f>
        <v>25560</v>
      </c>
      <c r="F189" s="264">
        <v>312.49</v>
      </c>
      <c r="G189" s="264">
        <f>VLOOKUP(A189,'Phase In Option'!$A$16:$H$220,8,FALSE)</f>
        <v>320.39999999999998</v>
      </c>
      <c r="H189" s="264">
        <f t="shared" ref="H189:H252" si="13">G189-F189</f>
        <v>7.91</v>
      </c>
      <c r="I189" s="259">
        <f t="shared" si="11"/>
        <v>202180</v>
      </c>
      <c r="J189" s="264">
        <v>32.26</v>
      </c>
      <c r="K189" s="264">
        <f>VLOOKUP(A189,FRV!$A$4:$U$208,21,FALSE)</f>
        <v>44.29</v>
      </c>
      <c r="L189" s="264">
        <f t="shared" si="12"/>
        <v>12.03</v>
      </c>
    </row>
    <row r="190" spans="1:12" x14ac:dyDescent="0.2">
      <c r="A190" s="263">
        <v>228</v>
      </c>
      <c r="B190" s="258" t="s">
        <v>495</v>
      </c>
      <c r="C190" s="270" t="s">
        <v>141</v>
      </c>
      <c r="D190" s="270" t="s">
        <v>1894</v>
      </c>
      <c r="E190" s="297">
        <f>VLOOKUP(A190,'Phase In Option'!$A$16:$D$220,4,FALSE)</f>
        <v>19680</v>
      </c>
      <c r="F190" s="264">
        <v>335.31</v>
      </c>
      <c r="G190" s="264">
        <f>VLOOKUP(A190,'Phase In Option'!$A$16:$H$220,8,FALSE)</f>
        <v>331.01</v>
      </c>
      <c r="H190" s="264">
        <f t="shared" si="13"/>
        <v>-4.3</v>
      </c>
      <c r="I190" s="259">
        <f t="shared" ref="I190:I253" si="14">ROUND(E190*H190,0)</f>
        <v>-84624</v>
      </c>
      <c r="J190" s="264">
        <v>25.89</v>
      </c>
      <c r="K190" s="264">
        <f>VLOOKUP(A190,FRV!$A$4:$U$208,21,FALSE)</f>
        <v>25.89</v>
      </c>
      <c r="L190" s="264">
        <f t="shared" ref="L190:L253" si="15">K190-J190</f>
        <v>0</v>
      </c>
    </row>
    <row r="191" spans="1:12" x14ac:dyDescent="0.2">
      <c r="A191" s="263">
        <v>36</v>
      </c>
      <c r="B191" s="258" t="s">
        <v>197</v>
      </c>
      <c r="C191" s="270" t="s">
        <v>141</v>
      </c>
      <c r="D191" s="270" t="s">
        <v>1916</v>
      </c>
      <c r="E191" s="297">
        <f>VLOOKUP(A191,'Phase In Option'!$A$16:$D$220,4,FALSE)</f>
        <v>8238</v>
      </c>
      <c r="F191" s="264">
        <v>318.17</v>
      </c>
      <c r="G191" s="264">
        <f>VLOOKUP(A191,'Phase In Option'!$A$16:$H$220,8,FALSE)</f>
        <v>319.04000000000002</v>
      </c>
      <c r="H191" s="264">
        <f t="shared" si="13"/>
        <v>0.87</v>
      </c>
      <c r="I191" s="259">
        <f t="shared" si="14"/>
        <v>7167</v>
      </c>
      <c r="J191" s="264">
        <v>28.69</v>
      </c>
      <c r="K191" s="264">
        <f>VLOOKUP(A191,FRV!$A$4:$U$208,21,FALSE)</f>
        <v>33.64</v>
      </c>
      <c r="L191" s="264">
        <f t="shared" si="15"/>
        <v>4.95</v>
      </c>
    </row>
    <row r="192" spans="1:12" x14ac:dyDescent="0.2">
      <c r="A192" s="263">
        <v>689</v>
      </c>
      <c r="B192" s="258" t="s">
        <v>622</v>
      </c>
      <c r="C192" s="270" t="s">
        <v>141</v>
      </c>
      <c r="D192" s="270" t="s">
        <v>1888</v>
      </c>
      <c r="E192" s="297">
        <f>VLOOKUP(A192,'Phase In Option'!$A$16:$D$220,4,FALSE)</f>
        <v>37032</v>
      </c>
      <c r="F192" s="264">
        <v>350.78</v>
      </c>
      <c r="G192" s="264">
        <f>VLOOKUP(A192,'Phase In Option'!$A$16:$H$220,8,FALSE)</f>
        <v>352.24</v>
      </c>
      <c r="H192" s="264">
        <f t="shared" si="13"/>
        <v>1.46</v>
      </c>
      <c r="I192" s="259">
        <f t="shared" si="14"/>
        <v>54067</v>
      </c>
      <c r="J192" s="264">
        <v>32.26</v>
      </c>
      <c r="K192" s="264">
        <f>VLOOKUP(A192,FRV!$A$4:$U$208,21,FALSE)</f>
        <v>38.36</v>
      </c>
      <c r="L192" s="264">
        <f t="shared" si="15"/>
        <v>6.1</v>
      </c>
    </row>
    <row r="193" spans="1:12" x14ac:dyDescent="0.2">
      <c r="A193" s="263">
        <v>66</v>
      </c>
      <c r="B193" s="258" t="s">
        <v>588</v>
      </c>
      <c r="C193" s="270" t="s">
        <v>141</v>
      </c>
      <c r="D193" s="270" t="s">
        <v>1888</v>
      </c>
      <c r="E193" s="297">
        <f>VLOOKUP(A193,'Phase In Option'!$A$16:$D$220,4,FALSE)</f>
        <v>42536</v>
      </c>
      <c r="F193" s="264">
        <v>326.81</v>
      </c>
      <c r="G193" s="264">
        <f>VLOOKUP(A193,'Phase In Option'!$A$16:$H$220,8,FALSE)</f>
        <v>322.58</v>
      </c>
      <c r="H193" s="264">
        <f t="shared" si="13"/>
        <v>-4.2300000000000004</v>
      </c>
      <c r="I193" s="259">
        <f t="shared" si="14"/>
        <v>-179927</v>
      </c>
      <c r="J193" s="264">
        <v>25.2</v>
      </c>
      <c r="K193" s="264">
        <f>VLOOKUP(A193,FRV!$A$4:$U$208,21,FALSE)</f>
        <v>25.2</v>
      </c>
      <c r="L193" s="264">
        <f t="shared" si="15"/>
        <v>0</v>
      </c>
    </row>
    <row r="194" spans="1:12" x14ac:dyDescent="0.2">
      <c r="A194" s="263">
        <v>98</v>
      </c>
      <c r="B194" s="258" t="s">
        <v>494</v>
      </c>
      <c r="C194" s="270" t="s">
        <v>141</v>
      </c>
      <c r="D194" s="270" t="s">
        <v>1888</v>
      </c>
      <c r="E194" s="297">
        <f>VLOOKUP(A194,'Phase In Option'!$A$16:$D$220,4,FALSE)</f>
        <v>36409</v>
      </c>
      <c r="F194" s="264">
        <v>354.77</v>
      </c>
      <c r="G194" s="264">
        <f>VLOOKUP(A194,'Phase In Option'!$A$16:$H$220,8,FALSE)</f>
        <v>354.61</v>
      </c>
      <c r="H194" s="264">
        <f t="shared" si="13"/>
        <v>-0.16</v>
      </c>
      <c r="I194" s="259">
        <f t="shared" si="14"/>
        <v>-5825</v>
      </c>
      <c r="J194" s="264">
        <v>27.55</v>
      </c>
      <c r="K194" s="264">
        <f>VLOOKUP(A194,FRV!$A$4:$U$208,21,FALSE)</f>
        <v>32.08</v>
      </c>
      <c r="L194" s="264">
        <f t="shared" si="15"/>
        <v>4.53</v>
      </c>
    </row>
    <row r="195" spans="1:12" x14ac:dyDescent="0.2">
      <c r="A195" s="263">
        <v>310</v>
      </c>
      <c r="B195" s="258" t="s">
        <v>693</v>
      </c>
      <c r="C195" s="270" t="s">
        <v>141</v>
      </c>
      <c r="D195" s="270" t="s">
        <v>1888</v>
      </c>
      <c r="E195" s="297">
        <f>VLOOKUP(A195,'Phase In Option'!$A$16:$D$220,4,FALSE)</f>
        <v>27001</v>
      </c>
      <c r="F195" s="264">
        <v>354.38</v>
      </c>
      <c r="G195" s="264">
        <f>VLOOKUP(A195,'Phase In Option'!$A$16:$H$220,8,FALSE)</f>
        <v>352.28</v>
      </c>
      <c r="H195" s="264">
        <f t="shared" si="13"/>
        <v>-2.1</v>
      </c>
      <c r="I195" s="259">
        <f t="shared" si="14"/>
        <v>-56702</v>
      </c>
      <c r="J195" s="264">
        <v>32.26</v>
      </c>
      <c r="K195" s="264">
        <f>VLOOKUP(A195,FRV!$A$4:$U$208,21,FALSE)</f>
        <v>34.82</v>
      </c>
      <c r="L195" s="264">
        <f t="shared" si="15"/>
        <v>2.56</v>
      </c>
    </row>
    <row r="196" spans="1:12" x14ac:dyDescent="0.2">
      <c r="A196" s="263">
        <v>240</v>
      </c>
      <c r="B196" s="258" t="s">
        <v>641</v>
      </c>
      <c r="C196" s="270" t="s">
        <v>141</v>
      </c>
      <c r="D196" s="270" t="s">
        <v>1888</v>
      </c>
      <c r="E196" s="297">
        <f>VLOOKUP(A196,'Phase In Option'!$A$16:$D$220,4,FALSE)</f>
        <v>28819</v>
      </c>
      <c r="F196" s="264">
        <v>380.14</v>
      </c>
      <c r="G196" s="264">
        <f>VLOOKUP(A196,'Phase In Option'!$A$16:$H$220,8,FALSE)</f>
        <v>386.2</v>
      </c>
      <c r="H196" s="264">
        <f t="shared" si="13"/>
        <v>6.06</v>
      </c>
      <c r="I196" s="259">
        <f t="shared" si="14"/>
        <v>174643</v>
      </c>
      <c r="J196" s="264">
        <v>30.07</v>
      </c>
      <c r="K196" s="264">
        <f>VLOOKUP(A196,FRV!$A$4:$U$208,21,FALSE)</f>
        <v>41.28</v>
      </c>
      <c r="L196" s="264">
        <f t="shared" si="15"/>
        <v>11.21</v>
      </c>
    </row>
    <row r="197" spans="1:12" x14ac:dyDescent="0.2">
      <c r="A197" s="263">
        <v>154</v>
      </c>
      <c r="B197" s="258" t="s">
        <v>491</v>
      </c>
      <c r="C197" s="270" t="s">
        <v>141</v>
      </c>
      <c r="D197" s="270" t="s">
        <v>1888</v>
      </c>
      <c r="E197" s="297">
        <f>VLOOKUP(A197,'Phase In Option'!$A$16:$D$220,4,FALSE)</f>
        <v>26432</v>
      </c>
      <c r="F197" s="264">
        <v>339.86</v>
      </c>
      <c r="G197" s="264">
        <f>VLOOKUP(A197,'Phase In Option'!$A$16:$H$220,8,FALSE)</f>
        <v>335.48</v>
      </c>
      <c r="H197" s="264">
        <f t="shared" si="13"/>
        <v>-4.38</v>
      </c>
      <c r="I197" s="259">
        <f t="shared" si="14"/>
        <v>-115772</v>
      </c>
      <c r="J197" s="264">
        <v>29.5</v>
      </c>
      <c r="K197" s="264">
        <f>VLOOKUP(A197,FRV!$A$4:$U$208,21,FALSE)</f>
        <v>29.5</v>
      </c>
      <c r="L197" s="264">
        <f t="shared" si="15"/>
        <v>0</v>
      </c>
    </row>
    <row r="198" spans="1:12" x14ac:dyDescent="0.2">
      <c r="A198" s="263">
        <v>695</v>
      </c>
      <c r="B198" s="258" t="s">
        <v>623</v>
      </c>
      <c r="C198" s="270" t="s">
        <v>141</v>
      </c>
      <c r="D198" s="270" t="s">
        <v>1888</v>
      </c>
      <c r="E198" s="297">
        <f>VLOOKUP(A198,'Phase In Option'!$A$16:$D$220,4,FALSE)</f>
        <v>35482</v>
      </c>
      <c r="F198" s="264">
        <v>370.52</v>
      </c>
      <c r="G198" s="264">
        <f>VLOOKUP(A198,'Phase In Option'!$A$16:$H$220,8,FALSE)</f>
        <v>368.02</v>
      </c>
      <c r="H198" s="264">
        <f t="shared" si="13"/>
        <v>-2.5</v>
      </c>
      <c r="I198" s="259">
        <f t="shared" si="14"/>
        <v>-88705</v>
      </c>
      <c r="J198" s="264">
        <v>32.01</v>
      </c>
      <c r="K198" s="264">
        <f>VLOOKUP(A198,FRV!$A$4:$U$208,21,FALSE)</f>
        <v>34.369999999999997</v>
      </c>
      <c r="L198" s="264">
        <f t="shared" si="15"/>
        <v>2.36</v>
      </c>
    </row>
    <row r="199" spans="1:12" x14ac:dyDescent="0.2">
      <c r="A199" s="263">
        <v>324</v>
      </c>
      <c r="B199" s="258" t="s">
        <v>695</v>
      </c>
      <c r="C199" s="270" t="s">
        <v>141</v>
      </c>
      <c r="D199" s="270" t="s">
        <v>1888</v>
      </c>
      <c r="E199" s="297">
        <f>VLOOKUP(A199,'Phase In Option'!$A$16:$D$220,4,FALSE)</f>
        <v>35899</v>
      </c>
      <c r="F199" s="264">
        <v>363.83</v>
      </c>
      <c r="G199" s="264">
        <f>VLOOKUP(A199,'Phase In Option'!$A$16:$H$220,8,FALSE)</f>
        <v>364.6</v>
      </c>
      <c r="H199" s="264">
        <f t="shared" si="13"/>
        <v>0.77</v>
      </c>
      <c r="I199" s="259">
        <f t="shared" si="14"/>
        <v>27642</v>
      </c>
      <c r="J199" s="264">
        <v>29.12</v>
      </c>
      <c r="K199" s="264">
        <f>VLOOKUP(A199,FRV!$A$4:$U$208,21,FALSE)</f>
        <v>34.700000000000003</v>
      </c>
      <c r="L199" s="264">
        <f t="shared" si="15"/>
        <v>5.58</v>
      </c>
    </row>
    <row r="200" spans="1:12" x14ac:dyDescent="0.2">
      <c r="A200" s="263">
        <v>52</v>
      </c>
      <c r="B200" s="258" t="s">
        <v>447</v>
      </c>
      <c r="C200" s="270" t="s">
        <v>141</v>
      </c>
      <c r="D200" s="270" t="s">
        <v>1910</v>
      </c>
      <c r="E200" s="297">
        <f>VLOOKUP(A200,'Phase In Option'!$A$16:$D$220,4,FALSE)</f>
        <v>7347</v>
      </c>
      <c r="F200" s="264">
        <v>313.95999999999998</v>
      </c>
      <c r="G200" s="264">
        <f>VLOOKUP(A200,'Phase In Option'!$A$16:$H$220,8,FALSE)</f>
        <v>321.44</v>
      </c>
      <c r="H200" s="264">
        <f t="shared" si="13"/>
        <v>7.48</v>
      </c>
      <c r="I200" s="259">
        <f t="shared" si="14"/>
        <v>54956</v>
      </c>
      <c r="J200" s="264">
        <v>32.26</v>
      </c>
      <c r="K200" s="264">
        <f>VLOOKUP(A200,FRV!$A$4:$U$208,21,FALSE)</f>
        <v>44.29</v>
      </c>
      <c r="L200" s="264">
        <f t="shared" si="15"/>
        <v>12.03</v>
      </c>
    </row>
    <row r="201" spans="1:12" x14ac:dyDescent="0.2">
      <c r="A201" s="263">
        <v>743</v>
      </c>
      <c r="B201" s="258" t="s">
        <v>213</v>
      </c>
      <c r="C201" s="270" t="s">
        <v>141</v>
      </c>
      <c r="D201" s="270" t="s">
        <v>1889</v>
      </c>
      <c r="E201" s="297">
        <f>VLOOKUP(A201,'Phase In Option'!$A$16:$D$220,4,FALSE)</f>
        <v>13782</v>
      </c>
      <c r="F201" s="264">
        <v>329.95</v>
      </c>
      <c r="G201" s="264">
        <f>VLOOKUP(A201,'Phase In Option'!$A$16:$H$220,8,FALSE)</f>
        <v>338.52</v>
      </c>
      <c r="H201" s="264">
        <f t="shared" si="13"/>
        <v>8.57</v>
      </c>
      <c r="I201" s="259">
        <f t="shared" si="14"/>
        <v>118112</v>
      </c>
      <c r="J201" s="264">
        <v>34.61</v>
      </c>
      <c r="K201" s="264">
        <f>VLOOKUP(A201,FRV!$A$4:$U$208,21,FALSE)</f>
        <v>47.51</v>
      </c>
      <c r="L201" s="264">
        <f t="shared" si="15"/>
        <v>12.9</v>
      </c>
    </row>
    <row r="202" spans="1:12" x14ac:dyDescent="0.2">
      <c r="A202" s="263">
        <v>74</v>
      </c>
      <c r="B202" s="258" t="s">
        <v>205</v>
      </c>
      <c r="C202" s="270" t="s">
        <v>141</v>
      </c>
      <c r="D202" s="270" t="s">
        <v>1911</v>
      </c>
      <c r="E202" s="297">
        <f>VLOOKUP(A202,'Phase In Option'!$A$16:$D$220,4,FALSE)</f>
        <v>27770</v>
      </c>
      <c r="F202" s="264">
        <v>350.91</v>
      </c>
      <c r="G202" s="264">
        <f>VLOOKUP(A202,'Phase In Option'!$A$16:$H$220,8,FALSE)</f>
        <v>357.27</v>
      </c>
      <c r="H202" s="264">
        <f t="shared" si="13"/>
        <v>6.36</v>
      </c>
      <c r="I202" s="259">
        <f t="shared" si="14"/>
        <v>176617</v>
      </c>
      <c r="J202" s="264">
        <v>30.61</v>
      </c>
      <c r="K202" s="264">
        <f>VLOOKUP(A202,FRV!$A$4:$U$208,21,FALSE)</f>
        <v>42.03</v>
      </c>
      <c r="L202" s="264">
        <f t="shared" si="15"/>
        <v>11.42</v>
      </c>
    </row>
    <row r="203" spans="1:12" x14ac:dyDescent="0.2">
      <c r="A203" s="263">
        <v>1421</v>
      </c>
      <c r="B203" s="258" t="s">
        <v>713</v>
      </c>
      <c r="C203" s="270" t="s">
        <v>141</v>
      </c>
      <c r="D203" s="270" t="s">
        <v>1916</v>
      </c>
      <c r="E203" s="297">
        <f>VLOOKUP(A203,'Phase In Option'!$A$16:$D$220,4,FALSE)</f>
        <v>12561</v>
      </c>
      <c r="F203" s="264">
        <v>346.89</v>
      </c>
      <c r="G203" s="264">
        <f>VLOOKUP(A203,'Phase In Option'!$A$16:$H$220,8,FALSE)</f>
        <v>348.5</v>
      </c>
      <c r="H203" s="264">
        <f t="shared" si="13"/>
        <v>1.61</v>
      </c>
      <c r="I203" s="259">
        <f t="shared" si="14"/>
        <v>20223</v>
      </c>
      <c r="J203" s="264">
        <v>29.72</v>
      </c>
      <c r="K203" s="264">
        <f>VLOOKUP(A203,FRV!$A$4:$U$208,21,FALSE)</f>
        <v>35.93</v>
      </c>
      <c r="L203" s="264">
        <f t="shared" si="15"/>
        <v>6.21</v>
      </c>
    </row>
    <row r="204" spans="1:12" x14ac:dyDescent="0.2">
      <c r="A204" s="263">
        <v>112</v>
      </c>
      <c r="B204" s="258" t="s">
        <v>227</v>
      </c>
      <c r="C204" s="270" t="s">
        <v>141</v>
      </c>
      <c r="D204" s="270" t="s">
        <v>1889</v>
      </c>
      <c r="E204" s="297">
        <f>VLOOKUP(A204,'Phase In Option'!$A$16:$D$220,4,FALSE)</f>
        <v>36536</v>
      </c>
      <c r="F204" s="264">
        <v>321</v>
      </c>
      <c r="G204" s="264">
        <f>VLOOKUP(A204,'Phase In Option'!$A$16:$H$220,8,FALSE)</f>
        <v>316.95</v>
      </c>
      <c r="H204" s="264">
        <f t="shared" si="13"/>
        <v>-4.05</v>
      </c>
      <c r="I204" s="259">
        <f t="shared" si="14"/>
        <v>-147971</v>
      </c>
      <c r="J204" s="264">
        <v>23.29</v>
      </c>
      <c r="K204" s="264">
        <f>VLOOKUP(A204,FRV!$A$4:$U$208,21,FALSE)</f>
        <v>23.29</v>
      </c>
      <c r="L204" s="264">
        <f t="shared" si="15"/>
        <v>0</v>
      </c>
    </row>
    <row r="205" spans="1:12" x14ac:dyDescent="0.2">
      <c r="A205" s="263">
        <v>118</v>
      </c>
      <c r="B205" s="258" t="s">
        <v>470</v>
      </c>
      <c r="C205" s="270" t="s">
        <v>141</v>
      </c>
      <c r="D205" s="270" t="s">
        <v>1895</v>
      </c>
      <c r="E205" s="297">
        <f>VLOOKUP(A205,'Phase In Option'!$A$16:$D$220,4,FALSE)</f>
        <v>31770</v>
      </c>
      <c r="F205" s="264">
        <v>366.65</v>
      </c>
      <c r="G205" s="264">
        <f>VLOOKUP(A205,'Phase In Option'!$A$16:$H$220,8,FALSE)</f>
        <v>366.28</v>
      </c>
      <c r="H205" s="264">
        <f t="shared" si="13"/>
        <v>-0.37</v>
      </c>
      <c r="I205" s="259">
        <f t="shared" si="14"/>
        <v>-11755</v>
      </c>
      <c r="J205" s="264">
        <v>28.49</v>
      </c>
      <c r="K205" s="264">
        <f>VLOOKUP(A205,FRV!$A$4:$U$208,21,FALSE)</f>
        <v>32.96</v>
      </c>
      <c r="L205" s="264">
        <f t="shared" si="15"/>
        <v>4.47</v>
      </c>
    </row>
    <row r="206" spans="1:12" x14ac:dyDescent="0.2">
      <c r="A206" s="263">
        <v>735</v>
      </c>
      <c r="B206" s="258" t="s">
        <v>649</v>
      </c>
      <c r="C206" s="270" t="s">
        <v>141</v>
      </c>
      <c r="D206" s="270" t="s">
        <v>1897</v>
      </c>
      <c r="E206" s="297">
        <f>VLOOKUP(A206,'Phase In Option'!$A$16:$D$220,4,FALSE)</f>
        <v>42282</v>
      </c>
      <c r="F206" s="264">
        <v>348.89</v>
      </c>
      <c r="G206" s="264">
        <f>VLOOKUP(A206,'Phase In Option'!$A$16:$H$220,8,FALSE)</f>
        <v>349.23</v>
      </c>
      <c r="H206" s="264">
        <f t="shared" si="13"/>
        <v>0.34</v>
      </c>
      <c r="I206" s="259">
        <f t="shared" si="14"/>
        <v>14376</v>
      </c>
      <c r="J206" s="264">
        <v>29.15</v>
      </c>
      <c r="K206" s="264">
        <f>VLOOKUP(A206,FRV!$A$4:$U$208,21,FALSE)</f>
        <v>34.049999999999997</v>
      </c>
      <c r="L206" s="264">
        <f t="shared" si="15"/>
        <v>4.9000000000000004</v>
      </c>
    </row>
    <row r="207" spans="1:12" x14ac:dyDescent="0.2">
      <c r="A207" s="263">
        <v>262</v>
      </c>
      <c r="B207" s="258" t="s">
        <v>601</v>
      </c>
      <c r="C207" s="270" t="s">
        <v>141</v>
      </c>
      <c r="D207" s="270" t="s">
        <v>1897</v>
      </c>
      <c r="E207" s="297">
        <f>VLOOKUP(A207,'Phase In Option'!$A$16:$D$220,4,FALSE)</f>
        <v>38409</v>
      </c>
      <c r="F207" s="264">
        <v>341.53</v>
      </c>
      <c r="G207" s="264">
        <f>VLOOKUP(A207,'Phase In Option'!$A$16:$H$220,8,FALSE)</f>
        <v>337.14</v>
      </c>
      <c r="H207" s="264">
        <f t="shared" si="13"/>
        <v>-4.3899999999999997</v>
      </c>
      <c r="I207" s="259">
        <f t="shared" si="14"/>
        <v>-168616</v>
      </c>
      <c r="J207" s="264">
        <v>23.48</v>
      </c>
      <c r="K207" s="264">
        <f>VLOOKUP(A207,FRV!$A$4:$U$208,21,FALSE)</f>
        <v>23.48</v>
      </c>
      <c r="L207" s="264">
        <f t="shared" si="15"/>
        <v>0</v>
      </c>
    </row>
    <row r="208" spans="1:12" x14ac:dyDescent="0.2">
      <c r="A208" s="263">
        <v>412</v>
      </c>
      <c r="B208" s="258" t="s">
        <v>651</v>
      </c>
      <c r="C208" s="270" t="s">
        <v>141</v>
      </c>
      <c r="D208" s="270" t="s">
        <v>1897</v>
      </c>
      <c r="E208" s="297">
        <f>VLOOKUP(A208,'Phase In Option'!$A$16:$D$220,4,FALSE)</f>
        <v>19515</v>
      </c>
      <c r="F208" s="264">
        <v>344.69</v>
      </c>
      <c r="G208" s="264">
        <f>VLOOKUP(A208,'Phase In Option'!$A$16:$H$220,8,FALSE)</f>
        <v>340.21</v>
      </c>
      <c r="H208" s="264">
        <f t="shared" si="13"/>
        <v>-4.4800000000000004</v>
      </c>
      <c r="I208" s="259">
        <f t="shared" si="14"/>
        <v>-87427</v>
      </c>
      <c r="J208" s="264">
        <v>29.54</v>
      </c>
      <c r="K208" s="264">
        <f>VLOOKUP(A208,FRV!$A$4:$U$208,21,FALSE)</f>
        <v>29.54</v>
      </c>
      <c r="L208" s="264">
        <f t="shared" si="15"/>
        <v>0</v>
      </c>
    </row>
    <row r="209" spans="1:12" x14ac:dyDescent="0.2">
      <c r="A209" s="263">
        <v>372</v>
      </c>
      <c r="B209" s="258" t="s">
        <v>653</v>
      </c>
      <c r="C209" s="270" t="s">
        <v>141</v>
      </c>
      <c r="D209" s="270" t="s">
        <v>1897</v>
      </c>
      <c r="E209" s="297">
        <f>VLOOKUP(A209,'Phase In Option'!$A$16:$D$220,4,FALSE)</f>
        <v>30607</v>
      </c>
      <c r="F209" s="264">
        <v>349.2</v>
      </c>
      <c r="G209" s="264">
        <f>VLOOKUP(A209,'Phase In Option'!$A$16:$H$220,8,FALSE)</f>
        <v>349.44</v>
      </c>
      <c r="H209" s="264">
        <f t="shared" si="13"/>
        <v>0.24</v>
      </c>
      <c r="I209" s="259">
        <f t="shared" si="14"/>
        <v>7346</v>
      </c>
      <c r="J209" s="264">
        <v>32.26</v>
      </c>
      <c r="K209" s="264">
        <f>VLOOKUP(A209,FRV!$A$4:$U$208,21,FALSE)</f>
        <v>37.04</v>
      </c>
      <c r="L209" s="264">
        <f t="shared" si="15"/>
        <v>4.78</v>
      </c>
    </row>
    <row r="210" spans="1:12" x14ac:dyDescent="0.2">
      <c r="A210" s="263">
        <v>130</v>
      </c>
      <c r="B210" s="258" t="s">
        <v>472</v>
      </c>
      <c r="C210" s="270" t="s">
        <v>141</v>
      </c>
      <c r="D210" s="270" t="s">
        <v>1894</v>
      </c>
      <c r="E210" s="297">
        <f>VLOOKUP(A210,'Phase In Option'!$A$16:$D$220,4,FALSE)</f>
        <v>21197</v>
      </c>
      <c r="F210" s="264">
        <v>330.98</v>
      </c>
      <c r="G210" s="264">
        <f>VLOOKUP(A210,'Phase In Option'!$A$16:$H$220,8,FALSE)</f>
        <v>336.57</v>
      </c>
      <c r="H210" s="264">
        <f t="shared" si="13"/>
        <v>5.59</v>
      </c>
      <c r="I210" s="259">
        <f t="shared" si="14"/>
        <v>118491</v>
      </c>
      <c r="J210" s="264">
        <v>26.95</v>
      </c>
      <c r="K210" s="264">
        <f>VLOOKUP(A210,FRV!$A$4:$U$208,21,FALSE)</f>
        <v>36.99</v>
      </c>
      <c r="L210" s="264">
        <f t="shared" si="15"/>
        <v>10.039999999999999</v>
      </c>
    </row>
    <row r="211" spans="1:12" x14ac:dyDescent="0.2">
      <c r="A211" s="263">
        <v>298</v>
      </c>
      <c r="B211" s="258" t="s">
        <v>345</v>
      </c>
      <c r="C211" s="270" t="s">
        <v>141</v>
      </c>
      <c r="D211" s="270" t="s">
        <v>1901</v>
      </c>
      <c r="E211" s="297">
        <f>VLOOKUP(A211,'Phase In Option'!$A$16:$D$220,4,FALSE)</f>
        <v>24155</v>
      </c>
      <c r="F211" s="264">
        <v>345.59</v>
      </c>
      <c r="G211" s="264">
        <f>VLOOKUP(A211,'Phase In Option'!$A$16:$H$220,8,FALSE)</f>
        <v>350.92</v>
      </c>
      <c r="H211" s="264">
        <f t="shared" si="13"/>
        <v>5.33</v>
      </c>
      <c r="I211" s="259">
        <f t="shared" si="14"/>
        <v>128746</v>
      </c>
      <c r="J211" s="264">
        <v>26.83</v>
      </c>
      <c r="K211" s="264">
        <f>VLOOKUP(A211,FRV!$A$4:$U$208,21,FALSE)</f>
        <v>36.83</v>
      </c>
      <c r="L211" s="264">
        <f t="shared" si="15"/>
        <v>10</v>
      </c>
    </row>
    <row r="212" spans="1:12" x14ac:dyDescent="0.2">
      <c r="A212" s="263">
        <v>26</v>
      </c>
      <c r="B212" s="258" t="s">
        <v>199</v>
      </c>
      <c r="C212" s="270" t="s">
        <v>141</v>
      </c>
      <c r="D212" s="270" t="s">
        <v>1901</v>
      </c>
      <c r="E212" s="297">
        <f>VLOOKUP(A212,'Phase In Option'!$A$16:$D$220,4,FALSE)</f>
        <v>16157</v>
      </c>
      <c r="F212" s="264">
        <v>376.65</v>
      </c>
      <c r="G212" s="264">
        <f>VLOOKUP(A212,'Phase In Option'!$A$16:$H$220,8,FALSE)</f>
        <v>373</v>
      </c>
      <c r="H212" s="264">
        <f t="shared" si="13"/>
        <v>-3.65</v>
      </c>
      <c r="I212" s="259">
        <f t="shared" si="14"/>
        <v>-58973</v>
      </c>
      <c r="J212" s="264">
        <v>29.71</v>
      </c>
      <c r="K212" s="264">
        <f>VLOOKUP(A212,FRV!$A$4:$U$208,21,FALSE)</f>
        <v>30.95</v>
      </c>
      <c r="L212" s="264">
        <f t="shared" si="15"/>
        <v>1.24</v>
      </c>
    </row>
    <row r="213" spans="1:12" x14ac:dyDescent="0.2">
      <c r="A213" s="263">
        <v>697</v>
      </c>
      <c r="B213" s="258" t="s">
        <v>215</v>
      </c>
      <c r="C213" s="270" t="s">
        <v>141</v>
      </c>
      <c r="D213" s="270" t="s">
        <v>1889</v>
      </c>
      <c r="E213" s="297">
        <f>VLOOKUP(A213,'Phase In Option'!$A$16:$D$220,4,FALSE)</f>
        <v>27415</v>
      </c>
      <c r="F213" s="264">
        <v>319.04000000000002</v>
      </c>
      <c r="G213" s="264">
        <f>VLOOKUP(A213,'Phase In Option'!$A$16:$H$220,8,FALSE)</f>
        <v>315</v>
      </c>
      <c r="H213" s="264">
        <f t="shared" si="13"/>
        <v>-4.04</v>
      </c>
      <c r="I213" s="259">
        <f t="shared" si="14"/>
        <v>-110757</v>
      </c>
      <c r="J213" s="264">
        <v>25.34</v>
      </c>
      <c r="K213" s="264">
        <f>VLOOKUP(A213,FRV!$A$4:$U$208,21,FALSE)</f>
        <v>25.34</v>
      </c>
      <c r="L213" s="264">
        <f t="shared" si="15"/>
        <v>0</v>
      </c>
    </row>
    <row r="214" spans="1:12" x14ac:dyDescent="0.2">
      <c r="A214" s="263">
        <v>727</v>
      </c>
      <c r="B214" s="258" t="s">
        <v>214</v>
      </c>
      <c r="C214" s="270" t="s">
        <v>141</v>
      </c>
      <c r="D214" s="270" t="s">
        <v>1889</v>
      </c>
      <c r="E214" s="297">
        <f>VLOOKUP(A214,'Phase In Option'!$A$16:$D$220,4,FALSE)</f>
        <v>23384</v>
      </c>
      <c r="F214" s="264">
        <v>350.5</v>
      </c>
      <c r="G214" s="264">
        <f>VLOOKUP(A214,'Phase In Option'!$A$16:$H$220,8,FALSE)</f>
        <v>346.02</v>
      </c>
      <c r="H214" s="264">
        <f t="shared" si="13"/>
        <v>-4.4800000000000004</v>
      </c>
      <c r="I214" s="259">
        <f t="shared" si="14"/>
        <v>-104760</v>
      </c>
      <c r="J214" s="264">
        <v>26.51</v>
      </c>
      <c r="K214" s="264">
        <f>VLOOKUP(A214,FRV!$A$4:$U$208,21,FALSE)</f>
        <v>26.51</v>
      </c>
      <c r="L214" s="264">
        <f t="shared" si="15"/>
        <v>0</v>
      </c>
    </row>
    <row r="215" spans="1:12" x14ac:dyDescent="0.2">
      <c r="A215" s="263">
        <v>164</v>
      </c>
      <c r="B215" s="258" t="s">
        <v>712</v>
      </c>
      <c r="C215" s="270" t="s">
        <v>141</v>
      </c>
      <c r="D215" s="270" t="s">
        <v>1890</v>
      </c>
      <c r="E215" s="297">
        <f>VLOOKUP(A215,'Phase In Option'!$A$16:$D$220,4,FALSE)</f>
        <v>7507</v>
      </c>
      <c r="F215" s="264">
        <v>292.22000000000003</v>
      </c>
      <c r="G215" s="264">
        <f>VLOOKUP(A215,'Phase In Option'!$A$16:$H$220,8,FALSE)</f>
        <v>297.74</v>
      </c>
      <c r="H215" s="264">
        <f t="shared" si="13"/>
        <v>5.52</v>
      </c>
      <c r="I215" s="259">
        <f t="shared" si="14"/>
        <v>41439</v>
      </c>
      <c r="J215" s="264">
        <v>28.64</v>
      </c>
      <c r="K215" s="264">
        <f>VLOOKUP(A215,FRV!$A$4:$U$208,21,FALSE)</f>
        <v>37.96</v>
      </c>
      <c r="L215" s="264">
        <f t="shared" si="15"/>
        <v>9.32</v>
      </c>
    </row>
    <row r="216" spans="1:12" x14ac:dyDescent="0.2">
      <c r="A216" s="263">
        <v>174</v>
      </c>
      <c r="B216" s="258" t="s">
        <v>221</v>
      </c>
      <c r="C216" s="270" t="s">
        <v>141</v>
      </c>
      <c r="D216" s="270" t="s">
        <v>1916</v>
      </c>
      <c r="E216" s="297">
        <f>VLOOKUP(A216,'Phase In Option'!$A$16:$D$220,4,FALSE)</f>
        <v>13519</v>
      </c>
      <c r="F216" s="264">
        <v>298.75</v>
      </c>
      <c r="G216" s="264">
        <f>VLOOKUP(A216,'Phase In Option'!$A$16:$H$220,8,FALSE)</f>
        <v>306.45</v>
      </c>
      <c r="H216" s="264">
        <f t="shared" si="13"/>
        <v>7.7</v>
      </c>
      <c r="I216" s="259">
        <f t="shared" si="14"/>
        <v>104096</v>
      </c>
      <c r="J216" s="264">
        <v>32.26</v>
      </c>
      <c r="K216" s="264">
        <f>VLOOKUP(A216,FRV!$A$4:$U$208,21,FALSE)</f>
        <v>44.29</v>
      </c>
      <c r="L216" s="264">
        <f t="shared" si="15"/>
        <v>12.03</v>
      </c>
    </row>
    <row r="217" spans="1:12" x14ac:dyDescent="0.2">
      <c r="A217" s="263">
        <v>1366</v>
      </c>
      <c r="B217" s="258" t="s">
        <v>438</v>
      </c>
      <c r="C217" s="270" t="s">
        <v>141</v>
      </c>
      <c r="D217" s="270" t="s">
        <v>1891</v>
      </c>
      <c r="E217" s="297">
        <f>VLOOKUP(A217,'Phase In Option'!$A$16:$D$220,4,FALSE)</f>
        <v>17735</v>
      </c>
      <c r="F217" s="264">
        <v>376.81</v>
      </c>
      <c r="G217" s="264">
        <f>VLOOKUP(A217,'Phase In Option'!$A$16:$H$220,8,FALSE)</f>
        <v>382.14</v>
      </c>
      <c r="H217" s="264">
        <f t="shared" si="13"/>
        <v>5.33</v>
      </c>
      <c r="I217" s="259">
        <f t="shared" si="14"/>
        <v>94528</v>
      </c>
      <c r="J217" s="264">
        <v>28.15</v>
      </c>
      <c r="K217" s="264">
        <f>VLOOKUP(A217,FRV!$A$4:$U$208,21,FALSE)</f>
        <v>38.64</v>
      </c>
      <c r="L217" s="264">
        <f t="shared" si="15"/>
        <v>10.49</v>
      </c>
    </row>
    <row r="218" spans="1:12" x14ac:dyDescent="0.2">
      <c r="A218" s="263">
        <v>192</v>
      </c>
      <c r="B218" s="258" t="s">
        <v>39</v>
      </c>
      <c r="C218" s="270" t="s">
        <v>141</v>
      </c>
      <c r="D218" s="270" t="s">
        <v>1891</v>
      </c>
      <c r="E218" s="297">
        <f>VLOOKUP(A218,'Phase In Option'!$A$16:$D$220,4,FALSE)</f>
        <v>33069</v>
      </c>
      <c r="F218" s="264">
        <v>380.92</v>
      </c>
      <c r="G218" s="264">
        <f>VLOOKUP(A218,'Phase In Option'!$A$16:$H$220,8,FALSE)</f>
        <v>379.64</v>
      </c>
      <c r="H218" s="264">
        <f t="shared" si="13"/>
        <v>-1.28</v>
      </c>
      <c r="I218" s="259">
        <f t="shared" si="14"/>
        <v>-42328</v>
      </c>
      <c r="J218" s="264">
        <v>29.56</v>
      </c>
      <c r="K218" s="264">
        <f>VLOOKUP(A218,FRV!$A$4:$U$208,21,FALSE)</f>
        <v>33.28</v>
      </c>
      <c r="L218" s="264">
        <f t="shared" si="15"/>
        <v>3.72</v>
      </c>
    </row>
    <row r="219" spans="1:12" x14ac:dyDescent="0.2">
      <c r="A219" s="263">
        <v>230</v>
      </c>
      <c r="B219" s="258" t="s">
        <v>183</v>
      </c>
      <c r="C219" s="270" t="s">
        <v>141</v>
      </c>
      <c r="D219" s="270" t="s">
        <v>1916</v>
      </c>
      <c r="E219" s="297">
        <f>VLOOKUP(A219,'Phase In Option'!$A$16:$D$220,4,FALSE)</f>
        <v>95665</v>
      </c>
      <c r="F219" s="264">
        <v>333.78</v>
      </c>
      <c r="G219" s="264">
        <f>VLOOKUP(A219,'Phase In Option'!$A$16:$H$220,8,FALSE)</f>
        <v>341.02</v>
      </c>
      <c r="H219" s="264">
        <f t="shared" si="13"/>
        <v>7.24</v>
      </c>
      <c r="I219" s="259">
        <f t="shared" si="14"/>
        <v>692615</v>
      </c>
      <c r="J219" s="264">
        <v>32.26</v>
      </c>
      <c r="K219" s="264">
        <f>VLOOKUP(A219,FRV!$A$4:$U$208,21,FALSE)</f>
        <v>44.29</v>
      </c>
      <c r="L219" s="264">
        <f t="shared" si="15"/>
        <v>12.03</v>
      </c>
    </row>
    <row r="220" spans="1:12" x14ac:dyDescent="0.2">
      <c r="A220" s="263">
        <v>460</v>
      </c>
      <c r="B220" s="258" t="s">
        <v>182</v>
      </c>
      <c r="C220" s="270" t="s">
        <v>141</v>
      </c>
      <c r="D220" s="270" t="s">
        <v>1912</v>
      </c>
      <c r="E220" s="297">
        <f>VLOOKUP(A220,'Phase In Option'!$A$16:$D$220,4,FALSE)</f>
        <v>28358</v>
      </c>
      <c r="F220" s="264">
        <v>314.66000000000003</v>
      </c>
      <c r="G220" s="264">
        <f>VLOOKUP(A220,'Phase In Option'!$A$16:$H$220,8,FALSE)</f>
        <v>322.14</v>
      </c>
      <c r="H220" s="264">
        <f t="shared" si="13"/>
        <v>7.48</v>
      </c>
      <c r="I220" s="259">
        <f t="shared" si="14"/>
        <v>212118</v>
      </c>
      <c r="J220" s="264">
        <v>32.26</v>
      </c>
      <c r="K220" s="264">
        <f>VLOOKUP(A220,FRV!$A$4:$U$208,21,FALSE)</f>
        <v>44.29</v>
      </c>
      <c r="L220" s="264">
        <f t="shared" si="15"/>
        <v>12.03</v>
      </c>
    </row>
    <row r="221" spans="1:12" x14ac:dyDescent="0.2">
      <c r="A221" s="263">
        <v>226</v>
      </c>
      <c r="B221" s="258" t="s">
        <v>496</v>
      </c>
      <c r="C221" s="270" t="s">
        <v>141</v>
      </c>
      <c r="D221" s="270" t="s">
        <v>1894</v>
      </c>
      <c r="E221" s="297">
        <f>VLOOKUP(A221,'Phase In Option'!$A$16:$D$220,4,FALSE)</f>
        <v>22629</v>
      </c>
      <c r="F221" s="264">
        <v>316.3</v>
      </c>
      <c r="G221" s="264">
        <f>VLOOKUP(A221,'Phase In Option'!$A$16:$H$220,8,FALSE)</f>
        <v>312.27999999999997</v>
      </c>
      <c r="H221" s="264">
        <f t="shared" si="13"/>
        <v>-4.0199999999999996</v>
      </c>
      <c r="I221" s="259">
        <f t="shared" si="14"/>
        <v>-90969</v>
      </c>
      <c r="J221" s="264">
        <v>23.75</v>
      </c>
      <c r="K221" s="264">
        <f>VLOOKUP(A221,FRV!$A$4:$U$208,21,FALSE)</f>
        <v>23.75</v>
      </c>
      <c r="L221" s="264">
        <f t="shared" si="15"/>
        <v>0</v>
      </c>
    </row>
    <row r="222" spans="1:12" x14ac:dyDescent="0.2">
      <c r="A222" s="263">
        <v>1194</v>
      </c>
      <c r="B222" s="258" t="s">
        <v>237</v>
      </c>
      <c r="C222" s="270" t="s">
        <v>141</v>
      </c>
      <c r="D222" s="270" t="s">
        <v>1916</v>
      </c>
      <c r="E222" s="297">
        <f>VLOOKUP(A222,'Phase In Option'!$A$16:$D$220,4,FALSE)</f>
        <v>0</v>
      </c>
      <c r="F222" s="264">
        <v>333.14</v>
      </c>
      <c r="G222" s="264">
        <f>VLOOKUP(A222,'Phase In Option'!$A$16:$H$220,8,FALSE)</f>
        <v>340.32</v>
      </c>
      <c r="H222" s="264">
        <f t="shared" si="13"/>
        <v>7.18</v>
      </c>
      <c r="I222" s="259">
        <f t="shared" si="14"/>
        <v>0</v>
      </c>
      <c r="J222" s="264">
        <v>32.17</v>
      </c>
      <c r="K222" s="264">
        <f>VLOOKUP(A222,FRV!$A$4:$U$208,21,FALSE)</f>
        <v>44.17</v>
      </c>
      <c r="L222" s="264">
        <f t="shared" si="15"/>
        <v>12</v>
      </c>
    </row>
    <row r="223" spans="1:12" x14ac:dyDescent="0.2">
      <c r="A223" s="263">
        <v>256</v>
      </c>
      <c r="B223" s="258" t="s">
        <v>228</v>
      </c>
      <c r="C223" s="270" t="s">
        <v>141</v>
      </c>
      <c r="D223" s="270" t="s">
        <v>1889</v>
      </c>
      <c r="E223" s="297">
        <f>VLOOKUP(A223,'Phase In Option'!$A$16:$D$220,4,FALSE)</f>
        <v>16825</v>
      </c>
      <c r="F223" s="264">
        <v>332.67</v>
      </c>
      <c r="G223" s="264">
        <f>VLOOKUP(A223,'Phase In Option'!$A$16:$H$220,8,FALSE)</f>
        <v>329.47</v>
      </c>
      <c r="H223" s="264">
        <f t="shared" si="13"/>
        <v>-3.2</v>
      </c>
      <c r="I223" s="259">
        <f t="shared" si="14"/>
        <v>-53840</v>
      </c>
      <c r="J223" s="264">
        <v>28</v>
      </c>
      <c r="K223" s="264">
        <f>VLOOKUP(A223,FRV!$A$4:$U$208,21,FALSE)</f>
        <v>29.03</v>
      </c>
      <c r="L223" s="264">
        <f t="shared" si="15"/>
        <v>1.03</v>
      </c>
    </row>
    <row r="224" spans="1:12" x14ac:dyDescent="0.2">
      <c r="A224" s="263">
        <v>312</v>
      </c>
      <c r="B224" s="258" t="s">
        <v>497</v>
      </c>
      <c r="C224" s="270" t="s">
        <v>141</v>
      </c>
      <c r="D224" s="270" t="s">
        <v>1894</v>
      </c>
      <c r="E224" s="297">
        <f>VLOOKUP(A224,'Phase In Option'!$A$16:$D$220,4,FALSE)</f>
        <v>23180</v>
      </c>
      <c r="F224" s="264">
        <v>317.35000000000002</v>
      </c>
      <c r="G224" s="264">
        <f>VLOOKUP(A224,'Phase In Option'!$A$16:$H$220,8,FALSE)</f>
        <v>313.26</v>
      </c>
      <c r="H224" s="264">
        <f t="shared" si="13"/>
        <v>-4.09</v>
      </c>
      <c r="I224" s="259">
        <f t="shared" si="14"/>
        <v>-94806</v>
      </c>
      <c r="J224" s="264">
        <v>23.96</v>
      </c>
      <c r="K224" s="264">
        <f>VLOOKUP(A224,FRV!$A$4:$U$208,21,FALSE)</f>
        <v>23.96</v>
      </c>
      <c r="L224" s="264">
        <f t="shared" si="15"/>
        <v>0</v>
      </c>
    </row>
    <row r="225" spans="1:12" x14ac:dyDescent="0.2">
      <c r="A225" s="263">
        <v>264</v>
      </c>
      <c r="B225" s="258" t="s">
        <v>400</v>
      </c>
      <c r="C225" s="270" t="s">
        <v>141</v>
      </c>
      <c r="D225" s="270" t="s">
        <v>1901</v>
      </c>
      <c r="E225" s="297">
        <f>VLOOKUP(A225,'Phase In Option'!$A$16:$D$220,4,FALSE)</f>
        <v>24831</v>
      </c>
      <c r="F225" s="264">
        <v>429.21</v>
      </c>
      <c r="G225" s="264">
        <f>VLOOKUP(A225,'Phase In Option'!$A$16:$H$220,8,FALSE)</f>
        <v>433</v>
      </c>
      <c r="H225" s="264">
        <f t="shared" si="13"/>
        <v>3.79</v>
      </c>
      <c r="I225" s="259">
        <f t="shared" si="14"/>
        <v>94109</v>
      </c>
      <c r="J225" s="264">
        <v>32.26</v>
      </c>
      <c r="K225" s="264">
        <f>VLOOKUP(A225,FRV!$A$4:$U$208,21,FALSE)</f>
        <v>41.94</v>
      </c>
      <c r="L225" s="264">
        <f t="shared" si="15"/>
        <v>9.68</v>
      </c>
    </row>
    <row r="226" spans="1:12" x14ac:dyDescent="0.2">
      <c r="A226" s="263">
        <v>268</v>
      </c>
      <c r="B226" s="258" t="s">
        <v>452</v>
      </c>
      <c r="C226" s="270" t="s">
        <v>141</v>
      </c>
      <c r="D226" s="270" t="s">
        <v>1894</v>
      </c>
      <c r="E226" s="297">
        <f>VLOOKUP(A226,'Phase In Option'!$A$16:$D$220,4,FALSE)</f>
        <v>25417</v>
      </c>
      <c r="F226" s="264">
        <v>320.70999999999998</v>
      </c>
      <c r="G226" s="264">
        <f>VLOOKUP(A226,'Phase In Option'!$A$16:$H$220,8,FALSE)</f>
        <v>326.88</v>
      </c>
      <c r="H226" s="264">
        <f t="shared" si="13"/>
        <v>6.17</v>
      </c>
      <c r="I226" s="259">
        <f t="shared" si="14"/>
        <v>156823</v>
      </c>
      <c r="J226" s="264">
        <v>28.06</v>
      </c>
      <c r="K226" s="264">
        <f>VLOOKUP(A226,FRV!$A$4:$U$208,21,FALSE)</f>
        <v>38.53</v>
      </c>
      <c r="L226" s="264">
        <f t="shared" si="15"/>
        <v>10.47</v>
      </c>
    </row>
    <row r="227" spans="1:12" x14ac:dyDescent="0.2">
      <c r="A227" s="263">
        <v>304</v>
      </c>
      <c r="B227" s="258" t="s">
        <v>699</v>
      </c>
      <c r="C227" s="270" t="s">
        <v>141</v>
      </c>
      <c r="D227" s="270" t="s">
        <v>1913</v>
      </c>
      <c r="E227" s="297">
        <f>VLOOKUP(A227,'Phase In Option'!$A$16:$D$220,4,FALSE)</f>
        <v>12913</v>
      </c>
      <c r="F227" s="264">
        <v>359.83</v>
      </c>
      <c r="G227" s="264">
        <f>VLOOKUP(A227,'Phase In Option'!$A$16:$H$220,8,FALSE)</f>
        <v>362.08</v>
      </c>
      <c r="H227" s="264">
        <f t="shared" si="13"/>
        <v>2.25</v>
      </c>
      <c r="I227" s="259">
        <f t="shared" si="14"/>
        <v>29054</v>
      </c>
      <c r="J227" s="264">
        <v>28.51</v>
      </c>
      <c r="K227" s="264">
        <f>VLOOKUP(A227,FRV!$A$4:$U$208,21,FALSE)</f>
        <v>35.57</v>
      </c>
      <c r="L227" s="264">
        <f t="shared" si="15"/>
        <v>7.06</v>
      </c>
    </row>
    <row r="228" spans="1:12" x14ac:dyDescent="0.2">
      <c r="A228" s="263">
        <v>306</v>
      </c>
      <c r="B228" s="258" t="s">
        <v>701</v>
      </c>
      <c r="C228" s="270" t="s">
        <v>141</v>
      </c>
      <c r="D228" s="270" t="s">
        <v>1913</v>
      </c>
      <c r="E228" s="297">
        <f>VLOOKUP(A228,'Phase In Option'!$A$16:$D$220,4,FALSE)</f>
        <v>0</v>
      </c>
      <c r="F228" s="264">
        <v>361.46</v>
      </c>
      <c r="G228" s="264">
        <f>VLOOKUP(A228,'Phase In Option'!$A$16:$H$220,8,FALSE)</f>
        <v>367.24</v>
      </c>
      <c r="H228" s="264">
        <f t="shared" si="13"/>
        <v>5.78</v>
      </c>
      <c r="I228" s="259">
        <f t="shared" si="14"/>
        <v>0</v>
      </c>
      <c r="J228" s="264">
        <v>28.67</v>
      </c>
      <c r="K228" s="264">
        <f>VLOOKUP(A228,FRV!$A$4:$U$208,21,FALSE)</f>
        <v>39.36</v>
      </c>
      <c r="L228" s="264">
        <f t="shared" si="15"/>
        <v>10.69</v>
      </c>
    </row>
    <row r="229" spans="1:12" x14ac:dyDescent="0.2">
      <c r="A229" s="263">
        <v>308</v>
      </c>
      <c r="B229" s="258" t="s">
        <v>703</v>
      </c>
      <c r="C229" s="270" t="s">
        <v>141</v>
      </c>
      <c r="D229" s="270" t="s">
        <v>1913</v>
      </c>
      <c r="E229" s="297">
        <f>VLOOKUP(A229,'Phase In Option'!$A$16:$D$220,4,FALSE)</f>
        <v>16189</v>
      </c>
      <c r="F229" s="264">
        <v>360.74</v>
      </c>
      <c r="G229" s="264">
        <f>VLOOKUP(A229,'Phase In Option'!$A$16:$H$220,8,FALSE)</f>
        <v>365.61</v>
      </c>
      <c r="H229" s="264">
        <f t="shared" si="13"/>
        <v>4.87</v>
      </c>
      <c r="I229" s="259">
        <f t="shared" si="14"/>
        <v>78840</v>
      </c>
      <c r="J229" s="264">
        <v>31.55</v>
      </c>
      <c r="K229" s="264">
        <f>VLOOKUP(A229,FRV!$A$4:$U$208,21,FALSE)</f>
        <v>41.32</v>
      </c>
      <c r="L229" s="264">
        <f t="shared" si="15"/>
        <v>9.77</v>
      </c>
    </row>
    <row r="230" spans="1:12" x14ac:dyDescent="0.2">
      <c r="A230" s="263">
        <v>685</v>
      </c>
      <c r="B230" s="258" t="s">
        <v>607</v>
      </c>
      <c r="C230" s="270" t="s">
        <v>141</v>
      </c>
      <c r="D230" s="270" t="s">
        <v>1913</v>
      </c>
      <c r="E230" s="297">
        <f>VLOOKUP(A230,'Phase In Option'!$A$16:$D$220,4,FALSE)</f>
        <v>32568</v>
      </c>
      <c r="F230" s="264">
        <v>342.68</v>
      </c>
      <c r="G230" s="264">
        <f>VLOOKUP(A230,'Phase In Option'!$A$16:$H$220,8,FALSE)</f>
        <v>348.17</v>
      </c>
      <c r="H230" s="264">
        <f t="shared" si="13"/>
        <v>5.49</v>
      </c>
      <c r="I230" s="259">
        <f t="shared" si="14"/>
        <v>178798</v>
      </c>
      <c r="J230" s="264">
        <v>27.11</v>
      </c>
      <c r="K230" s="264">
        <f>VLOOKUP(A230,FRV!$A$4:$U$208,21,FALSE)</f>
        <v>37.22</v>
      </c>
      <c r="L230" s="264">
        <f t="shared" si="15"/>
        <v>10.11</v>
      </c>
    </row>
    <row r="231" spans="1:12" x14ac:dyDescent="0.2">
      <c r="A231" s="263">
        <v>368</v>
      </c>
      <c r="B231" s="258" t="s">
        <v>507</v>
      </c>
      <c r="C231" s="270" t="s">
        <v>141</v>
      </c>
      <c r="D231" s="270" t="s">
        <v>1894</v>
      </c>
      <c r="E231" s="297">
        <f>VLOOKUP(A231,'Phase In Option'!$A$16:$D$220,4,FALSE)</f>
        <v>43852</v>
      </c>
      <c r="F231" s="264">
        <v>326.69</v>
      </c>
      <c r="G231" s="264">
        <f>VLOOKUP(A231,'Phase In Option'!$A$16:$H$220,8,FALSE)</f>
        <v>326.81</v>
      </c>
      <c r="H231" s="264">
        <f t="shared" si="13"/>
        <v>0.12</v>
      </c>
      <c r="I231" s="259">
        <f t="shared" si="14"/>
        <v>5262</v>
      </c>
      <c r="J231" s="264">
        <v>27.72</v>
      </c>
      <c r="K231" s="264">
        <f>VLOOKUP(A231,FRV!$A$4:$U$208,21,FALSE)</f>
        <v>32.1</v>
      </c>
      <c r="L231" s="264">
        <f t="shared" si="15"/>
        <v>4.38</v>
      </c>
    </row>
    <row r="232" spans="1:12" x14ac:dyDescent="0.2">
      <c r="A232" s="263">
        <v>462</v>
      </c>
      <c r="B232" s="258" t="s">
        <v>394</v>
      </c>
      <c r="C232" s="270" t="s">
        <v>141</v>
      </c>
      <c r="D232" s="270" t="s">
        <v>1916</v>
      </c>
      <c r="E232" s="297">
        <f>VLOOKUP(A232,'Phase In Option'!$A$16:$D$220,4,FALSE)</f>
        <v>17212</v>
      </c>
      <c r="F232" s="264">
        <v>338.71</v>
      </c>
      <c r="G232" s="264">
        <f>VLOOKUP(A232,'Phase In Option'!$A$16:$H$220,8,FALSE)</f>
        <v>341.23</v>
      </c>
      <c r="H232" s="264">
        <f t="shared" si="13"/>
        <v>2.52</v>
      </c>
      <c r="I232" s="259">
        <f t="shared" si="14"/>
        <v>43374</v>
      </c>
      <c r="J232" s="264">
        <v>32.26</v>
      </c>
      <c r="K232" s="264">
        <f>VLOOKUP(A232,FRV!$A$4:$U$208,21,FALSE)</f>
        <v>39.26</v>
      </c>
      <c r="L232" s="264">
        <f t="shared" si="15"/>
        <v>7</v>
      </c>
    </row>
    <row r="233" spans="1:12" x14ac:dyDescent="0.2">
      <c r="A233" s="263">
        <v>1282</v>
      </c>
      <c r="B233" s="258" t="s">
        <v>328</v>
      </c>
      <c r="C233" s="270" t="s">
        <v>141</v>
      </c>
      <c r="D233" s="270" t="s">
        <v>1899</v>
      </c>
      <c r="E233" s="297">
        <f>VLOOKUP(A233,'Phase In Option'!$A$16:$D$220,4,FALSE)</f>
        <v>10097</v>
      </c>
      <c r="F233" s="264">
        <v>336.26</v>
      </c>
      <c r="G233" s="264">
        <f>VLOOKUP(A233,'Phase In Option'!$A$16:$H$220,8,FALSE)</f>
        <v>343.63</v>
      </c>
      <c r="H233" s="264">
        <f t="shared" si="13"/>
        <v>7.37</v>
      </c>
      <c r="I233" s="259">
        <f t="shared" si="14"/>
        <v>74415</v>
      </c>
      <c r="J233" s="264">
        <v>32.17</v>
      </c>
      <c r="K233" s="264">
        <f>VLOOKUP(A233,FRV!$A$4:$U$208,21,FALSE)</f>
        <v>44.17</v>
      </c>
      <c r="L233" s="264">
        <f t="shared" si="15"/>
        <v>12</v>
      </c>
    </row>
    <row r="234" spans="1:12" x14ac:dyDescent="0.2">
      <c r="A234" s="263">
        <v>380</v>
      </c>
      <c r="B234" s="258" t="s">
        <v>226</v>
      </c>
      <c r="C234" s="270" t="s">
        <v>141</v>
      </c>
      <c r="D234" s="270" t="s">
        <v>1896</v>
      </c>
      <c r="E234" s="297">
        <f>VLOOKUP(A234,'Phase In Option'!$A$16:$D$220,4,FALSE)</f>
        <v>5502</v>
      </c>
      <c r="F234" s="264">
        <v>327.02999999999997</v>
      </c>
      <c r="G234" s="264">
        <f>VLOOKUP(A234,'Phase In Option'!$A$16:$H$220,8,FALSE)</f>
        <v>334.33</v>
      </c>
      <c r="H234" s="264">
        <f t="shared" si="13"/>
        <v>7.3</v>
      </c>
      <c r="I234" s="259">
        <f t="shared" si="14"/>
        <v>40165</v>
      </c>
      <c r="J234" s="264">
        <v>32.26</v>
      </c>
      <c r="K234" s="264">
        <f>VLOOKUP(A234,FRV!$A$4:$U$208,21,FALSE)</f>
        <v>44.29</v>
      </c>
      <c r="L234" s="264">
        <f t="shared" si="15"/>
        <v>12.03</v>
      </c>
    </row>
    <row r="235" spans="1:12" x14ac:dyDescent="0.2">
      <c r="A235" s="263">
        <v>394</v>
      </c>
      <c r="B235" s="258" t="s">
        <v>184</v>
      </c>
      <c r="C235" s="270" t="s">
        <v>141</v>
      </c>
      <c r="D235" s="270" t="s">
        <v>1916</v>
      </c>
      <c r="E235" s="297">
        <f>VLOOKUP(A235,'Phase In Option'!$A$16:$D$220,4,FALSE)</f>
        <v>11935</v>
      </c>
      <c r="F235" s="264">
        <v>294.81</v>
      </c>
      <c r="G235" s="264">
        <f>VLOOKUP(A235,'Phase In Option'!$A$16:$H$220,8,FALSE)</f>
        <v>299.38</v>
      </c>
      <c r="H235" s="264">
        <f t="shared" si="13"/>
        <v>4.57</v>
      </c>
      <c r="I235" s="259">
        <f t="shared" si="14"/>
        <v>54543</v>
      </c>
      <c r="J235" s="264">
        <v>23.64</v>
      </c>
      <c r="K235" s="264">
        <f>VLOOKUP(A235,FRV!$A$4:$U$208,21,FALSE)</f>
        <v>32.450000000000003</v>
      </c>
      <c r="L235" s="264">
        <f t="shared" si="15"/>
        <v>8.81</v>
      </c>
    </row>
    <row r="236" spans="1:12" x14ac:dyDescent="0.2">
      <c r="A236" s="263">
        <v>92</v>
      </c>
      <c r="B236" s="258" t="s">
        <v>739</v>
      </c>
      <c r="C236" s="270" t="s">
        <v>141</v>
      </c>
      <c r="D236" s="270" t="s">
        <v>1909</v>
      </c>
      <c r="E236" s="297">
        <f>VLOOKUP(A236,'Phase In Option'!$A$16:$D$220,4,FALSE)</f>
        <v>30372</v>
      </c>
      <c r="F236" s="264">
        <v>369.56</v>
      </c>
      <c r="G236" s="264">
        <f>VLOOKUP(A236,'Phase In Option'!$A$16:$H$220,8,FALSE)</f>
        <v>366.15</v>
      </c>
      <c r="H236" s="264">
        <f t="shared" si="13"/>
        <v>-3.41</v>
      </c>
      <c r="I236" s="259">
        <f t="shared" si="14"/>
        <v>-103569</v>
      </c>
      <c r="J236" s="264">
        <v>32.26</v>
      </c>
      <c r="K236" s="264">
        <f>VLOOKUP(A236,FRV!$A$4:$U$208,21,FALSE)</f>
        <v>33.69</v>
      </c>
      <c r="L236" s="264">
        <f t="shared" si="15"/>
        <v>1.43</v>
      </c>
    </row>
    <row r="237" spans="1:12" x14ac:dyDescent="0.2">
      <c r="A237" s="263">
        <v>402</v>
      </c>
      <c r="B237" s="258" t="s">
        <v>458</v>
      </c>
      <c r="C237" s="270" t="s">
        <v>141</v>
      </c>
      <c r="D237" s="270" t="s">
        <v>1894</v>
      </c>
      <c r="E237" s="297">
        <f>VLOOKUP(A237,'Phase In Option'!$A$16:$D$220,4,FALSE)</f>
        <v>29507</v>
      </c>
      <c r="F237" s="264">
        <v>343.31</v>
      </c>
      <c r="G237" s="264">
        <f>VLOOKUP(A237,'Phase In Option'!$A$16:$H$220,8,FALSE)</f>
        <v>341.16</v>
      </c>
      <c r="H237" s="264">
        <f t="shared" si="13"/>
        <v>-2.15</v>
      </c>
      <c r="I237" s="259">
        <f t="shared" si="14"/>
        <v>-63440</v>
      </c>
      <c r="J237" s="264">
        <v>27.67</v>
      </c>
      <c r="K237" s="264">
        <f>VLOOKUP(A237,FRV!$A$4:$U$208,21,FALSE)</f>
        <v>30.01</v>
      </c>
      <c r="L237" s="264">
        <f t="shared" si="15"/>
        <v>2.34</v>
      </c>
    </row>
    <row r="238" spans="1:12" x14ac:dyDescent="0.2">
      <c r="A238" s="263">
        <v>28</v>
      </c>
      <c r="B238" s="258" t="s">
        <v>711</v>
      </c>
      <c r="C238" s="270" t="s">
        <v>141</v>
      </c>
      <c r="D238" s="270" t="s">
        <v>1890</v>
      </c>
      <c r="E238" s="297">
        <f>VLOOKUP(A238,'Phase In Option'!$A$16:$D$220,4,FALSE)</f>
        <v>14947</v>
      </c>
      <c r="F238" s="264">
        <v>331.19</v>
      </c>
      <c r="G238" s="264">
        <f>VLOOKUP(A238,'Phase In Option'!$A$16:$H$220,8,FALSE)</f>
        <v>331.36</v>
      </c>
      <c r="H238" s="264">
        <f t="shared" si="13"/>
        <v>0.17</v>
      </c>
      <c r="I238" s="259">
        <f t="shared" si="14"/>
        <v>2541</v>
      </c>
      <c r="J238" s="264">
        <v>29.79</v>
      </c>
      <c r="K238" s="264">
        <f>VLOOKUP(A238,FRV!$A$4:$U$208,21,FALSE)</f>
        <v>34.299999999999997</v>
      </c>
      <c r="L238" s="264">
        <f t="shared" si="15"/>
        <v>4.51</v>
      </c>
    </row>
    <row r="239" spans="1:12" x14ac:dyDescent="0.2">
      <c r="A239" s="263">
        <v>60</v>
      </c>
      <c r="B239" s="258" t="s">
        <v>618</v>
      </c>
      <c r="C239" s="270" t="s">
        <v>141</v>
      </c>
      <c r="D239" s="270" t="s">
        <v>1904</v>
      </c>
      <c r="E239" s="297">
        <f>VLOOKUP(A239,'Phase In Option'!$A$16:$D$220,4,FALSE)</f>
        <v>38435</v>
      </c>
      <c r="F239" s="264">
        <v>355.49</v>
      </c>
      <c r="G239" s="264">
        <f>VLOOKUP(A239,'Phase In Option'!$A$16:$H$220,8,FALSE)</f>
        <v>359.06</v>
      </c>
      <c r="H239" s="264">
        <f t="shared" si="13"/>
        <v>3.57</v>
      </c>
      <c r="I239" s="259">
        <f t="shared" si="14"/>
        <v>137213</v>
      </c>
      <c r="J239" s="264">
        <v>31.33</v>
      </c>
      <c r="K239" s="264">
        <f>VLOOKUP(A239,FRV!$A$4:$U$208,21,FALSE)</f>
        <v>39.549999999999997</v>
      </c>
      <c r="L239" s="264">
        <f t="shared" si="15"/>
        <v>8.2200000000000006</v>
      </c>
    </row>
    <row r="240" spans="1:12" x14ac:dyDescent="0.2">
      <c r="A240" s="263">
        <v>236</v>
      </c>
      <c r="B240" s="258" t="s">
        <v>689</v>
      </c>
      <c r="C240" s="270" t="s">
        <v>141</v>
      </c>
      <c r="D240" s="270" t="s">
        <v>1904</v>
      </c>
      <c r="E240" s="297">
        <f>VLOOKUP(A240,'Phase In Option'!$A$16:$D$220,4,FALSE)</f>
        <v>8413</v>
      </c>
      <c r="F240" s="264">
        <v>351.41</v>
      </c>
      <c r="G240" s="264">
        <f>VLOOKUP(A240,'Phase In Option'!$A$16:$H$220,8,FALSE)</f>
        <v>357.48</v>
      </c>
      <c r="H240" s="264">
        <f t="shared" si="13"/>
        <v>6.07</v>
      </c>
      <c r="I240" s="259">
        <f t="shared" si="14"/>
        <v>51067</v>
      </c>
      <c r="J240" s="264">
        <v>29.12</v>
      </c>
      <c r="K240" s="264">
        <f>VLOOKUP(A240,FRV!$A$4:$U$208,21,FALSE)</f>
        <v>39.979999999999997</v>
      </c>
      <c r="L240" s="264">
        <f t="shared" si="15"/>
        <v>10.86</v>
      </c>
    </row>
    <row r="241" spans="1:12" x14ac:dyDescent="0.2">
      <c r="A241" s="263">
        <v>388</v>
      </c>
      <c r="B241" s="258" t="s">
        <v>532</v>
      </c>
      <c r="C241" s="270" t="s">
        <v>141</v>
      </c>
      <c r="D241" s="270" t="s">
        <v>1904</v>
      </c>
      <c r="E241" s="297">
        <f>VLOOKUP(A241,'Phase In Option'!$A$16:$D$220,4,FALSE)</f>
        <v>13649</v>
      </c>
      <c r="F241" s="264">
        <v>359.35</v>
      </c>
      <c r="G241" s="264">
        <f>VLOOKUP(A241,'Phase In Option'!$A$16:$H$220,8,FALSE)</f>
        <v>365.91</v>
      </c>
      <c r="H241" s="264">
        <f t="shared" si="13"/>
        <v>6.56</v>
      </c>
      <c r="I241" s="259">
        <f t="shared" si="14"/>
        <v>89537</v>
      </c>
      <c r="J241" s="264">
        <v>30.6</v>
      </c>
      <c r="K241" s="264">
        <f>VLOOKUP(A241,FRV!$A$4:$U$208,21,FALSE)</f>
        <v>42.01</v>
      </c>
      <c r="L241" s="264">
        <f t="shared" si="15"/>
        <v>11.41</v>
      </c>
    </row>
    <row r="242" spans="1:12" x14ac:dyDescent="0.2">
      <c r="A242" s="263">
        <v>344</v>
      </c>
      <c r="B242" s="258" t="s">
        <v>348</v>
      </c>
      <c r="C242" s="270" t="s">
        <v>141</v>
      </c>
      <c r="D242" s="270" t="s">
        <v>1914</v>
      </c>
      <c r="E242" s="297">
        <f>VLOOKUP(A242,'Phase In Option'!$A$16:$D$220,4,FALSE)</f>
        <v>24837</v>
      </c>
      <c r="F242" s="264">
        <v>338.57</v>
      </c>
      <c r="G242" s="264">
        <f>VLOOKUP(A242,'Phase In Option'!$A$16:$H$220,8,FALSE)</f>
        <v>345.71</v>
      </c>
      <c r="H242" s="264">
        <f t="shared" si="13"/>
        <v>7.14</v>
      </c>
      <c r="I242" s="259">
        <f t="shared" si="14"/>
        <v>177336</v>
      </c>
      <c r="J242" s="264">
        <v>32.26</v>
      </c>
      <c r="K242" s="264">
        <f>VLOOKUP(A242,FRV!$A$4:$U$208,21,FALSE)</f>
        <v>44.29</v>
      </c>
      <c r="L242" s="264">
        <f t="shared" si="15"/>
        <v>12.03</v>
      </c>
    </row>
    <row r="243" spans="1:12" x14ac:dyDescent="0.2">
      <c r="A243" s="263">
        <v>703</v>
      </c>
      <c r="B243" s="258" t="s">
        <v>677</v>
      </c>
      <c r="C243" s="270" t="s">
        <v>141</v>
      </c>
      <c r="D243" s="270" t="s">
        <v>1895</v>
      </c>
      <c r="E243" s="297">
        <f>VLOOKUP(A243,'Phase In Option'!$A$16:$D$220,4,FALSE)</f>
        <v>116</v>
      </c>
      <c r="F243" s="264">
        <v>345.92</v>
      </c>
      <c r="G243" s="264">
        <f>VLOOKUP(A243,'Phase In Option'!$A$16:$H$220,8,FALSE)</f>
        <v>351.89</v>
      </c>
      <c r="H243" s="264">
        <f t="shared" si="13"/>
        <v>5.97</v>
      </c>
      <c r="I243" s="259">
        <f t="shared" si="14"/>
        <v>693</v>
      </c>
      <c r="J243" s="264">
        <v>29.37</v>
      </c>
      <c r="K243" s="264">
        <f>VLOOKUP(A243,FRV!$A$4:$U$208,21,FALSE)</f>
        <v>40.32</v>
      </c>
      <c r="L243" s="264">
        <f t="shared" si="15"/>
        <v>10.95</v>
      </c>
    </row>
    <row r="244" spans="1:12" x14ac:dyDescent="0.2">
      <c r="A244" s="263">
        <v>444</v>
      </c>
      <c r="B244" s="258" t="s">
        <v>391</v>
      </c>
      <c r="C244" s="270" t="s">
        <v>141</v>
      </c>
      <c r="D244" s="270" t="s">
        <v>1899</v>
      </c>
      <c r="E244" s="297">
        <f>VLOOKUP(A244,'Phase In Option'!$A$16:$D$220,4,FALSE)</f>
        <v>21165</v>
      </c>
      <c r="F244" s="264">
        <v>358.46</v>
      </c>
      <c r="G244" s="264">
        <f>VLOOKUP(A244,'Phase In Option'!$A$16:$H$220,8,FALSE)</f>
        <v>365.64</v>
      </c>
      <c r="H244" s="264">
        <f t="shared" si="13"/>
        <v>7.18</v>
      </c>
      <c r="I244" s="259">
        <f t="shared" si="14"/>
        <v>151965</v>
      </c>
      <c r="J244" s="264">
        <v>32.17</v>
      </c>
      <c r="K244" s="264">
        <f>VLOOKUP(A244,FRV!$A$4:$U$208,21,FALSE)</f>
        <v>44.17</v>
      </c>
      <c r="L244" s="264">
        <f t="shared" si="15"/>
        <v>12</v>
      </c>
    </row>
    <row r="245" spans="1:12" x14ac:dyDescent="0.2">
      <c r="A245" s="263">
        <v>448</v>
      </c>
      <c r="B245" s="258" t="s">
        <v>194</v>
      </c>
      <c r="C245" s="270" t="s">
        <v>141</v>
      </c>
      <c r="D245" s="270" t="s">
        <v>1901</v>
      </c>
      <c r="E245" s="297">
        <f>VLOOKUP(A245,'Phase In Option'!$A$16:$D$220,4,FALSE)</f>
        <v>24599</v>
      </c>
      <c r="F245" s="264">
        <v>346.58</v>
      </c>
      <c r="G245" s="264">
        <f>VLOOKUP(A245,'Phase In Option'!$A$16:$H$220,8,FALSE)</f>
        <v>342.05</v>
      </c>
      <c r="H245" s="264">
        <f t="shared" si="13"/>
        <v>-4.53</v>
      </c>
      <c r="I245" s="259">
        <f t="shared" si="14"/>
        <v>-111433</v>
      </c>
      <c r="J245" s="264">
        <v>27.36</v>
      </c>
      <c r="K245" s="264">
        <f>VLOOKUP(A245,FRV!$A$4:$U$208,21,FALSE)</f>
        <v>27.36</v>
      </c>
      <c r="L245" s="264">
        <f t="shared" si="15"/>
        <v>0</v>
      </c>
    </row>
    <row r="246" spans="1:12" x14ac:dyDescent="0.2">
      <c r="A246" s="263">
        <v>34</v>
      </c>
      <c r="B246" s="258" t="s">
        <v>381</v>
      </c>
      <c r="C246" s="270" t="s">
        <v>482</v>
      </c>
      <c r="D246" s="270" t="s">
        <v>1899</v>
      </c>
      <c r="E246" s="297">
        <f>VLOOKUP(A246,'Phase In Option'!$A$16:$D$220,4,FALSE)</f>
        <v>25425</v>
      </c>
      <c r="F246" s="264">
        <v>345.28</v>
      </c>
      <c r="G246" s="264">
        <f>VLOOKUP(A246,'Phase In Option'!$A$16:$H$220,8,FALSE)</f>
        <v>342.92</v>
      </c>
      <c r="H246" s="264">
        <f t="shared" si="13"/>
        <v>-2.36</v>
      </c>
      <c r="I246" s="259">
        <f t="shared" si="14"/>
        <v>-60003</v>
      </c>
      <c r="J246" s="264">
        <v>32.26</v>
      </c>
      <c r="K246" s="264">
        <f>VLOOKUP(A246,FRV!$A$4:$U$208,21,FALSE)</f>
        <v>34.4</v>
      </c>
      <c r="L246" s="264">
        <f t="shared" si="15"/>
        <v>2.14</v>
      </c>
    </row>
    <row r="247" spans="1:12" x14ac:dyDescent="0.2">
      <c r="A247" s="263">
        <v>114</v>
      </c>
      <c r="B247" s="258" t="s">
        <v>657</v>
      </c>
      <c r="C247" s="270" t="s">
        <v>482</v>
      </c>
      <c r="D247" s="270" t="s">
        <v>1915</v>
      </c>
      <c r="E247" s="297">
        <f>VLOOKUP(A247,'Phase In Option'!$A$16:$D$220,4,FALSE)</f>
        <v>7845</v>
      </c>
      <c r="F247" s="264">
        <v>320.75</v>
      </c>
      <c r="G247" s="264">
        <f>VLOOKUP(A247,'Phase In Option'!$A$16:$H$220,8,FALSE)</f>
        <v>328.47</v>
      </c>
      <c r="H247" s="264">
        <f t="shared" si="13"/>
        <v>7.72</v>
      </c>
      <c r="I247" s="259">
        <f t="shared" si="14"/>
        <v>60563</v>
      </c>
      <c r="J247" s="264">
        <v>32.26</v>
      </c>
      <c r="K247" s="264">
        <f>VLOOKUP(A247,FRV!$A$4:$U$208,21,FALSE)</f>
        <v>44.29</v>
      </c>
      <c r="L247" s="264">
        <f t="shared" si="15"/>
        <v>12.03</v>
      </c>
    </row>
    <row r="248" spans="1:12" x14ac:dyDescent="0.2">
      <c r="A248" s="263">
        <v>48</v>
      </c>
      <c r="B248" s="258" t="s">
        <v>647</v>
      </c>
      <c r="C248" s="270" t="s">
        <v>482</v>
      </c>
      <c r="D248" s="270" t="s">
        <v>1897</v>
      </c>
      <c r="E248" s="297">
        <f>VLOOKUP(A248,'Phase In Option'!$A$16:$D$220,4,FALSE)</f>
        <v>16534</v>
      </c>
      <c r="F248" s="264">
        <v>367.63</v>
      </c>
      <c r="G248" s="264">
        <f>VLOOKUP(A248,'Phase In Option'!$A$16:$H$220,8,FALSE)</f>
        <v>374.06</v>
      </c>
      <c r="H248" s="264">
        <f t="shared" si="13"/>
        <v>6.43</v>
      </c>
      <c r="I248" s="259">
        <f t="shared" si="14"/>
        <v>106314</v>
      </c>
      <c r="J248" s="264">
        <v>32.26</v>
      </c>
      <c r="K248" s="264">
        <f>VLOOKUP(A248,FRV!$A$4:$U$208,21,FALSE)</f>
        <v>43.64</v>
      </c>
      <c r="L248" s="264">
        <f t="shared" si="15"/>
        <v>11.38</v>
      </c>
    </row>
    <row r="249" spans="1:12" x14ac:dyDescent="0.2">
      <c r="A249" s="263">
        <v>374</v>
      </c>
      <c r="B249" s="258" t="s">
        <v>666</v>
      </c>
      <c r="C249" s="270" t="s">
        <v>482</v>
      </c>
      <c r="D249" s="270" t="s">
        <v>1916</v>
      </c>
      <c r="E249" s="297">
        <f>VLOOKUP(A249,'Phase In Option'!$A$16:$D$220,4,FALSE)</f>
        <v>12718</v>
      </c>
      <c r="F249" s="264">
        <v>299.06</v>
      </c>
      <c r="G249" s="264">
        <f>VLOOKUP(A249,'Phase In Option'!$A$16:$H$220,8,FALSE)</f>
        <v>297.41000000000003</v>
      </c>
      <c r="H249" s="264">
        <f t="shared" si="13"/>
        <v>-1.65</v>
      </c>
      <c r="I249" s="259">
        <f t="shared" si="14"/>
        <v>-20985</v>
      </c>
      <c r="J249" s="264">
        <v>30.82</v>
      </c>
      <c r="K249" s="264">
        <f>VLOOKUP(A249,FRV!$A$4:$U$208,21,FALSE)</f>
        <v>33.4</v>
      </c>
      <c r="L249" s="264">
        <f t="shared" si="15"/>
        <v>2.58</v>
      </c>
    </row>
    <row r="250" spans="1:12" x14ac:dyDescent="0.2">
      <c r="A250" s="263">
        <v>136</v>
      </c>
      <c r="B250" s="258" t="s">
        <v>397</v>
      </c>
      <c r="C250" s="270" t="s">
        <v>482</v>
      </c>
      <c r="D250" s="270" t="s">
        <v>1889</v>
      </c>
      <c r="E250" s="297">
        <f>VLOOKUP(A250,'Phase In Option'!$A$16:$D$220,4,FALSE)</f>
        <v>27389</v>
      </c>
      <c r="F250" s="264">
        <v>324.56</v>
      </c>
      <c r="G250" s="264">
        <f>VLOOKUP(A250,'Phase In Option'!$A$16:$H$220,8,FALSE)</f>
        <v>320.42</v>
      </c>
      <c r="H250" s="264">
        <f t="shared" si="13"/>
        <v>-4.1399999999999997</v>
      </c>
      <c r="I250" s="259">
        <f t="shared" si="14"/>
        <v>-113390</v>
      </c>
      <c r="J250" s="264">
        <v>22.41</v>
      </c>
      <c r="K250" s="264">
        <f>VLOOKUP(A250,FRV!$A$4:$U$208,21,FALSE)</f>
        <v>22.41</v>
      </c>
      <c r="L250" s="264">
        <f t="shared" si="15"/>
        <v>0</v>
      </c>
    </row>
    <row r="251" spans="1:12" x14ac:dyDescent="0.2">
      <c r="A251" s="263">
        <v>142</v>
      </c>
      <c r="B251" s="258" t="s">
        <v>374</v>
      </c>
      <c r="C251" s="270" t="s">
        <v>482</v>
      </c>
      <c r="D251" s="270" t="s">
        <v>1899</v>
      </c>
      <c r="E251" s="297">
        <f>VLOOKUP(A251,'Phase In Option'!$A$16:$D$220,4,FALSE)</f>
        <v>24764</v>
      </c>
      <c r="F251" s="264">
        <v>313.32</v>
      </c>
      <c r="G251" s="264">
        <f>VLOOKUP(A251,'Phase In Option'!$A$16:$H$220,8,FALSE)</f>
        <v>310.73</v>
      </c>
      <c r="H251" s="264">
        <f t="shared" si="13"/>
        <v>-2.59</v>
      </c>
      <c r="I251" s="259">
        <f t="shared" si="14"/>
        <v>-64139</v>
      </c>
      <c r="J251" s="264">
        <v>32.17</v>
      </c>
      <c r="K251" s="264">
        <f>VLOOKUP(A251,FRV!$A$4:$U$208,21,FALSE)</f>
        <v>33.6</v>
      </c>
      <c r="L251" s="264">
        <f t="shared" si="15"/>
        <v>1.43</v>
      </c>
    </row>
    <row r="252" spans="1:12" x14ac:dyDescent="0.2">
      <c r="A252" s="263">
        <v>146</v>
      </c>
      <c r="B252" s="258" t="s">
        <v>176</v>
      </c>
      <c r="C252" s="270" t="s">
        <v>482</v>
      </c>
      <c r="D252" s="270" t="s">
        <v>1916</v>
      </c>
      <c r="E252" s="297">
        <f>VLOOKUP(A252,'Phase In Option'!$A$16:$D$220,4,FALSE)</f>
        <v>16235</v>
      </c>
      <c r="F252" s="264">
        <v>323.04000000000002</v>
      </c>
      <c r="G252" s="264">
        <f>VLOOKUP(A252,'Phase In Option'!$A$16:$H$220,8,FALSE)</f>
        <v>328.88</v>
      </c>
      <c r="H252" s="264">
        <f t="shared" si="13"/>
        <v>5.84</v>
      </c>
      <c r="I252" s="259">
        <f t="shared" si="14"/>
        <v>94812</v>
      </c>
      <c r="J252" s="264">
        <v>27.05</v>
      </c>
      <c r="K252" s="264">
        <f>VLOOKUP(A252,FRV!$A$4:$U$208,21,FALSE)</f>
        <v>37.14</v>
      </c>
      <c r="L252" s="264">
        <f t="shared" si="15"/>
        <v>10.09</v>
      </c>
    </row>
    <row r="253" spans="1:12" x14ac:dyDescent="0.2">
      <c r="A253" s="263">
        <v>150</v>
      </c>
      <c r="B253" s="258" t="s">
        <v>224</v>
      </c>
      <c r="C253" s="270" t="s">
        <v>482</v>
      </c>
      <c r="D253" s="270" t="s">
        <v>1916</v>
      </c>
      <c r="E253" s="297">
        <f>VLOOKUP(A253,'Phase In Option'!$A$16:$D$220,4,FALSE)</f>
        <v>19950</v>
      </c>
      <c r="F253" s="264">
        <v>307.95999999999998</v>
      </c>
      <c r="G253" s="264">
        <f>VLOOKUP(A253,'Phase In Option'!$A$16:$H$220,8,FALSE)</f>
        <v>305.72000000000003</v>
      </c>
      <c r="H253" s="264">
        <f t="shared" ref="H253:H265" si="16">G253-F253</f>
        <v>-2.2400000000000002</v>
      </c>
      <c r="I253" s="259">
        <f t="shared" si="14"/>
        <v>-44688</v>
      </c>
      <c r="J253" s="264">
        <v>32.659999999999997</v>
      </c>
      <c r="K253" s="264">
        <f>VLOOKUP(A253,FRV!$A$4:$U$208,21,FALSE)</f>
        <v>34.76</v>
      </c>
      <c r="L253" s="264">
        <f t="shared" si="15"/>
        <v>2.1</v>
      </c>
    </row>
    <row r="254" spans="1:12" x14ac:dyDescent="0.2">
      <c r="A254" s="263">
        <v>210</v>
      </c>
      <c r="B254" s="258" t="s">
        <v>173</v>
      </c>
      <c r="C254" s="270" t="s">
        <v>482</v>
      </c>
      <c r="D254" s="270" t="s">
        <v>1916</v>
      </c>
      <c r="E254" s="297">
        <f>VLOOKUP(A254,'Phase In Option'!$A$16:$D$220,4,FALSE)</f>
        <v>29393</v>
      </c>
      <c r="F254" s="264">
        <v>291.26</v>
      </c>
      <c r="G254" s="264">
        <f>VLOOKUP(A254,'Phase In Option'!$A$16:$H$220,8,FALSE)</f>
        <v>297.45</v>
      </c>
      <c r="H254" s="264">
        <f t="shared" si="16"/>
        <v>6.19</v>
      </c>
      <c r="I254" s="259">
        <f t="shared" ref="I254:I265" si="17">ROUND(E254*H254,0)</f>
        <v>181943</v>
      </c>
      <c r="J254" s="264">
        <v>27.88</v>
      </c>
      <c r="K254" s="264">
        <f>VLOOKUP(A254,FRV!$A$4:$U$208,21,FALSE)</f>
        <v>38.28</v>
      </c>
      <c r="L254" s="264">
        <f t="shared" ref="L254:L265" si="18">K254-J254</f>
        <v>10.4</v>
      </c>
    </row>
    <row r="255" spans="1:12" x14ac:dyDescent="0.2">
      <c r="A255" s="263">
        <v>64</v>
      </c>
      <c r="B255" s="258" t="s">
        <v>398</v>
      </c>
      <c r="C255" s="270" t="s">
        <v>482</v>
      </c>
      <c r="D255" s="270" t="s">
        <v>1889</v>
      </c>
      <c r="E255" s="297">
        <f>VLOOKUP(A255,'Phase In Option'!$A$16:$D$220,4,FALSE)</f>
        <v>33672</v>
      </c>
      <c r="F255" s="264">
        <v>323.23</v>
      </c>
      <c r="G255" s="264">
        <f>VLOOKUP(A255,'Phase In Option'!$A$16:$H$220,8,FALSE)</f>
        <v>319.12</v>
      </c>
      <c r="H255" s="264">
        <f t="shared" si="16"/>
        <v>-4.1100000000000003</v>
      </c>
      <c r="I255" s="259">
        <f t="shared" si="17"/>
        <v>-138392</v>
      </c>
      <c r="J255" s="264">
        <v>27.36</v>
      </c>
      <c r="K255" s="264">
        <f>VLOOKUP(A255,FRV!$A$4:$U$208,21,FALSE)</f>
        <v>27.36</v>
      </c>
      <c r="L255" s="264">
        <f t="shared" si="18"/>
        <v>0</v>
      </c>
    </row>
    <row r="256" spans="1:12" x14ac:dyDescent="0.2">
      <c r="A256" s="263">
        <v>244</v>
      </c>
      <c r="B256" s="258" t="s">
        <v>186</v>
      </c>
      <c r="C256" s="270" t="s">
        <v>482</v>
      </c>
      <c r="D256" s="270" t="s">
        <v>1908</v>
      </c>
      <c r="E256" s="297">
        <f>VLOOKUP(A256,'Phase In Option'!$A$16:$D$220,4,FALSE)</f>
        <v>7618</v>
      </c>
      <c r="F256" s="264">
        <v>290.39999999999998</v>
      </c>
      <c r="G256" s="264">
        <f>VLOOKUP(A256,'Phase In Option'!$A$16:$H$220,8,FALSE)</f>
        <v>298.20999999999998</v>
      </c>
      <c r="H256" s="264">
        <f t="shared" si="16"/>
        <v>7.81</v>
      </c>
      <c r="I256" s="259">
        <f t="shared" si="17"/>
        <v>59497</v>
      </c>
      <c r="J256" s="264">
        <v>32.26</v>
      </c>
      <c r="K256" s="264">
        <f>VLOOKUP(A256,FRV!$A$4:$U$208,21,FALSE)</f>
        <v>44.29</v>
      </c>
      <c r="L256" s="264">
        <f t="shared" si="18"/>
        <v>12.03</v>
      </c>
    </row>
    <row r="257" spans="1:12" x14ac:dyDescent="0.2">
      <c r="A257" s="263">
        <v>254</v>
      </c>
      <c r="B257" s="258" t="s">
        <v>378</v>
      </c>
      <c r="C257" s="270" t="s">
        <v>482</v>
      </c>
      <c r="D257" s="270" t="s">
        <v>1899</v>
      </c>
      <c r="E257" s="297">
        <f>VLOOKUP(A257,'Phase In Option'!$A$16:$D$220,4,FALSE)</f>
        <v>28352</v>
      </c>
      <c r="F257" s="264">
        <v>313.91000000000003</v>
      </c>
      <c r="G257" s="264">
        <f>VLOOKUP(A257,'Phase In Option'!$A$16:$H$220,8,FALSE)</f>
        <v>317.19</v>
      </c>
      <c r="H257" s="264">
        <f t="shared" si="16"/>
        <v>3.28</v>
      </c>
      <c r="I257" s="259">
        <f t="shared" si="17"/>
        <v>92995</v>
      </c>
      <c r="J257" s="264">
        <v>32.26</v>
      </c>
      <c r="K257" s="264">
        <f>VLOOKUP(A257,FRV!$A$4:$U$208,21,FALSE)</f>
        <v>39.630000000000003</v>
      </c>
      <c r="L257" s="264">
        <f t="shared" si="18"/>
        <v>7.37</v>
      </c>
    </row>
    <row r="258" spans="1:12" x14ac:dyDescent="0.2">
      <c r="A258" s="263">
        <v>340</v>
      </c>
      <c r="B258" s="258" t="s">
        <v>387</v>
      </c>
      <c r="C258" s="270" t="s">
        <v>482</v>
      </c>
      <c r="D258" s="270" t="s">
        <v>1899</v>
      </c>
      <c r="E258" s="297">
        <f>VLOOKUP(A258,'Phase In Option'!$A$16:$D$220,4,FALSE)</f>
        <v>19422</v>
      </c>
      <c r="F258" s="264">
        <v>324.55</v>
      </c>
      <c r="G258" s="264">
        <f>VLOOKUP(A258,'Phase In Option'!$A$16:$H$220,8,FALSE)</f>
        <v>321.76</v>
      </c>
      <c r="H258" s="264">
        <f t="shared" si="16"/>
        <v>-2.79</v>
      </c>
      <c r="I258" s="259">
        <f t="shared" si="17"/>
        <v>-54187</v>
      </c>
      <c r="J258" s="264">
        <v>32.17</v>
      </c>
      <c r="K258" s="264">
        <f>VLOOKUP(A258,FRV!$A$4:$U$208,21,FALSE)</f>
        <v>33.549999999999997</v>
      </c>
      <c r="L258" s="264">
        <f t="shared" si="18"/>
        <v>1.38</v>
      </c>
    </row>
    <row r="259" spans="1:12" x14ac:dyDescent="0.2">
      <c r="A259" s="263">
        <v>675</v>
      </c>
      <c r="B259" s="258" t="s">
        <v>192</v>
      </c>
      <c r="C259" s="270" t="s">
        <v>482</v>
      </c>
      <c r="D259" s="270" t="s">
        <v>1899</v>
      </c>
      <c r="E259" s="297">
        <f>VLOOKUP(A259,'Phase In Option'!$A$16:$D$220,4,FALSE)</f>
        <v>13634</v>
      </c>
      <c r="F259" s="264">
        <v>330.97</v>
      </c>
      <c r="G259" s="264">
        <f>VLOOKUP(A259,'Phase In Option'!$A$16:$H$220,8,FALSE)</f>
        <v>337.84</v>
      </c>
      <c r="H259" s="264">
        <f t="shared" si="16"/>
        <v>6.87</v>
      </c>
      <c r="I259" s="259">
        <f t="shared" si="17"/>
        <v>93666</v>
      </c>
      <c r="J259" s="264">
        <v>32.26</v>
      </c>
      <c r="K259" s="264">
        <f>VLOOKUP(A259,FRV!$A$4:$U$208,21,FALSE)</f>
        <v>43.49</v>
      </c>
      <c r="L259" s="264">
        <f t="shared" si="18"/>
        <v>11.23</v>
      </c>
    </row>
    <row r="260" spans="1:12" x14ac:dyDescent="0.2">
      <c r="A260" s="263">
        <v>140</v>
      </c>
      <c r="B260" s="258" t="s">
        <v>817</v>
      </c>
      <c r="C260" s="270" t="s">
        <v>482</v>
      </c>
      <c r="D260" s="270" t="s">
        <v>1902</v>
      </c>
      <c r="E260" s="297">
        <f>VLOOKUP(A260,'Phase In Option'!$A$16:$D$220,4,FALSE)</f>
        <v>15795</v>
      </c>
      <c r="F260" s="264">
        <v>334.53</v>
      </c>
      <c r="G260" s="264">
        <f>VLOOKUP(A260,'Phase In Option'!$A$16:$H$220,8,FALSE)</f>
        <v>330.24</v>
      </c>
      <c r="H260" s="264">
        <f t="shared" si="16"/>
        <v>-4.29</v>
      </c>
      <c r="I260" s="259">
        <f t="shared" si="17"/>
        <v>-67761</v>
      </c>
      <c r="J260" s="264">
        <v>25.89</v>
      </c>
      <c r="K260" s="264">
        <f>VLOOKUP(A260,FRV!$A$4:$U$208,21,FALSE)</f>
        <v>25.89</v>
      </c>
      <c r="L260" s="264">
        <f t="shared" si="18"/>
        <v>0</v>
      </c>
    </row>
    <row r="261" spans="1:12" x14ac:dyDescent="0.2">
      <c r="A261" s="263">
        <v>274</v>
      </c>
      <c r="B261" s="258" t="s">
        <v>818</v>
      </c>
      <c r="C261" s="270" t="s">
        <v>482</v>
      </c>
      <c r="D261" s="270" t="s">
        <v>1902</v>
      </c>
      <c r="E261" s="297">
        <f>VLOOKUP(A261,'Phase In Option'!$A$16:$D$220,4,FALSE)</f>
        <v>16230</v>
      </c>
      <c r="F261" s="264">
        <v>315.67</v>
      </c>
      <c r="G261" s="264">
        <f>VLOOKUP(A261,'Phase In Option'!$A$16:$H$220,8,FALSE)</f>
        <v>311.61</v>
      </c>
      <c r="H261" s="264">
        <f t="shared" si="16"/>
        <v>-4.0599999999999996</v>
      </c>
      <c r="I261" s="259">
        <f t="shared" si="17"/>
        <v>-65894</v>
      </c>
      <c r="J261" s="264">
        <v>25.35</v>
      </c>
      <c r="K261" s="264">
        <f>VLOOKUP(A261,FRV!$A$4:$U$208,21,FALSE)</f>
        <v>25.35</v>
      </c>
      <c r="L261" s="264">
        <f t="shared" si="18"/>
        <v>0</v>
      </c>
    </row>
    <row r="262" spans="1:12" x14ac:dyDescent="0.2">
      <c r="A262" s="263">
        <v>426</v>
      </c>
      <c r="B262" s="258" t="s">
        <v>819</v>
      </c>
      <c r="C262" s="270" t="s">
        <v>482</v>
      </c>
      <c r="D262" s="270" t="s">
        <v>1902</v>
      </c>
      <c r="E262" s="297">
        <f>VLOOKUP(A262,'Phase In Option'!$A$16:$D$220,4,FALSE)</f>
        <v>14070</v>
      </c>
      <c r="F262" s="264">
        <v>325.36</v>
      </c>
      <c r="G262" s="264">
        <f>VLOOKUP(A262,'Phase In Option'!$A$16:$H$220,8,FALSE)</f>
        <v>332.26</v>
      </c>
      <c r="H262" s="264">
        <f t="shared" si="16"/>
        <v>6.9</v>
      </c>
      <c r="I262" s="259">
        <f t="shared" si="17"/>
        <v>97083</v>
      </c>
      <c r="J262" s="264">
        <v>30.11</v>
      </c>
      <c r="K262" s="264">
        <f>VLOOKUP(A262,FRV!$A$4:$U$208,21,FALSE)</f>
        <v>41.33</v>
      </c>
      <c r="L262" s="264">
        <f t="shared" si="18"/>
        <v>11.22</v>
      </c>
    </row>
    <row r="263" spans="1:12" x14ac:dyDescent="0.2">
      <c r="A263" s="263">
        <v>176</v>
      </c>
      <c r="B263" s="258" t="s">
        <v>845</v>
      </c>
      <c r="C263" s="270" t="s">
        <v>482</v>
      </c>
      <c r="D263" s="270" t="s">
        <v>1902</v>
      </c>
      <c r="E263" s="297">
        <f>VLOOKUP(A263,'Phase In Option'!$A$16:$D$220,4,FALSE)</f>
        <v>27359</v>
      </c>
      <c r="F263" s="264">
        <v>326.22000000000003</v>
      </c>
      <c r="G263" s="264">
        <f>VLOOKUP(A263,'Phase In Option'!$A$16:$H$220,8,FALSE)</f>
        <v>322.02</v>
      </c>
      <c r="H263" s="264">
        <f t="shared" si="16"/>
        <v>-4.2</v>
      </c>
      <c r="I263" s="259">
        <f t="shared" si="17"/>
        <v>-114908</v>
      </c>
      <c r="J263" s="264">
        <v>28.99</v>
      </c>
      <c r="K263" s="264">
        <f>VLOOKUP(A263,FRV!$A$4:$U$208,21,FALSE)</f>
        <v>28.99</v>
      </c>
      <c r="L263" s="264">
        <f t="shared" si="18"/>
        <v>0</v>
      </c>
    </row>
    <row r="264" spans="1:12" x14ac:dyDescent="0.2">
      <c r="A264" s="263">
        <v>378</v>
      </c>
      <c r="B264" s="258" t="s">
        <v>418</v>
      </c>
      <c r="C264" s="270" t="s">
        <v>482</v>
      </c>
      <c r="D264" s="270" t="s">
        <v>1902</v>
      </c>
      <c r="E264" s="297">
        <f>VLOOKUP(A264,'Phase In Option'!$A$16:$D$220,4,FALSE)</f>
        <v>25917</v>
      </c>
      <c r="F264" s="264">
        <v>329.6</v>
      </c>
      <c r="G264" s="264">
        <f>VLOOKUP(A264,'Phase In Option'!$A$16:$H$220,8,FALSE)</f>
        <v>337.2</v>
      </c>
      <c r="H264" s="264">
        <f t="shared" si="16"/>
        <v>7.6</v>
      </c>
      <c r="I264" s="259">
        <f t="shared" si="17"/>
        <v>196969</v>
      </c>
      <c r="J264" s="264">
        <v>32.17</v>
      </c>
      <c r="K264" s="264">
        <f>VLOOKUP(A264,FRV!$A$4:$U$208,21,FALSE)</f>
        <v>44.17</v>
      </c>
      <c r="L264" s="264">
        <f t="shared" si="18"/>
        <v>12</v>
      </c>
    </row>
    <row r="265" spans="1:12" x14ac:dyDescent="0.2">
      <c r="A265" s="263">
        <v>458</v>
      </c>
      <c r="B265" s="258" t="s">
        <v>821</v>
      </c>
      <c r="C265" s="270" t="s">
        <v>482</v>
      </c>
      <c r="D265" s="270" t="s">
        <v>1894</v>
      </c>
      <c r="E265" s="297">
        <f>VLOOKUP(A265,'Phase In Option'!$A$16:$D$220,4,FALSE)</f>
        <v>15453</v>
      </c>
      <c r="F265" s="264">
        <v>360.52</v>
      </c>
      <c r="G265" s="264">
        <f>VLOOKUP(A265,'Phase In Option'!$A$16:$H$220,8,FALSE)</f>
        <v>367.13</v>
      </c>
      <c r="H265" s="264">
        <f t="shared" si="16"/>
        <v>6.61</v>
      </c>
      <c r="I265" s="259">
        <f t="shared" si="17"/>
        <v>102144</v>
      </c>
      <c r="J265" s="264">
        <v>30.74</v>
      </c>
      <c r="K265" s="264">
        <f>VLOOKUP(A265,FRV!$A$4:$U$208,21,FALSE)</f>
        <v>42.2</v>
      </c>
      <c r="L265" s="264">
        <f t="shared" si="18"/>
        <v>11.46</v>
      </c>
    </row>
    <row r="268" spans="1:12" ht="16" thickBot="1" x14ac:dyDescent="0.25">
      <c r="C268" s="258" t="s">
        <v>1921</v>
      </c>
    </row>
    <row r="269" spans="1:12" x14ac:dyDescent="0.2">
      <c r="B269" s="267">
        <v>130000</v>
      </c>
      <c r="C269" s="258">
        <v>0.99705999999999995</v>
      </c>
    </row>
    <row r="270" spans="1:12" x14ac:dyDescent="0.2">
      <c r="B270" s="268">
        <v>140000</v>
      </c>
      <c r="C270" s="258">
        <v>0.99355000000000004</v>
      </c>
    </row>
    <row r="271" spans="1:12" x14ac:dyDescent="0.2">
      <c r="B271" s="268">
        <v>150000</v>
      </c>
      <c r="C271" s="258">
        <v>0.99080000000000001</v>
      </c>
    </row>
    <row r="272" spans="1:12" x14ac:dyDescent="0.2">
      <c r="B272" s="268">
        <v>160000</v>
      </c>
      <c r="C272" s="258">
        <v>0.98862000000000005</v>
      </c>
    </row>
    <row r="273" spans="2:3" x14ac:dyDescent="0.2">
      <c r="B273" s="268">
        <v>164737</v>
      </c>
      <c r="C273" s="258">
        <v>0.98772000000000004</v>
      </c>
    </row>
    <row r="274" spans="2:3" x14ac:dyDescent="0.2">
      <c r="B274" s="268">
        <v>167437</v>
      </c>
      <c r="C274" s="258">
        <v>0.98721999999999999</v>
      </c>
    </row>
    <row r="275" spans="2:3" x14ac:dyDescent="0.2">
      <c r="B275" s="268">
        <v>170000</v>
      </c>
      <c r="C275" s="258">
        <v>0.98678999999999994</v>
      </c>
    </row>
    <row r="276" spans="2:3" x14ac:dyDescent="0.2">
      <c r="B276" s="268">
        <v>180000</v>
      </c>
      <c r="C276" s="258">
        <v>0.98531000000000002</v>
      </c>
    </row>
    <row r="277" spans="2:3" x14ac:dyDescent="0.2">
      <c r="B277" s="268">
        <v>190000</v>
      </c>
      <c r="C277" s="258">
        <v>0.98414000000000001</v>
      </c>
    </row>
    <row r="278" spans="2:3" ht="16" thickBot="1" x14ac:dyDescent="0.25">
      <c r="B278" s="269">
        <v>200000</v>
      </c>
      <c r="C278" s="258">
        <v>0.98311999999999999</v>
      </c>
    </row>
  </sheetData>
  <sortState xmlns:xlrd2="http://schemas.microsoft.com/office/spreadsheetml/2017/richdata2" ref="K62:K99">
    <sortCondition ref="K61:K99"/>
  </sortState>
  <dataValidations count="1">
    <dataValidation type="list" allowBlank="1" showInputMessage="1" showErrorMessage="1" sqref="C13" xr:uid="{BC6E123D-CCD6-4A40-8E00-1611B079D3AD}">
      <formula1>$B$269:$B$278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"/>
  <dimension ref="A1:K118"/>
  <sheetViews>
    <sheetView workbookViewId="0">
      <selection activeCell="E12" sqref="E12"/>
    </sheetView>
  </sheetViews>
  <sheetFormatPr baseColWidth="10" defaultColWidth="9.3984375" defaultRowHeight="14" x14ac:dyDescent="0.2"/>
  <cols>
    <col min="1" max="1" width="12.796875" style="179" bestFit="1" customWidth="1"/>
    <col min="2" max="4" width="12.59765625" style="179" bestFit="1" customWidth="1"/>
    <col min="5" max="5" width="17" style="179" bestFit="1" customWidth="1"/>
    <col min="6" max="8" width="10.796875" style="179" bestFit="1" customWidth="1"/>
    <col min="9" max="10" width="9.3984375" style="179"/>
    <col min="11" max="11" width="11.19921875" style="179" bestFit="1" customWidth="1"/>
    <col min="12" max="16384" width="9.3984375" style="179"/>
  </cols>
  <sheetData>
    <row r="1" spans="1:9" x14ac:dyDescent="0.2">
      <c r="A1" s="179" t="s">
        <v>56</v>
      </c>
      <c r="B1" s="179" t="s">
        <v>425</v>
      </c>
    </row>
    <row r="2" spans="1:9" x14ac:dyDescent="0.2">
      <c r="B2" s="179" t="s">
        <v>923</v>
      </c>
      <c r="G2" s="78"/>
      <c r="H2" s="78"/>
    </row>
    <row r="3" spans="1:9" x14ac:dyDescent="0.2">
      <c r="B3" s="179" t="s">
        <v>924</v>
      </c>
      <c r="G3" s="78"/>
      <c r="H3" s="78"/>
    </row>
    <row r="4" spans="1:9" x14ac:dyDescent="0.2">
      <c r="B4" s="179" t="s">
        <v>925</v>
      </c>
    </row>
    <row r="5" spans="1:9" x14ac:dyDescent="0.2">
      <c r="A5" s="179" t="s">
        <v>57</v>
      </c>
      <c r="B5" s="225" t="s">
        <v>58</v>
      </c>
      <c r="C5" s="225" t="s">
        <v>58</v>
      </c>
      <c r="D5" s="225" t="s">
        <v>58</v>
      </c>
      <c r="E5" s="225" t="s">
        <v>130</v>
      </c>
      <c r="F5" s="225"/>
      <c r="G5" s="225"/>
    </row>
    <row r="6" spans="1:9" ht="30" x14ac:dyDescent="0.2">
      <c r="A6" s="179" t="s">
        <v>59</v>
      </c>
      <c r="B6" s="225" t="s">
        <v>60</v>
      </c>
      <c r="C6" s="225" t="s">
        <v>61</v>
      </c>
      <c r="D6" s="225" t="s">
        <v>62</v>
      </c>
      <c r="E6" s="195" t="s">
        <v>131</v>
      </c>
      <c r="F6" s="225" t="s">
        <v>63</v>
      </c>
      <c r="G6" s="225" t="s">
        <v>64</v>
      </c>
    </row>
    <row r="7" spans="1:9" x14ac:dyDescent="0.2">
      <c r="A7" s="79" t="str">
        <f>B7&amp;C7</f>
        <v>4425644620</v>
      </c>
      <c r="B7" s="79">
        <v>44256</v>
      </c>
      <c r="C7" s="79">
        <v>44620</v>
      </c>
      <c r="D7" s="226">
        <f>ROUND((+C7-B7)/2+B7,0)</f>
        <v>44438</v>
      </c>
      <c r="E7" s="226">
        <f t="shared" ref="E7:E25" si="0">IF(DAY(D7)=1,D7,IF(DAY(D7)&lt;=15,DATE(YEAR(D7),MONTH(D7),1),DATE(YEAR(D7),MONTH(D7)+1,1)))</f>
        <v>44440</v>
      </c>
      <c r="F7" s="227">
        <f>VLOOKUP(E7,C$27:E$118,3,FALSE)</f>
        <v>0.96199999999999997</v>
      </c>
      <c r="G7" s="227">
        <f>ROUND($F$25/F7,3)</f>
        <v>1.2010000000000001</v>
      </c>
      <c r="I7" s="79"/>
    </row>
    <row r="8" spans="1:9" x14ac:dyDescent="0.2">
      <c r="A8" s="79" t="str">
        <f t="shared" ref="A8:A25" si="1">B8&amp;C8</f>
        <v>4428744651</v>
      </c>
      <c r="B8" s="79">
        <v>44287</v>
      </c>
      <c r="C8" s="79">
        <v>44651</v>
      </c>
      <c r="D8" s="226">
        <f t="shared" ref="D8:D23" si="2">ROUND((+C8-B8)/2+B8,0)</f>
        <v>44469</v>
      </c>
      <c r="E8" s="226">
        <f t="shared" si="0"/>
        <v>44470</v>
      </c>
      <c r="F8" s="227">
        <f t="shared" ref="F8:F23" si="3">VLOOKUP(E8,C$27:E$118,3,FALSE)</f>
        <v>0.96699999999999997</v>
      </c>
      <c r="G8" s="227">
        <f t="shared" ref="G8:G25" si="4">ROUND($F$25/F8,3)</f>
        <v>1.194</v>
      </c>
      <c r="I8" s="79"/>
    </row>
    <row r="9" spans="1:9" x14ac:dyDescent="0.2">
      <c r="A9" s="79" t="str">
        <f t="shared" si="1"/>
        <v>4434844712</v>
      </c>
      <c r="B9" s="79">
        <v>44348</v>
      </c>
      <c r="C9" s="79">
        <v>44712</v>
      </c>
      <c r="D9" s="226">
        <f t="shared" si="2"/>
        <v>44530</v>
      </c>
      <c r="E9" s="226">
        <f t="shared" si="0"/>
        <v>44531</v>
      </c>
      <c r="F9" s="227">
        <f t="shared" si="3"/>
        <v>0.97699999999999998</v>
      </c>
      <c r="G9" s="227">
        <f t="shared" si="4"/>
        <v>1.1819999999999999</v>
      </c>
      <c r="I9" s="79"/>
    </row>
    <row r="10" spans="1:9" x14ac:dyDescent="0.2">
      <c r="A10" s="79" t="str">
        <f t="shared" si="1"/>
        <v>4437844742</v>
      </c>
      <c r="B10" s="79">
        <v>44378</v>
      </c>
      <c r="C10" s="79">
        <v>44742</v>
      </c>
      <c r="D10" s="226">
        <f t="shared" si="2"/>
        <v>44560</v>
      </c>
      <c r="E10" s="226">
        <f t="shared" si="0"/>
        <v>44562</v>
      </c>
      <c r="F10" s="227">
        <f t="shared" si="3"/>
        <v>0.98399999999999999</v>
      </c>
      <c r="G10" s="227">
        <f t="shared" si="4"/>
        <v>1.1739999999999999</v>
      </c>
      <c r="I10" s="79"/>
    </row>
    <row r="11" spans="1:9" x14ac:dyDescent="0.2">
      <c r="A11" s="79" t="str">
        <f t="shared" si="1"/>
        <v>4456244742</v>
      </c>
      <c r="B11" s="79">
        <v>44562</v>
      </c>
      <c r="C11" s="79">
        <v>44742</v>
      </c>
      <c r="D11" s="226">
        <f t="shared" si="2"/>
        <v>44652</v>
      </c>
      <c r="E11" s="226">
        <f t="shared" si="0"/>
        <v>44652</v>
      </c>
      <c r="F11" s="227">
        <f t="shared" si="3"/>
        <v>1.0029999999999999</v>
      </c>
      <c r="G11" s="227">
        <f t="shared" si="4"/>
        <v>1.1519999999999999</v>
      </c>
      <c r="H11" s="78"/>
      <c r="I11" s="79"/>
    </row>
    <row r="12" spans="1:9" x14ac:dyDescent="0.2">
      <c r="A12" s="79" t="str">
        <f t="shared" si="1"/>
        <v>4447044834</v>
      </c>
      <c r="B12" s="79">
        <v>44470</v>
      </c>
      <c r="C12" s="79">
        <v>44834</v>
      </c>
      <c r="D12" s="226">
        <f t="shared" si="2"/>
        <v>44652</v>
      </c>
      <c r="E12" s="226">
        <f t="shared" si="0"/>
        <v>44652</v>
      </c>
      <c r="F12" s="227">
        <f t="shared" si="3"/>
        <v>1.0029999999999999</v>
      </c>
      <c r="G12" s="227">
        <f t="shared" si="4"/>
        <v>1.1519999999999999</v>
      </c>
      <c r="I12" s="79"/>
    </row>
    <row r="13" spans="1:9" x14ac:dyDescent="0.2">
      <c r="A13" s="79" t="str">
        <f t="shared" si="1"/>
        <v>4456244865</v>
      </c>
      <c r="B13" s="79">
        <v>44562</v>
      </c>
      <c r="C13" s="79">
        <v>44865</v>
      </c>
      <c r="D13" s="226">
        <f t="shared" si="2"/>
        <v>44714</v>
      </c>
      <c r="E13" s="226">
        <f t="shared" si="0"/>
        <v>44713</v>
      </c>
      <c r="F13" s="227">
        <f t="shared" si="3"/>
        <v>1.016</v>
      </c>
      <c r="G13" s="227">
        <f t="shared" si="4"/>
        <v>1.137</v>
      </c>
      <c r="I13" s="79"/>
    </row>
    <row r="14" spans="1:9" x14ac:dyDescent="0.2">
      <c r="A14" s="79" t="str">
        <f t="shared" si="1"/>
        <v>4474344865</v>
      </c>
      <c r="B14" s="79">
        <v>44743</v>
      </c>
      <c r="C14" s="79">
        <v>44865</v>
      </c>
      <c r="D14" s="226">
        <f t="shared" si="2"/>
        <v>44804</v>
      </c>
      <c r="E14" s="226">
        <f t="shared" si="0"/>
        <v>44805</v>
      </c>
      <c r="F14" s="227">
        <f t="shared" si="3"/>
        <v>1.032</v>
      </c>
      <c r="G14" s="227">
        <f t="shared" si="4"/>
        <v>1.119</v>
      </c>
      <c r="H14" s="78"/>
      <c r="I14" s="79"/>
    </row>
    <row r="15" spans="1:9" x14ac:dyDescent="0.2">
      <c r="A15" s="79" t="str">
        <f t="shared" si="1"/>
        <v>4456244926</v>
      </c>
      <c r="B15" s="79">
        <v>44562</v>
      </c>
      <c r="C15" s="79">
        <v>44926</v>
      </c>
      <c r="D15" s="226">
        <f t="shared" si="2"/>
        <v>44744</v>
      </c>
      <c r="E15" s="226">
        <f t="shared" si="0"/>
        <v>44743</v>
      </c>
      <c r="F15" s="227">
        <f t="shared" si="3"/>
        <v>1.0229999999999999</v>
      </c>
      <c r="G15" s="227">
        <f t="shared" si="4"/>
        <v>1.129</v>
      </c>
      <c r="H15" s="78"/>
      <c r="I15" s="79"/>
    </row>
    <row r="16" spans="1:9" x14ac:dyDescent="0.2">
      <c r="A16" s="79" t="str">
        <f t="shared" si="1"/>
        <v>4459344926</v>
      </c>
      <c r="B16" s="79">
        <v>44593</v>
      </c>
      <c r="C16" s="79">
        <v>44926</v>
      </c>
      <c r="D16" s="226">
        <f t="shared" si="2"/>
        <v>44760</v>
      </c>
      <c r="E16" s="226">
        <f t="shared" si="0"/>
        <v>44774</v>
      </c>
      <c r="F16" s="227">
        <f t="shared" si="3"/>
        <v>1.0289999999999999</v>
      </c>
      <c r="G16" s="227">
        <f t="shared" si="4"/>
        <v>1.1220000000000001</v>
      </c>
      <c r="H16" s="78"/>
      <c r="I16" s="79"/>
    </row>
    <row r="17" spans="1:9" x14ac:dyDescent="0.2">
      <c r="A17" s="79" t="str">
        <f t="shared" si="1"/>
        <v>4462144926</v>
      </c>
      <c r="B17" s="79">
        <v>44621</v>
      </c>
      <c r="C17" s="79">
        <v>44926</v>
      </c>
      <c r="D17" s="226">
        <f t="shared" si="2"/>
        <v>44774</v>
      </c>
      <c r="E17" s="226">
        <f t="shared" si="0"/>
        <v>44774</v>
      </c>
      <c r="F17" s="227">
        <f t="shared" si="3"/>
        <v>1.0289999999999999</v>
      </c>
      <c r="G17" s="227">
        <f t="shared" si="4"/>
        <v>1.1220000000000001</v>
      </c>
      <c r="H17" s="78"/>
      <c r="I17" s="79"/>
    </row>
    <row r="18" spans="1:9" x14ac:dyDescent="0.2">
      <c r="A18" s="79" t="str">
        <f t="shared" si="1"/>
        <v>4471344926</v>
      </c>
      <c r="B18" s="79">
        <v>44713</v>
      </c>
      <c r="C18" s="79">
        <v>44926</v>
      </c>
      <c r="D18" s="226">
        <f t="shared" si="2"/>
        <v>44820</v>
      </c>
      <c r="E18" s="226">
        <f t="shared" si="0"/>
        <v>44835</v>
      </c>
      <c r="F18" s="227">
        <f t="shared" si="3"/>
        <v>1.036</v>
      </c>
      <c r="G18" s="227">
        <f t="shared" si="4"/>
        <v>1.115</v>
      </c>
      <c r="H18" s="78"/>
      <c r="I18" s="79"/>
    </row>
    <row r="19" spans="1:9" x14ac:dyDescent="0.2">
      <c r="A19" s="79" t="str">
        <f t="shared" si="1"/>
        <v>4477444926</v>
      </c>
      <c r="B19" s="79">
        <v>44774</v>
      </c>
      <c r="C19" s="79">
        <v>44926</v>
      </c>
      <c r="D19" s="226">
        <f t="shared" si="2"/>
        <v>44850</v>
      </c>
      <c r="E19" s="226">
        <f t="shared" si="0"/>
        <v>44866</v>
      </c>
      <c r="F19" s="227">
        <f t="shared" si="3"/>
        <v>1.0389999999999999</v>
      </c>
      <c r="G19" s="227">
        <f t="shared" si="4"/>
        <v>1.1120000000000001</v>
      </c>
      <c r="H19" s="78"/>
      <c r="I19" s="79"/>
    </row>
    <row r="20" spans="1:9" x14ac:dyDescent="0.2">
      <c r="A20" s="79" t="str">
        <f t="shared" si="1"/>
        <v>4483544926</v>
      </c>
      <c r="B20" s="79">
        <v>44835</v>
      </c>
      <c r="C20" s="79">
        <v>44926</v>
      </c>
      <c r="D20" s="226">
        <f t="shared" si="2"/>
        <v>44881</v>
      </c>
      <c r="E20" s="226">
        <f t="shared" si="0"/>
        <v>44896</v>
      </c>
      <c r="F20" s="227">
        <f t="shared" si="3"/>
        <v>1.0429999999999999</v>
      </c>
      <c r="G20" s="227">
        <f t="shared" si="4"/>
        <v>1.107</v>
      </c>
      <c r="H20" s="78"/>
      <c r="I20" s="79"/>
    </row>
    <row r="21" spans="1:9" x14ac:dyDescent="0.2">
      <c r="A21" s="79" t="str">
        <f t="shared" si="1"/>
        <v>4486644926</v>
      </c>
      <c r="B21" s="79">
        <v>44866</v>
      </c>
      <c r="C21" s="79">
        <v>44926</v>
      </c>
      <c r="D21" s="226">
        <f t="shared" si="2"/>
        <v>44896</v>
      </c>
      <c r="E21" s="226">
        <f t="shared" si="0"/>
        <v>44896</v>
      </c>
      <c r="F21" s="227">
        <f t="shared" si="3"/>
        <v>1.0429999999999999</v>
      </c>
      <c r="G21" s="227">
        <f t="shared" si="4"/>
        <v>1.107</v>
      </c>
      <c r="H21" s="78"/>
      <c r="I21" s="79"/>
    </row>
    <row r="22" spans="1:9" x14ac:dyDescent="0.2">
      <c r="A22" s="79" t="str">
        <f t="shared" si="1"/>
        <v>4456244957</v>
      </c>
      <c r="B22" s="79">
        <v>44562</v>
      </c>
      <c r="C22" s="79">
        <v>44957</v>
      </c>
      <c r="D22" s="226">
        <f t="shared" si="2"/>
        <v>44760</v>
      </c>
      <c r="E22" s="226">
        <f t="shared" si="0"/>
        <v>44774</v>
      </c>
      <c r="F22" s="227">
        <f t="shared" si="3"/>
        <v>1.0289999999999999</v>
      </c>
      <c r="G22" s="227">
        <f t="shared" si="4"/>
        <v>1.1220000000000001</v>
      </c>
      <c r="H22" s="78"/>
      <c r="I22" s="79"/>
    </row>
    <row r="23" spans="1:9" x14ac:dyDescent="0.2">
      <c r="A23" s="79" t="str">
        <f t="shared" si="1"/>
        <v>4510845473</v>
      </c>
      <c r="B23" s="226">
        <v>45108</v>
      </c>
      <c r="C23" s="226">
        <v>45473</v>
      </c>
      <c r="D23" s="226">
        <f t="shared" si="2"/>
        <v>45291</v>
      </c>
      <c r="E23" s="226">
        <f t="shared" si="0"/>
        <v>45292</v>
      </c>
      <c r="F23" s="227">
        <f t="shared" si="3"/>
        <v>1.089</v>
      </c>
      <c r="G23" s="227">
        <f t="shared" si="4"/>
        <v>1.0609999999999999</v>
      </c>
      <c r="H23" s="78"/>
      <c r="I23" s="79"/>
    </row>
    <row r="24" spans="1:9" x14ac:dyDescent="0.2">
      <c r="A24" s="79" t="str">
        <f t="shared" si="1"/>
        <v>4547445838</v>
      </c>
      <c r="B24" s="226">
        <v>45474</v>
      </c>
      <c r="C24" s="226">
        <v>45838</v>
      </c>
      <c r="D24" s="226">
        <f>ROUND((+C24-B24)/2+B24,0)</f>
        <v>45656</v>
      </c>
      <c r="E24" s="226">
        <f t="shared" si="0"/>
        <v>45658</v>
      </c>
      <c r="F24" s="227">
        <f>VLOOKUP(E24,C$27:E$118,3,FALSE)</f>
        <v>1.1200000000000001</v>
      </c>
      <c r="G24" s="227">
        <f t="shared" si="4"/>
        <v>1.0309999999999999</v>
      </c>
      <c r="H24" s="78"/>
      <c r="I24" s="79"/>
    </row>
    <row r="25" spans="1:9" x14ac:dyDescent="0.2">
      <c r="A25" s="79" t="str">
        <f t="shared" si="1"/>
        <v>4583946203</v>
      </c>
      <c r="B25" s="226">
        <v>45839</v>
      </c>
      <c r="C25" s="226">
        <v>46203</v>
      </c>
      <c r="D25" s="226">
        <f>ROUND((+C25-B25)/2+B25,0)</f>
        <v>46021</v>
      </c>
      <c r="E25" s="226">
        <f t="shared" si="0"/>
        <v>46023</v>
      </c>
      <c r="F25" s="227">
        <f>VLOOKUP(E25,C$27:E$118,3,FALSE)</f>
        <v>1.155</v>
      </c>
      <c r="G25" s="227">
        <f t="shared" si="4"/>
        <v>1</v>
      </c>
      <c r="H25" s="78"/>
      <c r="I25" s="79"/>
    </row>
    <row r="26" spans="1:9" x14ac:dyDescent="0.2">
      <c r="C26" s="226"/>
      <c r="G26" s="228"/>
    </row>
    <row r="27" spans="1:9" x14ac:dyDescent="0.2">
      <c r="C27" s="226"/>
      <c r="D27" s="229"/>
      <c r="E27" s="181"/>
    </row>
    <row r="28" spans="1:9" x14ac:dyDescent="0.2">
      <c r="C28" s="226">
        <v>44409</v>
      </c>
      <c r="D28" s="229">
        <f>+H29</f>
        <v>84.210416666666703</v>
      </c>
      <c r="E28" s="181">
        <f>VLOOKUP(D28,$H$28:$I$52,2,FALSE)</f>
        <v>0.95799999999999996</v>
      </c>
      <c r="F28" s="230"/>
      <c r="H28" s="180">
        <v>84.209722222222197</v>
      </c>
      <c r="I28" s="181">
        <v>0.94099999999999995</v>
      </c>
    </row>
    <row r="29" spans="1:9" x14ac:dyDescent="0.2">
      <c r="C29" s="226">
        <v>44440</v>
      </c>
      <c r="D29" s="229"/>
      <c r="E29" s="181">
        <f>ROUND(((E28*2)+(E31*1))/3,3)</f>
        <v>0.96199999999999997</v>
      </c>
      <c r="F29" s="230"/>
      <c r="G29" s="231"/>
      <c r="H29" s="180">
        <v>84.210416666666703</v>
      </c>
      <c r="I29" s="181">
        <v>0.95799999999999996</v>
      </c>
    </row>
    <row r="30" spans="1:9" x14ac:dyDescent="0.2">
      <c r="C30" s="226">
        <v>44470</v>
      </c>
      <c r="E30" s="181">
        <f>ROUND(((E28*1)+(E31*2))/3,3)</f>
        <v>0.96699999999999997</v>
      </c>
      <c r="F30" s="230"/>
      <c r="H30" s="180">
        <v>84.211111111111194</v>
      </c>
      <c r="I30" s="181">
        <v>0.97099999999999997</v>
      </c>
    </row>
    <row r="31" spans="1:9" x14ac:dyDescent="0.2">
      <c r="C31" s="226">
        <v>44501</v>
      </c>
      <c r="D31" s="180">
        <f>+H30</f>
        <v>84.211111111111194</v>
      </c>
      <c r="E31" s="181">
        <f>VLOOKUP(D31,$H$28:$I$52,2,FALSE)</f>
        <v>0.97099999999999997</v>
      </c>
      <c r="F31" s="230"/>
      <c r="H31" s="180">
        <v>84.250694444444406</v>
      </c>
      <c r="I31" s="181">
        <v>0.99</v>
      </c>
    </row>
    <row r="32" spans="1:9" x14ac:dyDescent="0.2">
      <c r="C32" s="226">
        <v>44531</v>
      </c>
      <c r="D32" s="180"/>
      <c r="E32" s="181">
        <f>ROUND(((E31*2)+(E34*1))/3,3)</f>
        <v>0.97699999999999998</v>
      </c>
      <c r="F32" s="230"/>
      <c r="G32" s="232"/>
      <c r="H32" s="180">
        <v>84.251388888888897</v>
      </c>
      <c r="I32" s="181">
        <v>1.01</v>
      </c>
    </row>
    <row r="33" spans="3:9" x14ac:dyDescent="0.2">
      <c r="C33" s="226">
        <v>44562</v>
      </c>
      <c r="D33" s="180"/>
      <c r="E33" s="181">
        <f>ROUND(((E31*1)+(E34*2))/3,3)</f>
        <v>0.98399999999999999</v>
      </c>
      <c r="F33" s="230"/>
      <c r="H33" s="180">
        <v>84.252083333333303</v>
      </c>
      <c r="I33" s="181">
        <v>1.0289999999999999</v>
      </c>
    </row>
    <row r="34" spans="3:9" x14ac:dyDescent="0.2">
      <c r="C34" s="226">
        <v>44593</v>
      </c>
      <c r="D34" s="180">
        <f>+H31</f>
        <v>84.250694444444406</v>
      </c>
      <c r="E34" s="181">
        <f>VLOOKUP(D34,$H$28:$I$52,2,FALSE)</f>
        <v>0.99</v>
      </c>
      <c r="F34" s="230"/>
      <c r="H34" s="180">
        <v>84.252777777777794</v>
      </c>
      <c r="I34" s="181">
        <v>1.0389999999999999</v>
      </c>
    </row>
    <row r="35" spans="3:9" x14ac:dyDescent="0.2">
      <c r="C35" s="226">
        <v>44621</v>
      </c>
      <c r="D35" s="180"/>
      <c r="E35" s="181">
        <f>ROUND(((E34*2)+(E37*1))/3,3)</f>
        <v>0.997</v>
      </c>
      <c r="F35" s="230"/>
      <c r="G35" s="233"/>
      <c r="H35" s="180">
        <v>84.292361111111106</v>
      </c>
      <c r="I35" s="181">
        <v>1.052</v>
      </c>
    </row>
    <row r="36" spans="3:9" x14ac:dyDescent="0.2">
      <c r="C36" s="226">
        <v>44652</v>
      </c>
      <c r="D36" s="180"/>
      <c r="E36" s="181">
        <f>ROUND(((E34*1)+(E37*2))/3,3)</f>
        <v>1.0029999999999999</v>
      </c>
      <c r="F36" s="230"/>
      <c r="H36" s="180">
        <v>84.293055555555597</v>
      </c>
      <c r="I36" s="181">
        <v>1.0620000000000001</v>
      </c>
    </row>
    <row r="37" spans="3:9" x14ac:dyDescent="0.2">
      <c r="C37" s="226">
        <v>44682</v>
      </c>
      <c r="D37" s="180">
        <f>+H32</f>
        <v>84.251388888888897</v>
      </c>
      <c r="E37" s="181">
        <f>VLOOKUP(D37,$H$28:$I$52,2,FALSE)</f>
        <v>1.01</v>
      </c>
      <c r="F37" s="230"/>
      <c r="H37" s="180">
        <v>84.293750000000003</v>
      </c>
      <c r="I37" s="181">
        <v>1.077</v>
      </c>
    </row>
    <row r="38" spans="3:9" x14ac:dyDescent="0.2">
      <c r="C38" s="226">
        <v>44713</v>
      </c>
      <c r="D38" s="180"/>
      <c r="E38" s="181">
        <f>ROUND(((E37*2)+(E40*1))/3,3)</f>
        <v>1.016</v>
      </c>
      <c r="F38" s="230"/>
      <c r="G38" s="228"/>
      <c r="H38" s="180">
        <v>84.294444444444494</v>
      </c>
      <c r="I38" s="181">
        <v>1.0820000000000001</v>
      </c>
    </row>
    <row r="39" spans="3:9" x14ac:dyDescent="0.2">
      <c r="C39" s="226">
        <v>44743</v>
      </c>
      <c r="D39" s="180"/>
      <c r="E39" s="181">
        <f>ROUND(((E37*1)+(E40*2))/3,3)</f>
        <v>1.0229999999999999</v>
      </c>
      <c r="F39" s="230"/>
      <c r="H39" s="180">
        <v>84.334027777777806</v>
      </c>
      <c r="I39" s="181">
        <v>1.0920000000000001</v>
      </c>
    </row>
    <row r="40" spans="3:9" x14ac:dyDescent="0.2">
      <c r="C40" s="226">
        <v>44774</v>
      </c>
      <c r="D40" s="229">
        <f>+H33</f>
        <v>84.252083333333303</v>
      </c>
      <c r="E40" s="181">
        <f>VLOOKUP(D40,$H$28:$I$52,2,FALSE)</f>
        <v>1.0289999999999999</v>
      </c>
      <c r="F40" s="230"/>
      <c r="H40" s="180">
        <v>84.334722222222197</v>
      </c>
      <c r="I40" s="181">
        <v>1.103</v>
      </c>
    </row>
    <row r="41" spans="3:9" x14ac:dyDescent="0.2">
      <c r="C41" s="226">
        <v>44805</v>
      </c>
      <c r="E41" s="181">
        <f>ROUND(((E40*2)+(E43*1))/3,3)</f>
        <v>1.032</v>
      </c>
      <c r="F41" s="230"/>
      <c r="G41" s="231"/>
      <c r="H41" s="180">
        <v>84.335416666666703</v>
      </c>
      <c r="I41" s="181">
        <v>1.107</v>
      </c>
    </row>
    <row r="42" spans="3:9" x14ac:dyDescent="0.2">
      <c r="C42" s="226">
        <v>44835</v>
      </c>
      <c r="D42" s="180"/>
      <c r="E42" s="181">
        <f>ROUND(((E40*1)+(E43*2))/3,3)</f>
        <v>1.036</v>
      </c>
      <c r="F42" s="230"/>
      <c r="H42" s="180">
        <v>84.336111111111094</v>
      </c>
      <c r="I42" s="181">
        <v>1.113</v>
      </c>
    </row>
    <row r="43" spans="3:9" x14ac:dyDescent="0.2">
      <c r="C43" s="226">
        <v>44866</v>
      </c>
      <c r="D43" s="180">
        <f>+H34</f>
        <v>84.252777777777794</v>
      </c>
      <c r="E43" s="181">
        <f>VLOOKUP(D43,$H$28:$I$52,2,FALSE)</f>
        <v>1.0389999999999999</v>
      </c>
      <c r="F43" s="230"/>
      <c r="H43" s="180">
        <v>84.375694444444406</v>
      </c>
      <c r="I43" s="181">
        <v>1.1240000000000001</v>
      </c>
    </row>
    <row r="44" spans="3:9" x14ac:dyDescent="0.2">
      <c r="C44" s="226">
        <v>44896</v>
      </c>
      <c r="D44" s="180"/>
      <c r="E44" s="181">
        <f>ROUND(((E43*2)+(E46*1))/3,3)</f>
        <v>1.0429999999999999</v>
      </c>
      <c r="F44" s="230"/>
      <c r="G44" s="232"/>
      <c r="H44" s="180">
        <v>84.376388888888897</v>
      </c>
      <c r="I44" s="181">
        <v>1.133</v>
      </c>
    </row>
    <row r="45" spans="3:9" x14ac:dyDescent="0.2">
      <c r="C45" s="226">
        <v>44927</v>
      </c>
      <c r="D45" s="180"/>
      <c r="E45" s="181">
        <f>ROUND(((E43*1)+(E46*2))/3,3)</f>
        <v>1.048</v>
      </c>
      <c r="F45" s="230"/>
      <c r="H45" s="180">
        <v>84.377083333333303</v>
      </c>
      <c r="I45" s="181">
        <v>1.143</v>
      </c>
    </row>
    <row r="46" spans="3:9" x14ac:dyDescent="0.2">
      <c r="C46" s="226">
        <v>44958</v>
      </c>
      <c r="D46" s="180">
        <f>+H35</f>
        <v>84.292361111111106</v>
      </c>
      <c r="E46" s="181">
        <f>VLOOKUP(D46,$H$28:$I$52,2,FALSE)</f>
        <v>1.052</v>
      </c>
      <c r="F46" s="230"/>
      <c r="H46" s="180">
        <v>84.377777777777794</v>
      </c>
      <c r="I46" s="181">
        <v>1.147</v>
      </c>
    </row>
    <row r="47" spans="3:9" x14ac:dyDescent="0.2">
      <c r="C47" s="226">
        <v>44986</v>
      </c>
      <c r="D47" s="180"/>
      <c r="E47" s="181">
        <f>ROUND(((E46*2)+(E49*1))/3,3)</f>
        <v>1.0549999999999999</v>
      </c>
      <c r="F47" s="230"/>
      <c r="G47" s="233"/>
      <c r="H47" s="180">
        <v>84.417361111111106</v>
      </c>
      <c r="I47" s="181">
        <v>1.159</v>
      </c>
    </row>
    <row r="48" spans="3:9" x14ac:dyDescent="0.2">
      <c r="C48" s="226">
        <v>45017</v>
      </c>
      <c r="D48" s="180"/>
      <c r="E48" s="181">
        <f>ROUND(((E46*1)+(E49*2))/3,3)</f>
        <v>1.0589999999999999</v>
      </c>
      <c r="F48" s="230"/>
      <c r="H48" s="180">
        <v>84.418055555555597</v>
      </c>
      <c r="I48" s="181">
        <v>1.1679999999999999</v>
      </c>
    </row>
    <row r="49" spans="3:9" x14ac:dyDescent="0.2">
      <c r="C49" s="226">
        <v>45047</v>
      </c>
      <c r="D49" s="180">
        <f>+H36</f>
        <v>84.293055555555597</v>
      </c>
      <c r="E49" s="181">
        <f>VLOOKUP(D49,$H$28:$I$52,2,FALSE)</f>
        <v>1.0620000000000001</v>
      </c>
      <c r="F49" s="230"/>
      <c r="H49" s="180">
        <v>84.418750000000003</v>
      </c>
      <c r="I49" s="181">
        <v>1.177</v>
      </c>
    </row>
    <row r="50" spans="3:9" x14ac:dyDescent="0.2">
      <c r="C50" s="226">
        <v>45078</v>
      </c>
      <c r="D50" s="180"/>
      <c r="E50" s="181">
        <f>ROUND(((E49*2)+(E52*1))/3,3)</f>
        <v>1.0669999999999999</v>
      </c>
      <c r="F50" s="230"/>
      <c r="G50" s="228"/>
      <c r="H50" s="180">
        <v>84.419444444444594</v>
      </c>
      <c r="I50" s="181">
        <v>1.1830000000000001</v>
      </c>
    </row>
    <row r="51" spans="3:9" x14ac:dyDescent="0.2">
      <c r="C51" s="226">
        <v>45108</v>
      </c>
      <c r="D51" s="180"/>
      <c r="E51" s="181">
        <f>ROUND(((E49*1)+(E52*2))/3,3)</f>
        <v>1.0720000000000001</v>
      </c>
      <c r="F51" s="230"/>
      <c r="H51" s="180">
        <v>84.459027777777806</v>
      </c>
      <c r="I51" s="181">
        <v>1.1950000000000001</v>
      </c>
    </row>
    <row r="52" spans="3:9" x14ac:dyDescent="0.2">
      <c r="C52" s="226">
        <v>45139</v>
      </c>
      <c r="D52" s="180">
        <f>+H37</f>
        <v>84.293750000000003</v>
      </c>
      <c r="E52" s="181">
        <f>VLOOKUP(D52,$H$28:$I$52,2,FALSE)</f>
        <v>1.077</v>
      </c>
      <c r="F52" s="230"/>
      <c r="H52" s="180">
        <v>84.459722222222197</v>
      </c>
      <c r="I52" s="181">
        <v>1.204</v>
      </c>
    </row>
    <row r="53" spans="3:9" x14ac:dyDescent="0.2">
      <c r="C53" s="226">
        <v>45170</v>
      </c>
      <c r="D53" s="180"/>
      <c r="E53" s="181">
        <f>ROUND(((E52*2)+(E55*1))/3,3)</f>
        <v>1.079</v>
      </c>
      <c r="F53" s="230"/>
      <c r="G53" s="231"/>
      <c r="H53" s="180"/>
      <c r="I53" s="181"/>
    </row>
    <row r="54" spans="3:9" x14ac:dyDescent="0.2">
      <c r="C54" s="226">
        <v>45200</v>
      </c>
      <c r="D54" s="180"/>
      <c r="E54" s="181">
        <f>ROUND(((E52*1)+(E55*2))/3,3)</f>
        <v>1.08</v>
      </c>
      <c r="F54" s="230"/>
      <c r="H54" s="180"/>
      <c r="I54" s="181"/>
    </row>
    <row r="55" spans="3:9" x14ac:dyDescent="0.2">
      <c r="C55" s="226">
        <v>45231</v>
      </c>
      <c r="D55" s="180">
        <f>+H38</f>
        <v>84.294444444444494</v>
      </c>
      <c r="E55" s="181">
        <f>VLOOKUP(D55,$H$28:$I$52,2,FALSE)</f>
        <v>1.0820000000000001</v>
      </c>
      <c r="F55" s="230"/>
      <c r="H55" s="180"/>
      <c r="I55" s="181"/>
    </row>
    <row r="56" spans="3:9" x14ac:dyDescent="0.2">
      <c r="C56" s="226">
        <v>45261</v>
      </c>
      <c r="D56" s="180"/>
      <c r="E56" s="181">
        <f>ROUND(((E55*2)+(E58*1))/3,3)</f>
        <v>1.085</v>
      </c>
      <c r="F56" s="230"/>
      <c r="G56" s="232"/>
      <c r="H56" s="180"/>
      <c r="I56" s="181"/>
    </row>
    <row r="57" spans="3:9" x14ac:dyDescent="0.2">
      <c r="C57" s="226">
        <v>45292</v>
      </c>
      <c r="D57" s="180"/>
      <c r="E57" s="181">
        <f>ROUND(((E55*1)+(E58*2))/3,3)</f>
        <v>1.089</v>
      </c>
      <c r="F57" s="230"/>
      <c r="H57" s="180"/>
      <c r="I57" s="181"/>
    </row>
    <row r="58" spans="3:9" x14ac:dyDescent="0.2">
      <c r="C58" s="226">
        <v>45323</v>
      </c>
      <c r="D58" s="180">
        <f>+H39</f>
        <v>84.334027777777806</v>
      </c>
      <c r="E58" s="181">
        <f>VLOOKUP(D58,$H$28:$I$52,2,FALSE)</f>
        <v>1.0920000000000001</v>
      </c>
      <c r="F58" s="230"/>
      <c r="H58" s="180"/>
      <c r="I58" s="181"/>
    </row>
    <row r="59" spans="3:9" x14ac:dyDescent="0.2">
      <c r="C59" s="226">
        <v>45352</v>
      </c>
      <c r="D59" s="180"/>
      <c r="E59" s="181">
        <f>ROUND(((E58*2)+(E61*1))/3,3)</f>
        <v>1.0960000000000001</v>
      </c>
      <c r="F59" s="230"/>
      <c r="G59" s="233"/>
      <c r="H59" s="180"/>
      <c r="I59" s="181"/>
    </row>
    <row r="60" spans="3:9" x14ac:dyDescent="0.2">
      <c r="C60" s="226">
        <v>45383</v>
      </c>
      <c r="D60" s="180"/>
      <c r="E60" s="181">
        <f>ROUND(((E58*1)+(E61*2))/3,3)</f>
        <v>1.099</v>
      </c>
      <c r="F60" s="230"/>
      <c r="H60" s="180"/>
      <c r="I60" s="181"/>
    </row>
    <row r="61" spans="3:9" x14ac:dyDescent="0.2">
      <c r="C61" s="226">
        <v>45413</v>
      </c>
      <c r="D61" s="180">
        <f>+H40</f>
        <v>84.334722222222197</v>
      </c>
      <c r="E61" s="181">
        <f>VLOOKUP(D61,$H$28:$I$52,2,FALSE)</f>
        <v>1.103</v>
      </c>
      <c r="F61" s="230"/>
      <c r="H61" s="180"/>
      <c r="I61" s="181"/>
    </row>
    <row r="62" spans="3:9" x14ac:dyDescent="0.2">
      <c r="C62" s="226">
        <v>45444</v>
      </c>
      <c r="D62" s="180"/>
      <c r="E62" s="181">
        <f>ROUND(((E61*2)+(E64*1))/3,3)</f>
        <v>1.1040000000000001</v>
      </c>
      <c r="F62" s="230"/>
      <c r="G62" s="228"/>
      <c r="H62" s="180"/>
      <c r="I62" s="181"/>
    </row>
    <row r="63" spans="3:9" x14ac:dyDescent="0.2">
      <c r="C63" s="226">
        <v>45474</v>
      </c>
      <c r="D63" s="180"/>
      <c r="E63" s="181">
        <f>ROUND(((E61*1)+(E64*2))/3,3)</f>
        <v>1.1060000000000001</v>
      </c>
      <c r="F63" s="230"/>
    </row>
    <row r="64" spans="3:9" x14ac:dyDescent="0.2">
      <c r="C64" s="226">
        <v>45505</v>
      </c>
      <c r="D64" s="180">
        <f>+H41</f>
        <v>84.335416666666703</v>
      </c>
      <c r="E64" s="181">
        <f>VLOOKUP(D64,$H$28:$I$52,2,FALSE)</f>
        <v>1.107</v>
      </c>
      <c r="F64" s="230"/>
    </row>
    <row r="65" spans="3:7" x14ac:dyDescent="0.2">
      <c r="C65" s="226">
        <v>45536</v>
      </c>
      <c r="D65" s="180"/>
      <c r="E65" s="181">
        <f>ROUND(((E64*2)+(E67*1))/3,3)</f>
        <v>1.109</v>
      </c>
      <c r="F65" s="230"/>
      <c r="G65" s="231"/>
    </row>
    <row r="66" spans="3:7" x14ac:dyDescent="0.2">
      <c r="C66" s="226">
        <v>45566</v>
      </c>
      <c r="D66" s="180"/>
      <c r="E66" s="181">
        <f>ROUND(((E64*1)+(E67*2))/3,3)</f>
        <v>1.111</v>
      </c>
      <c r="F66" s="230"/>
    </row>
    <row r="67" spans="3:7" x14ac:dyDescent="0.2">
      <c r="C67" s="226">
        <v>45597</v>
      </c>
      <c r="D67" s="180">
        <f>+H42</f>
        <v>84.336111111111094</v>
      </c>
      <c r="E67" s="181">
        <f>VLOOKUP(D67,$H$28:$I$52,2,FALSE)</f>
        <v>1.113</v>
      </c>
      <c r="F67" s="230"/>
    </row>
    <row r="68" spans="3:7" x14ac:dyDescent="0.2">
      <c r="C68" s="226">
        <v>45627</v>
      </c>
      <c r="D68" s="180"/>
      <c r="E68" s="181">
        <f>ROUND(((E67*2)+(E70*1))/3,3)</f>
        <v>1.117</v>
      </c>
      <c r="F68" s="230"/>
      <c r="G68" s="232"/>
    </row>
    <row r="69" spans="3:7" x14ac:dyDescent="0.2">
      <c r="C69" s="226">
        <v>45658</v>
      </c>
      <c r="D69" s="180"/>
      <c r="E69" s="181">
        <f>ROUND(((E67*1)+(E70*2))/3,3)</f>
        <v>1.1200000000000001</v>
      </c>
      <c r="F69" s="230"/>
    </row>
    <row r="70" spans="3:7" x14ac:dyDescent="0.2">
      <c r="C70" s="226">
        <v>45689</v>
      </c>
      <c r="D70" s="180">
        <f>+H43</f>
        <v>84.375694444444406</v>
      </c>
      <c r="E70" s="181">
        <f>VLOOKUP(D70,$H$28:$I$52,2,FALSE)</f>
        <v>1.1240000000000001</v>
      </c>
      <c r="F70" s="230"/>
    </row>
    <row r="71" spans="3:7" x14ac:dyDescent="0.2">
      <c r="C71" s="226">
        <v>45717</v>
      </c>
      <c r="D71" s="180"/>
      <c r="E71" s="181">
        <f>ROUND(((E70*2)+(E73*1))/3,3)</f>
        <v>1.127</v>
      </c>
      <c r="F71" s="230"/>
      <c r="G71" s="233"/>
    </row>
    <row r="72" spans="3:7" x14ac:dyDescent="0.2">
      <c r="C72" s="226">
        <v>45748</v>
      </c>
      <c r="D72" s="180"/>
      <c r="E72" s="181">
        <f>ROUND(((E70*1)+(E73*2))/3,3)</f>
        <v>1.1299999999999999</v>
      </c>
      <c r="F72" s="230"/>
    </row>
    <row r="73" spans="3:7" x14ac:dyDescent="0.2">
      <c r="C73" s="226">
        <v>45778</v>
      </c>
      <c r="D73" s="180">
        <f>+H44</f>
        <v>84.376388888888897</v>
      </c>
      <c r="E73" s="181">
        <f>VLOOKUP(D73,$H$28:$I$52,2,FALSE)</f>
        <v>1.133</v>
      </c>
      <c r="F73" s="230"/>
    </row>
    <row r="74" spans="3:7" x14ac:dyDescent="0.2">
      <c r="C74" s="226">
        <v>45809</v>
      </c>
      <c r="E74" s="181">
        <f>ROUND(((E73*2)+(E76*1))/3,3)</f>
        <v>1.1359999999999999</v>
      </c>
    </row>
    <row r="75" spans="3:7" x14ac:dyDescent="0.2">
      <c r="C75" s="226">
        <v>45839</v>
      </c>
      <c r="E75" s="181">
        <f>ROUND(((E73*1)+(E76*2))/3,3)</f>
        <v>1.1399999999999999</v>
      </c>
    </row>
    <row r="76" spans="3:7" x14ac:dyDescent="0.2">
      <c r="C76" s="226">
        <v>45870</v>
      </c>
      <c r="D76" s="180">
        <f>+H45</f>
        <v>84.377083333333303</v>
      </c>
      <c r="E76" s="181">
        <f>VLOOKUP(D76,$H$28:$I$52,2,FALSE)</f>
        <v>1.143</v>
      </c>
    </row>
    <row r="77" spans="3:7" x14ac:dyDescent="0.2">
      <c r="C77" s="226">
        <v>45901</v>
      </c>
      <c r="E77" s="181">
        <f>ROUND(((E76*2)+(E79*1))/3,3)</f>
        <v>1.1439999999999999</v>
      </c>
    </row>
    <row r="78" spans="3:7" x14ac:dyDescent="0.2">
      <c r="C78" s="226">
        <v>45931</v>
      </c>
      <c r="E78" s="181">
        <f>ROUND(((E76*1)+(E79*2))/3,3)</f>
        <v>1.1459999999999999</v>
      </c>
    </row>
    <row r="79" spans="3:7" x14ac:dyDescent="0.2">
      <c r="C79" s="226">
        <v>45962</v>
      </c>
      <c r="D79" s="180">
        <f>+H46</f>
        <v>84.377777777777794</v>
      </c>
      <c r="E79" s="181">
        <f>VLOOKUP(D79,$H$28:$I$52,2,FALSE)</f>
        <v>1.147</v>
      </c>
    </row>
    <row r="80" spans="3:7" x14ac:dyDescent="0.2">
      <c r="C80" s="226">
        <v>45992</v>
      </c>
      <c r="E80" s="181">
        <f>ROUND(((E79*2)+(E82*1))/3,3)</f>
        <v>1.151</v>
      </c>
    </row>
    <row r="81" spans="3:11" x14ac:dyDescent="0.2">
      <c r="C81" s="226">
        <v>46023</v>
      </c>
      <c r="E81" s="181">
        <f>ROUND(((E79*1)+(E82*2))/3,3)</f>
        <v>1.155</v>
      </c>
    </row>
    <row r="82" spans="3:11" x14ac:dyDescent="0.2">
      <c r="C82" s="226">
        <v>46054</v>
      </c>
      <c r="D82" s="180">
        <f>+H47</f>
        <v>84.417361111111106</v>
      </c>
      <c r="E82" s="181">
        <f>VLOOKUP(D82,$H$28:$I$52,2,FALSE)</f>
        <v>1.159</v>
      </c>
    </row>
    <row r="83" spans="3:11" x14ac:dyDescent="0.2">
      <c r="C83" s="226">
        <v>46082</v>
      </c>
      <c r="E83" s="181">
        <f>ROUND(((E82*2)+(E85*1))/3,3)</f>
        <v>1.1619999999999999</v>
      </c>
    </row>
    <row r="84" spans="3:11" x14ac:dyDescent="0.2">
      <c r="C84" s="226">
        <v>46113</v>
      </c>
      <c r="E84" s="181">
        <f>ROUND(((E82*1)+(E85*2))/3,3)</f>
        <v>1.165</v>
      </c>
    </row>
    <row r="85" spans="3:11" x14ac:dyDescent="0.2">
      <c r="C85" s="226">
        <v>46143</v>
      </c>
      <c r="D85" s="180">
        <f>+H48</f>
        <v>84.418055555555597</v>
      </c>
      <c r="E85" s="181">
        <f>VLOOKUP(D85,$H$28:$I$52,2,FALSE)</f>
        <v>1.1679999999999999</v>
      </c>
    </row>
    <row r="86" spans="3:11" x14ac:dyDescent="0.2">
      <c r="C86" s="226">
        <v>46174</v>
      </c>
      <c r="E86" s="181">
        <f>ROUND(((E85*2)+(E88*1))/3,3)</f>
        <v>1.171</v>
      </c>
      <c r="G86" s="232"/>
    </row>
    <row r="87" spans="3:11" x14ac:dyDescent="0.2">
      <c r="C87" s="226">
        <v>46204</v>
      </c>
      <c r="E87" s="181">
        <f>ROUND(((E85*1)+(E88*2))/3,3)</f>
        <v>1.1739999999999999</v>
      </c>
      <c r="G87" s="233"/>
    </row>
    <row r="88" spans="3:11" x14ac:dyDescent="0.2">
      <c r="C88" s="226">
        <v>46235</v>
      </c>
      <c r="D88" s="180">
        <f>+H49</f>
        <v>84.418750000000003</v>
      </c>
      <c r="E88" s="181">
        <f>VLOOKUP(D88,$H$28:$I$52,2,FALSE)</f>
        <v>1.177</v>
      </c>
      <c r="G88" s="180"/>
      <c r="H88" s="180"/>
      <c r="I88" s="180"/>
    </row>
    <row r="89" spans="3:11" x14ac:dyDescent="0.2">
      <c r="C89" s="226">
        <v>46266</v>
      </c>
      <c r="E89" s="181">
        <f>ROUND(((E88*2)+(E91*1))/3,3)</f>
        <v>1.179</v>
      </c>
      <c r="G89" s="231"/>
    </row>
    <row r="90" spans="3:11" x14ac:dyDescent="0.2">
      <c r="C90" s="226">
        <v>46296</v>
      </c>
      <c r="E90" s="181">
        <f>ROUND(((E88*1)+(E91*2))/3,3)</f>
        <v>1.181</v>
      </c>
      <c r="G90" s="232"/>
    </row>
    <row r="91" spans="3:11" x14ac:dyDescent="0.2">
      <c r="C91" s="226">
        <v>46327</v>
      </c>
      <c r="D91" s="180">
        <f>+H50</f>
        <v>84.419444444444594</v>
      </c>
      <c r="E91" s="181">
        <f>VLOOKUP(D91,$H$28:$I$52,2,FALSE)</f>
        <v>1.1830000000000001</v>
      </c>
      <c r="J91" s="180"/>
      <c r="K91" s="180"/>
    </row>
    <row r="92" spans="3:11" x14ac:dyDescent="0.2">
      <c r="C92" s="226">
        <v>46357</v>
      </c>
      <c r="E92" s="181">
        <f>ROUND(((E91*2)+(E94*1))/3,3)</f>
        <v>1.1870000000000001</v>
      </c>
    </row>
    <row r="93" spans="3:11" x14ac:dyDescent="0.2">
      <c r="C93" s="226">
        <v>46388</v>
      </c>
      <c r="E93" s="181">
        <f>ROUND(((E91*1)+(E94*2))/3,3)</f>
        <v>1.1910000000000001</v>
      </c>
    </row>
    <row r="94" spans="3:11" x14ac:dyDescent="0.2">
      <c r="C94" s="226">
        <v>46419</v>
      </c>
      <c r="D94" s="180">
        <f>+H51</f>
        <v>84.459027777777806</v>
      </c>
      <c r="E94" s="181">
        <f>VLOOKUP(D94,$H$28:$I$52,2,FALSE)</f>
        <v>1.1950000000000001</v>
      </c>
    </row>
    <row r="95" spans="3:11" x14ac:dyDescent="0.2">
      <c r="C95" s="226">
        <v>46447</v>
      </c>
      <c r="E95" s="181">
        <f>ROUND(((E94*2)+(E97*1))/3,3)</f>
        <v>1.198</v>
      </c>
    </row>
    <row r="96" spans="3:11" x14ac:dyDescent="0.2">
      <c r="C96" s="226">
        <v>46478</v>
      </c>
      <c r="E96" s="181">
        <f>ROUND(((E94*1)+(E97*2))/3,3)</f>
        <v>1.2010000000000001</v>
      </c>
    </row>
    <row r="97" spans="3:5" x14ac:dyDescent="0.2">
      <c r="C97" s="226">
        <v>46508</v>
      </c>
      <c r="D97" s="180">
        <f>+H52</f>
        <v>84.459722222222197</v>
      </c>
      <c r="E97" s="181">
        <f>VLOOKUP(D97,$H$28:$I$52,2,FALSE)</f>
        <v>1.204</v>
      </c>
    </row>
    <row r="98" spans="3:5" x14ac:dyDescent="0.2">
      <c r="C98" s="226"/>
      <c r="E98" s="181"/>
    </row>
    <row r="99" spans="3:5" x14ac:dyDescent="0.2">
      <c r="C99" s="226"/>
      <c r="E99" s="181"/>
    </row>
    <row r="100" spans="3:5" x14ac:dyDescent="0.2">
      <c r="C100" s="226"/>
      <c r="D100" s="180"/>
      <c r="E100" s="181"/>
    </row>
    <row r="101" spans="3:5" x14ac:dyDescent="0.2">
      <c r="C101" s="226"/>
      <c r="E101" s="181"/>
    </row>
    <row r="102" spans="3:5" x14ac:dyDescent="0.2">
      <c r="C102" s="226"/>
      <c r="E102" s="181"/>
    </row>
    <row r="103" spans="3:5" x14ac:dyDescent="0.2">
      <c r="C103" s="226"/>
      <c r="D103" s="180"/>
      <c r="E103" s="181"/>
    </row>
    <row r="104" spans="3:5" x14ac:dyDescent="0.2">
      <c r="C104" s="226"/>
      <c r="E104" s="181"/>
    </row>
    <row r="105" spans="3:5" x14ac:dyDescent="0.2">
      <c r="C105" s="226"/>
      <c r="E105" s="181"/>
    </row>
    <row r="106" spans="3:5" x14ac:dyDescent="0.2">
      <c r="C106" s="226"/>
      <c r="D106" s="180"/>
      <c r="E106" s="181"/>
    </row>
    <row r="107" spans="3:5" x14ac:dyDescent="0.2">
      <c r="C107" s="226"/>
      <c r="E107" s="181"/>
    </row>
    <row r="108" spans="3:5" x14ac:dyDescent="0.2">
      <c r="C108" s="226"/>
      <c r="E108" s="181"/>
    </row>
    <row r="109" spans="3:5" x14ac:dyDescent="0.2">
      <c r="C109" s="226"/>
      <c r="D109" s="180"/>
      <c r="E109" s="181"/>
    </row>
    <row r="110" spans="3:5" x14ac:dyDescent="0.2">
      <c r="C110" s="226"/>
      <c r="E110" s="181"/>
    </row>
    <row r="111" spans="3:5" x14ac:dyDescent="0.2">
      <c r="C111" s="226"/>
      <c r="E111" s="181"/>
    </row>
    <row r="112" spans="3:5" x14ac:dyDescent="0.2">
      <c r="C112" s="226"/>
      <c r="D112" s="180"/>
      <c r="E112" s="181"/>
    </row>
    <row r="113" spans="3:5" x14ac:dyDescent="0.2">
      <c r="C113" s="226"/>
      <c r="E113" s="181"/>
    </row>
    <row r="114" spans="3:5" x14ac:dyDescent="0.2">
      <c r="C114" s="226"/>
      <c r="E114" s="181"/>
    </row>
    <row r="115" spans="3:5" x14ac:dyDescent="0.2">
      <c r="C115" s="226"/>
      <c r="D115" s="180"/>
      <c r="E115" s="181"/>
    </row>
    <row r="116" spans="3:5" x14ac:dyDescent="0.2">
      <c r="C116" s="226"/>
      <c r="E116" s="181"/>
    </row>
    <row r="117" spans="3:5" x14ac:dyDescent="0.2">
      <c r="C117" s="226"/>
      <c r="E117" s="181"/>
    </row>
    <row r="118" spans="3:5" x14ac:dyDescent="0.2">
      <c r="C118" s="226"/>
      <c r="D118" s="180"/>
      <c r="E118" s="181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9"/>
  <dimension ref="A1:V306"/>
  <sheetViews>
    <sheetView topLeftCell="A181" workbookViewId="0">
      <selection activeCell="B208" sqref="B208"/>
    </sheetView>
  </sheetViews>
  <sheetFormatPr baseColWidth="10" defaultColWidth="9.3984375" defaultRowHeight="12" x14ac:dyDescent="0.15"/>
  <cols>
    <col min="1" max="1" width="11.59765625" style="1" bestFit="1" customWidth="1"/>
    <col min="2" max="2" width="49.796875" style="1" customWidth="1"/>
    <col min="3" max="6" width="13.19921875" style="1" customWidth="1"/>
    <col min="7" max="9" width="11.796875" style="1" customWidth="1"/>
    <col min="10" max="10" width="12" style="1" customWidth="1"/>
    <col min="11" max="14" width="11.796875" style="1" customWidth="1"/>
    <col min="15" max="15" width="12" style="1" customWidth="1"/>
    <col min="16" max="19" width="11.796875" style="1" customWidth="1"/>
    <col min="20" max="20" width="12" style="1" customWidth="1"/>
    <col min="21" max="21" width="11.796875" style="1" customWidth="1"/>
    <col min="22" max="22" width="9.3984375" style="37"/>
    <col min="23" max="16384" width="9.3984375" style="1"/>
  </cols>
  <sheetData>
    <row r="1" spans="1:22" ht="12.75" customHeight="1" x14ac:dyDescent="0.15">
      <c r="C1" s="353" t="s">
        <v>841</v>
      </c>
      <c r="D1" s="353"/>
      <c r="E1" s="353"/>
      <c r="F1" s="353"/>
      <c r="G1" s="353" t="s">
        <v>842</v>
      </c>
      <c r="H1" s="353"/>
      <c r="I1" s="353"/>
      <c r="J1" s="353"/>
      <c r="K1" s="353"/>
      <c r="L1" s="353" t="s">
        <v>843</v>
      </c>
      <c r="M1" s="353"/>
      <c r="N1" s="353"/>
      <c r="O1" s="353"/>
      <c r="P1" s="353"/>
      <c r="Q1" s="353" t="s">
        <v>844</v>
      </c>
      <c r="R1" s="353"/>
      <c r="S1" s="353"/>
      <c r="T1" s="353"/>
      <c r="U1" s="353"/>
    </row>
    <row r="2" spans="1:22" x14ac:dyDescent="0.15">
      <c r="A2" s="138">
        <v>1</v>
      </c>
      <c r="B2" s="138">
        <f>+A2+1</f>
        <v>2</v>
      </c>
      <c r="C2" s="138">
        <f t="shared" ref="C2:U2" si="0">+B2+1</f>
        <v>3</v>
      </c>
      <c r="D2" s="138">
        <f t="shared" si="0"/>
        <v>4</v>
      </c>
      <c r="E2" s="138">
        <f t="shared" si="0"/>
        <v>5</v>
      </c>
      <c r="F2" s="138">
        <f t="shared" si="0"/>
        <v>6</v>
      </c>
      <c r="G2" s="138">
        <f t="shared" si="0"/>
        <v>7</v>
      </c>
      <c r="H2" s="138">
        <f t="shared" si="0"/>
        <v>8</v>
      </c>
      <c r="I2" s="138">
        <f t="shared" si="0"/>
        <v>9</v>
      </c>
      <c r="J2" s="138">
        <f t="shared" si="0"/>
        <v>10</v>
      </c>
      <c r="K2" s="138">
        <f t="shared" si="0"/>
        <v>11</v>
      </c>
      <c r="L2" s="138">
        <f t="shared" si="0"/>
        <v>12</v>
      </c>
      <c r="M2" s="138">
        <f t="shared" si="0"/>
        <v>13</v>
      </c>
      <c r="N2" s="138">
        <f t="shared" si="0"/>
        <v>14</v>
      </c>
      <c r="O2" s="138">
        <f t="shared" si="0"/>
        <v>15</v>
      </c>
      <c r="P2" s="138">
        <f t="shared" si="0"/>
        <v>16</v>
      </c>
      <c r="Q2" s="138">
        <f t="shared" si="0"/>
        <v>17</v>
      </c>
      <c r="R2" s="138">
        <f t="shared" si="0"/>
        <v>18</v>
      </c>
      <c r="S2" s="138">
        <f t="shared" si="0"/>
        <v>19</v>
      </c>
      <c r="T2" s="138">
        <f t="shared" si="0"/>
        <v>20</v>
      </c>
      <c r="U2" s="138">
        <f t="shared" si="0"/>
        <v>21</v>
      </c>
    </row>
    <row r="3" spans="1:22" ht="52" x14ac:dyDescent="0.15">
      <c r="A3" s="3" t="s">
        <v>145</v>
      </c>
      <c r="B3" s="2" t="s">
        <v>128</v>
      </c>
      <c r="C3" s="36" t="s">
        <v>822</v>
      </c>
      <c r="D3" s="36" t="s">
        <v>823</v>
      </c>
      <c r="E3" s="36" t="s">
        <v>824</v>
      </c>
      <c r="F3" s="36" t="s">
        <v>825</v>
      </c>
      <c r="G3" s="36" t="s">
        <v>826</v>
      </c>
      <c r="H3" s="36" t="s">
        <v>827</v>
      </c>
      <c r="I3" s="36" t="s">
        <v>828</v>
      </c>
      <c r="J3" s="2" t="s">
        <v>829</v>
      </c>
      <c r="K3" s="36" t="s">
        <v>830</v>
      </c>
      <c r="L3" s="36" t="s">
        <v>831</v>
      </c>
      <c r="M3" s="36" t="s">
        <v>832</v>
      </c>
      <c r="N3" s="36" t="s">
        <v>833</v>
      </c>
      <c r="O3" s="2" t="s">
        <v>834</v>
      </c>
      <c r="P3" s="36" t="s">
        <v>835</v>
      </c>
      <c r="Q3" s="36" t="s">
        <v>836</v>
      </c>
      <c r="R3" s="36" t="s">
        <v>837</v>
      </c>
      <c r="S3" s="36" t="s">
        <v>838</v>
      </c>
      <c r="T3" s="2" t="s">
        <v>839</v>
      </c>
      <c r="U3" s="36" t="s">
        <v>840</v>
      </c>
      <c r="V3" s="36"/>
    </row>
    <row r="4" spans="1:22" x14ac:dyDescent="0.15">
      <c r="A4" s="130">
        <v>26</v>
      </c>
      <c r="B4" s="37" t="s">
        <v>199</v>
      </c>
      <c r="C4" s="132">
        <f t="shared" ref="C4:C67" si="1">IF(D4=0,SW_CMI,ROUND(E4/D4,4))</f>
        <v>1.5150999999999999</v>
      </c>
      <c r="D4" s="133">
        <v>4981</v>
      </c>
      <c r="E4" s="134">
        <v>7546.91</v>
      </c>
      <c r="F4" s="132">
        <v>3.84</v>
      </c>
      <c r="G4" s="132">
        <f>IF(H4=0,0,ROUND(I4/H4,4))</f>
        <v>0</v>
      </c>
      <c r="H4" s="133"/>
      <c r="I4" s="185"/>
      <c r="J4" s="132" t="e">
        <f>IF(ROUND(G4*$I$214,4)&gt;0,ROUND(G4*$I$214,4),$I$213)</f>
        <v>#DIV/0!</v>
      </c>
      <c r="K4" s="132"/>
      <c r="L4" s="132">
        <f>IF(M4=0,0,ROUND(N4/M4,4))</f>
        <v>0</v>
      </c>
      <c r="M4" s="4"/>
      <c r="N4" s="68"/>
      <c r="O4" s="132" t="e">
        <f>IF(ROUND(L4*$N$214,4)&gt;0,ROUND(L4*$N$214,4),$N$213)</f>
        <v>#DIV/0!</v>
      </c>
      <c r="P4" s="132"/>
      <c r="Q4" s="132">
        <f>IF(R4=0,0,ROUND(S4/R4,4))</f>
        <v>0</v>
      </c>
      <c r="R4" s="4"/>
      <c r="S4" s="68"/>
      <c r="T4" s="132" t="e">
        <f>IF(ROUND(Q4*$S$214,4)&gt;0,ROUND(Q4*$S$214,4),$S$213)</f>
        <v>#DIV/0!</v>
      </c>
      <c r="U4" s="132"/>
      <c r="V4" s="135"/>
    </row>
    <row r="5" spans="1:22" x14ac:dyDescent="0.15">
      <c r="A5" s="130">
        <v>28</v>
      </c>
      <c r="B5" s="37" t="s">
        <v>711</v>
      </c>
      <c r="C5" s="132">
        <f t="shared" si="1"/>
        <v>1.3797999999999999</v>
      </c>
      <c r="D5" s="133">
        <v>4375</v>
      </c>
      <c r="E5" s="134">
        <v>6036.48</v>
      </c>
      <c r="F5" s="132">
        <v>0</v>
      </c>
      <c r="G5" s="132">
        <f t="shared" ref="G5:G68" si="2">IF(H5=0,0,ROUND(I5/H5,4))</f>
        <v>0</v>
      </c>
      <c r="H5" s="133"/>
      <c r="I5" s="185"/>
      <c r="J5" s="132" t="e">
        <f t="shared" ref="J5:J67" si="3">IF(ROUND(G5*$I$214,4)&gt;0,ROUND(G5*$I$214,4),$I$213)</f>
        <v>#DIV/0!</v>
      </c>
      <c r="K5" s="132"/>
      <c r="L5" s="132">
        <f t="shared" ref="L5:L68" si="4">IF(M5=0,0,ROUND(N5/M5,4))</f>
        <v>0</v>
      </c>
      <c r="M5" s="4"/>
      <c r="N5" s="68"/>
      <c r="O5" s="132" t="e">
        <f t="shared" ref="O5:O67" si="5">IF(ROUND(L5*$N$214,4)&gt;0,ROUND(L5*$N$214,4),$N$213)</f>
        <v>#DIV/0!</v>
      </c>
      <c r="P5" s="132"/>
      <c r="Q5" s="132">
        <f t="shared" ref="Q5:Q68" si="6">IF(R5=0,0,ROUND(S5/R5,4))</f>
        <v>0</v>
      </c>
      <c r="R5" s="4"/>
      <c r="S5" s="68"/>
      <c r="T5" s="132" t="e">
        <f t="shared" ref="T5:T67" si="7">IF(ROUND(Q5*$S$214,4)&gt;0,ROUND(Q5*$S$214,4),$S$213)</f>
        <v>#DIV/0!</v>
      </c>
      <c r="U5" s="132"/>
      <c r="V5" s="135"/>
    </row>
    <row r="6" spans="1:22" x14ac:dyDescent="0.15">
      <c r="A6" s="130">
        <v>30</v>
      </c>
      <c r="B6" s="37" t="s">
        <v>223</v>
      </c>
      <c r="C6" s="132">
        <f t="shared" si="1"/>
        <v>1.2388999999999999</v>
      </c>
      <c r="D6" s="133">
        <v>4061</v>
      </c>
      <c r="E6" s="134">
        <v>5031.18</v>
      </c>
      <c r="F6" s="132">
        <v>0</v>
      </c>
      <c r="G6" s="132">
        <f t="shared" si="2"/>
        <v>0</v>
      </c>
      <c r="H6" s="133"/>
      <c r="I6" s="185"/>
      <c r="J6" s="132" t="e">
        <f t="shared" si="3"/>
        <v>#DIV/0!</v>
      </c>
      <c r="K6" s="132"/>
      <c r="L6" s="132">
        <f t="shared" si="4"/>
        <v>0</v>
      </c>
      <c r="M6" s="4"/>
      <c r="N6" s="68"/>
      <c r="O6" s="132" t="e">
        <f>IF(ROUND(L6*$N$214,4)&gt;0,ROUND(L6*$N$214,4),$N$213)</f>
        <v>#DIV/0!</v>
      </c>
      <c r="P6" s="132"/>
      <c r="Q6" s="132">
        <f t="shared" si="6"/>
        <v>0</v>
      </c>
      <c r="R6" s="4"/>
      <c r="S6" s="68"/>
      <c r="T6" s="132" t="e">
        <f t="shared" si="7"/>
        <v>#DIV/0!</v>
      </c>
      <c r="U6" s="132"/>
      <c r="V6" s="135"/>
    </row>
    <row r="7" spans="1:22" x14ac:dyDescent="0.15">
      <c r="A7" s="130">
        <v>32</v>
      </c>
      <c r="B7" s="37" t="s">
        <v>349</v>
      </c>
      <c r="C7" s="132">
        <f t="shared" si="1"/>
        <v>1.3753</v>
      </c>
      <c r="D7" s="133">
        <v>7418</v>
      </c>
      <c r="E7" s="134">
        <v>10201.67</v>
      </c>
      <c r="F7" s="132">
        <v>0</v>
      </c>
      <c r="G7" s="132">
        <f t="shared" si="2"/>
        <v>0</v>
      </c>
      <c r="H7" s="133"/>
      <c r="I7" s="185"/>
      <c r="J7" s="132" t="e">
        <f t="shared" si="3"/>
        <v>#DIV/0!</v>
      </c>
      <c r="K7" s="132"/>
      <c r="L7" s="132">
        <f t="shared" si="4"/>
        <v>0</v>
      </c>
      <c r="M7" s="4"/>
      <c r="N7" s="68"/>
      <c r="O7" s="132" t="e">
        <f t="shared" si="5"/>
        <v>#DIV/0!</v>
      </c>
      <c r="P7" s="132"/>
      <c r="Q7" s="132">
        <f t="shared" si="6"/>
        <v>0</v>
      </c>
      <c r="R7" s="4"/>
      <c r="S7" s="68"/>
      <c r="T7" s="132" t="e">
        <f t="shared" si="7"/>
        <v>#DIV/0!</v>
      </c>
      <c r="U7" s="132"/>
      <c r="V7" s="135"/>
    </row>
    <row r="8" spans="1:22" x14ac:dyDescent="0.15">
      <c r="A8" s="130">
        <v>34</v>
      </c>
      <c r="B8" s="37" t="s">
        <v>381</v>
      </c>
      <c r="C8" s="132">
        <f t="shared" si="1"/>
        <v>1.5118</v>
      </c>
      <c r="D8" s="133">
        <v>6475</v>
      </c>
      <c r="E8" s="134">
        <v>9789.2000000000007</v>
      </c>
      <c r="F8" s="132">
        <v>0</v>
      </c>
      <c r="G8" s="132">
        <f t="shared" si="2"/>
        <v>0</v>
      </c>
      <c r="H8" s="133"/>
      <c r="I8" s="185"/>
      <c r="J8" s="132" t="e">
        <f t="shared" si="3"/>
        <v>#DIV/0!</v>
      </c>
      <c r="K8" s="132"/>
      <c r="L8" s="132">
        <f t="shared" si="4"/>
        <v>0</v>
      </c>
      <c r="M8" s="4"/>
      <c r="N8" s="68"/>
      <c r="O8" s="132" t="e">
        <f t="shared" si="5"/>
        <v>#DIV/0!</v>
      </c>
      <c r="P8" s="132"/>
      <c r="Q8" s="132">
        <f t="shared" si="6"/>
        <v>0</v>
      </c>
      <c r="R8" s="4"/>
      <c r="S8" s="68"/>
      <c r="T8" s="132" t="e">
        <f t="shared" si="7"/>
        <v>#DIV/0!</v>
      </c>
      <c r="U8" s="132"/>
      <c r="V8" s="135"/>
    </row>
    <row r="9" spans="1:22" x14ac:dyDescent="0.15">
      <c r="A9" s="130">
        <v>36</v>
      </c>
      <c r="B9" s="37" t="s">
        <v>197</v>
      </c>
      <c r="C9" s="132">
        <f t="shared" si="1"/>
        <v>1.2130000000000001</v>
      </c>
      <c r="D9" s="133">
        <v>1613</v>
      </c>
      <c r="E9" s="134">
        <v>1956.53</v>
      </c>
      <c r="F9" s="132">
        <v>0</v>
      </c>
      <c r="G9" s="132">
        <f t="shared" si="2"/>
        <v>0</v>
      </c>
      <c r="H9" s="133"/>
      <c r="I9" s="185"/>
      <c r="J9" s="132" t="e">
        <f t="shared" si="3"/>
        <v>#DIV/0!</v>
      </c>
      <c r="K9" s="132"/>
      <c r="L9" s="132">
        <f t="shared" si="4"/>
        <v>0</v>
      </c>
      <c r="M9" s="4"/>
      <c r="N9" s="68"/>
      <c r="O9" s="132" t="e">
        <f t="shared" si="5"/>
        <v>#DIV/0!</v>
      </c>
      <c r="P9" s="132"/>
      <c r="Q9" s="132">
        <f t="shared" si="6"/>
        <v>0</v>
      </c>
      <c r="R9" s="4"/>
      <c r="S9" s="68"/>
      <c r="T9" s="132" t="e">
        <f t="shared" si="7"/>
        <v>#DIV/0!</v>
      </c>
      <c r="U9" s="132"/>
      <c r="V9" s="135"/>
    </row>
    <row r="10" spans="1:22" x14ac:dyDescent="0.15">
      <c r="A10" s="130">
        <v>38</v>
      </c>
      <c r="B10" s="37" t="s">
        <v>240</v>
      </c>
      <c r="C10" s="132">
        <f t="shared" si="1"/>
        <v>1.1957</v>
      </c>
      <c r="D10" s="133">
        <v>8453</v>
      </c>
      <c r="E10" s="134">
        <v>10107.32</v>
      </c>
      <c r="F10" s="132">
        <v>0</v>
      </c>
      <c r="G10" s="132">
        <f t="shared" si="2"/>
        <v>0</v>
      </c>
      <c r="H10" s="133"/>
      <c r="I10" s="185"/>
      <c r="J10" s="132" t="e">
        <f t="shared" si="3"/>
        <v>#DIV/0!</v>
      </c>
      <c r="K10" s="132"/>
      <c r="L10" s="132">
        <f t="shared" si="4"/>
        <v>0</v>
      </c>
      <c r="M10" s="4"/>
      <c r="N10" s="68"/>
      <c r="O10" s="132" t="e">
        <f t="shared" si="5"/>
        <v>#DIV/0!</v>
      </c>
      <c r="P10" s="132"/>
      <c r="Q10" s="132">
        <f t="shared" si="6"/>
        <v>0</v>
      </c>
      <c r="R10" s="4"/>
      <c r="S10" s="68"/>
      <c r="T10" s="132" t="e">
        <f t="shared" si="7"/>
        <v>#DIV/0!</v>
      </c>
      <c r="U10" s="132"/>
      <c r="V10" s="135"/>
    </row>
    <row r="11" spans="1:22" x14ac:dyDescent="0.15">
      <c r="A11" s="130">
        <v>44</v>
      </c>
      <c r="B11" s="37" t="s">
        <v>396</v>
      </c>
      <c r="C11" s="132">
        <f t="shared" si="1"/>
        <v>1.3333999999999999</v>
      </c>
      <c r="D11" s="133">
        <v>1191</v>
      </c>
      <c r="E11" s="134">
        <v>1588.06</v>
      </c>
      <c r="F11" s="132">
        <v>0</v>
      </c>
      <c r="G11" s="132">
        <f t="shared" si="2"/>
        <v>0</v>
      </c>
      <c r="H11" s="133"/>
      <c r="I11" s="185"/>
      <c r="J11" s="132" t="e">
        <f t="shared" si="3"/>
        <v>#DIV/0!</v>
      </c>
      <c r="K11" s="132"/>
      <c r="L11" s="132">
        <f t="shared" si="4"/>
        <v>0</v>
      </c>
      <c r="M11" s="4"/>
      <c r="N11" s="68"/>
      <c r="O11" s="132" t="e">
        <f t="shared" si="5"/>
        <v>#DIV/0!</v>
      </c>
      <c r="P11" s="132"/>
      <c r="Q11" s="132">
        <f t="shared" si="6"/>
        <v>0</v>
      </c>
      <c r="R11" s="4"/>
      <c r="S11" s="68"/>
      <c r="T11" s="132" t="e">
        <f t="shared" si="7"/>
        <v>#DIV/0!</v>
      </c>
      <c r="U11" s="132"/>
      <c r="V11" s="135"/>
    </row>
    <row r="12" spans="1:22" x14ac:dyDescent="0.15">
      <c r="A12" s="130">
        <v>46</v>
      </c>
      <c r="B12" s="37" t="s">
        <v>746</v>
      </c>
      <c r="C12" s="132">
        <f t="shared" si="1"/>
        <v>1.4037999999999999</v>
      </c>
      <c r="D12" s="133">
        <v>6650</v>
      </c>
      <c r="E12" s="134">
        <v>9335.2900000000009</v>
      </c>
      <c r="F12" s="132">
        <v>0</v>
      </c>
      <c r="G12" s="132">
        <f t="shared" si="2"/>
        <v>0</v>
      </c>
      <c r="H12" s="133"/>
      <c r="I12" s="185"/>
      <c r="J12" s="132" t="e">
        <f t="shared" si="3"/>
        <v>#DIV/0!</v>
      </c>
      <c r="K12" s="132"/>
      <c r="L12" s="132">
        <f t="shared" si="4"/>
        <v>0</v>
      </c>
      <c r="M12" s="4"/>
      <c r="N12" s="68"/>
      <c r="O12" s="132" t="e">
        <f t="shared" si="5"/>
        <v>#DIV/0!</v>
      </c>
      <c r="P12" s="132"/>
      <c r="Q12" s="132">
        <f t="shared" si="6"/>
        <v>0</v>
      </c>
      <c r="R12" s="4"/>
      <c r="S12" s="68"/>
      <c r="T12" s="132" t="e">
        <f t="shared" si="7"/>
        <v>#DIV/0!</v>
      </c>
      <c r="U12" s="132"/>
      <c r="V12" s="135"/>
    </row>
    <row r="13" spans="1:22" x14ac:dyDescent="0.15">
      <c r="A13" s="130">
        <v>48</v>
      </c>
      <c r="B13" s="37" t="s">
        <v>647</v>
      </c>
      <c r="C13" s="132">
        <f t="shared" si="1"/>
        <v>1.6486000000000001</v>
      </c>
      <c r="D13" s="133">
        <v>4062</v>
      </c>
      <c r="E13" s="134">
        <v>6696.63</v>
      </c>
      <c r="F13" s="132">
        <v>3.84</v>
      </c>
      <c r="G13" s="132">
        <f t="shared" si="2"/>
        <v>0</v>
      </c>
      <c r="H13" s="133"/>
      <c r="I13" s="185"/>
      <c r="J13" s="132" t="e">
        <f t="shared" si="3"/>
        <v>#DIV/0!</v>
      </c>
      <c r="K13" s="132"/>
      <c r="L13" s="132">
        <f t="shared" si="4"/>
        <v>0</v>
      </c>
      <c r="M13" s="4"/>
      <c r="N13" s="68"/>
      <c r="O13" s="132" t="e">
        <f t="shared" si="5"/>
        <v>#DIV/0!</v>
      </c>
      <c r="P13" s="132"/>
      <c r="Q13" s="132">
        <f t="shared" si="6"/>
        <v>0</v>
      </c>
      <c r="R13" s="4"/>
      <c r="S13" s="68"/>
      <c r="T13" s="132" t="e">
        <f t="shared" si="7"/>
        <v>#DIV/0!</v>
      </c>
      <c r="U13" s="132"/>
      <c r="V13" s="135"/>
    </row>
    <row r="14" spans="1:22" x14ac:dyDescent="0.15">
      <c r="A14" s="130">
        <v>52</v>
      </c>
      <c r="B14" s="37" t="s">
        <v>447</v>
      </c>
      <c r="C14" s="132">
        <f t="shared" si="1"/>
        <v>1.2289000000000001</v>
      </c>
      <c r="D14" s="133">
        <v>1956</v>
      </c>
      <c r="E14" s="134">
        <v>2403.7399999999998</v>
      </c>
      <c r="F14" s="132">
        <v>0</v>
      </c>
      <c r="G14" s="132">
        <f t="shared" si="2"/>
        <v>0</v>
      </c>
      <c r="H14" s="133"/>
      <c r="I14" s="185"/>
      <c r="J14" s="132" t="e">
        <f t="shared" si="3"/>
        <v>#DIV/0!</v>
      </c>
      <c r="K14" s="132"/>
      <c r="L14" s="132">
        <f t="shared" si="4"/>
        <v>0</v>
      </c>
      <c r="M14" s="4"/>
      <c r="N14" s="68"/>
      <c r="O14" s="132" t="e">
        <f t="shared" si="5"/>
        <v>#DIV/0!</v>
      </c>
      <c r="P14" s="132"/>
      <c r="Q14" s="132">
        <f t="shared" si="6"/>
        <v>0</v>
      </c>
      <c r="R14" s="4"/>
      <c r="S14" s="68"/>
      <c r="T14" s="132" t="e">
        <f t="shared" si="7"/>
        <v>#DIV/0!</v>
      </c>
      <c r="U14" s="132"/>
      <c r="V14" s="135"/>
    </row>
    <row r="15" spans="1:22" x14ac:dyDescent="0.15">
      <c r="A15" s="130">
        <v>54</v>
      </c>
      <c r="B15" s="37" t="s">
        <v>603</v>
      </c>
      <c r="C15" s="132">
        <f t="shared" si="1"/>
        <v>1.4113</v>
      </c>
      <c r="D15" s="133">
        <v>7917</v>
      </c>
      <c r="E15" s="134">
        <v>11172.89</v>
      </c>
      <c r="F15" s="132">
        <v>0</v>
      </c>
      <c r="G15" s="132">
        <f t="shared" si="2"/>
        <v>0</v>
      </c>
      <c r="H15" s="133"/>
      <c r="I15" s="185"/>
      <c r="J15" s="132" t="e">
        <f t="shared" si="3"/>
        <v>#DIV/0!</v>
      </c>
      <c r="K15" s="132"/>
      <c r="L15" s="132">
        <f t="shared" si="4"/>
        <v>0</v>
      </c>
      <c r="M15" s="4"/>
      <c r="N15" s="68"/>
      <c r="O15" s="132" t="e">
        <f t="shared" si="5"/>
        <v>#DIV/0!</v>
      </c>
      <c r="P15" s="132"/>
      <c r="Q15" s="132">
        <f t="shared" si="6"/>
        <v>0</v>
      </c>
      <c r="R15" s="4"/>
      <c r="S15" s="68"/>
      <c r="T15" s="132" t="e">
        <f t="shared" si="7"/>
        <v>#DIV/0!</v>
      </c>
      <c r="U15" s="132"/>
      <c r="V15" s="135"/>
    </row>
    <row r="16" spans="1:22" x14ac:dyDescent="0.15">
      <c r="A16" s="130">
        <v>58</v>
      </c>
      <c r="B16" s="37" t="s">
        <v>42</v>
      </c>
      <c r="C16" s="132">
        <f t="shared" si="1"/>
        <v>1.3250999999999999</v>
      </c>
      <c r="D16" s="133">
        <v>4903</v>
      </c>
      <c r="E16" s="134">
        <v>6497.1</v>
      </c>
      <c r="F16" s="132">
        <v>3.84</v>
      </c>
      <c r="G16" s="132">
        <f t="shared" si="2"/>
        <v>0</v>
      </c>
      <c r="H16" s="133"/>
      <c r="I16" s="185"/>
      <c r="J16" s="132" t="e">
        <f t="shared" si="3"/>
        <v>#DIV/0!</v>
      </c>
      <c r="K16" s="132"/>
      <c r="L16" s="132">
        <f t="shared" si="4"/>
        <v>0</v>
      </c>
      <c r="M16" s="4"/>
      <c r="N16" s="68"/>
      <c r="O16" s="132" t="e">
        <f t="shared" si="5"/>
        <v>#DIV/0!</v>
      </c>
      <c r="P16" s="132"/>
      <c r="Q16" s="132">
        <f t="shared" si="6"/>
        <v>0</v>
      </c>
      <c r="R16" s="4"/>
      <c r="S16" s="68"/>
      <c r="T16" s="132" t="e">
        <f t="shared" si="7"/>
        <v>#DIV/0!</v>
      </c>
      <c r="U16" s="132"/>
      <c r="V16" s="135"/>
    </row>
    <row r="17" spans="1:22" x14ac:dyDescent="0.15">
      <c r="A17" s="130">
        <v>60</v>
      </c>
      <c r="B17" s="37" t="s">
        <v>618</v>
      </c>
      <c r="C17" s="132">
        <f t="shared" si="1"/>
        <v>1.3161</v>
      </c>
      <c r="D17" s="133">
        <v>11125</v>
      </c>
      <c r="E17" s="134">
        <v>14641.1</v>
      </c>
      <c r="F17" s="132">
        <v>0</v>
      </c>
      <c r="G17" s="132">
        <f t="shared" si="2"/>
        <v>0</v>
      </c>
      <c r="H17" s="133"/>
      <c r="I17" s="185"/>
      <c r="J17" s="132" t="e">
        <f t="shared" si="3"/>
        <v>#DIV/0!</v>
      </c>
      <c r="K17" s="132"/>
      <c r="L17" s="132">
        <f t="shared" si="4"/>
        <v>0</v>
      </c>
      <c r="M17" s="4"/>
      <c r="N17" s="68"/>
      <c r="O17" s="132" t="e">
        <f t="shared" si="5"/>
        <v>#DIV/0!</v>
      </c>
      <c r="P17" s="132"/>
      <c r="Q17" s="132">
        <f t="shared" si="6"/>
        <v>0</v>
      </c>
      <c r="R17" s="4"/>
      <c r="S17" s="68"/>
      <c r="T17" s="132" t="e">
        <f t="shared" si="7"/>
        <v>#DIV/0!</v>
      </c>
      <c r="U17" s="132"/>
      <c r="V17" s="135"/>
    </row>
    <row r="18" spans="1:22" x14ac:dyDescent="0.15">
      <c r="A18" s="130">
        <v>62</v>
      </c>
      <c r="B18" s="37" t="s">
        <v>816</v>
      </c>
      <c r="C18" s="132">
        <f t="shared" si="1"/>
        <v>1.2977000000000001</v>
      </c>
      <c r="D18" s="133">
        <v>6940</v>
      </c>
      <c r="E18" s="134">
        <v>9005.7900000000009</v>
      </c>
      <c r="F18" s="132">
        <v>0</v>
      </c>
      <c r="G18" s="132">
        <f t="shared" si="2"/>
        <v>0</v>
      </c>
      <c r="H18" s="133"/>
      <c r="I18" s="185"/>
      <c r="J18" s="132" t="e">
        <f t="shared" si="3"/>
        <v>#DIV/0!</v>
      </c>
      <c r="K18" s="132"/>
      <c r="L18" s="132">
        <f t="shared" si="4"/>
        <v>0</v>
      </c>
      <c r="M18" s="4"/>
      <c r="N18" s="68"/>
      <c r="O18" s="132" t="e">
        <f t="shared" si="5"/>
        <v>#DIV/0!</v>
      </c>
      <c r="P18" s="132"/>
      <c r="Q18" s="132">
        <f t="shared" si="6"/>
        <v>0</v>
      </c>
      <c r="R18" s="4"/>
      <c r="S18" s="68"/>
      <c r="T18" s="132" t="e">
        <f t="shared" si="7"/>
        <v>#DIV/0!</v>
      </c>
      <c r="U18" s="132"/>
      <c r="V18" s="135"/>
    </row>
    <row r="19" spans="1:22" x14ac:dyDescent="0.15">
      <c r="A19" s="130">
        <v>64</v>
      </c>
      <c r="B19" s="37" t="s">
        <v>398</v>
      </c>
      <c r="C19" s="132">
        <f t="shared" si="1"/>
        <v>1.2925</v>
      </c>
      <c r="D19" s="133">
        <v>9282</v>
      </c>
      <c r="E19" s="134">
        <v>11997.4</v>
      </c>
      <c r="F19" s="132">
        <v>0</v>
      </c>
      <c r="G19" s="132">
        <f t="shared" si="2"/>
        <v>0</v>
      </c>
      <c r="H19" s="133"/>
      <c r="I19" s="185"/>
      <c r="J19" s="132" t="e">
        <f t="shared" si="3"/>
        <v>#DIV/0!</v>
      </c>
      <c r="K19" s="132"/>
      <c r="L19" s="132">
        <f t="shared" si="4"/>
        <v>0</v>
      </c>
      <c r="M19" s="4"/>
      <c r="N19" s="68"/>
      <c r="O19" s="132" t="e">
        <f t="shared" si="5"/>
        <v>#DIV/0!</v>
      </c>
      <c r="P19" s="132"/>
      <c r="Q19" s="132">
        <f t="shared" si="6"/>
        <v>0</v>
      </c>
      <c r="R19" s="4"/>
      <c r="S19" s="68"/>
      <c r="T19" s="132" t="e">
        <f t="shared" si="7"/>
        <v>#DIV/0!</v>
      </c>
      <c r="U19" s="132"/>
      <c r="V19" s="135"/>
    </row>
    <row r="20" spans="1:22" x14ac:dyDescent="0.15">
      <c r="A20" s="130">
        <v>66</v>
      </c>
      <c r="B20" s="37" t="s">
        <v>588</v>
      </c>
      <c r="C20" s="132">
        <f t="shared" si="1"/>
        <v>1.3978999999999999</v>
      </c>
      <c r="D20" s="133">
        <v>10975</v>
      </c>
      <c r="E20" s="134">
        <v>15342.45</v>
      </c>
      <c r="F20" s="132">
        <v>0</v>
      </c>
      <c r="G20" s="132">
        <f t="shared" si="2"/>
        <v>0</v>
      </c>
      <c r="H20" s="133"/>
      <c r="I20" s="185"/>
      <c r="J20" s="132" t="e">
        <f t="shared" si="3"/>
        <v>#DIV/0!</v>
      </c>
      <c r="K20" s="132"/>
      <c r="L20" s="132">
        <f t="shared" si="4"/>
        <v>0</v>
      </c>
      <c r="M20" s="4"/>
      <c r="N20" s="68"/>
      <c r="O20" s="132" t="e">
        <f t="shared" si="5"/>
        <v>#DIV/0!</v>
      </c>
      <c r="P20" s="132"/>
      <c r="Q20" s="132">
        <f t="shared" si="6"/>
        <v>0</v>
      </c>
      <c r="R20" s="4"/>
      <c r="S20" s="68"/>
      <c r="T20" s="132" t="e">
        <f t="shared" si="7"/>
        <v>#DIV/0!</v>
      </c>
      <c r="U20" s="132"/>
      <c r="V20" s="135"/>
    </row>
    <row r="21" spans="1:22" x14ac:dyDescent="0.15">
      <c r="A21" s="130">
        <v>70</v>
      </c>
      <c r="B21" s="37" t="s">
        <v>697</v>
      </c>
      <c r="C21" s="132">
        <f t="shared" si="1"/>
        <v>1.5367999999999999</v>
      </c>
      <c r="D21" s="133">
        <v>2004</v>
      </c>
      <c r="E21" s="134">
        <v>3079.65</v>
      </c>
      <c r="F21" s="132">
        <v>0</v>
      </c>
      <c r="G21" s="132">
        <f t="shared" si="2"/>
        <v>0</v>
      </c>
      <c r="H21" s="133"/>
      <c r="I21" s="185"/>
      <c r="J21" s="132" t="e">
        <f>IF(ROUND(G21*$I$214,4)&gt;0,ROUND(G21*$I$214,4),$I$213)</f>
        <v>#DIV/0!</v>
      </c>
      <c r="K21" s="132"/>
      <c r="L21" s="132">
        <f t="shared" si="4"/>
        <v>0</v>
      </c>
      <c r="M21" s="4"/>
      <c r="N21" s="68"/>
      <c r="O21" s="132" t="e">
        <f t="shared" si="5"/>
        <v>#DIV/0!</v>
      </c>
      <c r="P21" s="132"/>
      <c r="Q21" s="132">
        <f t="shared" si="6"/>
        <v>0</v>
      </c>
      <c r="R21" s="4"/>
      <c r="S21" s="68"/>
      <c r="T21" s="132" t="e">
        <f t="shared" si="7"/>
        <v>#DIV/0!</v>
      </c>
      <c r="U21" s="132"/>
      <c r="V21" s="135"/>
    </row>
    <row r="22" spans="1:22" x14ac:dyDescent="0.15">
      <c r="A22" s="130">
        <v>74</v>
      </c>
      <c r="B22" s="37" t="s">
        <v>205</v>
      </c>
      <c r="C22" s="132">
        <f t="shared" si="1"/>
        <v>1.5579000000000001</v>
      </c>
      <c r="D22" s="133">
        <v>7095</v>
      </c>
      <c r="E22" s="134">
        <v>11053.38</v>
      </c>
      <c r="F22" s="132">
        <v>0</v>
      </c>
      <c r="G22" s="132">
        <f t="shared" si="2"/>
        <v>0</v>
      </c>
      <c r="H22" s="133"/>
      <c r="I22" s="185"/>
      <c r="J22" s="132" t="e">
        <f t="shared" si="3"/>
        <v>#DIV/0!</v>
      </c>
      <c r="K22" s="132"/>
      <c r="L22" s="132">
        <f t="shared" si="4"/>
        <v>0</v>
      </c>
      <c r="M22" s="4"/>
      <c r="N22" s="68"/>
      <c r="O22" s="132" t="e">
        <f t="shared" si="5"/>
        <v>#DIV/0!</v>
      </c>
      <c r="P22" s="132"/>
      <c r="Q22" s="132">
        <f t="shared" si="6"/>
        <v>0</v>
      </c>
      <c r="R22" s="4"/>
      <c r="S22" s="68"/>
      <c r="T22" s="132" t="e">
        <f t="shared" si="7"/>
        <v>#DIV/0!</v>
      </c>
      <c r="U22" s="132"/>
      <c r="V22" s="135"/>
    </row>
    <row r="23" spans="1:22" x14ac:dyDescent="0.15">
      <c r="A23" s="130">
        <v>76</v>
      </c>
      <c r="B23" s="37" t="s">
        <v>462</v>
      </c>
      <c r="C23" s="132">
        <f t="shared" si="1"/>
        <v>1.3544</v>
      </c>
      <c r="D23" s="133">
        <v>5994</v>
      </c>
      <c r="E23" s="134">
        <v>8118.03</v>
      </c>
      <c r="F23" s="132">
        <v>0</v>
      </c>
      <c r="G23" s="132">
        <f t="shared" si="2"/>
        <v>0</v>
      </c>
      <c r="H23" s="133"/>
      <c r="I23" s="185"/>
      <c r="J23" s="132" t="e">
        <f t="shared" si="3"/>
        <v>#DIV/0!</v>
      </c>
      <c r="K23" s="132"/>
      <c r="L23" s="132">
        <f t="shared" si="4"/>
        <v>0</v>
      </c>
      <c r="M23" s="4"/>
      <c r="N23" s="68"/>
      <c r="O23" s="132" t="e">
        <f t="shared" si="5"/>
        <v>#DIV/0!</v>
      </c>
      <c r="P23" s="132"/>
      <c r="Q23" s="132">
        <f t="shared" si="6"/>
        <v>0</v>
      </c>
      <c r="R23" s="4"/>
      <c r="S23" s="68"/>
      <c r="T23" s="132" t="e">
        <f t="shared" si="7"/>
        <v>#DIV/0!</v>
      </c>
      <c r="U23" s="132"/>
      <c r="V23" s="135"/>
    </row>
    <row r="24" spans="1:22" x14ac:dyDescent="0.15">
      <c r="A24" s="130">
        <v>78</v>
      </c>
      <c r="B24" s="37" t="s">
        <v>636</v>
      </c>
      <c r="C24" s="132">
        <f t="shared" si="1"/>
        <v>1.4168000000000001</v>
      </c>
      <c r="D24" s="133">
        <v>7623</v>
      </c>
      <c r="E24" s="134">
        <v>10800.29</v>
      </c>
      <c r="F24" s="132">
        <v>0</v>
      </c>
      <c r="G24" s="132">
        <f t="shared" si="2"/>
        <v>0</v>
      </c>
      <c r="H24" s="133"/>
      <c r="I24" s="185"/>
      <c r="J24" s="132" t="e">
        <f t="shared" si="3"/>
        <v>#DIV/0!</v>
      </c>
      <c r="K24" s="132"/>
      <c r="L24" s="132">
        <f t="shared" si="4"/>
        <v>0</v>
      </c>
      <c r="M24" s="4"/>
      <c r="N24" s="68"/>
      <c r="O24" s="132" t="e">
        <f t="shared" si="5"/>
        <v>#DIV/0!</v>
      </c>
      <c r="P24" s="132"/>
      <c r="Q24" s="132">
        <f t="shared" si="6"/>
        <v>0</v>
      </c>
      <c r="R24" s="4"/>
      <c r="S24" s="68"/>
      <c r="T24" s="132" t="e">
        <f t="shared" si="7"/>
        <v>#DIV/0!</v>
      </c>
      <c r="U24" s="132"/>
      <c r="V24" s="135"/>
    </row>
    <row r="25" spans="1:22" x14ac:dyDescent="0.15">
      <c r="A25" s="130">
        <v>82</v>
      </c>
      <c r="B25" s="37" t="s">
        <v>638</v>
      </c>
      <c r="C25" s="132">
        <f t="shared" si="1"/>
        <v>1.5448</v>
      </c>
      <c r="D25" s="133">
        <v>5052</v>
      </c>
      <c r="E25" s="134">
        <v>7804.12</v>
      </c>
      <c r="F25" s="132">
        <v>0</v>
      </c>
      <c r="G25" s="132">
        <f t="shared" si="2"/>
        <v>0</v>
      </c>
      <c r="H25" s="133"/>
      <c r="I25" s="185"/>
      <c r="J25" s="132" t="e">
        <f t="shared" si="3"/>
        <v>#DIV/0!</v>
      </c>
      <c r="K25" s="132"/>
      <c r="L25" s="132">
        <f t="shared" si="4"/>
        <v>0</v>
      </c>
      <c r="M25" s="4"/>
      <c r="N25" s="68"/>
      <c r="O25" s="132" t="e">
        <f t="shared" si="5"/>
        <v>#DIV/0!</v>
      </c>
      <c r="P25" s="132"/>
      <c r="Q25" s="132">
        <f t="shared" si="6"/>
        <v>0</v>
      </c>
      <c r="R25" s="4"/>
      <c r="S25" s="68"/>
      <c r="T25" s="132" t="e">
        <f t="shared" si="7"/>
        <v>#DIV/0!</v>
      </c>
      <c r="U25" s="132"/>
      <c r="V25" s="135"/>
    </row>
    <row r="26" spans="1:22" x14ac:dyDescent="0.15">
      <c r="A26" s="130">
        <v>84</v>
      </c>
      <c r="B26" s="37" t="s">
        <v>201</v>
      </c>
      <c r="C26" s="132">
        <f t="shared" si="1"/>
        <v>1.2690999999999999</v>
      </c>
      <c r="D26" s="133">
        <v>2865</v>
      </c>
      <c r="E26" s="134">
        <v>3635.97</v>
      </c>
      <c r="F26" s="132">
        <v>0</v>
      </c>
      <c r="G26" s="132">
        <f t="shared" si="2"/>
        <v>0</v>
      </c>
      <c r="H26" s="133"/>
      <c r="I26" s="185"/>
      <c r="J26" s="132" t="e">
        <f t="shared" si="3"/>
        <v>#DIV/0!</v>
      </c>
      <c r="K26" s="132"/>
      <c r="L26" s="132">
        <f t="shared" si="4"/>
        <v>0</v>
      </c>
      <c r="M26" s="4"/>
      <c r="N26" s="68"/>
      <c r="O26" s="132" t="e">
        <f t="shared" si="5"/>
        <v>#DIV/0!</v>
      </c>
      <c r="P26" s="132"/>
      <c r="Q26" s="132">
        <f t="shared" si="6"/>
        <v>0</v>
      </c>
      <c r="R26" s="4"/>
      <c r="S26" s="68"/>
      <c r="T26" s="132" t="e">
        <f t="shared" si="7"/>
        <v>#DIV/0!</v>
      </c>
      <c r="U26" s="132"/>
      <c r="V26" s="135"/>
    </row>
    <row r="27" spans="1:22" x14ac:dyDescent="0.15">
      <c r="A27" s="130">
        <v>86</v>
      </c>
      <c r="B27" s="37" t="s">
        <v>707</v>
      </c>
      <c r="C27" s="132">
        <f t="shared" si="1"/>
        <v>1.3255999999999999</v>
      </c>
      <c r="D27" s="133">
        <v>6774</v>
      </c>
      <c r="E27" s="134">
        <v>8979.33</v>
      </c>
      <c r="F27" s="132">
        <v>0</v>
      </c>
      <c r="G27" s="132">
        <f t="shared" si="2"/>
        <v>0</v>
      </c>
      <c r="H27" s="133"/>
      <c r="I27" s="185"/>
      <c r="J27" s="132" t="e">
        <f t="shared" si="3"/>
        <v>#DIV/0!</v>
      </c>
      <c r="K27" s="132"/>
      <c r="L27" s="132">
        <f t="shared" si="4"/>
        <v>0</v>
      </c>
      <c r="M27" s="4"/>
      <c r="N27" s="68"/>
      <c r="O27" s="132" t="e">
        <f t="shared" si="5"/>
        <v>#DIV/0!</v>
      </c>
      <c r="P27" s="132"/>
      <c r="Q27" s="132">
        <f t="shared" si="6"/>
        <v>0</v>
      </c>
      <c r="R27" s="4"/>
      <c r="S27" s="68"/>
      <c r="T27" s="132" t="e">
        <f t="shared" si="7"/>
        <v>#DIV/0!</v>
      </c>
      <c r="U27" s="132"/>
      <c r="V27" s="135"/>
    </row>
    <row r="28" spans="1:22" x14ac:dyDescent="0.15">
      <c r="A28" s="130">
        <v>88</v>
      </c>
      <c r="B28" s="37" t="s">
        <v>544</v>
      </c>
      <c r="C28" s="132">
        <f t="shared" si="1"/>
        <v>1.3972</v>
      </c>
      <c r="D28" s="133">
        <v>8705</v>
      </c>
      <c r="E28" s="134">
        <v>12162.9</v>
      </c>
      <c r="F28" s="132">
        <v>0</v>
      </c>
      <c r="G28" s="132">
        <f t="shared" si="2"/>
        <v>0</v>
      </c>
      <c r="H28" s="133"/>
      <c r="I28" s="185"/>
      <c r="J28" s="132" t="e">
        <f t="shared" si="3"/>
        <v>#DIV/0!</v>
      </c>
      <c r="K28" s="132"/>
      <c r="L28" s="132">
        <f t="shared" si="4"/>
        <v>0</v>
      </c>
      <c r="M28" s="4"/>
      <c r="N28" s="68"/>
      <c r="O28" s="132" t="e">
        <f t="shared" si="5"/>
        <v>#DIV/0!</v>
      </c>
      <c r="P28" s="132"/>
      <c r="Q28" s="132">
        <f t="shared" si="6"/>
        <v>0</v>
      </c>
      <c r="R28" s="4"/>
      <c r="S28" s="68"/>
      <c r="T28" s="132" t="e">
        <f t="shared" si="7"/>
        <v>#DIV/0!</v>
      </c>
      <c r="U28" s="132"/>
      <c r="V28" s="135"/>
    </row>
    <row r="29" spans="1:22" x14ac:dyDescent="0.15">
      <c r="A29" s="130">
        <v>90</v>
      </c>
      <c r="B29" s="37" t="s">
        <v>379</v>
      </c>
      <c r="C29" s="132">
        <f t="shared" si="1"/>
        <v>1.2870999999999999</v>
      </c>
      <c r="D29" s="133">
        <v>3168</v>
      </c>
      <c r="E29" s="134">
        <v>4077.66</v>
      </c>
      <c r="F29" s="132">
        <v>0</v>
      </c>
      <c r="G29" s="132">
        <f t="shared" si="2"/>
        <v>0</v>
      </c>
      <c r="H29" s="133"/>
      <c r="I29" s="185"/>
      <c r="J29" s="132" t="e">
        <f t="shared" si="3"/>
        <v>#DIV/0!</v>
      </c>
      <c r="K29" s="132"/>
      <c r="L29" s="132">
        <f t="shared" si="4"/>
        <v>0</v>
      </c>
      <c r="M29" s="4"/>
      <c r="N29" s="68"/>
      <c r="O29" s="132" t="e">
        <f t="shared" si="5"/>
        <v>#DIV/0!</v>
      </c>
      <c r="P29" s="132"/>
      <c r="Q29" s="132">
        <f t="shared" si="6"/>
        <v>0</v>
      </c>
      <c r="R29" s="4"/>
      <c r="S29" s="68"/>
      <c r="T29" s="132" t="e">
        <f t="shared" si="7"/>
        <v>#DIV/0!</v>
      </c>
      <c r="U29" s="132"/>
      <c r="V29" s="135"/>
    </row>
    <row r="30" spans="1:22" x14ac:dyDescent="0.15">
      <c r="A30" s="130">
        <v>92</v>
      </c>
      <c r="B30" s="37" t="s">
        <v>739</v>
      </c>
      <c r="C30" s="132">
        <f t="shared" si="1"/>
        <v>1.4936</v>
      </c>
      <c r="D30" s="133">
        <v>7562</v>
      </c>
      <c r="E30" s="134">
        <v>11294.79</v>
      </c>
      <c r="F30" s="132">
        <v>0</v>
      </c>
      <c r="G30" s="132">
        <f t="shared" si="2"/>
        <v>0</v>
      </c>
      <c r="H30" s="133"/>
      <c r="I30" s="185"/>
      <c r="J30" s="132" t="e">
        <f t="shared" si="3"/>
        <v>#DIV/0!</v>
      </c>
      <c r="K30" s="132"/>
      <c r="L30" s="132">
        <f t="shared" si="4"/>
        <v>0</v>
      </c>
      <c r="M30" s="4"/>
      <c r="N30" s="68"/>
      <c r="O30" s="132" t="e">
        <f t="shared" si="5"/>
        <v>#DIV/0!</v>
      </c>
      <c r="P30" s="132"/>
      <c r="Q30" s="132">
        <f t="shared" si="6"/>
        <v>0</v>
      </c>
      <c r="R30" s="4"/>
      <c r="S30" s="68"/>
      <c r="T30" s="132" t="e">
        <f t="shared" si="7"/>
        <v>#DIV/0!</v>
      </c>
      <c r="U30" s="132"/>
      <c r="V30" s="135"/>
    </row>
    <row r="31" spans="1:22" x14ac:dyDescent="0.15">
      <c r="A31" s="130">
        <v>94</v>
      </c>
      <c r="B31" s="37" t="s">
        <v>220</v>
      </c>
      <c r="C31" s="132">
        <f t="shared" si="1"/>
        <v>1.2488999999999999</v>
      </c>
      <c r="D31" s="133">
        <v>2192</v>
      </c>
      <c r="E31" s="134">
        <v>2737.6</v>
      </c>
      <c r="F31" s="132">
        <v>0</v>
      </c>
      <c r="G31" s="132">
        <f t="shared" si="2"/>
        <v>0</v>
      </c>
      <c r="H31" s="133"/>
      <c r="I31" s="185"/>
      <c r="J31" s="132" t="e">
        <f t="shared" si="3"/>
        <v>#DIV/0!</v>
      </c>
      <c r="K31" s="132"/>
      <c r="L31" s="132">
        <f t="shared" si="4"/>
        <v>0</v>
      </c>
      <c r="M31" s="4"/>
      <c r="N31" s="68"/>
      <c r="O31" s="132" t="e">
        <f t="shared" si="5"/>
        <v>#DIV/0!</v>
      </c>
      <c r="P31" s="132"/>
      <c r="Q31" s="132">
        <f t="shared" si="6"/>
        <v>0</v>
      </c>
      <c r="R31" s="4"/>
      <c r="S31" s="68"/>
      <c r="T31" s="132" t="e">
        <f t="shared" si="7"/>
        <v>#DIV/0!</v>
      </c>
      <c r="U31" s="132"/>
      <c r="V31" s="135"/>
    </row>
    <row r="32" spans="1:22" x14ac:dyDescent="0.15">
      <c r="A32" s="130">
        <v>98</v>
      </c>
      <c r="B32" s="37" t="s">
        <v>494</v>
      </c>
      <c r="C32" s="132">
        <f t="shared" si="1"/>
        <v>1.5808</v>
      </c>
      <c r="D32" s="133">
        <v>9762</v>
      </c>
      <c r="E32" s="134">
        <v>15431.47</v>
      </c>
      <c r="F32" s="132">
        <v>0</v>
      </c>
      <c r="G32" s="132">
        <f t="shared" si="2"/>
        <v>0</v>
      </c>
      <c r="H32" s="133"/>
      <c r="I32" s="185"/>
      <c r="J32" s="132" t="e">
        <f t="shared" si="3"/>
        <v>#DIV/0!</v>
      </c>
      <c r="K32" s="132"/>
      <c r="L32" s="132">
        <f t="shared" si="4"/>
        <v>0</v>
      </c>
      <c r="M32" s="4"/>
      <c r="N32" s="68"/>
      <c r="O32" s="132" t="e">
        <f t="shared" si="5"/>
        <v>#DIV/0!</v>
      </c>
      <c r="P32" s="132"/>
      <c r="Q32" s="132">
        <f t="shared" si="6"/>
        <v>0</v>
      </c>
      <c r="R32" s="4"/>
      <c r="S32" s="68"/>
      <c r="T32" s="132" t="e">
        <f t="shared" si="7"/>
        <v>#DIV/0!</v>
      </c>
      <c r="U32" s="132"/>
      <c r="V32" s="135"/>
    </row>
    <row r="33" spans="1:22" x14ac:dyDescent="0.15">
      <c r="A33" s="130">
        <v>100</v>
      </c>
      <c r="B33" s="37" t="s">
        <v>546</v>
      </c>
      <c r="C33" s="132">
        <f t="shared" si="1"/>
        <v>1.4233</v>
      </c>
      <c r="D33" s="133">
        <v>5702</v>
      </c>
      <c r="E33" s="134">
        <v>8115.44</v>
      </c>
      <c r="F33" s="132">
        <v>0</v>
      </c>
      <c r="G33" s="132">
        <f t="shared" si="2"/>
        <v>0</v>
      </c>
      <c r="H33" s="133"/>
      <c r="I33" s="185"/>
      <c r="J33" s="132" t="e">
        <f t="shared" si="3"/>
        <v>#DIV/0!</v>
      </c>
      <c r="K33" s="132"/>
      <c r="L33" s="132">
        <f t="shared" si="4"/>
        <v>0</v>
      </c>
      <c r="M33" s="4"/>
      <c r="N33" s="68"/>
      <c r="O33" s="132" t="e">
        <f t="shared" si="5"/>
        <v>#DIV/0!</v>
      </c>
      <c r="P33" s="132"/>
      <c r="Q33" s="132">
        <f t="shared" si="6"/>
        <v>0</v>
      </c>
      <c r="R33" s="4"/>
      <c r="S33" s="68"/>
      <c r="T33" s="132" t="e">
        <f t="shared" si="7"/>
        <v>#DIV/0!</v>
      </c>
      <c r="U33" s="132"/>
      <c r="V33" s="135"/>
    </row>
    <row r="34" spans="1:22" x14ac:dyDescent="0.15">
      <c r="A34" s="130">
        <v>102</v>
      </c>
      <c r="B34" s="37" t="s">
        <v>445</v>
      </c>
      <c r="C34" s="132">
        <f t="shared" si="1"/>
        <v>1.4604999999999999</v>
      </c>
      <c r="D34" s="133">
        <v>5589</v>
      </c>
      <c r="E34" s="134">
        <v>8162.91</v>
      </c>
      <c r="F34" s="132">
        <v>0</v>
      </c>
      <c r="G34" s="132">
        <f t="shared" si="2"/>
        <v>0</v>
      </c>
      <c r="H34" s="133"/>
      <c r="I34" s="185"/>
      <c r="J34" s="132" t="e">
        <f t="shared" si="3"/>
        <v>#DIV/0!</v>
      </c>
      <c r="K34" s="132"/>
      <c r="L34" s="132">
        <f t="shared" si="4"/>
        <v>0</v>
      </c>
      <c r="M34" s="4"/>
      <c r="N34" s="68"/>
      <c r="O34" s="132" t="e">
        <f t="shared" si="5"/>
        <v>#DIV/0!</v>
      </c>
      <c r="P34" s="132"/>
      <c r="Q34" s="132">
        <f t="shared" si="6"/>
        <v>0</v>
      </c>
      <c r="R34" s="4"/>
      <c r="S34" s="68"/>
      <c r="T34" s="132" t="e">
        <f t="shared" si="7"/>
        <v>#DIV/0!</v>
      </c>
      <c r="U34" s="132"/>
      <c r="V34" s="135"/>
    </row>
    <row r="35" spans="1:22" x14ac:dyDescent="0.15">
      <c r="A35" s="130">
        <v>104</v>
      </c>
      <c r="B35" s="37" t="s">
        <v>678</v>
      </c>
      <c r="C35" s="132">
        <f t="shared" si="1"/>
        <v>1.694</v>
      </c>
      <c r="D35" s="133">
        <v>5108</v>
      </c>
      <c r="E35" s="134">
        <v>8652.73</v>
      </c>
      <c r="F35" s="132">
        <v>0</v>
      </c>
      <c r="G35" s="132">
        <f t="shared" si="2"/>
        <v>0</v>
      </c>
      <c r="H35" s="133"/>
      <c r="I35" s="185"/>
      <c r="J35" s="132" t="e">
        <f t="shared" si="3"/>
        <v>#DIV/0!</v>
      </c>
      <c r="K35" s="132"/>
      <c r="L35" s="132">
        <f t="shared" si="4"/>
        <v>0</v>
      </c>
      <c r="M35" s="4"/>
      <c r="N35" s="68"/>
      <c r="O35" s="132" t="e">
        <f t="shared" si="5"/>
        <v>#DIV/0!</v>
      </c>
      <c r="P35" s="132"/>
      <c r="Q35" s="132">
        <f t="shared" si="6"/>
        <v>0</v>
      </c>
      <c r="R35" s="4"/>
      <c r="S35" s="68"/>
      <c r="T35" s="132" t="e">
        <f t="shared" si="7"/>
        <v>#DIV/0!</v>
      </c>
      <c r="U35" s="132"/>
      <c r="V35" s="135"/>
    </row>
    <row r="36" spans="1:22" x14ac:dyDescent="0.15">
      <c r="A36" s="130">
        <v>106</v>
      </c>
      <c r="B36" s="37" t="s">
        <v>203</v>
      </c>
      <c r="C36" s="132">
        <f t="shared" si="1"/>
        <v>1.2721</v>
      </c>
      <c r="D36" s="133">
        <v>7945</v>
      </c>
      <c r="E36" s="134">
        <v>10107.06</v>
      </c>
      <c r="F36" s="132">
        <v>0</v>
      </c>
      <c r="G36" s="132">
        <f t="shared" si="2"/>
        <v>0</v>
      </c>
      <c r="H36" s="133"/>
      <c r="I36" s="185"/>
      <c r="J36" s="132" t="e">
        <f t="shared" si="3"/>
        <v>#DIV/0!</v>
      </c>
      <c r="K36" s="132"/>
      <c r="L36" s="132">
        <f t="shared" si="4"/>
        <v>0</v>
      </c>
      <c r="M36" s="4"/>
      <c r="N36" s="68"/>
      <c r="O36" s="132" t="e">
        <f t="shared" si="5"/>
        <v>#DIV/0!</v>
      </c>
      <c r="P36" s="132"/>
      <c r="Q36" s="132">
        <f t="shared" si="6"/>
        <v>0</v>
      </c>
      <c r="R36" s="4"/>
      <c r="S36" s="68"/>
      <c r="T36" s="132" t="e">
        <f t="shared" si="7"/>
        <v>#DIV/0!</v>
      </c>
      <c r="U36" s="132"/>
      <c r="V36" s="135"/>
    </row>
    <row r="37" spans="1:22" x14ac:dyDescent="0.15">
      <c r="A37" s="130">
        <v>108</v>
      </c>
      <c r="B37" s="37" t="s">
        <v>364</v>
      </c>
      <c r="C37" s="132">
        <f t="shared" si="1"/>
        <v>1.2695000000000001</v>
      </c>
      <c r="D37" s="133">
        <v>7904</v>
      </c>
      <c r="E37" s="134">
        <v>10034.36</v>
      </c>
      <c r="F37" s="132">
        <v>3.84</v>
      </c>
      <c r="G37" s="132">
        <f t="shared" si="2"/>
        <v>0</v>
      </c>
      <c r="H37" s="133"/>
      <c r="I37" s="185"/>
      <c r="J37" s="132" t="e">
        <f t="shared" si="3"/>
        <v>#DIV/0!</v>
      </c>
      <c r="K37" s="132"/>
      <c r="L37" s="132">
        <f t="shared" si="4"/>
        <v>0</v>
      </c>
      <c r="M37" s="4"/>
      <c r="N37" s="68"/>
      <c r="O37" s="132" t="e">
        <f t="shared" si="5"/>
        <v>#DIV/0!</v>
      </c>
      <c r="P37" s="132"/>
      <c r="Q37" s="132">
        <f t="shared" si="6"/>
        <v>0</v>
      </c>
      <c r="R37" s="4"/>
      <c r="S37" s="68"/>
      <c r="T37" s="132" t="e">
        <f t="shared" si="7"/>
        <v>#DIV/0!</v>
      </c>
      <c r="U37" s="132"/>
      <c r="V37" s="135"/>
    </row>
    <row r="38" spans="1:22" x14ac:dyDescent="0.15">
      <c r="A38" s="130">
        <v>112</v>
      </c>
      <c r="B38" s="37" t="s">
        <v>227</v>
      </c>
      <c r="C38" s="132">
        <f t="shared" si="1"/>
        <v>1.3071999999999999</v>
      </c>
      <c r="D38" s="133">
        <v>7581</v>
      </c>
      <c r="E38" s="134">
        <v>9909.5499999999993</v>
      </c>
      <c r="F38" s="132">
        <v>0</v>
      </c>
      <c r="G38" s="132">
        <f t="shared" si="2"/>
        <v>0</v>
      </c>
      <c r="H38" s="133"/>
      <c r="I38" s="185"/>
      <c r="J38" s="132" t="e">
        <f t="shared" si="3"/>
        <v>#DIV/0!</v>
      </c>
      <c r="K38" s="132"/>
      <c r="L38" s="132">
        <f t="shared" si="4"/>
        <v>0</v>
      </c>
      <c r="M38" s="4"/>
      <c r="N38" s="68"/>
      <c r="O38" s="132" t="e">
        <f t="shared" si="5"/>
        <v>#DIV/0!</v>
      </c>
      <c r="P38" s="132"/>
      <c r="Q38" s="132">
        <f t="shared" si="6"/>
        <v>0</v>
      </c>
      <c r="R38" s="4"/>
      <c r="S38" s="68"/>
      <c r="T38" s="132" t="e">
        <f t="shared" si="7"/>
        <v>#DIV/0!</v>
      </c>
      <c r="U38" s="132"/>
      <c r="V38" s="135"/>
    </row>
    <row r="39" spans="1:22" x14ac:dyDescent="0.15">
      <c r="A39" s="130">
        <v>114</v>
      </c>
      <c r="B39" s="37" t="s">
        <v>657</v>
      </c>
      <c r="C39" s="132">
        <f t="shared" si="1"/>
        <v>1.2726999999999999</v>
      </c>
      <c r="D39" s="133">
        <v>1617</v>
      </c>
      <c r="E39" s="134">
        <v>2058.02</v>
      </c>
      <c r="F39" s="132">
        <v>0</v>
      </c>
      <c r="G39" s="132">
        <f t="shared" si="2"/>
        <v>0</v>
      </c>
      <c r="H39" s="133"/>
      <c r="I39" s="185"/>
      <c r="J39" s="132" t="e">
        <f t="shared" si="3"/>
        <v>#DIV/0!</v>
      </c>
      <c r="K39" s="132"/>
      <c r="L39" s="132">
        <f t="shared" si="4"/>
        <v>0</v>
      </c>
      <c r="M39" s="4"/>
      <c r="N39" s="68"/>
      <c r="O39" s="132" t="e">
        <f t="shared" si="5"/>
        <v>#DIV/0!</v>
      </c>
      <c r="P39" s="132"/>
      <c r="Q39" s="132">
        <f t="shared" si="6"/>
        <v>0</v>
      </c>
      <c r="R39" s="4"/>
      <c r="S39" s="68"/>
      <c r="T39" s="132" t="e">
        <f t="shared" si="7"/>
        <v>#DIV/0!</v>
      </c>
      <c r="U39" s="132"/>
      <c r="V39" s="135"/>
    </row>
    <row r="40" spans="1:22" x14ac:dyDescent="0.15">
      <c r="A40" s="130">
        <v>116</v>
      </c>
      <c r="B40" s="37" t="s">
        <v>586</v>
      </c>
      <c r="C40" s="132">
        <f t="shared" si="1"/>
        <v>1.6404000000000001</v>
      </c>
      <c r="D40" s="133">
        <v>5794</v>
      </c>
      <c r="E40" s="134">
        <v>9504.5</v>
      </c>
      <c r="F40" s="132">
        <v>0</v>
      </c>
      <c r="G40" s="132">
        <f t="shared" si="2"/>
        <v>0</v>
      </c>
      <c r="H40" s="133"/>
      <c r="I40" s="185"/>
      <c r="J40" s="132" t="e">
        <f t="shared" si="3"/>
        <v>#DIV/0!</v>
      </c>
      <c r="K40" s="132"/>
      <c r="L40" s="132">
        <f t="shared" si="4"/>
        <v>0</v>
      </c>
      <c r="M40" s="4"/>
      <c r="N40" s="68"/>
      <c r="O40" s="132" t="e">
        <f t="shared" si="5"/>
        <v>#DIV/0!</v>
      </c>
      <c r="P40" s="132"/>
      <c r="Q40" s="132">
        <f t="shared" si="6"/>
        <v>0</v>
      </c>
      <c r="R40" s="4"/>
      <c r="S40" s="68"/>
      <c r="T40" s="132" t="e">
        <f t="shared" si="7"/>
        <v>#DIV/0!</v>
      </c>
      <c r="U40" s="132"/>
      <c r="V40" s="135"/>
    </row>
    <row r="41" spans="1:22" x14ac:dyDescent="0.15">
      <c r="A41" s="130">
        <v>118</v>
      </c>
      <c r="B41" s="37" t="s">
        <v>470</v>
      </c>
      <c r="C41" s="132">
        <f t="shared" si="1"/>
        <v>1.7498</v>
      </c>
      <c r="D41" s="133">
        <v>7756</v>
      </c>
      <c r="E41" s="134">
        <v>13571.47</v>
      </c>
      <c r="F41" s="132">
        <v>3.84</v>
      </c>
      <c r="G41" s="132">
        <f t="shared" si="2"/>
        <v>0</v>
      </c>
      <c r="H41" s="133"/>
      <c r="I41" s="185"/>
      <c r="J41" s="132" t="e">
        <f t="shared" si="3"/>
        <v>#DIV/0!</v>
      </c>
      <c r="K41" s="132"/>
      <c r="L41" s="132">
        <f t="shared" si="4"/>
        <v>0</v>
      </c>
      <c r="M41" s="4"/>
      <c r="N41" s="68"/>
      <c r="O41" s="132" t="e">
        <f t="shared" si="5"/>
        <v>#DIV/0!</v>
      </c>
      <c r="P41" s="132"/>
      <c r="Q41" s="132">
        <f t="shared" si="6"/>
        <v>0</v>
      </c>
      <c r="R41" s="4"/>
      <c r="S41" s="68"/>
      <c r="T41" s="132" t="e">
        <f t="shared" si="7"/>
        <v>#DIV/0!</v>
      </c>
      <c r="U41" s="132"/>
      <c r="V41" s="135"/>
    </row>
    <row r="42" spans="1:22" x14ac:dyDescent="0.15">
      <c r="A42" s="130">
        <v>122</v>
      </c>
      <c r="B42" s="37" t="s">
        <v>634</v>
      </c>
      <c r="C42" s="132">
        <f t="shared" si="1"/>
        <v>1.2937000000000001</v>
      </c>
      <c r="D42" s="133">
        <v>7766</v>
      </c>
      <c r="E42" s="134">
        <v>10046.540000000001</v>
      </c>
      <c r="F42" s="132">
        <v>0</v>
      </c>
      <c r="G42" s="132">
        <f t="shared" si="2"/>
        <v>0</v>
      </c>
      <c r="H42" s="133"/>
      <c r="I42" s="185"/>
      <c r="J42" s="132" t="e">
        <f t="shared" si="3"/>
        <v>#DIV/0!</v>
      </c>
      <c r="K42" s="132"/>
      <c r="L42" s="132">
        <f t="shared" si="4"/>
        <v>0</v>
      </c>
      <c r="M42" s="4"/>
      <c r="N42" s="68"/>
      <c r="O42" s="132" t="e">
        <f t="shared" si="5"/>
        <v>#DIV/0!</v>
      </c>
      <c r="P42" s="132"/>
      <c r="Q42" s="132">
        <f t="shared" si="6"/>
        <v>0</v>
      </c>
      <c r="R42" s="4"/>
      <c r="S42" s="68"/>
      <c r="T42" s="132" t="e">
        <f t="shared" si="7"/>
        <v>#DIV/0!</v>
      </c>
      <c r="U42" s="132"/>
      <c r="V42" s="135"/>
    </row>
    <row r="43" spans="1:22" x14ac:dyDescent="0.15">
      <c r="A43" s="130">
        <v>124</v>
      </c>
      <c r="B43" s="37" t="s">
        <v>764</v>
      </c>
      <c r="C43" s="132">
        <f t="shared" si="1"/>
        <v>1.1819</v>
      </c>
      <c r="D43" s="133">
        <v>3478</v>
      </c>
      <c r="E43" s="134">
        <v>4110.53</v>
      </c>
      <c r="F43" s="132">
        <v>0</v>
      </c>
      <c r="G43" s="132">
        <f t="shared" si="2"/>
        <v>0</v>
      </c>
      <c r="H43" s="133"/>
      <c r="I43" s="185"/>
      <c r="J43" s="132" t="e">
        <f t="shared" si="3"/>
        <v>#DIV/0!</v>
      </c>
      <c r="K43" s="132"/>
      <c r="L43" s="132">
        <f t="shared" si="4"/>
        <v>0</v>
      </c>
      <c r="M43" s="4"/>
      <c r="N43" s="68"/>
      <c r="O43" s="132" t="e">
        <f t="shared" si="5"/>
        <v>#DIV/0!</v>
      </c>
      <c r="P43" s="132"/>
      <c r="Q43" s="132">
        <f t="shared" si="6"/>
        <v>0</v>
      </c>
      <c r="R43" s="4"/>
      <c r="S43" s="68"/>
      <c r="T43" s="132" t="e">
        <f t="shared" si="7"/>
        <v>#DIV/0!</v>
      </c>
      <c r="U43" s="132"/>
      <c r="V43" s="135"/>
    </row>
    <row r="44" spans="1:22" x14ac:dyDescent="0.15">
      <c r="A44" s="130">
        <v>126</v>
      </c>
      <c r="B44" s="37" t="s">
        <v>548</v>
      </c>
      <c r="C44" s="132">
        <f t="shared" si="1"/>
        <v>1.4104000000000001</v>
      </c>
      <c r="D44" s="133">
        <v>7336</v>
      </c>
      <c r="E44" s="134">
        <v>10346.6</v>
      </c>
      <c r="F44" s="132">
        <v>0</v>
      </c>
      <c r="G44" s="132">
        <f t="shared" si="2"/>
        <v>0</v>
      </c>
      <c r="H44" s="133"/>
      <c r="I44" s="185"/>
      <c r="J44" s="132" t="e">
        <f t="shared" si="3"/>
        <v>#DIV/0!</v>
      </c>
      <c r="K44" s="132"/>
      <c r="L44" s="132">
        <f t="shared" si="4"/>
        <v>0</v>
      </c>
      <c r="M44" s="4"/>
      <c r="N44" s="68"/>
      <c r="O44" s="132" t="e">
        <f t="shared" si="5"/>
        <v>#DIV/0!</v>
      </c>
      <c r="P44" s="132"/>
      <c r="Q44" s="132">
        <f t="shared" si="6"/>
        <v>0</v>
      </c>
      <c r="R44" s="4"/>
      <c r="S44" s="68"/>
      <c r="T44" s="132" t="e">
        <f t="shared" si="7"/>
        <v>#DIV/0!</v>
      </c>
      <c r="U44" s="132"/>
      <c r="V44" s="135"/>
    </row>
    <row r="45" spans="1:22" x14ac:dyDescent="0.15">
      <c r="A45" s="130">
        <v>130</v>
      </c>
      <c r="B45" s="37" t="s">
        <v>472</v>
      </c>
      <c r="C45" s="132">
        <f t="shared" si="1"/>
        <v>1.4402999999999999</v>
      </c>
      <c r="D45" s="133">
        <v>6157</v>
      </c>
      <c r="E45" s="134">
        <v>8868.01</v>
      </c>
      <c r="F45" s="132">
        <v>0</v>
      </c>
      <c r="G45" s="132">
        <f t="shared" si="2"/>
        <v>0</v>
      </c>
      <c r="H45" s="133"/>
      <c r="I45" s="185"/>
      <c r="J45" s="132" t="e">
        <f t="shared" si="3"/>
        <v>#DIV/0!</v>
      </c>
      <c r="K45" s="132"/>
      <c r="L45" s="132">
        <f t="shared" si="4"/>
        <v>0</v>
      </c>
      <c r="M45" s="4"/>
      <c r="N45" s="68"/>
      <c r="O45" s="132" t="e">
        <f t="shared" si="5"/>
        <v>#DIV/0!</v>
      </c>
      <c r="P45" s="132"/>
      <c r="Q45" s="132">
        <f t="shared" si="6"/>
        <v>0</v>
      </c>
      <c r="R45" s="4"/>
      <c r="S45" s="68"/>
      <c r="T45" s="132" t="e">
        <f t="shared" si="7"/>
        <v>#DIV/0!</v>
      </c>
      <c r="U45" s="132"/>
      <c r="V45" s="135"/>
    </row>
    <row r="46" spans="1:22" x14ac:dyDescent="0.15">
      <c r="A46" s="130">
        <v>132</v>
      </c>
      <c r="B46" s="37" t="s">
        <v>589</v>
      </c>
      <c r="C46" s="132">
        <f t="shared" si="1"/>
        <v>1.5213000000000001</v>
      </c>
      <c r="D46" s="133">
        <v>7081</v>
      </c>
      <c r="E46" s="134">
        <v>10772.09</v>
      </c>
      <c r="F46" s="132">
        <v>0</v>
      </c>
      <c r="G46" s="132">
        <f t="shared" si="2"/>
        <v>0</v>
      </c>
      <c r="H46" s="133"/>
      <c r="I46" s="185"/>
      <c r="J46" s="132" t="e">
        <f t="shared" si="3"/>
        <v>#DIV/0!</v>
      </c>
      <c r="K46" s="132"/>
      <c r="L46" s="132">
        <f t="shared" si="4"/>
        <v>0</v>
      </c>
      <c r="M46" s="4"/>
      <c r="N46" s="68"/>
      <c r="O46" s="132" t="e">
        <f t="shared" si="5"/>
        <v>#DIV/0!</v>
      </c>
      <c r="P46" s="132"/>
      <c r="Q46" s="132">
        <f t="shared" si="6"/>
        <v>0</v>
      </c>
      <c r="R46" s="4"/>
      <c r="S46" s="68"/>
      <c r="T46" s="132" t="e">
        <f t="shared" si="7"/>
        <v>#DIV/0!</v>
      </c>
      <c r="U46" s="132"/>
      <c r="V46" s="135"/>
    </row>
    <row r="47" spans="1:22" x14ac:dyDescent="0.15">
      <c r="A47" s="130">
        <v>134</v>
      </c>
      <c r="B47" s="37" t="s">
        <v>581</v>
      </c>
      <c r="C47" s="132">
        <f t="shared" si="1"/>
        <v>1.35</v>
      </c>
      <c r="D47" s="133">
        <v>8589</v>
      </c>
      <c r="E47" s="134">
        <v>11594.88</v>
      </c>
      <c r="F47" s="132">
        <v>0</v>
      </c>
      <c r="G47" s="132">
        <f t="shared" si="2"/>
        <v>0</v>
      </c>
      <c r="H47" s="133"/>
      <c r="I47" s="185"/>
      <c r="J47" s="132" t="e">
        <f t="shared" si="3"/>
        <v>#DIV/0!</v>
      </c>
      <c r="K47" s="132"/>
      <c r="L47" s="132">
        <f t="shared" si="4"/>
        <v>0</v>
      </c>
      <c r="M47" s="4"/>
      <c r="N47" s="68"/>
      <c r="O47" s="132" t="e">
        <f t="shared" si="5"/>
        <v>#DIV/0!</v>
      </c>
      <c r="P47" s="132"/>
      <c r="Q47" s="132">
        <f t="shared" si="6"/>
        <v>0</v>
      </c>
      <c r="R47" s="4"/>
      <c r="S47" s="68"/>
      <c r="T47" s="132" t="e">
        <f t="shared" si="7"/>
        <v>#DIV/0!</v>
      </c>
      <c r="U47" s="132"/>
      <c r="V47" s="135"/>
    </row>
    <row r="48" spans="1:22" x14ac:dyDescent="0.15">
      <c r="A48" s="130">
        <v>136</v>
      </c>
      <c r="B48" s="37" t="s">
        <v>397</v>
      </c>
      <c r="C48" s="132">
        <f t="shared" si="1"/>
        <v>1.3666</v>
      </c>
      <c r="D48" s="133">
        <v>7470</v>
      </c>
      <c r="E48" s="134">
        <v>10208.44</v>
      </c>
      <c r="F48" s="132">
        <v>0</v>
      </c>
      <c r="G48" s="132">
        <f t="shared" si="2"/>
        <v>0</v>
      </c>
      <c r="H48" s="133"/>
      <c r="I48" s="185"/>
      <c r="J48" s="132" t="e">
        <f t="shared" si="3"/>
        <v>#DIV/0!</v>
      </c>
      <c r="K48" s="132"/>
      <c r="L48" s="132">
        <f t="shared" si="4"/>
        <v>0</v>
      </c>
      <c r="M48" s="4"/>
      <c r="N48" s="68"/>
      <c r="O48" s="132" t="e">
        <f t="shared" si="5"/>
        <v>#DIV/0!</v>
      </c>
      <c r="P48" s="132"/>
      <c r="Q48" s="132">
        <f t="shared" si="6"/>
        <v>0</v>
      </c>
      <c r="R48" s="4"/>
      <c r="S48" s="68"/>
      <c r="T48" s="132" t="e">
        <f t="shared" si="7"/>
        <v>#DIV/0!</v>
      </c>
      <c r="U48" s="132"/>
      <c r="V48" s="135"/>
    </row>
    <row r="49" spans="1:22" x14ac:dyDescent="0.15">
      <c r="A49" s="130">
        <v>140</v>
      </c>
      <c r="B49" s="37" t="s">
        <v>817</v>
      </c>
      <c r="C49" s="132">
        <f t="shared" si="1"/>
        <v>1.3725000000000001</v>
      </c>
      <c r="D49" s="133">
        <v>5283</v>
      </c>
      <c r="E49" s="134">
        <v>7250.9</v>
      </c>
      <c r="F49" s="132">
        <v>0</v>
      </c>
      <c r="G49" s="132">
        <f t="shared" si="2"/>
        <v>0</v>
      </c>
      <c r="H49" s="133"/>
      <c r="I49" s="185"/>
      <c r="J49" s="132" t="e">
        <f t="shared" si="3"/>
        <v>#DIV/0!</v>
      </c>
      <c r="K49" s="132"/>
      <c r="L49" s="132">
        <f t="shared" si="4"/>
        <v>0</v>
      </c>
      <c r="M49" s="4"/>
      <c r="N49" s="68"/>
      <c r="O49" s="132" t="e">
        <f t="shared" si="5"/>
        <v>#DIV/0!</v>
      </c>
      <c r="P49" s="132"/>
      <c r="Q49" s="132">
        <f t="shared" si="6"/>
        <v>0</v>
      </c>
      <c r="R49" s="4"/>
      <c r="S49" s="68"/>
      <c r="T49" s="132" t="e">
        <f t="shared" si="7"/>
        <v>#DIV/0!</v>
      </c>
      <c r="U49" s="132"/>
      <c r="V49" s="135"/>
    </row>
    <row r="50" spans="1:22" x14ac:dyDescent="0.15">
      <c r="A50" s="130">
        <v>142</v>
      </c>
      <c r="B50" s="37" t="s">
        <v>374</v>
      </c>
      <c r="C50" s="132">
        <f t="shared" si="1"/>
        <v>1.3463000000000001</v>
      </c>
      <c r="D50" s="133">
        <v>5799</v>
      </c>
      <c r="E50" s="134">
        <v>7807.14</v>
      </c>
      <c r="F50" s="132">
        <v>0</v>
      </c>
      <c r="G50" s="132">
        <f t="shared" si="2"/>
        <v>0</v>
      </c>
      <c r="H50" s="133"/>
      <c r="I50" s="185"/>
      <c r="J50" s="132" t="e">
        <f t="shared" si="3"/>
        <v>#DIV/0!</v>
      </c>
      <c r="K50" s="132"/>
      <c r="L50" s="132">
        <f t="shared" si="4"/>
        <v>0</v>
      </c>
      <c r="M50" s="4"/>
      <c r="N50" s="68"/>
      <c r="O50" s="132" t="e">
        <f t="shared" si="5"/>
        <v>#DIV/0!</v>
      </c>
      <c r="P50" s="132"/>
      <c r="Q50" s="132">
        <f t="shared" si="6"/>
        <v>0</v>
      </c>
      <c r="R50" s="4"/>
      <c r="S50" s="68"/>
      <c r="T50" s="132" t="e">
        <f t="shared" si="7"/>
        <v>#DIV/0!</v>
      </c>
      <c r="U50" s="132"/>
      <c r="V50" s="135"/>
    </row>
    <row r="51" spans="1:22" x14ac:dyDescent="0.15">
      <c r="A51" s="130">
        <v>144</v>
      </c>
      <c r="B51" s="37" t="s">
        <v>193</v>
      </c>
      <c r="C51" s="132">
        <f t="shared" si="1"/>
        <v>1.5223</v>
      </c>
      <c r="D51" s="133">
        <v>8334</v>
      </c>
      <c r="E51" s="134">
        <v>12686.65</v>
      </c>
      <c r="F51" s="132">
        <v>0</v>
      </c>
      <c r="G51" s="132">
        <f t="shared" si="2"/>
        <v>0</v>
      </c>
      <c r="H51" s="133"/>
      <c r="I51" s="185"/>
      <c r="J51" s="132" t="e">
        <f t="shared" si="3"/>
        <v>#DIV/0!</v>
      </c>
      <c r="K51" s="132"/>
      <c r="L51" s="132">
        <f t="shared" si="4"/>
        <v>0</v>
      </c>
      <c r="M51" s="4"/>
      <c r="N51" s="68"/>
      <c r="O51" s="132" t="e">
        <f t="shared" si="5"/>
        <v>#DIV/0!</v>
      </c>
      <c r="P51" s="132"/>
      <c r="Q51" s="132">
        <f t="shared" si="6"/>
        <v>0</v>
      </c>
      <c r="R51" s="4"/>
      <c r="S51" s="68"/>
      <c r="T51" s="132" t="e">
        <f t="shared" si="7"/>
        <v>#DIV/0!</v>
      </c>
      <c r="U51" s="132"/>
      <c r="V51" s="135"/>
    </row>
    <row r="52" spans="1:22" x14ac:dyDescent="0.15">
      <c r="A52" s="130">
        <v>146</v>
      </c>
      <c r="B52" s="37" t="s">
        <v>176</v>
      </c>
      <c r="C52" s="132">
        <f t="shared" si="1"/>
        <v>1.2784</v>
      </c>
      <c r="D52" s="133">
        <v>4462</v>
      </c>
      <c r="E52" s="134">
        <v>5704.18</v>
      </c>
      <c r="F52" s="132">
        <v>0</v>
      </c>
      <c r="G52" s="132">
        <f t="shared" si="2"/>
        <v>0</v>
      </c>
      <c r="H52" s="133"/>
      <c r="I52" s="185"/>
      <c r="J52" s="132" t="e">
        <f t="shared" si="3"/>
        <v>#DIV/0!</v>
      </c>
      <c r="K52" s="132"/>
      <c r="L52" s="132">
        <f t="shared" si="4"/>
        <v>0</v>
      </c>
      <c r="M52" s="4"/>
      <c r="N52" s="68"/>
      <c r="O52" s="132" t="e">
        <f t="shared" si="5"/>
        <v>#DIV/0!</v>
      </c>
      <c r="P52" s="132"/>
      <c r="Q52" s="132">
        <f t="shared" si="6"/>
        <v>0</v>
      </c>
      <c r="R52" s="4"/>
      <c r="S52" s="68"/>
      <c r="T52" s="132" t="e">
        <f t="shared" si="7"/>
        <v>#DIV/0!</v>
      </c>
      <c r="U52" s="132"/>
      <c r="V52" s="135"/>
    </row>
    <row r="53" spans="1:22" x14ac:dyDescent="0.15">
      <c r="A53" s="130">
        <v>150</v>
      </c>
      <c r="B53" s="37" t="s">
        <v>224</v>
      </c>
      <c r="C53" s="132">
        <f t="shared" si="1"/>
        <v>1.3603000000000001</v>
      </c>
      <c r="D53" s="133">
        <v>4947</v>
      </c>
      <c r="E53" s="134">
        <v>6729.5</v>
      </c>
      <c r="F53" s="132">
        <v>0</v>
      </c>
      <c r="G53" s="132">
        <f t="shared" si="2"/>
        <v>0</v>
      </c>
      <c r="H53" s="133"/>
      <c r="I53" s="185"/>
      <c r="J53" s="132" t="e">
        <f t="shared" si="3"/>
        <v>#DIV/0!</v>
      </c>
      <c r="K53" s="132"/>
      <c r="L53" s="132">
        <f t="shared" si="4"/>
        <v>0</v>
      </c>
      <c r="M53" s="4"/>
      <c r="N53" s="68"/>
      <c r="O53" s="132" t="e">
        <f t="shared" si="5"/>
        <v>#DIV/0!</v>
      </c>
      <c r="P53" s="132"/>
      <c r="Q53" s="132">
        <f t="shared" si="6"/>
        <v>0</v>
      </c>
      <c r="R53" s="4"/>
      <c r="S53" s="68"/>
      <c r="T53" s="132" t="e">
        <f t="shared" si="7"/>
        <v>#DIV/0!</v>
      </c>
      <c r="U53" s="132"/>
      <c r="V53" s="135"/>
    </row>
    <row r="54" spans="1:22" x14ac:dyDescent="0.15">
      <c r="A54" s="130">
        <v>152</v>
      </c>
      <c r="B54" s="37" t="s">
        <v>383</v>
      </c>
      <c r="C54" s="132">
        <f t="shared" si="1"/>
        <v>1.2233000000000001</v>
      </c>
      <c r="D54" s="133">
        <v>3840</v>
      </c>
      <c r="E54" s="134">
        <v>4697.54</v>
      </c>
      <c r="F54" s="132">
        <v>0</v>
      </c>
      <c r="G54" s="132">
        <f t="shared" si="2"/>
        <v>0</v>
      </c>
      <c r="H54" s="133"/>
      <c r="I54" s="185"/>
      <c r="J54" s="132" t="e">
        <f t="shared" si="3"/>
        <v>#DIV/0!</v>
      </c>
      <c r="K54" s="132"/>
      <c r="L54" s="132">
        <f t="shared" si="4"/>
        <v>0</v>
      </c>
      <c r="M54" s="4"/>
      <c r="N54" s="68"/>
      <c r="O54" s="132" t="e">
        <f t="shared" si="5"/>
        <v>#DIV/0!</v>
      </c>
      <c r="P54" s="132"/>
      <c r="Q54" s="132">
        <f t="shared" si="6"/>
        <v>0</v>
      </c>
      <c r="R54" s="4"/>
      <c r="S54" s="68"/>
      <c r="T54" s="132" t="e">
        <f t="shared" si="7"/>
        <v>#DIV/0!</v>
      </c>
      <c r="U54" s="132"/>
      <c r="V54" s="135"/>
    </row>
    <row r="55" spans="1:22" x14ac:dyDescent="0.15">
      <c r="A55" s="130">
        <v>154</v>
      </c>
      <c r="B55" s="37" t="s">
        <v>491</v>
      </c>
      <c r="C55" s="132">
        <f t="shared" si="1"/>
        <v>1.3884000000000001</v>
      </c>
      <c r="D55" s="133">
        <v>6507</v>
      </c>
      <c r="E55" s="134">
        <v>9034.24</v>
      </c>
      <c r="F55" s="132">
        <v>0</v>
      </c>
      <c r="G55" s="132">
        <f t="shared" si="2"/>
        <v>0</v>
      </c>
      <c r="H55" s="133"/>
      <c r="I55" s="185"/>
      <c r="J55" s="132" t="e">
        <f t="shared" si="3"/>
        <v>#DIV/0!</v>
      </c>
      <c r="K55" s="132"/>
      <c r="L55" s="132">
        <f t="shared" si="4"/>
        <v>0</v>
      </c>
      <c r="M55" s="4"/>
      <c r="N55" s="68"/>
      <c r="O55" s="132" t="e">
        <f t="shared" si="5"/>
        <v>#DIV/0!</v>
      </c>
      <c r="P55" s="132"/>
      <c r="Q55" s="132">
        <f t="shared" si="6"/>
        <v>0</v>
      </c>
      <c r="R55" s="4"/>
      <c r="S55" s="68"/>
      <c r="T55" s="132" t="e">
        <f t="shared" si="7"/>
        <v>#DIV/0!</v>
      </c>
      <c r="U55" s="132"/>
      <c r="V55" s="135"/>
    </row>
    <row r="56" spans="1:22" x14ac:dyDescent="0.15">
      <c r="A56" s="130">
        <v>156</v>
      </c>
      <c r="B56" s="37" t="s">
        <v>413</v>
      </c>
      <c r="C56" s="132">
        <f t="shared" si="1"/>
        <v>1.1306</v>
      </c>
      <c r="D56" s="133">
        <v>10513</v>
      </c>
      <c r="E56" s="134">
        <v>11885.83</v>
      </c>
      <c r="F56" s="132">
        <v>0</v>
      </c>
      <c r="G56" s="132">
        <f t="shared" si="2"/>
        <v>0</v>
      </c>
      <c r="H56" s="133"/>
      <c r="I56" s="185"/>
      <c r="J56" s="132" t="e">
        <f t="shared" si="3"/>
        <v>#DIV/0!</v>
      </c>
      <c r="K56" s="132"/>
      <c r="L56" s="132">
        <f t="shared" si="4"/>
        <v>0</v>
      </c>
      <c r="M56" s="4"/>
      <c r="N56" s="68"/>
      <c r="O56" s="132" t="e">
        <f t="shared" si="5"/>
        <v>#DIV/0!</v>
      </c>
      <c r="P56" s="132"/>
      <c r="Q56" s="132">
        <f t="shared" si="6"/>
        <v>0</v>
      </c>
      <c r="R56" s="4"/>
      <c r="S56" s="68"/>
      <c r="T56" s="132" t="e">
        <f t="shared" si="7"/>
        <v>#DIV/0!</v>
      </c>
      <c r="U56" s="132"/>
      <c r="V56" s="135"/>
    </row>
    <row r="57" spans="1:22" x14ac:dyDescent="0.15">
      <c r="A57" s="130">
        <v>164</v>
      </c>
      <c r="B57" s="37" t="s">
        <v>712</v>
      </c>
      <c r="C57" s="132">
        <f t="shared" si="1"/>
        <v>1.0709</v>
      </c>
      <c r="D57" s="133">
        <v>2054</v>
      </c>
      <c r="E57" s="134">
        <v>2199.5700000000002</v>
      </c>
      <c r="F57" s="132">
        <v>0</v>
      </c>
      <c r="G57" s="132">
        <f t="shared" si="2"/>
        <v>0</v>
      </c>
      <c r="H57" s="133"/>
      <c r="I57" s="185"/>
      <c r="J57" s="132" t="e">
        <f t="shared" si="3"/>
        <v>#DIV/0!</v>
      </c>
      <c r="K57" s="132"/>
      <c r="L57" s="132">
        <f t="shared" si="4"/>
        <v>0</v>
      </c>
      <c r="M57" s="4"/>
      <c r="N57" s="68"/>
      <c r="O57" s="132" t="e">
        <f t="shared" si="5"/>
        <v>#DIV/0!</v>
      </c>
      <c r="P57" s="132"/>
      <c r="Q57" s="132">
        <f t="shared" si="6"/>
        <v>0</v>
      </c>
      <c r="R57" s="4"/>
      <c r="S57" s="68"/>
      <c r="T57" s="132" t="e">
        <f t="shared" si="7"/>
        <v>#DIV/0!</v>
      </c>
      <c r="U57" s="132"/>
      <c r="V57" s="135"/>
    </row>
    <row r="58" spans="1:22" x14ac:dyDescent="0.15">
      <c r="A58" s="130">
        <v>168</v>
      </c>
      <c r="B58" s="37" t="s">
        <v>177</v>
      </c>
      <c r="C58" s="132">
        <f t="shared" si="1"/>
        <v>1.4778</v>
      </c>
      <c r="D58" s="133">
        <v>4337</v>
      </c>
      <c r="E58" s="134">
        <v>6409.26</v>
      </c>
      <c r="F58" s="132">
        <v>0</v>
      </c>
      <c r="G58" s="132">
        <f t="shared" si="2"/>
        <v>0</v>
      </c>
      <c r="H58" s="133"/>
      <c r="I58" s="185"/>
      <c r="J58" s="132" t="e">
        <f t="shared" si="3"/>
        <v>#DIV/0!</v>
      </c>
      <c r="K58" s="132"/>
      <c r="L58" s="132">
        <f t="shared" si="4"/>
        <v>0</v>
      </c>
      <c r="M58" s="4"/>
      <c r="N58" s="68"/>
      <c r="O58" s="132" t="e">
        <f t="shared" si="5"/>
        <v>#DIV/0!</v>
      </c>
      <c r="P58" s="132"/>
      <c r="Q58" s="132">
        <f t="shared" si="6"/>
        <v>0</v>
      </c>
      <c r="R58" s="4"/>
      <c r="S58" s="68"/>
      <c r="T58" s="132" t="e">
        <f t="shared" si="7"/>
        <v>#DIV/0!</v>
      </c>
      <c r="U58" s="132"/>
      <c r="V58" s="135"/>
    </row>
    <row r="59" spans="1:22" x14ac:dyDescent="0.15">
      <c r="A59" s="130">
        <v>172</v>
      </c>
      <c r="B59" s="37" t="s">
        <v>709</v>
      </c>
      <c r="C59" s="132">
        <f t="shared" si="1"/>
        <v>1.2310000000000001</v>
      </c>
      <c r="D59" s="133">
        <v>8089</v>
      </c>
      <c r="E59" s="134">
        <v>9957.94</v>
      </c>
      <c r="F59" s="132">
        <v>0</v>
      </c>
      <c r="G59" s="132">
        <f t="shared" si="2"/>
        <v>0</v>
      </c>
      <c r="H59" s="133"/>
      <c r="I59" s="185"/>
      <c r="J59" s="132" t="e">
        <f t="shared" si="3"/>
        <v>#DIV/0!</v>
      </c>
      <c r="K59" s="132"/>
      <c r="L59" s="132">
        <f t="shared" si="4"/>
        <v>0</v>
      </c>
      <c r="M59" s="4"/>
      <c r="N59" s="68"/>
      <c r="O59" s="132" t="e">
        <f t="shared" si="5"/>
        <v>#DIV/0!</v>
      </c>
      <c r="P59" s="132"/>
      <c r="Q59" s="132">
        <f t="shared" si="6"/>
        <v>0</v>
      </c>
      <c r="R59" s="4"/>
      <c r="S59" s="68"/>
      <c r="T59" s="132" t="e">
        <f t="shared" si="7"/>
        <v>#DIV/0!</v>
      </c>
      <c r="U59" s="132"/>
      <c r="V59" s="135"/>
    </row>
    <row r="60" spans="1:22" x14ac:dyDescent="0.15">
      <c r="A60" s="130">
        <v>174</v>
      </c>
      <c r="B60" s="37" t="s">
        <v>221</v>
      </c>
      <c r="C60" s="132">
        <f t="shared" si="1"/>
        <v>1.1257999999999999</v>
      </c>
      <c r="D60" s="133">
        <v>3713</v>
      </c>
      <c r="E60" s="134">
        <v>4180.0200000000004</v>
      </c>
      <c r="F60" s="132">
        <v>0</v>
      </c>
      <c r="G60" s="132">
        <f t="shared" si="2"/>
        <v>0</v>
      </c>
      <c r="H60" s="133"/>
      <c r="I60" s="185"/>
      <c r="J60" s="132" t="e">
        <f t="shared" si="3"/>
        <v>#DIV/0!</v>
      </c>
      <c r="K60" s="132"/>
      <c r="L60" s="132">
        <f t="shared" si="4"/>
        <v>0</v>
      </c>
      <c r="M60" s="4"/>
      <c r="N60" s="68"/>
      <c r="O60" s="132" t="e">
        <f t="shared" si="5"/>
        <v>#DIV/0!</v>
      </c>
      <c r="P60" s="132"/>
      <c r="Q60" s="132">
        <f t="shared" si="6"/>
        <v>0</v>
      </c>
      <c r="R60" s="4"/>
      <c r="S60" s="68"/>
      <c r="T60" s="132" t="e">
        <f t="shared" si="7"/>
        <v>#DIV/0!</v>
      </c>
      <c r="U60" s="132"/>
      <c r="V60" s="135"/>
    </row>
    <row r="61" spans="1:22" x14ac:dyDescent="0.15">
      <c r="A61" s="130">
        <v>176</v>
      </c>
      <c r="B61" s="37" t="s">
        <v>845</v>
      </c>
      <c r="C61" s="132">
        <f t="shared" si="1"/>
        <v>1.33</v>
      </c>
      <c r="D61" s="133">
        <v>6697</v>
      </c>
      <c r="E61" s="134">
        <v>8907.1</v>
      </c>
      <c r="F61" s="132">
        <v>0</v>
      </c>
      <c r="G61" s="132">
        <f t="shared" si="2"/>
        <v>0</v>
      </c>
      <c r="H61" s="133"/>
      <c r="I61" s="185"/>
      <c r="J61" s="132" t="e">
        <f t="shared" si="3"/>
        <v>#DIV/0!</v>
      </c>
      <c r="K61" s="132"/>
      <c r="L61" s="132">
        <f t="shared" si="4"/>
        <v>0</v>
      </c>
      <c r="M61" s="4"/>
      <c r="N61" s="68"/>
      <c r="O61" s="132" t="e">
        <f t="shared" si="5"/>
        <v>#DIV/0!</v>
      </c>
      <c r="P61" s="132"/>
      <c r="Q61" s="132">
        <f t="shared" si="6"/>
        <v>0</v>
      </c>
      <c r="R61" s="4"/>
      <c r="S61" s="68"/>
      <c r="T61" s="132" t="e">
        <f t="shared" si="7"/>
        <v>#DIV/0!</v>
      </c>
      <c r="U61" s="132"/>
      <c r="V61" s="135"/>
    </row>
    <row r="62" spans="1:22" x14ac:dyDescent="0.15">
      <c r="A62" s="130">
        <v>178</v>
      </c>
      <c r="B62" s="37" t="s">
        <v>185</v>
      </c>
      <c r="C62" s="132">
        <f t="shared" si="1"/>
        <v>1.4630000000000001</v>
      </c>
      <c r="D62" s="133">
        <v>10979</v>
      </c>
      <c r="E62" s="134">
        <v>16062.66</v>
      </c>
      <c r="F62" s="132">
        <v>0</v>
      </c>
      <c r="G62" s="132">
        <f t="shared" si="2"/>
        <v>0</v>
      </c>
      <c r="H62" s="133"/>
      <c r="I62" s="185"/>
      <c r="J62" s="132" t="e">
        <f t="shared" si="3"/>
        <v>#DIV/0!</v>
      </c>
      <c r="K62" s="132"/>
      <c r="L62" s="132">
        <f t="shared" si="4"/>
        <v>0</v>
      </c>
      <c r="M62" s="4"/>
      <c r="N62" s="68"/>
      <c r="O62" s="132" t="e">
        <f t="shared" si="5"/>
        <v>#DIV/0!</v>
      </c>
      <c r="P62" s="132"/>
      <c r="Q62" s="132">
        <f t="shared" si="6"/>
        <v>0</v>
      </c>
      <c r="R62" s="4"/>
      <c r="S62" s="68"/>
      <c r="T62" s="132" t="e">
        <f t="shared" si="7"/>
        <v>#DIV/0!</v>
      </c>
      <c r="U62" s="132"/>
      <c r="V62" s="135"/>
    </row>
    <row r="63" spans="1:22" x14ac:dyDescent="0.15">
      <c r="A63" s="130">
        <v>182</v>
      </c>
      <c r="B63" s="37" t="s">
        <v>219</v>
      </c>
      <c r="C63" s="132">
        <f t="shared" si="1"/>
        <v>1.3729</v>
      </c>
      <c r="D63" s="133">
        <v>10436</v>
      </c>
      <c r="E63" s="134">
        <v>14327.72</v>
      </c>
      <c r="F63" s="132">
        <v>0</v>
      </c>
      <c r="G63" s="132">
        <f t="shared" si="2"/>
        <v>0</v>
      </c>
      <c r="H63" s="133"/>
      <c r="I63" s="185"/>
      <c r="J63" s="132" t="e">
        <f t="shared" si="3"/>
        <v>#DIV/0!</v>
      </c>
      <c r="K63" s="132"/>
      <c r="L63" s="132">
        <f t="shared" si="4"/>
        <v>0</v>
      </c>
      <c r="M63" s="4"/>
      <c r="N63" s="68"/>
      <c r="O63" s="132" t="e">
        <f t="shared" si="5"/>
        <v>#DIV/0!</v>
      </c>
      <c r="P63" s="132"/>
      <c r="Q63" s="132">
        <f t="shared" si="6"/>
        <v>0</v>
      </c>
      <c r="R63" s="4"/>
      <c r="S63" s="68"/>
      <c r="T63" s="132" t="e">
        <f t="shared" si="7"/>
        <v>#DIV/0!</v>
      </c>
      <c r="U63" s="132"/>
      <c r="V63" s="135"/>
    </row>
    <row r="64" spans="1:22" x14ac:dyDescent="0.15">
      <c r="A64" s="130">
        <v>184</v>
      </c>
      <c r="B64" s="37" t="s">
        <v>175</v>
      </c>
      <c r="C64" s="132">
        <f t="shared" si="1"/>
        <v>1.3447</v>
      </c>
      <c r="D64" s="133">
        <v>4960</v>
      </c>
      <c r="E64" s="134">
        <v>6669.91</v>
      </c>
      <c r="F64" s="132">
        <v>0</v>
      </c>
      <c r="G64" s="132">
        <f t="shared" si="2"/>
        <v>0</v>
      </c>
      <c r="H64" s="133"/>
      <c r="I64" s="185"/>
      <c r="J64" s="132" t="e">
        <f t="shared" si="3"/>
        <v>#DIV/0!</v>
      </c>
      <c r="K64" s="132"/>
      <c r="L64" s="132">
        <f t="shared" si="4"/>
        <v>0</v>
      </c>
      <c r="M64" s="4"/>
      <c r="N64" s="68"/>
      <c r="O64" s="132" t="e">
        <f t="shared" si="5"/>
        <v>#DIV/0!</v>
      </c>
      <c r="P64" s="132"/>
      <c r="Q64" s="132">
        <f t="shared" si="6"/>
        <v>0</v>
      </c>
      <c r="R64" s="4"/>
      <c r="S64" s="68"/>
      <c r="T64" s="132" t="e">
        <f t="shared" si="7"/>
        <v>#DIV/0!</v>
      </c>
      <c r="U64" s="132"/>
      <c r="V64" s="135"/>
    </row>
    <row r="65" spans="1:22" x14ac:dyDescent="0.15">
      <c r="A65" s="130">
        <v>186</v>
      </c>
      <c r="B65" s="37" t="s">
        <v>44</v>
      </c>
      <c r="C65" s="132">
        <f t="shared" si="1"/>
        <v>1.5326</v>
      </c>
      <c r="D65" s="133">
        <v>7349</v>
      </c>
      <c r="E65" s="134">
        <v>11262.76</v>
      </c>
      <c r="F65" s="132">
        <v>3.6741000000000001</v>
      </c>
      <c r="G65" s="132">
        <f t="shared" si="2"/>
        <v>0</v>
      </c>
      <c r="H65" s="133"/>
      <c r="I65" s="185"/>
      <c r="J65" s="132" t="e">
        <f t="shared" si="3"/>
        <v>#DIV/0!</v>
      </c>
      <c r="K65" s="132"/>
      <c r="L65" s="132">
        <f t="shared" si="4"/>
        <v>0</v>
      </c>
      <c r="M65" s="4"/>
      <c r="N65" s="68"/>
      <c r="O65" s="132" t="e">
        <f t="shared" si="5"/>
        <v>#DIV/0!</v>
      </c>
      <c r="P65" s="132"/>
      <c r="Q65" s="132">
        <f t="shared" si="6"/>
        <v>0</v>
      </c>
      <c r="R65" s="4"/>
      <c r="S65" s="68"/>
      <c r="T65" s="132" t="e">
        <f t="shared" si="7"/>
        <v>#DIV/0!</v>
      </c>
      <c r="U65" s="132"/>
      <c r="V65" s="135"/>
    </row>
    <row r="66" spans="1:22" x14ac:dyDescent="0.15">
      <c r="A66" s="130">
        <v>190</v>
      </c>
      <c r="B66" s="37" t="s">
        <v>376</v>
      </c>
      <c r="C66" s="132">
        <f t="shared" si="1"/>
        <v>1.3391999999999999</v>
      </c>
      <c r="D66" s="133">
        <v>9131</v>
      </c>
      <c r="E66" s="134">
        <v>12228.23</v>
      </c>
      <c r="F66" s="132">
        <v>0</v>
      </c>
      <c r="G66" s="132">
        <f t="shared" si="2"/>
        <v>0</v>
      </c>
      <c r="H66" s="133"/>
      <c r="I66" s="185"/>
      <c r="J66" s="132" t="e">
        <f t="shared" si="3"/>
        <v>#DIV/0!</v>
      </c>
      <c r="K66" s="132"/>
      <c r="L66" s="132">
        <f t="shared" si="4"/>
        <v>0</v>
      </c>
      <c r="M66" s="4"/>
      <c r="N66" s="68"/>
      <c r="O66" s="132" t="e">
        <f t="shared" si="5"/>
        <v>#DIV/0!</v>
      </c>
      <c r="P66" s="132"/>
      <c r="Q66" s="132">
        <f t="shared" si="6"/>
        <v>0</v>
      </c>
      <c r="R66" s="4"/>
      <c r="S66" s="68"/>
      <c r="T66" s="132" t="e">
        <f t="shared" si="7"/>
        <v>#DIV/0!</v>
      </c>
      <c r="U66" s="132"/>
      <c r="V66" s="135"/>
    </row>
    <row r="67" spans="1:22" x14ac:dyDescent="0.15">
      <c r="A67" s="130">
        <v>192</v>
      </c>
      <c r="B67" s="37" t="s">
        <v>39</v>
      </c>
      <c r="C67" s="132">
        <f t="shared" si="1"/>
        <v>1.5604</v>
      </c>
      <c r="D67" s="133">
        <v>8331</v>
      </c>
      <c r="E67" s="134">
        <v>12999.92</v>
      </c>
      <c r="F67" s="132">
        <v>3.7583000000000002</v>
      </c>
      <c r="G67" s="132">
        <f t="shared" si="2"/>
        <v>0</v>
      </c>
      <c r="H67" s="133"/>
      <c r="I67" s="185"/>
      <c r="J67" s="132" t="e">
        <f t="shared" si="3"/>
        <v>#DIV/0!</v>
      </c>
      <c r="K67" s="132"/>
      <c r="L67" s="132">
        <f t="shared" si="4"/>
        <v>0</v>
      </c>
      <c r="M67" s="4"/>
      <c r="N67" s="68"/>
      <c r="O67" s="132" t="e">
        <f t="shared" si="5"/>
        <v>#DIV/0!</v>
      </c>
      <c r="P67" s="132"/>
      <c r="Q67" s="132">
        <f t="shared" si="6"/>
        <v>0</v>
      </c>
      <c r="R67" s="4"/>
      <c r="S67" s="68"/>
      <c r="T67" s="132" t="e">
        <f t="shared" si="7"/>
        <v>#DIV/0!</v>
      </c>
      <c r="U67" s="132"/>
      <c r="V67" s="135"/>
    </row>
    <row r="68" spans="1:22" x14ac:dyDescent="0.15">
      <c r="A68" s="130">
        <v>194</v>
      </c>
      <c r="B68" s="37" t="s">
        <v>187</v>
      </c>
      <c r="C68" s="132">
        <f t="shared" ref="C68:C132" si="8">IF(D68=0,SW_CMI,ROUND(E68/D68,4))</f>
        <v>1.3767</v>
      </c>
      <c r="D68" s="133">
        <v>11092</v>
      </c>
      <c r="E68" s="134">
        <v>15270.53</v>
      </c>
      <c r="F68" s="132">
        <v>0</v>
      </c>
      <c r="G68" s="132">
        <f t="shared" si="2"/>
        <v>0</v>
      </c>
      <c r="H68" s="133"/>
      <c r="I68" s="185"/>
      <c r="J68" s="132" t="e">
        <f t="shared" ref="J68:J132" si="9">IF(ROUND(G68*$I$214,4)&gt;0,ROUND(G68*$I$214,4),$I$213)</f>
        <v>#DIV/0!</v>
      </c>
      <c r="K68" s="132"/>
      <c r="L68" s="132">
        <f t="shared" si="4"/>
        <v>0</v>
      </c>
      <c r="M68" s="4"/>
      <c r="N68" s="68"/>
      <c r="O68" s="132" t="e">
        <f t="shared" ref="O68:O132" si="10">IF(ROUND(L68*$N$214,4)&gt;0,ROUND(L68*$N$214,4),$N$213)</f>
        <v>#DIV/0!</v>
      </c>
      <c r="P68" s="132"/>
      <c r="Q68" s="132">
        <f t="shared" si="6"/>
        <v>0</v>
      </c>
      <c r="R68" s="4"/>
      <c r="S68" s="68"/>
      <c r="T68" s="132" t="e">
        <f t="shared" ref="T68:T132" si="11">IF(ROUND(Q68*$S$214,4)&gt;0,ROUND(Q68*$S$214,4),$S$213)</f>
        <v>#DIV/0!</v>
      </c>
      <c r="U68" s="132"/>
      <c r="V68" s="135"/>
    </row>
    <row r="69" spans="1:22" x14ac:dyDescent="0.15">
      <c r="A69" s="130">
        <v>198</v>
      </c>
      <c r="B69" s="37" t="s">
        <v>551</v>
      </c>
      <c r="C69" s="132">
        <f t="shared" si="8"/>
        <v>1.4841</v>
      </c>
      <c r="D69" s="133">
        <v>6036</v>
      </c>
      <c r="E69" s="134">
        <v>8958.2999999999993</v>
      </c>
      <c r="F69" s="132">
        <v>0</v>
      </c>
      <c r="G69" s="132">
        <f t="shared" ref="G69:G133" si="12">IF(H69=0,0,ROUND(I69/H69,4))</f>
        <v>0</v>
      </c>
      <c r="H69" s="133"/>
      <c r="I69" s="185"/>
      <c r="J69" s="132" t="e">
        <f t="shared" si="9"/>
        <v>#DIV/0!</v>
      </c>
      <c r="K69" s="132"/>
      <c r="L69" s="132">
        <f t="shared" ref="L69:L133" si="13">IF(M69=0,0,ROUND(N69/M69,4))</f>
        <v>0</v>
      </c>
      <c r="M69" s="4"/>
      <c r="N69" s="68"/>
      <c r="O69" s="132" t="e">
        <f t="shared" si="10"/>
        <v>#DIV/0!</v>
      </c>
      <c r="P69" s="132"/>
      <c r="Q69" s="132">
        <f t="shared" ref="Q69:Q133" si="14">IF(R69=0,0,ROUND(S69/R69,4))</f>
        <v>0</v>
      </c>
      <c r="R69" s="4"/>
      <c r="S69" s="68"/>
      <c r="T69" s="132" t="e">
        <f t="shared" si="11"/>
        <v>#DIV/0!</v>
      </c>
      <c r="U69" s="132"/>
      <c r="V69" s="135"/>
    </row>
    <row r="70" spans="1:22" x14ac:dyDescent="0.15">
      <c r="A70" s="130">
        <v>204</v>
      </c>
      <c r="B70" s="37" t="s">
        <v>181</v>
      </c>
      <c r="C70" s="132">
        <f t="shared" si="8"/>
        <v>1.1362000000000001</v>
      </c>
      <c r="D70" s="133">
        <v>430</v>
      </c>
      <c r="E70" s="134">
        <v>488.55</v>
      </c>
      <c r="F70" s="132">
        <v>0</v>
      </c>
      <c r="G70" s="132">
        <f t="shared" si="12"/>
        <v>0</v>
      </c>
      <c r="H70" s="133"/>
      <c r="I70" s="185"/>
      <c r="J70" s="132" t="e">
        <f t="shared" si="9"/>
        <v>#DIV/0!</v>
      </c>
      <c r="K70" s="132"/>
      <c r="L70" s="132">
        <f t="shared" si="13"/>
        <v>0</v>
      </c>
      <c r="M70" s="4"/>
      <c r="N70" s="68"/>
      <c r="O70" s="132" t="e">
        <f t="shared" si="10"/>
        <v>#DIV/0!</v>
      </c>
      <c r="P70" s="132"/>
      <c r="Q70" s="132">
        <f t="shared" si="14"/>
        <v>0</v>
      </c>
      <c r="R70" s="4"/>
      <c r="S70" s="68"/>
      <c r="T70" s="132" t="e">
        <f t="shared" si="11"/>
        <v>#DIV/0!</v>
      </c>
      <c r="U70" s="132"/>
      <c r="V70" s="135"/>
    </row>
    <row r="71" spans="1:22" x14ac:dyDescent="0.15">
      <c r="A71" s="130">
        <v>208</v>
      </c>
      <c r="B71" s="37" t="s">
        <v>367</v>
      </c>
      <c r="C71" s="132">
        <f t="shared" si="8"/>
        <v>1.3906000000000001</v>
      </c>
      <c r="D71" s="133">
        <v>8261</v>
      </c>
      <c r="E71" s="134">
        <v>11488.14</v>
      </c>
      <c r="F71" s="132">
        <v>0</v>
      </c>
      <c r="G71" s="132">
        <f t="shared" si="12"/>
        <v>0</v>
      </c>
      <c r="H71" s="133"/>
      <c r="I71" s="185"/>
      <c r="J71" s="132" t="e">
        <f t="shared" si="9"/>
        <v>#DIV/0!</v>
      </c>
      <c r="K71" s="132"/>
      <c r="L71" s="132">
        <f t="shared" si="13"/>
        <v>0</v>
      </c>
      <c r="M71" s="4"/>
      <c r="N71" s="68"/>
      <c r="O71" s="132" t="e">
        <f t="shared" si="10"/>
        <v>#DIV/0!</v>
      </c>
      <c r="P71" s="132"/>
      <c r="Q71" s="132">
        <f t="shared" si="14"/>
        <v>0</v>
      </c>
      <c r="R71" s="4"/>
      <c r="S71" s="68"/>
      <c r="T71" s="132" t="e">
        <f t="shared" si="11"/>
        <v>#DIV/0!</v>
      </c>
      <c r="U71" s="132"/>
      <c r="V71" s="135"/>
    </row>
    <row r="72" spans="1:22" x14ac:dyDescent="0.15">
      <c r="A72" s="130">
        <v>210</v>
      </c>
      <c r="B72" s="37" t="s">
        <v>173</v>
      </c>
      <c r="C72" s="132">
        <f t="shared" si="8"/>
        <v>1.2602</v>
      </c>
      <c r="D72" s="133">
        <v>7742</v>
      </c>
      <c r="E72" s="134">
        <v>9756.58</v>
      </c>
      <c r="F72" s="132">
        <v>0</v>
      </c>
      <c r="G72" s="132">
        <f t="shared" si="12"/>
        <v>0</v>
      </c>
      <c r="H72" s="133"/>
      <c r="I72" s="185"/>
      <c r="J72" s="132" t="e">
        <f t="shared" si="9"/>
        <v>#DIV/0!</v>
      </c>
      <c r="K72" s="132"/>
      <c r="L72" s="132">
        <f t="shared" si="13"/>
        <v>0</v>
      </c>
      <c r="M72" s="4"/>
      <c r="N72" s="68"/>
      <c r="O72" s="132" t="e">
        <f t="shared" si="10"/>
        <v>#DIV/0!</v>
      </c>
      <c r="P72" s="132"/>
      <c r="Q72" s="132">
        <f t="shared" si="14"/>
        <v>0</v>
      </c>
      <c r="R72" s="4"/>
      <c r="S72" s="68"/>
      <c r="T72" s="132" t="e">
        <f t="shared" si="11"/>
        <v>#DIV/0!</v>
      </c>
      <c r="U72" s="132"/>
      <c r="V72" s="135"/>
    </row>
    <row r="73" spans="1:22" x14ac:dyDescent="0.15">
      <c r="A73" s="130">
        <v>218</v>
      </c>
      <c r="B73" s="37" t="s">
        <v>195</v>
      </c>
      <c r="C73" s="132">
        <f t="shared" si="8"/>
        <v>1.3495999999999999</v>
      </c>
      <c r="D73" s="133">
        <v>7547</v>
      </c>
      <c r="E73" s="134">
        <v>10185.14</v>
      </c>
      <c r="F73" s="132">
        <v>0</v>
      </c>
      <c r="G73" s="132">
        <f t="shared" si="12"/>
        <v>0</v>
      </c>
      <c r="H73" s="133"/>
      <c r="I73" s="185"/>
      <c r="J73" s="132" t="e">
        <f t="shared" si="9"/>
        <v>#DIV/0!</v>
      </c>
      <c r="K73" s="132"/>
      <c r="L73" s="132">
        <f t="shared" si="13"/>
        <v>0</v>
      </c>
      <c r="M73" s="4"/>
      <c r="N73" s="68"/>
      <c r="O73" s="132" t="e">
        <f t="shared" si="10"/>
        <v>#DIV/0!</v>
      </c>
      <c r="P73" s="132"/>
      <c r="Q73" s="132">
        <f t="shared" si="14"/>
        <v>0</v>
      </c>
      <c r="R73" s="4"/>
      <c r="S73" s="68"/>
      <c r="T73" s="132" t="e">
        <f t="shared" si="11"/>
        <v>#DIV/0!</v>
      </c>
      <c r="U73" s="132"/>
      <c r="V73" s="135"/>
    </row>
    <row r="74" spans="1:22" x14ac:dyDescent="0.15">
      <c r="A74" s="130">
        <v>220</v>
      </c>
      <c r="B74" s="37" t="s">
        <v>198</v>
      </c>
      <c r="C74" s="132">
        <f t="shared" si="8"/>
        <v>1.4093</v>
      </c>
      <c r="D74" s="133">
        <v>8155</v>
      </c>
      <c r="E74" s="134">
        <v>11493.05</v>
      </c>
      <c r="F74" s="132">
        <v>0</v>
      </c>
      <c r="G74" s="132">
        <f t="shared" si="12"/>
        <v>0</v>
      </c>
      <c r="H74" s="133"/>
      <c r="I74" s="185"/>
      <c r="J74" s="132" t="e">
        <f t="shared" si="9"/>
        <v>#DIV/0!</v>
      </c>
      <c r="K74" s="132"/>
      <c r="L74" s="132">
        <f t="shared" si="13"/>
        <v>0</v>
      </c>
      <c r="M74" s="4"/>
      <c r="N74" s="68"/>
      <c r="O74" s="132" t="e">
        <f t="shared" si="10"/>
        <v>#DIV/0!</v>
      </c>
      <c r="P74" s="132"/>
      <c r="Q74" s="132">
        <f t="shared" si="14"/>
        <v>0</v>
      </c>
      <c r="R74" s="4"/>
      <c r="S74" s="68"/>
      <c r="T74" s="132" t="e">
        <f t="shared" si="11"/>
        <v>#DIV/0!</v>
      </c>
      <c r="U74" s="132"/>
      <c r="V74" s="135"/>
    </row>
    <row r="75" spans="1:22" x14ac:dyDescent="0.15">
      <c r="A75" s="130">
        <v>222</v>
      </c>
      <c r="B75" s="37" t="s">
        <v>680</v>
      </c>
      <c r="C75" s="132">
        <f t="shared" si="8"/>
        <v>1.6914</v>
      </c>
      <c r="D75" s="133">
        <v>4678</v>
      </c>
      <c r="E75" s="134">
        <v>7912.38</v>
      </c>
      <c r="F75" s="132">
        <v>0</v>
      </c>
      <c r="G75" s="132">
        <f t="shared" si="12"/>
        <v>0</v>
      </c>
      <c r="H75" s="133"/>
      <c r="I75" s="185"/>
      <c r="J75" s="132" t="e">
        <f t="shared" si="9"/>
        <v>#DIV/0!</v>
      </c>
      <c r="K75" s="132"/>
      <c r="L75" s="132">
        <f t="shared" si="13"/>
        <v>0</v>
      </c>
      <c r="M75" s="4"/>
      <c r="N75" s="68"/>
      <c r="O75" s="132" t="e">
        <f t="shared" si="10"/>
        <v>#DIV/0!</v>
      </c>
      <c r="P75" s="132"/>
      <c r="Q75" s="132">
        <f t="shared" si="14"/>
        <v>0</v>
      </c>
      <c r="R75" s="4"/>
      <c r="S75" s="68"/>
      <c r="T75" s="132" t="e">
        <f t="shared" si="11"/>
        <v>#DIV/0!</v>
      </c>
      <c r="U75" s="132"/>
      <c r="V75" s="135"/>
    </row>
    <row r="76" spans="1:22" x14ac:dyDescent="0.15">
      <c r="A76" s="130">
        <v>224</v>
      </c>
      <c r="B76" s="37" t="s">
        <v>466</v>
      </c>
      <c r="C76" s="132">
        <f t="shared" si="8"/>
        <v>1.5579000000000001</v>
      </c>
      <c r="D76" s="133">
        <v>5804</v>
      </c>
      <c r="E76" s="134">
        <v>9041.9</v>
      </c>
      <c r="F76" s="132">
        <v>0</v>
      </c>
      <c r="G76" s="132">
        <f t="shared" si="12"/>
        <v>0</v>
      </c>
      <c r="H76" s="133"/>
      <c r="I76" s="185"/>
      <c r="J76" s="132" t="e">
        <f t="shared" si="9"/>
        <v>#DIV/0!</v>
      </c>
      <c r="K76" s="132"/>
      <c r="L76" s="132">
        <f t="shared" si="13"/>
        <v>0</v>
      </c>
      <c r="M76" s="4"/>
      <c r="N76" s="68"/>
      <c r="O76" s="132" t="e">
        <f t="shared" si="10"/>
        <v>#DIV/0!</v>
      </c>
      <c r="P76" s="132"/>
      <c r="Q76" s="132">
        <f t="shared" si="14"/>
        <v>0</v>
      </c>
      <c r="R76" s="4"/>
      <c r="S76" s="68"/>
      <c r="T76" s="132" t="e">
        <f t="shared" si="11"/>
        <v>#DIV/0!</v>
      </c>
      <c r="U76" s="132"/>
      <c r="V76" s="135"/>
    </row>
    <row r="77" spans="1:22" x14ac:dyDescent="0.15">
      <c r="A77" s="130">
        <v>226</v>
      </c>
      <c r="B77" s="37" t="s">
        <v>496</v>
      </c>
      <c r="C77" s="132">
        <f t="shared" si="8"/>
        <v>1.3129</v>
      </c>
      <c r="D77" s="133">
        <v>5740</v>
      </c>
      <c r="E77" s="134">
        <v>7536.11</v>
      </c>
      <c r="F77" s="132">
        <v>0</v>
      </c>
      <c r="G77" s="132">
        <f t="shared" si="12"/>
        <v>0</v>
      </c>
      <c r="H77" s="133"/>
      <c r="I77" s="185"/>
      <c r="J77" s="132" t="e">
        <f t="shared" si="9"/>
        <v>#DIV/0!</v>
      </c>
      <c r="K77" s="132"/>
      <c r="L77" s="132">
        <f t="shared" si="13"/>
        <v>0</v>
      </c>
      <c r="M77" s="4"/>
      <c r="N77" s="68"/>
      <c r="O77" s="132" t="e">
        <f t="shared" si="10"/>
        <v>#DIV/0!</v>
      </c>
      <c r="P77" s="132"/>
      <c r="Q77" s="132">
        <f t="shared" si="14"/>
        <v>0</v>
      </c>
      <c r="R77" s="4"/>
      <c r="S77" s="68"/>
      <c r="T77" s="132" t="e">
        <f t="shared" si="11"/>
        <v>#DIV/0!</v>
      </c>
      <c r="U77" s="132"/>
      <c r="V77" s="135"/>
    </row>
    <row r="78" spans="1:22" x14ac:dyDescent="0.15">
      <c r="A78" s="130">
        <v>228</v>
      </c>
      <c r="B78" s="37" t="s">
        <v>495</v>
      </c>
      <c r="C78" s="132">
        <f t="shared" si="8"/>
        <v>1.3796999999999999</v>
      </c>
      <c r="D78" s="133">
        <v>5050</v>
      </c>
      <c r="E78" s="134">
        <v>6967.42</v>
      </c>
      <c r="F78" s="132">
        <v>0</v>
      </c>
      <c r="G78" s="132">
        <f t="shared" si="12"/>
        <v>0</v>
      </c>
      <c r="H78" s="133"/>
      <c r="I78" s="185"/>
      <c r="J78" s="132" t="e">
        <f t="shared" si="9"/>
        <v>#DIV/0!</v>
      </c>
      <c r="K78" s="132"/>
      <c r="L78" s="132">
        <f t="shared" si="13"/>
        <v>0</v>
      </c>
      <c r="M78" s="4"/>
      <c r="N78" s="68"/>
      <c r="O78" s="132" t="e">
        <f t="shared" si="10"/>
        <v>#DIV/0!</v>
      </c>
      <c r="P78" s="132"/>
      <c r="Q78" s="132">
        <f t="shared" si="14"/>
        <v>0</v>
      </c>
      <c r="R78" s="4"/>
      <c r="S78" s="68"/>
      <c r="T78" s="132" t="e">
        <f t="shared" si="11"/>
        <v>#DIV/0!</v>
      </c>
      <c r="U78" s="132"/>
      <c r="V78" s="135"/>
    </row>
    <row r="79" spans="1:22" x14ac:dyDescent="0.15">
      <c r="A79" s="130">
        <v>230</v>
      </c>
      <c r="B79" s="37" t="s">
        <v>183</v>
      </c>
      <c r="C79" s="132">
        <f t="shared" si="8"/>
        <v>1.3587</v>
      </c>
      <c r="D79" s="133">
        <v>22253</v>
      </c>
      <c r="E79" s="134">
        <v>30235.599999999999</v>
      </c>
      <c r="F79" s="132">
        <v>0</v>
      </c>
      <c r="G79" s="132">
        <f t="shared" si="12"/>
        <v>0</v>
      </c>
      <c r="H79" s="133"/>
      <c r="I79" s="185"/>
      <c r="J79" s="132" t="e">
        <f t="shared" si="9"/>
        <v>#DIV/0!</v>
      </c>
      <c r="K79" s="132"/>
      <c r="L79" s="132">
        <f t="shared" si="13"/>
        <v>0</v>
      </c>
      <c r="M79" s="4"/>
      <c r="N79" s="68"/>
      <c r="O79" s="132" t="e">
        <f t="shared" si="10"/>
        <v>#DIV/0!</v>
      </c>
      <c r="P79" s="132"/>
      <c r="Q79" s="132">
        <f t="shared" si="14"/>
        <v>0</v>
      </c>
      <c r="R79" s="4"/>
      <c r="S79" s="68"/>
      <c r="T79" s="132" t="e">
        <f t="shared" si="11"/>
        <v>#DIV/0!</v>
      </c>
      <c r="U79" s="132"/>
      <c r="V79" s="135"/>
    </row>
    <row r="80" spans="1:22" x14ac:dyDescent="0.15">
      <c r="A80" s="130">
        <v>232</v>
      </c>
      <c r="B80" s="37" t="s">
        <v>600</v>
      </c>
      <c r="C80" s="132">
        <f t="shared" si="8"/>
        <v>1.4193</v>
      </c>
      <c r="D80" s="133">
        <v>9706</v>
      </c>
      <c r="E80" s="134">
        <v>13775.32</v>
      </c>
      <c r="F80" s="132">
        <v>0</v>
      </c>
      <c r="G80" s="132">
        <f t="shared" si="12"/>
        <v>0</v>
      </c>
      <c r="H80" s="133"/>
      <c r="I80" s="185"/>
      <c r="J80" s="132" t="e">
        <f t="shared" si="9"/>
        <v>#DIV/0!</v>
      </c>
      <c r="K80" s="132"/>
      <c r="L80" s="132">
        <f t="shared" si="13"/>
        <v>0</v>
      </c>
      <c r="M80" s="4"/>
      <c r="N80" s="68"/>
      <c r="O80" s="132" t="e">
        <f t="shared" si="10"/>
        <v>#DIV/0!</v>
      </c>
      <c r="P80" s="132"/>
      <c r="Q80" s="132">
        <f t="shared" si="14"/>
        <v>0</v>
      </c>
      <c r="R80" s="4"/>
      <c r="S80" s="68"/>
      <c r="T80" s="132" t="e">
        <f t="shared" si="11"/>
        <v>#DIV/0!</v>
      </c>
      <c r="U80" s="132"/>
      <c r="V80" s="135"/>
    </row>
    <row r="81" spans="1:22" x14ac:dyDescent="0.15">
      <c r="A81" s="130">
        <v>236</v>
      </c>
      <c r="B81" s="37" t="s">
        <v>689</v>
      </c>
      <c r="C81" s="132">
        <f t="shared" si="8"/>
        <v>1.4287000000000001</v>
      </c>
      <c r="D81" s="133">
        <v>2171</v>
      </c>
      <c r="E81" s="134">
        <v>3101.64</v>
      </c>
      <c r="F81" s="132">
        <v>0</v>
      </c>
      <c r="G81" s="132">
        <f t="shared" si="12"/>
        <v>0</v>
      </c>
      <c r="H81" s="133"/>
      <c r="I81" s="185"/>
      <c r="J81" s="132" t="e">
        <f t="shared" si="9"/>
        <v>#DIV/0!</v>
      </c>
      <c r="K81" s="132"/>
      <c r="L81" s="132">
        <f t="shared" si="13"/>
        <v>0</v>
      </c>
      <c r="M81" s="4"/>
      <c r="N81" s="68"/>
      <c r="O81" s="132" t="e">
        <f t="shared" si="10"/>
        <v>#DIV/0!</v>
      </c>
      <c r="P81" s="132"/>
      <c r="Q81" s="132">
        <f t="shared" si="14"/>
        <v>0</v>
      </c>
      <c r="R81" s="4"/>
      <c r="S81" s="68"/>
      <c r="T81" s="132" t="e">
        <f t="shared" si="11"/>
        <v>#DIV/0!</v>
      </c>
      <c r="U81" s="132"/>
      <c r="V81" s="135"/>
    </row>
    <row r="82" spans="1:22" x14ac:dyDescent="0.15">
      <c r="A82" s="130">
        <v>238</v>
      </c>
      <c r="B82" s="37" t="s">
        <v>235</v>
      </c>
      <c r="C82" s="132">
        <f t="shared" si="8"/>
        <v>1.3952</v>
      </c>
      <c r="D82" s="133">
        <v>5321</v>
      </c>
      <c r="E82" s="134">
        <v>7423.9</v>
      </c>
      <c r="F82" s="132">
        <v>0</v>
      </c>
      <c r="G82" s="132">
        <f t="shared" si="12"/>
        <v>0</v>
      </c>
      <c r="H82" s="133"/>
      <c r="I82" s="185"/>
      <c r="J82" s="132" t="e">
        <f t="shared" si="9"/>
        <v>#DIV/0!</v>
      </c>
      <c r="K82" s="132"/>
      <c r="L82" s="132">
        <f t="shared" si="13"/>
        <v>0</v>
      </c>
      <c r="M82" s="4"/>
      <c r="N82" s="68"/>
      <c r="O82" s="132" t="e">
        <f t="shared" si="10"/>
        <v>#DIV/0!</v>
      </c>
      <c r="P82" s="132"/>
      <c r="Q82" s="132">
        <f t="shared" si="14"/>
        <v>0</v>
      </c>
      <c r="R82" s="4"/>
      <c r="S82" s="68"/>
      <c r="T82" s="132" t="e">
        <f t="shared" si="11"/>
        <v>#DIV/0!</v>
      </c>
      <c r="U82" s="132"/>
      <c r="V82" s="135"/>
    </row>
    <row r="83" spans="1:22" x14ac:dyDescent="0.15">
      <c r="A83" s="130">
        <v>240</v>
      </c>
      <c r="B83" s="37" t="s">
        <v>641</v>
      </c>
      <c r="C83" s="132">
        <f t="shared" si="8"/>
        <v>1.5972999999999999</v>
      </c>
      <c r="D83" s="133">
        <v>5732</v>
      </c>
      <c r="E83" s="134">
        <v>9155.91</v>
      </c>
      <c r="F83" s="132">
        <v>0</v>
      </c>
      <c r="G83" s="132">
        <f t="shared" si="12"/>
        <v>0</v>
      </c>
      <c r="H83" s="133"/>
      <c r="I83" s="185"/>
      <c r="J83" s="132" t="e">
        <f t="shared" si="9"/>
        <v>#DIV/0!</v>
      </c>
      <c r="K83" s="132"/>
      <c r="L83" s="132">
        <f t="shared" si="13"/>
        <v>0</v>
      </c>
      <c r="M83" s="4"/>
      <c r="N83" s="68"/>
      <c r="O83" s="132" t="e">
        <f t="shared" si="10"/>
        <v>#DIV/0!</v>
      </c>
      <c r="P83" s="132"/>
      <c r="Q83" s="132">
        <f t="shared" si="14"/>
        <v>0</v>
      </c>
      <c r="R83" s="4"/>
      <c r="S83" s="68"/>
      <c r="T83" s="132" t="e">
        <f t="shared" si="11"/>
        <v>#DIV/0!</v>
      </c>
      <c r="U83" s="132"/>
      <c r="V83" s="135"/>
    </row>
    <row r="84" spans="1:22" x14ac:dyDescent="0.15">
      <c r="A84" s="130">
        <v>242</v>
      </c>
      <c r="B84" s="37" t="s">
        <v>200</v>
      </c>
      <c r="C84" s="132">
        <f t="shared" si="8"/>
        <v>1.2504</v>
      </c>
      <c r="D84" s="133">
        <v>1412</v>
      </c>
      <c r="E84" s="134">
        <v>1765.5</v>
      </c>
      <c r="F84" s="132">
        <v>0</v>
      </c>
      <c r="G84" s="132">
        <f t="shared" si="12"/>
        <v>0</v>
      </c>
      <c r="H84" s="133"/>
      <c r="I84" s="185"/>
      <c r="J84" s="132" t="e">
        <f t="shared" si="9"/>
        <v>#DIV/0!</v>
      </c>
      <c r="K84" s="132"/>
      <c r="L84" s="132">
        <f t="shared" si="13"/>
        <v>0</v>
      </c>
      <c r="M84" s="4"/>
      <c r="N84" s="68"/>
      <c r="O84" s="132" t="e">
        <f t="shared" si="10"/>
        <v>#DIV/0!</v>
      </c>
      <c r="P84" s="132"/>
      <c r="Q84" s="132">
        <f t="shared" si="14"/>
        <v>0</v>
      </c>
      <c r="R84" s="4"/>
      <c r="S84" s="68"/>
      <c r="T84" s="132" t="e">
        <f t="shared" si="11"/>
        <v>#DIV/0!</v>
      </c>
      <c r="U84" s="132"/>
      <c r="V84" s="135"/>
    </row>
    <row r="85" spans="1:22" x14ac:dyDescent="0.15">
      <c r="A85" s="130">
        <v>244</v>
      </c>
      <c r="B85" s="37" t="s">
        <v>186</v>
      </c>
      <c r="C85" s="132">
        <f t="shared" si="8"/>
        <v>1.216</v>
      </c>
      <c r="D85" s="133">
        <v>1632</v>
      </c>
      <c r="E85" s="134">
        <v>1984.58</v>
      </c>
      <c r="F85" s="132">
        <v>0</v>
      </c>
      <c r="G85" s="132">
        <f t="shared" si="12"/>
        <v>0</v>
      </c>
      <c r="H85" s="133"/>
      <c r="I85" s="185"/>
      <c r="J85" s="132" t="e">
        <f t="shared" si="9"/>
        <v>#DIV/0!</v>
      </c>
      <c r="K85" s="132"/>
      <c r="L85" s="132">
        <f t="shared" si="13"/>
        <v>0</v>
      </c>
      <c r="M85" s="4"/>
      <c r="N85" s="68"/>
      <c r="O85" s="132" t="e">
        <f t="shared" si="10"/>
        <v>#DIV/0!</v>
      </c>
      <c r="P85" s="132"/>
      <c r="Q85" s="132">
        <f t="shared" si="14"/>
        <v>0</v>
      </c>
      <c r="R85" s="4"/>
      <c r="S85" s="68"/>
      <c r="T85" s="132" t="e">
        <f t="shared" si="11"/>
        <v>#DIV/0!</v>
      </c>
      <c r="U85" s="132"/>
      <c r="V85" s="135"/>
    </row>
    <row r="86" spans="1:22" x14ac:dyDescent="0.15">
      <c r="A86" s="130">
        <v>246</v>
      </c>
      <c r="B86" s="37" t="s">
        <v>553</v>
      </c>
      <c r="C86" s="132">
        <f t="shared" si="8"/>
        <v>1.5365</v>
      </c>
      <c r="D86" s="133">
        <v>6474</v>
      </c>
      <c r="E86" s="134">
        <v>9947.1299999999992</v>
      </c>
      <c r="F86" s="132">
        <v>0</v>
      </c>
      <c r="G86" s="132">
        <f t="shared" si="12"/>
        <v>0</v>
      </c>
      <c r="H86" s="133"/>
      <c r="I86" s="185"/>
      <c r="J86" s="132" t="e">
        <f t="shared" si="9"/>
        <v>#DIV/0!</v>
      </c>
      <c r="K86" s="132"/>
      <c r="L86" s="132">
        <f t="shared" si="13"/>
        <v>0</v>
      </c>
      <c r="M86" s="4"/>
      <c r="N86" s="68"/>
      <c r="O86" s="132" t="e">
        <f t="shared" si="10"/>
        <v>#DIV/0!</v>
      </c>
      <c r="P86" s="132"/>
      <c r="Q86" s="132">
        <f t="shared" si="14"/>
        <v>0</v>
      </c>
      <c r="R86" s="4"/>
      <c r="S86" s="68"/>
      <c r="T86" s="132" t="e">
        <f t="shared" si="11"/>
        <v>#DIV/0!</v>
      </c>
      <c r="U86" s="132"/>
      <c r="V86" s="135"/>
    </row>
    <row r="87" spans="1:22" x14ac:dyDescent="0.15">
      <c r="A87" s="130">
        <v>248</v>
      </c>
      <c r="B87" s="37" t="s">
        <v>592</v>
      </c>
      <c r="C87" s="132">
        <f t="shared" si="8"/>
        <v>1.4254</v>
      </c>
      <c r="D87" s="133">
        <v>6994</v>
      </c>
      <c r="E87" s="134">
        <v>9968.92</v>
      </c>
      <c r="F87" s="132">
        <v>0</v>
      </c>
      <c r="G87" s="132">
        <f t="shared" si="12"/>
        <v>0</v>
      </c>
      <c r="H87" s="133"/>
      <c r="I87" s="185"/>
      <c r="J87" s="132" t="e">
        <f t="shared" si="9"/>
        <v>#DIV/0!</v>
      </c>
      <c r="K87" s="132"/>
      <c r="L87" s="132">
        <f t="shared" si="13"/>
        <v>0</v>
      </c>
      <c r="M87" s="4"/>
      <c r="N87" s="68"/>
      <c r="O87" s="132" t="e">
        <f t="shared" si="10"/>
        <v>#DIV/0!</v>
      </c>
      <c r="P87" s="132"/>
      <c r="Q87" s="132">
        <f t="shared" si="14"/>
        <v>0</v>
      </c>
      <c r="R87" s="4"/>
      <c r="S87" s="68"/>
      <c r="T87" s="132" t="e">
        <f t="shared" si="11"/>
        <v>#DIV/0!</v>
      </c>
      <c r="U87" s="132"/>
      <c r="V87" s="135"/>
    </row>
    <row r="88" spans="1:22" x14ac:dyDescent="0.15">
      <c r="A88" s="130">
        <v>250</v>
      </c>
      <c r="B88" s="37" t="s">
        <v>319</v>
      </c>
      <c r="C88" s="132">
        <f t="shared" si="8"/>
        <v>1.4328000000000001</v>
      </c>
      <c r="D88" s="133">
        <v>10901</v>
      </c>
      <c r="E88" s="134">
        <v>15618.88</v>
      </c>
      <c r="F88" s="132">
        <v>0</v>
      </c>
      <c r="G88" s="132">
        <f t="shared" si="12"/>
        <v>0</v>
      </c>
      <c r="H88" s="133"/>
      <c r="I88" s="185"/>
      <c r="J88" s="132" t="e">
        <f t="shared" si="9"/>
        <v>#DIV/0!</v>
      </c>
      <c r="K88" s="132"/>
      <c r="L88" s="132">
        <f t="shared" si="13"/>
        <v>0</v>
      </c>
      <c r="M88" s="4"/>
      <c r="N88" s="68"/>
      <c r="O88" s="132" t="e">
        <f t="shared" si="10"/>
        <v>#DIV/0!</v>
      </c>
      <c r="P88" s="132"/>
      <c r="Q88" s="132">
        <f t="shared" si="14"/>
        <v>0</v>
      </c>
      <c r="R88" s="4"/>
      <c r="S88" s="68"/>
      <c r="T88" s="132" t="e">
        <f t="shared" si="11"/>
        <v>#DIV/0!</v>
      </c>
      <c r="U88" s="132"/>
      <c r="V88" s="135"/>
    </row>
    <row r="89" spans="1:22" x14ac:dyDescent="0.15">
      <c r="A89" s="130">
        <v>254</v>
      </c>
      <c r="B89" s="37" t="s">
        <v>378</v>
      </c>
      <c r="C89" s="132">
        <f t="shared" si="8"/>
        <v>1.3058000000000001</v>
      </c>
      <c r="D89" s="133">
        <v>7384</v>
      </c>
      <c r="E89" s="134">
        <v>9642.11</v>
      </c>
      <c r="F89" s="132">
        <v>0</v>
      </c>
      <c r="G89" s="132">
        <f t="shared" si="12"/>
        <v>0</v>
      </c>
      <c r="H89" s="133"/>
      <c r="I89" s="185"/>
      <c r="J89" s="132" t="e">
        <f t="shared" si="9"/>
        <v>#DIV/0!</v>
      </c>
      <c r="K89" s="132"/>
      <c r="L89" s="132">
        <f t="shared" si="13"/>
        <v>0</v>
      </c>
      <c r="M89" s="4"/>
      <c r="N89" s="68"/>
      <c r="O89" s="132" t="e">
        <f t="shared" si="10"/>
        <v>#DIV/0!</v>
      </c>
      <c r="P89" s="132"/>
      <c r="Q89" s="132">
        <f t="shared" si="14"/>
        <v>0</v>
      </c>
      <c r="R89" s="4"/>
      <c r="S89" s="68"/>
      <c r="T89" s="132" t="e">
        <f t="shared" si="11"/>
        <v>#DIV/0!</v>
      </c>
      <c r="U89" s="132"/>
      <c r="V89" s="135"/>
    </row>
    <row r="90" spans="1:22" x14ac:dyDescent="0.15">
      <c r="A90" s="130">
        <v>256</v>
      </c>
      <c r="B90" s="37" t="s">
        <v>228</v>
      </c>
      <c r="C90" s="132">
        <f t="shared" si="8"/>
        <v>1.2316</v>
      </c>
      <c r="D90" s="133">
        <v>4805</v>
      </c>
      <c r="E90" s="134">
        <v>5917.97</v>
      </c>
      <c r="F90" s="132">
        <v>0</v>
      </c>
      <c r="G90" s="132">
        <f t="shared" si="12"/>
        <v>0</v>
      </c>
      <c r="H90" s="133"/>
      <c r="I90" s="185"/>
      <c r="J90" s="132" t="e">
        <f t="shared" si="9"/>
        <v>#DIV/0!</v>
      </c>
      <c r="K90" s="132"/>
      <c r="L90" s="132">
        <f t="shared" si="13"/>
        <v>0</v>
      </c>
      <c r="M90" s="4"/>
      <c r="N90" s="68"/>
      <c r="O90" s="132" t="e">
        <f t="shared" si="10"/>
        <v>#DIV/0!</v>
      </c>
      <c r="P90" s="132"/>
      <c r="Q90" s="132">
        <f t="shared" si="14"/>
        <v>0</v>
      </c>
      <c r="R90" s="4"/>
      <c r="S90" s="68"/>
      <c r="T90" s="132" t="e">
        <f t="shared" si="11"/>
        <v>#DIV/0!</v>
      </c>
      <c r="U90" s="132"/>
      <c r="V90" s="135"/>
    </row>
    <row r="91" spans="1:22" x14ac:dyDescent="0.15">
      <c r="A91" s="130">
        <v>258</v>
      </c>
      <c r="B91" s="37" t="s">
        <v>204</v>
      </c>
      <c r="C91" s="132">
        <f t="shared" si="8"/>
        <v>1.4516</v>
      </c>
      <c r="D91" s="133">
        <v>8868</v>
      </c>
      <c r="E91" s="134">
        <v>12872.69</v>
      </c>
      <c r="F91" s="132">
        <v>0</v>
      </c>
      <c r="G91" s="132">
        <f t="shared" si="12"/>
        <v>0</v>
      </c>
      <c r="H91" s="133"/>
      <c r="I91" s="185"/>
      <c r="J91" s="132" t="e">
        <f t="shared" si="9"/>
        <v>#DIV/0!</v>
      </c>
      <c r="K91" s="132"/>
      <c r="L91" s="132">
        <f t="shared" si="13"/>
        <v>0</v>
      </c>
      <c r="M91" s="4"/>
      <c r="N91" s="68"/>
      <c r="O91" s="132" t="e">
        <f t="shared" si="10"/>
        <v>#DIV/0!</v>
      </c>
      <c r="P91" s="132"/>
      <c r="Q91" s="132">
        <f t="shared" si="14"/>
        <v>0</v>
      </c>
      <c r="R91" s="4"/>
      <c r="S91" s="68"/>
      <c r="T91" s="132" t="e">
        <f t="shared" si="11"/>
        <v>#DIV/0!</v>
      </c>
      <c r="U91" s="132"/>
      <c r="V91" s="135"/>
    </row>
    <row r="92" spans="1:22" x14ac:dyDescent="0.15">
      <c r="A92" s="130">
        <v>260</v>
      </c>
      <c r="B92" s="37" t="s">
        <v>562</v>
      </c>
      <c r="C92" s="132">
        <f t="shared" si="8"/>
        <v>1.5429999999999999</v>
      </c>
      <c r="D92" s="133">
        <v>2701</v>
      </c>
      <c r="E92" s="134">
        <v>4167.6499999999996</v>
      </c>
      <c r="F92" s="132">
        <v>0</v>
      </c>
      <c r="G92" s="132">
        <f t="shared" si="12"/>
        <v>0</v>
      </c>
      <c r="H92" s="133"/>
      <c r="I92" s="185"/>
      <c r="J92" s="132" t="e">
        <f t="shared" si="9"/>
        <v>#DIV/0!</v>
      </c>
      <c r="K92" s="132"/>
      <c r="L92" s="132">
        <f t="shared" si="13"/>
        <v>0</v>
      </c>
      <c r="M92" s="4"/>
      <c r="N92" s="68"/>
      <c r="O92" s="132" t="e">
        <f t="shared" si="10"/>
        <v>#DIV/0!</v>
      </c>
      <c r="P92" s="132"/>
      <c r="Q92" s="132">
        <f t="shared" si="14"/>
        <v>0</v>
      </c>
      <c r="R92" s="4"/>
      <c r="S92" s="68"/>
      <c r="T92" s="132" t="e">
        <f t="shared" si="11"/>
        <v>#DIV/0!</v>
      </c>
      <c r="U92" s="132"/>
      <c r="V92" s="135"/>
    </row>
    <row r="93" spans="1:22" x14ac:dyDescent="0.15">
      <c r="A93" s="130">
        <v>262</v>
      </c>
      <c r="B93" s="37" t="s">
        <v>601</v>
      </c>
      <c r="C93" s="132">
        <f t="shared" si="8"/>
        <v>1.3751</v>
      </c>
      <c r="D93" s="133">
        <v>8774</v>
      </c>
      <c r="E93" s="134">
        <v>12064.7</v>
      </c>
      <c r="F93" s="132">
        <v>0</v>
      </c>
      <c r="G93" s="132">
        <f t="shared" si="12"/>
        <v>0</v>
      </c>
      <c r="H93" s="133"/>
      <c r="I93" s="185"/>
      <c r="J93" s="132" t="e">
        <f t="shared" si="9"/>
        <v>#DIV/0!</v>
      </c>
      <c r="K93" s="132"/>
      <c r="L93" s="132">
        <f t="shared" si="13"/>
        <v>0</v>
      </c>
      <c r="M93" s="4"/>
      <c r="N93" s="68"/>
      <c r="O93" s="132" t="e">
        <f t="shared" si="10"/>
        <v>#DIV/0!</v>
      </c>
      <c r="P93" s="132"/>
      <c r="Q93" s="132">
        <f t="shared" si="14"/>
        <v>0</v>
      </c>
      <c r="R93" s="4"/>
      <c r="S93" s="68"/>
      <c r="T93" s="132" t="e">
        <f t="shared" si="11"/>
        <v>#DIV/0!</v>
      </c>
      <c r="U93" s="132"/>
      <c r="V93" s="135"/>
    </row>
    <row r="94" spans="1:22" x14ac:dyDescent="0.15">
      <c r="A94" s="130">
        <v>264</v>
      </c>
      <c r="B94" s="37" t="s">
        <v>400</v>
      </c>
      <c r="C94" s="132">
        <f t="shared" si="8"/>
        <v>1.4061999999999999</v>
      </c>
      <c r="D94" s="133">
        <v>0</v>
      </c>
      <c r="E94" s="134">
        <v>0</v>
      </c>
      <c r="F94" s="132">
        <v>0</v>
      </c>
      <c r="G94" s="132">
        <f t="shared" si="12"/>
        <v>0</v>
      </c>
      <c r="H94" s="133"/>
      <c r="I94" s="185"/>
      <c r="J94" s="132" t="e">
        <f t="shared" si="9"/>
        <v>#DIV/0!</v>
      </c>
      <c r="K94" s="132"/>
      <c r="L94" s="132">
        <f t="shared" si="13"/>
        <v>0</v>
      </c>
      <c r="M94" s="4"/>
      <c r="N94" s="68"/>
      <c r="O94" s="132" t="e">
        <f t="shared" ref="O94" si="15">IF(ROUND(L94*$N$214,4)&gt;0,ROUND(L94*$N$214,4),$N$213)</f>
        <v>#DIV/0!</v>
      </c>
      <c r="P94" s="132"/>
      <c r="Q94" s="132">
        <f t="shared" ref="Q94" si="16">IF(R94=0,0,ROUND(S94/R94,4))</f>
        <v>0</v>
      </c>
      <c r="R94" s="4"/>
      <c r="S94" s="68"/>
      <c r="T94" s="132" t="e">
        <f t="shared" ref="T94" si="17">IF(ROUND(Q94*$S$214,4)&gt;0,ROUND(Q94*$S$214,4),$S$213)</f>
        <v>#DIV/0!</v>
      </c>
      <c r="U94" s="132"/>
      <c r="V94" s="135"/>
    </row>
    <row r="95" spans="1:22" x14ac:dyDescent="0.15">
      <c r="A95" s="130">
        <v>268</v>
      </c>
      <c r="B95" s="37" t="s">
        <v>452</v>
      </c>
      <c r="C95" s="132">
        <f t="shared" si="8"/>
        <v>1.5052000000000001</v>
      </c>
      <c r="D95" s="133">
        <v>6571</v>
      </c>
      <c r="E95" s="134">
        <v>9890.41</v>
      </c>
      <c r="F95" s="132">
        <v>0</v>
      </c>
      <c r="G95" s="132">
        <f t="shared" si="12"/>
        <v>0</v>
      </c>
      <c r="H95" s="133"/>
      <c r="I95" s="185"/>
      <c r="J95" s="132" t="e">
        <f t="shared" si="9"/>
        <v>#DIV/0!</v>
      </c>
      <c r="K95" s="132"/>
      <c r="L95" s="132">
        <f t="shared" si="13"/>
        <v>0</v>
      </c>
      <c r="M95" s="4"/>
      <c r="N95" s="68"/>
      <c r="O95" s="132" t="e">
        <f t="shared" si="10"/>
        <v>#DIV/0!</v>
      </c>
      <c r="P95" s="132"/>
      <c r="Q95" s="132">
        <f t="shared" si="14"/>
        <v>0</v>
      </c>
      <c r="R95" s="4"/>
      <c r="S95" s="68"/>
      <c r="T95" s="132" t="e">
        <f t="shared" si="11"/>
        <v>#DIV/0!</v>
      </c>
      <c r="U95" s="132"/>
      <c r="V95" s="135"/>
    </row>
    <row r="96" spans="1:22" x14ac:dyDescent="0.15">
      <c r="A96" s="130">
        <v>270</v>
      </c>
      <c r="B96" s="37" t="s">
        <v>38</v>
      </c>
      <c r="C96" s="132">
        <f t="shared" si="8"/>
        <v>1.3706</v>
      </c>
      <c r="D96" s="133">
        <v>10727</v>
      </c>
      <c r="E96" s="134">
        <v>14702.17</v>
      </c>
      <c r="F96" s="132">
        <v>3.5327000000000002</v>
      </c>
      <c r="G96" s="132">
        <f t="shared" si="12"/>
        <v>0</v>
      </c>
      <c r="H96" s="133"/>
      <c r="I96" s="185"/>
      <c r="J96" s="132" t="e">
        <f t="shared" si="9"/>
        <v>#DIV/0!</v>
      </c>
      <c r="K96" s="132"/>
      <c r="L96" s="132">
        <f t="shared" si="13"/>
        <v>0</v>
      </c>
      <c r="M96" s="4"/>
      <c r="N96" s="68"/>
      <c r="O96" s="132" t="e">
        <f t="shared" si="10"/>
        <v>#DIV/0!</v>
      </c>
      <c r="P96" s="132"/>
      <c r="Q96" s="132">
        <f t="shared" si="14"/>
        <v>0</v>
      </c>
      <c r="R96" s="4"/>
      <c r="S96" s="68"/>
      <c r="T96" s="132" t="e">
        <f t="shared" si="11"/>
        <v>#DIV/0!</v>
      </c>
      <c r="U96" s="132"/>
      <c r="V96" s="135"/>
    </row>
    <row r="97" spans="1:22" x14ac:dyDescent="0.15">
      <c r="A97" s="130">
        <v>274</v>
      </c>
      <c r="B97" s="37" t="s">
        <v>818</v>
      </c>
      <c r="C97" s="132">
        <f t="shared" si="8"/>
        <v>1.2443</v>
      </c>
      <c r="D97" s="133">
        <v>4979</v>
      </c>
      <c r="E97" s="134">
        <v>6195.43</v>
      </c>
      <c r="F97" s="132">
        <v>0</v>
      </c>
      <c r="G97" s="132">
        <f t="shared" si="12"/>
        <v>0</v>
      </c>
      <c r="H97" s="133"/>
      <c r="I97" s="185"/>
      <c r="J97" s="132" t="e">
        <f t="shared" si="9"/>
        <v>#DIV/0!</v>
      </c>
      <c r="K97" s="132"/>
      <c r="L97" s="132">
        <f t="shared" si="13"/>
        <v>0</v>
      </c>
      <c r="M97" s="4"/>
      <c r="N97" s="68"/>
      <c r="O97" s="132" t="e">
        <f t="shared" si="10"/>
        <v>#DIV/0!</v>
      </c>
      <c r="P97" s="132"/>
      <c r="Q97" s="132">
        <f t="shared" si="14"/>
        <v>0</v>
      </c>
      <c r="R97" s="4"/>
      <c r="S97" s="68"/>
      <c r="T97" s="132" t="e">
        <f t="shared" si="11"/>
        <v>#DIV/0!</v>
      </c>
      <c r="U97" s="132"/>
      <c r="V97" s="135"/>
    </row>
    <row r="98" spans="1:22" x14ac:dyDescent="0.15">
      <c r="A98" s="130">
        <v>276</v>
      </c>
      <c r="B98" s="37" t="s">
        <v>180</v>
      </c>
      <c r="C98" s="132">
        <f t="shared" si="8"/>
        <v>1.0849</v>
      </c>
      <c r="D98" s="133">
        <v>1359</v>
      </c>
      <c r="E98" s="134">
        <v>1474.36</v>
      </c>
      <c r="F98" s="132">
        <v>0</v>
      </c>
      <c r="G98" s="132">
        <f t="shared" si="12"/>
        <v>0</v>
      </c>
      <c r="H98" s="133"/>
      <c r="I98" s="185"/>
      <c r="J98" s="132" t="e">
        <f t="shared" si="9"/>
        <v>#DIV/0!</v>
      </c>
      <c r="K98" s="132"/>
      <c r="L98" s="132">
        <f t="shared" si="13"/>
        <v>0</v>
      </c>
      <c r="M98" s="4"/>
      <c r="N98" s="68"/>
      <c r="O98" s="132" t="e">
        <f t="shared" si="10"/>
        <v>#DIV/0!</v>
      </c>
      <c r="P98" s="132"/>
      <c r="Q98" s="132">
        <f t="shared" si="14"/>
        <v>0</v>
      </c>
      <c r="R98" s="4"/>
      <c r="S98" s="68"/>
      <c r="T98" s="132" t="e">
        <f t="shared" si="11"/>
        <v>#DIV/0!</v>
      </c>
      <c r="U98" s="132"/>
      <c r="V98" s="135"/>
    </row>
    <row r="99" spans="1:22" x14ac:dyDescent="0.15">
      <c r="A99" s="130">
        <v>278</v>
      </c>
      <c r="B99" s="37" t="s">
        <v>583</v>
      </c>
      <c r="C99" s="132">
        <f t="shared" si="8"/>
        <v>1.6368</v>
      </c>
      <c r="D99" s="133">
        <v>6681</v>
      </c>
      <c r="E99" s="134">
        <v>10935.37</v>
      </c>
      <c r="F99" s="132">
        <v>0</v>
      </c>
      <c r="G99" s="132">
        <f t="shared" si="12"/>
        <v>0</v>
      </c>
      <c r="H99" s="133"/>
      <c r="I99" s="185"/>
      <c r="J99" s="132" t="e">
        <f t="shared" si="9"/>
        <v>#DIV/0!</v>
      </c>
      <c r="K99" s="132"/>
      <c r="L99" s="132">
        <f t="shared" si="13"/>
        <v>0</v>
      </c>
      <c r="M99" s="4"/>
      <c r="N99" s="68"/>
      <c r="O99" s="132" t="e">
        <f t="shared" si="10"/>
        <v>#DIV/0!</v>
      </c>
      <c r="P99" s="132"/>
      <c r="Q99" s="132">
        <f t="shared" si="14"/>
        <v>0</v>
      </c>
      <c r="R99" s="4"/>
      <c r="S99" s="68"/>
      <c r="T99" s="132" t="e">
        <f t="shared" si="11"/>
        <v>#DIV/0!</v>
      </c>
      <c r="U99" s="132"/>
      <c r="V99" s="135"/>
    </row>
    <row r="100" spans="1:22" x14ac:dyDescent="0.15">
      <c r="A100" s="130">
        <v>282</v>
      </c>
      <c r="B100" s="37" t="s">
        <v>555</v>
      </c>
      <c r="C100" s="132">
        <f t="shared" si="8"/>
        <v>1.4883</v>
      </c>
      <c r="D100" s="133">
        <v>7541</v>
      </c>
      <c r="E100" s="134">
        <v>11223.46</v>
      </c>
      <c r="F100" s="132">
        <v>0</v>
      </c>
      <c r="G100" s="132">
        <f t="shared" si="12"/>
        <v>0</v>
      </c>
      <c r="H100" s="133"/>
      <c r="I100" s="185"/>
      <c r="J100" s="132" t="e">
        <f t="shared" si="9"/>
        <v>#DIV/0!</v>
      </c>
      <c r="K100" s="132"/>
      <c r="L100" s="132">
        <f t="shared" si="13"/>
        <v>0</v>
      </c>
      <c r="M100" s="4"/>
      <c r="N100" s="68"/>
      <c r="O100" s="132" t="e">
        <f t="shared" si="10"/>
        <v>#DIV/0!</v>
      </c>
      <c r="P100" s="132"/>
      <c r="Q100" s="132">
        <f t="shared" si="14"/>
        <v>0</v>
      </c>
      <c r="R100" s="4"/>
      <c r="S100" s="68"/>
      <c r="T100" s="132" t="e">
        <f t="shared" si="11"/>
        <v>#DIV/0!</v>
      </c>
      <c r="U100" s="132"/>
      <c r="V100" s="135"/>
    </row>
    <row r="101" spans="1:22" x14ac:dyDescent="0.15">
      <c r="A101" s="130">
        <v>284</v>
      </c>
      <c r="B101" s="37" t="s">
        <v>639</v>
      </c>
      <c r="C101" s="132">
        <f t="shared" si="8"/>
        <v>1.4741</v>
      </c>
      <c r="D101" s="133">
        <v>4942</v>
      </c>
      <c r="E101" s="134">
        <v>7285.2</v>
      </c>
      <c r="F101" s="132">
        <v>0</v>
      </c>
      <c r="G101" s="132">
        <f t="shared" si="12"/>
        <v>0</v>
      </c>
      <c r="H101" s="133"/>
      <c r="I101" s="185"/>
      <c r="J101" s="132" t="e">
        <f t="shared" si="9"/>
        <v>#DIV/0!</v>
      </c>
      <c r="K101" s="132"/>
      <c r="L101" s="132">
        <f t="shared" si="13"/>
        <v>0</v>
      </c>
      <c r="M101" s="4"/>
      <c r="N101" s="68"/>
      <c r="O101" s="132" t="e">
        <f t="shared" si="10"/>
        <v>#DIV/0!</v>
      </c>
      <c r="P101" s="132"/>
      <c r="Q101" s="132">
        <f t="shared" si="14"/>
        <v>0</v>
      </c>
      <c r="R101" s="4"/>
      <c r="S101" s="68"/>
      <c r="T101" s="132" t="e">
        <f t="shared" si="11"/>
        <v>#DIV/0!</v>
      </c>
      <c r="U101" s="132"/>
      <c r="V101" s="135"/>
    </row>
    <row r="102" spans="1:22" x14ac:dyDescent="0.15">
      <c r="A102" s="130">
        <v>286</v>
      </c>
      <c r="B102" s="37" t="s">
        <v>37</v>
      </c>
      <c r="C102" s="132">
        <f t="shared" si="8"/>
        <v>1.369</v>
      </c>
      <c r="D102" s="133">
        <v>12220</v>
      </c>
      <c r="E102" s="134">
        <v>16728.919999999998</v>
      </c>
      <c r="F102" s="132">
        <v>3.84</v>
      </c>
      <c r="G102" s="132">
        <f t="shared" si="12"/>
        <v>0</v>
      </c>
      <c r="H102" s="133"/>
      <c r="I102" s="185"/>
      <c r="J102" s="132" t="e">
        <f t="shared" si="9"/>
        <v>#DIV/0!</v>
      </c>
      <c r="K102" s="132"/>
      <c r="L102" s="132">
        <f t="shared" si="13"/>
        <v>0</v>
      </c>
      <c r="M102" s="4"/>
      <c r="N102" s="68"/>
      <c r="O102" s="132" t="e">
        <f t="shared" si="10"/>
        <v>#DIV/0!</v>
      </c>
      <c r="P102" s="132"/>
      <c r="Q102" s="132">
        <f t="shared" si="14"/>
        <v>0</v>
      </c>
      <c r="R102" s="4"/>
      <c r="S102" s="68"/>
      <c r="T102" s="132" t="e">
        <f t="shared" si="11"/>
        <v>#DIV/0!</v>
      </c>
      <c r="U102" s="132"/>
      <c r="V102" s="135"/>
    </row>
    <row r="103" spans="1:22" x14ac:dyDescent="0.15">
      <c r="A103" s="130">
        <v>288</v>
      </c>
      <c r="B103" s="37" t="s">
        <v>479</v>
      </c>
      <c r="C103" s="132">
        <f t="shared" si="8"/>
        <v>1.5995999999999999</v>
      </c>
      <c r="D103" s="133">
        <v>6961</v>
      </c>
      <c r="E103" s="134">
        <v>11135.11</v>
      </c>
      <c r="F103" s="132">
        <v>0</v>
      </c>
      <c r="G103" s="132">
        <f t="shared" si="12"/>
        <v>0</v>
      </c>
      <c r="H103" s="133"/>
      <c r="I103" s="185"/>
      <c r="J103" s="132" t="e">
        <f t="shared" si="9"/>
        <v>#DIV/0!</v>
      </c>
      <c r="K103" s="132"/>
      <c r="L103" s="132">
        <f t="shared" si="13"/>
        <v>0</v>
      </c>
      <c r="M103" s="4"/>
      <c r="N103" s="68"/>
      <c r="O103" s="132" t="e">
        <f t="shared" si="10"/>
        <v>#DIV/0!</v>
      </c>
      <c r="P103" s="132"/>
      <c r="Q103" s="132">
        <f t="shared" si="14"/>
        <v>0</v>
      </c>
      <c r="R103" s="4"/>
      <c r="S103" s="68"/>
      <c r="T103" s="132" t="e">
        <f t="shared" si="11"/>
        <v>#DIV/0!</v>
      </c>
      <c r="U103" s="132"/>
      <c r="V103" s="135"/>
    </row>
    <row r="104" spans="1:22" x14ac:dyDescent="0.15">
      <c r="A104" s="130">
        <v>290</v>
      </c>
      <c r="B104" s="37" t="s">
        <v>40</v>
      </c>
      <c r="C104" s="132">
        <f t="shared" si="8"/>
        <v>1.5427999999999999</v>
      </c>
      <c r="D104" s="133">
        <v>2631</v>
      </c>
      <c r="E104" s="134">
        <v>4059.1</v>
      </c>
      <c r="F104" s="132">
        <v>3.84</v>
      </c>
      <c r="G104" s="132">
        <f t="shared" si="12"/>
        <v>0</v>
      </c>
      <c r="H104" s="133"/>
      <c r="I104" s="185"/>
      <c r="J104" s="132" t="e">
        <f t="shared" si="9"/>
        <v>#DIV/0!</v>
      </c>
      <c r="K104" s="132"/>
      <c r="L104" s="132">
        <f t="shared" si="13"/>
        <v>0</v>
      </c>
      <c r="M104" s="4"/>
      <c r="N104" s="68"/>
      <c r="O104" s="132" t="e">
        <f t="shared" si="10"/>
        <v>#DIV/0!</v>
      </c>
      <c r="P104" s="132"/>
      <c r="Q104" s="132">
        <f t="shared" si="14"/>
        <v>0</v>
      </c>
      <c r="R104" s="4"/>
      <c r="S104" s="68"/>
      <c r="T104" s="132" t="e">
        <f t="shared" si="11"/>
        <v>#DIV/0!</v>
      </c>
      <c r="U104" s="132"/>
      <c r="V104" s="135"/>
    </row>
    <row r="105" spans="1:22" x14ac:dyDescent="0.15">
      <c r="A105" s="130">
        <v>292</v>
      </c>
      <c r="B105" s="37" t="s">
        <v>191</v>
      </c>
      <c r="C105" s="132">
        <f t="shared" si="8"/>
        <v>1.3388</v>
      </c>
      <c r="D105" s="133">
        <v>5431</v>
      </c>
      <c r="E105" s="134">
        <v>7271.03</v>
      </c>
      <c r="F105" s="132">
        <v>0</v>
      </c>
      <c r="G105" s="132">
        <f t="shared" si="12"/>
        <v>0</v>
      </c>
      <c r="H105" s="133"/>
      <c r="I105" s="185"/>
      <c r="J105" s="132" t="e">
        <f t="shared" si="9"/>
        <v>#DIV/0!</v>
      </c>
      <c r="K105" s="132"/>
      <c r="L105" s="132">
        <f t="shared" si="13"/>
        <v>0</v>
      </c>
      <c r="M105" s="4"/>
      <c r="N105" s="68"/>
      <c r="O105" s="132" t="e">
        <f t="shared" si="10"/>
        <v>#DIV/0!</v>
      </c>
      <c r="P105" s="132"/>
      <c r="Q105" s="132">
        <f t="shared" si="14"/>
        <v>0</v>
      </c>
      <c r="R105" s="4"/>
      <c r="S105" s="68"/>
      <c r="T105" s="132" t="e">
        <f t="shared" si="11"/>
        <v>#DIV/0!</v>
      </c>
      <c r="U105" s="132"/>
      <c r="V105" s="135"/>
    </row>
    <row r="106" spans="1:22" x14ac:dyDescent="0.15">
      <c r="A106" s="130">
        <v>294</v>
      </c>
      <c r="B106" s="37" t="s">
        <v>468</v>
      </c>
      <c r="C106" s="132">
        <f t="shared" si="8"/>
        <v>1.5521</v>
      </c>
      <c r="D106" s="133">
        <v>12457</v>
      </c>
      <c r="E106" s="134">
        <v>19334.54</v>
      </c>
      <c r="F106" s="132">
        <v>3.4558</v>
      </c>
      <c r="G106" s="132">
        <f t="shared" si="12"/>
        <v>0</v>
      </c>
      <c r="H106" s="133"/>
      <c r="I106" s="185"/>
      <c r="J106" s="132" t="e">
        <f t="shared" si="9"/>
        <v>#DIV/0!</v>
      </c>
      <c r="K106" s="132"/>
      <c r="L106" s="132">
        <f t="shared" si="13"/>
        <v>0</v>
      </c>
      <c r="M106" s="4"/>
      <c r="N106" s="68"/>
      <c r="O106" s="132" t="e">
        <f t="shared" si="10"/>
        <v>#DIV/0!</v>
      </c>
      <c r="P106" s="132"/>
      <c r="Q106" s="132">
        <f t="shared" si="14"/>
        <v>0</v>
      </c>
      <c r="R106" s="4"/>
      <c r="S106" s="68"/>
      <c r="T106" s="132" t="e">
        <f t="shared" si="11"/>
        <v>#DIV/0!</v>
      </c>
      <c r="U106" s="132"/>
      <c r="V106" s="135"/>
    </row>
    <row r="107" spans="1:22" x14ac:dyDescent="0.15">
      <c r="A107" s="130">
        <v>296</v>
      </c>
      <c r="B107" s="37" t="s">
        <v>189</v>
      </c>
      <c r="C107" s="132">
        <f t="shared" si="8"/>
        <v>1.3859999999999999</v>
      </c>
      <c r="D107" s="133">
        <v>2941</v>
      </c>
      <c r="E107" s="134">
        <v>4076.35</v>
      </c>
      <c r="F107" s="132">
        <v>0</v>
      </c>
      <c r="G107" s="132">
        <f t="shared" si="12"/>
        <v>0</v>
      </c>
      <c r="H107" s="133"/>
      <c r="I107" s="185"/>
      <c r="J107" s="132" t="e">
        <f t="shared" si="9"/>
        <v>#DIV/0!</v>
      </c>
      <c r="K107" s="132"/>
      <c r="L107" s="132">
        <f t="shared" si="13"/>
        <v>0</v>
      </c>
      <c r="M107" s="4"/>
      <c r="N107" s="68"/>
      <c r="O107" s="132" t="e">
        <f t="shared" si="10"/>
        <v>#DIV/0!</v>
      </c>
      <c r="P107" s="132"/>
      <c r="Q107" s="132">
        <f t="shared" si="14"/>
        <v>0</v>
      </c>
      <c r="R107" s="4"/>
      <c r="S107" s="68"/>
      <c r="T107" s="132" t="e">
        <f t="shared" si="11"/>
        <v>#DIV/0!</v>
      </c>
      <c r="U107" s="132"/>
      <c r="V107" s="135"/>
    </row>
    <row r="108" spans="1:22" x14ac:dyDescent="0.15">
      <c r="A108" s="130">
        <v>298</v>
      </c>
      <c r="B108" s="37" t="s">
        <v>345</v>
      </c>
      <c r="C108" s="132">
        <f t="shared" si="8"/>
        <v>1.3308</v>
      </c>
      <c r="D108" s="133">
        <v>6694</v>
      </c>
      <c r="E108" s="134">
        <v>8908.11</v>
      </c>
      <c r="F108" s="132">
        <v>0</v>
      </c>
      <c r="G108" s="132">
        <f t="shared" si="12"/>
        <v>0</v>
      </c>
      <c r="H108" s="133"/>
      <c r="I108" s="185"/>
      <c r="J108" s="132" t="e">
        <f t="shared" si="9"/>
        <v>#DIV/0!</v>
      </c>
      <c r="K108" s="132"/>
      <c r="L108" s="132">
        <f t="shared" si="13"/>
        <v>0</v>
      </c>
      <c r="M108" s="4"/>
      <c r="N108" s="68"/>
      <c r="O108" s="132" t="e">
        <f t="shared" si="10"/>
        <v>#DIV/0!</v>
      </c>
      <c r="P108" s="132"/>
      <c r="Q108" s="132">
        <f t="shared" si="14"/>
        <v>0</v>
      </c>
      <c r="R108" s="4"/>
      <c r="S108" s="68"/>
      <c r="T108" s="132" t="e">
        <f t="shared" si="11"/>
        <v>#DIV/0!</v>
      </c>
      <c r="U108" s="132"/>
      <c r="V108" s="135"/>
    </row>
    <row r="109" spans="1:22" x14ac:dyDescent="0.15">
      <c r="A109" s="130">
        <v>302</v>
      </c>
      <c r="B109" s="37" t="s">
        <v>662</v>
      </c>
      <c r="C109" s="132">
        <f t="shared" si="8"/>
        <v>1.3723000000000001</v>
      </c>
      <c r="D109" s="133">
        <v>7157</v>
      </c>
      <c r="E109" s="134">
        <v>9821.27</v>
      </c>
      <c r="F109" s="132">
        <v>0</v>
      </c>
      <c r="G109" s="132">
        <f t="shared" si="12"/>
        <v>0</v>
      </c>
      <c r="H109" s="133"/>
      <c r="I109" s="185"/>
      <c r="J109" s="132" t="e">
        <f t="shared" si="9"/>
        <v>#DIV/0!</v>
      </c>
      <c r="K109" s="132"/>
      <c r="L109" s="132">
        <f t="shared" si="13"/>
        <v>0</v>
      </c>
      <c r="M109" s="4"/>
      <c r="N109" s="68"/>
      <c r="O109" s="132" t="e">
        <f t="shared" si="10"/>
        <v>#DIV/0!</v>
      </c>
      <c r="P109" s="132"/>
      <c r="Q109" s="132">
        <f t="shared" si="14"/>
        <v>0</v>
      </c>
      <c r="R109" s="4"/>
      <c r="S109" s="68"/>
      <c r="T109" s="132" t="e">
        <f t="shared" si="11"/>
        <v>#DIV/0!</v>
      </c>
      <c r="U109" s="132"/>
      <c r="V109" s="135"/>
    </row>
    <row r="110" spans="1:22" x14ac:dyDescent="0.15">
      <c r="A110" s="130">
        <v>304</v>
      </c>
      <c r="B110" s="37" t="s">
        <v>699</v>
      </c>
      <c r="C110" s="132">
        <f t="shared" si="8"/>
        <v>1.4463999999999999</v>
      </c>
      <c r="D110" s="133">
        <v>3162</v>
      </c>
      <c r="E110" s="134">
        <v>4573.3900000000003</v>
      </c>
      <c r="F110" s="132">
        <v>0</v>
      </c>
      <c r="G110" s="132">
        <f t="shared" si="12"/>
        <v>0</v>
      </c>
      <c r="H110" s="133"/>
      <c r="I110" s="185"/>
      <c r="J110" s="132" t="e">
        <f t="shared" si="9"/>
        <v>#DIV/0!</v>
      </c>
      <c r="K110" s="132"/>
      <c r="L110" s="132">
        <f t="shared" si="13"/>
        <v>0</v>
      </c>
      <c r="M110" s="4"/>
      <c r="N110" s="68"/>
      <c r="O110" s="132" t="e">
        <f t="shared" si="10"/>
        <v>#DIV/0!</v>
      </c>
      <c r="P110" s="132"/>
      <c r="Q110" s="132">
        <f t="shared" si="14"/>
        <v>0</v>
      </c>
      <c r="R110" s="4"/>
      <c r="S110" s="68"/>
      <c r="T110" s="132" t="e">
        <f t="shared" si="11"/>
        <v>#DIV/0!</v>
      </c>
      <c r="U110" s="132"/>
      <c r="V110" s="135"/>
    </row>
    <row r="111" spans="1:22" x14ac:dyDescent="0.15">
      <c r="A111" s="130">
        <v>306</v>
      </c>
      <c r="B111" s="37" t="s">
        <v>701</v>
      </c>
      <c r="C111" s="132">
        <f t="shared" si="8"/>
        <v>1.4560999999999999</v>
      </c>
      <c r="D111" s="133">
        <v>6098</v>
      </c>
      <c r="E111" s="134">
        <v>8879.26</v>
      </c>
      <c r="F111" s="132">
        <v>0</v>
      </c>
      <c r="G111" s="132">
        <f t="shared" si="12"/>
        <v>0</v>
      </c>
      <c r="H111" s="133"/>
      <c r="I111" s="185"/>
      <c r="J111" s="132" t="e">
        <f t="shared" si="9"/>
        <v>#DIV/0!</v>
      </c>
      <c r="K111" s="132"/>
      <c r="L111" s="132">
        <f t="shared" si="13"/>
        <v>0</v>
      </c>
      <c r="M111" s="4"/>
      <c r="N111" s="68"/>
      <c r="O111" s="132" t="e">
        <f t="shared" si="10"/>
        <v>#DIV/0!</v>
      </c>
      <c r="P111" s="132"/>
      <c r="Q111" s="132">
        <f t="shared" si="14"/>
        <v>0</v>
      </c>
      <c r="R111" s="4"/>
      <c r="S111" s="68"/>
      <c r="T111" s="132" t="e">
        <f t="shared" si="11"/>
        <v>#DIV/0!</v>
      </c>
      <c r="U111" s="132"/>
      <c r="V111" s="135"/>
    </row>
    <row r="112" spans="1:22" x14ac:dyDescent="0.15">
      <c r="A112" s="130">
        <v>308</v>
      </c>
      <c r="B112" s="37" t="s">
        <v>703</v>
      </c>
      <c r="C112" s="132">
        <f t="shared" si="8"/>
        <v>1.4551000000000001</v>
      </c>
      <c r="D112" s="133">
        <v>4741</v>
      </c>
      <c r="E112" s="134">
        <v>6898.78</v>
      </c>
      <c r="F112" s="132">
        <v>0</v>
      </c>
      <c r="G112" s="132">
        <f t="shared" si="12"/>
        <v>0</v>
      </c>
      <c r="H112" s="133"/>
      <c r="I112" s="185"/>
      <c r="J112" s="132" t="e">
        <f t="shared" si="9"/>
        <v>#DIV/0!</v>
      </c>
      <c r="K112" s="132"/>
      <c r="L112" s="132">
        <f t="shared" si="13"/>
        <v>0</v>
      </c>
      <c r="M112" s="4"/>
      <c r="N112" s="68"/>
      <c r="O112" s="132" t="e">
        <f t="shared" si="10"/>
        <v>#DIV/0!</v>
      </c>
      <c r="P112" s="132"/>
      <c r="Q112" s="132">
        <f t="shared" si="14"/>
        <v>0</v>
      </c>
      <c r="R112" s="4"/>
      <c r="S112" s="68"/>
      <c r="T112" s="132" t="e">
        <f t="shared" si="11"/>
        <v>#DIV/0!</v>
      </c>
      <c r="U112" s="132"/>
      <c r="V112" s="135"/>
    </row>
    <row r="113" spans="1:22" x14ac:dyDescent="0.15">
      <c r="A113" s="130">
        <v>310</v>
      </c>
      <c r="B113" s="37" t="s">
        <v>693</v>
      </c>
      <c r="C113" s="132">
        <f t="shared" si="8"/>
        <v>1.3564000000000001</v>
      </c>
      <c r="D113" s="133">
        <v>7300</v>
      </c>
      <c r="E113" s="134">
        <v>9901.91</v>
      </c>
      <c r="F113" s="132">
        <v>0</v>
      </c>
      <c r="G113" s="132">
        <f t="shared" si="12"/>
        <v>0</v>
      </c>
      <c r="H113" s="133"/>
      <c r="I113" s="185"/>
      <c r="J113" s="132" t="e">
        <f t="shared" si="9"/>
        <v>#DIV/0!</v>
      </c>
      <c r="K113" s="132"/>
      <c r="L113" s="132">
        <f t="shared" si="13"/>
        <v>0</v>
      </c>
      <c r="M113" s="4"/>
      <c r="N113" s="68"/>
      <c r="O113" s="132" t="e">
        <f t="shared" si="10"/>
        <v>#DIV/0!</v>
      </c>
      <c r="P113" s="132"/>
      <c r="Q113" s="132">
        <f t="shared" si="14"/>
        <v>0</v>
      </c>
      <c r="R113" s="4"/>
      <c r="S113" s="68"/>
      <c r="T113" s="132" t="e">
        <f t="shared" si="11"/>
        <v>#DIV/0!</v>
      </c>
      <c r="U113" s="132"/>
      <c r="V113" s="135"/>
    </row>
    <row r="114" spans="1:22" x14ac:dyDescent="0.15">
      <c r="A114" s="130">
        <v>312</v>
      </c>
      <c r="B114" s="37" t="s">
        <v>497</v>
      </c>
      <c r="C114" s="132">
        <f t="shared" si="8"/>
        <v>1.5186999999999999</v>
      </c>
      <c r="D114" s="133">
        <v>5967</v>
      </c>
      <c r="E114" s="134">
        <v>9062.15</v>
      </c>
      <c r="F114" s="132">
        <v>0</v>
      </c>
      <c r="G114" s="132">
        <f t="shared" si="12"/>
        <v>0</v>
      </c>
      <c r="H114" s="133"/>
      <c r="I114" s="185"/>
      <c r="J114" s="132" t="e">
        <f t="shared" si="9"/>
        <v>#DIV/0!</v>
      </c>
      <c r="K114" s="132"/>
      <c r="L114" s="132">
        <f t="shared" si="13"/>
        <v>0</v>
      </c>
      <c r="M114" s="4"/>
      <c r="N114" s="68"/>
      <c r="O114" s="132" t="e">
        <f t="shared" si="10"/>
        <v>#DIV/0!</v>
      </c>
      <c r="P114" s="132"/>
      <c r="Q114" s="132">
        <f t="shared" si="14"/>
        <v>0</v>
      </c>
      <c r="R114" s="4"/>
      <c r="S114" s="68"/>
      <c r="T114" s="132" t="e">
        <f t="shared" si="11"/>
        <v>#DIV/0!</v>
      </c>
      <c r="U114" s="132"/>
      <c r="V114" s="135"/>
    </row>
    <row r="115" spans="1:22" x14ac:dyDescent="0.15">
      <c r="A115" s="130">
        <v>314</v>
      </c>
      <c r="B115" s="37" t="s">
        <v>691</v>
      </c>
      <c r="C115" s="132">
        <f t="shared" si="8"/>
        <v>1.4701</v>
      </c>
      <c r="D115" s="133">
        <v>11183</v>
      </c>
      <c r="E115" s="134">
        <v>16440.650000000001</v>
      </c>
      <c r="F115" s="132">
        <v>0</v>
      </c>
      <c r="G115" s="132">
        <f t="shared" si="12"/>
        <v>0</v>
      </c>
      <c r="H115" s="133"/>
      <c r="I115" s="185"/>
      <c r="J115" s="132" t="e">
        <f t="shared" si="9"/>
        <v>#DIV/0!</v>
      </c>
      <c r="K115" s="132"/>
      <c r="L115" s="132">
        <f t="shared" si="13"/>
        <v>0</v>
      </c>
      <c r="M115" s="4"/>
      <c r="N115" s="68"/>
      <c r="O115" s="132" t="e">
        <f t="shared" si="10"/>
        <v>#DIV/0!</v>
      </c>
      <c r="P115" s="132"/>
      <c r="Q115" s="132">
        <f t="shared" si="14"/>
        <v>0</v>
      </c>
      <c r="R115" s="4"/>
      <c r="S115" s="68"/>
      <c r="T115" s="132" t="e">
        <f t="shared" si="11"/>
        <v>#DIV/0!</v>
      </c>
      <c r="U115" s="132"/>
      <c r="V115" s="135"/>
    </row>
    <row r="116" spans="1:22" x14ac:dyDescent="0.15">
      <c r="A116" s="130">
        <v>316</v>
      </c>
      <c r="B116" s="37" t="s">
        <v>740</v>
      </c>
      <c r="C116" s="132">
        <f t="shared" si="8"/>
        <v>1.4145000000000001</v>
      </c>
      <c r="D116" s="133">
        <v>6686</v>
      </c>
      <c r="E116" s="134">
        <v>9457.4</v>
      </c>
      <c r="F116" s="132">
        <v>0</v>
      </c>
      <c r="G116" s="132">
        <f t="shared" si="12"/>
        <v>0</v>
      </c>
      <c r="H116" s="133"/>
      <c r="I116" s="185"/>
      <c r="J116" s="132" t="e">
        <f t="shared" si="9"/>
        <v>#DIV/0!</v>
      </c>
      <c r="K116" s="132"/>
      <c r="L116" s="132">
        <f t="shared" si="13"/>
        <v>0</v>
      </c>
      <c r="M116" s="4"/>
      <c r="N116" s="68"/>
      <c r="O116" s="132" t="e">
        <f t="shared" si="10"/>
        <v>#DIV/0!</v>
      </c>
      <c r="P116" s="132"/>
      <c r="Q116" s="132">
        <f t="shared" si="14"/>
        <v>0</v>
      </c>
      <c r="R116" s="4"/>
      <c r="S116" s="68"/>
      <c r="T116" s="132" t="e">
        <f t="shared" si="11"/>
        <v>#DIV/0!</v>
      </c>
      <c r="U116" s="132"/>
      <c r="V116" s="135"/>
    </row>
    <row r="117" spans="1:22" x14ac:dyDescent="0.15">
      <c r="A117" s="130">
        <v>318</v>
      </c>
      <c r="B117" s="37" t="s">
        <v>454</v>
      </c>
      <c r="C117" s="132">
        <f t="shared" si="8"/>
        <v>1.6072</v>
      </c>
      <c r="D117" s="133">
        <v>8192</v>
      </c>
      <c r="E117" s="134">
        <v>13166.19</v>
      </c>
      <c r="F117" s="132">
        <v>0</v>
      </c>
      <c r="G117" s="132">
        <f t="shared" si="12"/>
        <v>0</v>
      </c>
      <c r="H117" s="133"/>
      <c r="I117" s="185"/>
      <c r="J117" s="132" t="e">
        <f t="shared" si="9"/>
        <v>#DIV/0!</v>
      </c>
      <c r="K117" s="132"/>
      <c r="L117" s="132">
        <f t="shared" si="13"/>
        <v>0</v>
      </c>
      <c r="M117" s="4"/>
      <c r="N117" s="68"/>
      <c r="O117" s="132" t="e">
        <f t="shared" si="10"/>
        <v>#DIV/0!</v>
      </c>
      <c r="P117" s="132"/>
      <c r="Q117" s="132">
        <f t="shared" si="14"/>
        <v>0</v>
      </c>
      <c r="R117" s="4"/>
      <c r="S117" s="68"/>
      <c r="T117" s="132" t="e">
        <f t="shared" si="11"/>
        <v>#DIV/0!</v>
      </c>
      <c r="U117" s="132"/>
      <c r="V117" s="135"/>
    </row>
    <row r="118" spans="1:22" x14ac:dyDescent="0.15">
      <c r="A118" s="130">
        <v>320</v>
      </c>
      <c r="B118" s="37" t="s">
        <v>751</v>
      </c>
      <c r="C118" s="132">
        <f t="shared" si="8"/>
        <v>1.2918000000000001</v>
      </c>
      <c r="D118" s="133">
        <v>6212</v>
      </c>
      <c r="E118" s="134">
        <v>8024.52</v>
      </c>
      <c r="F118" s="132">
        <v>0</v>
      </c>
      <c r="G118" s="132">
        <f t="shared" si="12"/>
        <v>0</v>
      </c>
      <c r="H118" s="133"/>
      <c r="I118" s="185"/>
      <c r="J118" s="132" t="e">
        <f t="shared" si="9"/>
        <v>#DIV/0!</v>
      </c>
      <c r="K118" s="132"/>
      <c r="L118" s="132">
        <f t="shared" si="13"/>
        <v>0</v>
      </c>
      <c r="M118" s="4"/>
      <c r="N118" s="68"/>
      <c r="O118" s="132" t="e">
        <f t="shared" si="10"/>
        <v>#DIV/0!</v>
      </c>
      <c r="P118" s="132"/>
      <c r="Q118" s="132">
        <f t="shared" si="14"/>
        <v>0</v>
      </c>
      <c r="R118" s="4"/>
      <c r="S118" s="68"/>
      <c r="T118" s="132" t="e">
        <f t="shared" si="11"/>
        <v>#DIV/0!</v>
      </c>
      <c r="U118" s="132"/>
      <c r="V118" s="135"/>
    </row>
    <row r="119" spans="1:22" x14ac:dyDescent="0.15">
      <c r="A119" s="130">
        <v>322</v>
      </c>
      <c r="B119" s="37" t="s">
        <v>741</v>
      </c>
      <c r="C119" s="132">
        <f t="shared" si="8"/>
        <v>1.4516</v>
      </c>
      <c r="D119" s="133">
        <v>7728</v>
      </c>
      <c r="E119" s="134">
        <v>11217.6</v>
      </c>
      <c r="F119" s="132">
        <v>0</v>
      </c>
      <c r="G119" s="132">
        <f t="shared" si="12"/>
        <v>0</v>
      </c>
      <c r="H119" s="133"/>
      <c r="I119" s="185"/>
      <c r="J119" s="132" t="e">
        <f t="shared" si="9"/>
        <v>#DIV/0!</v>
      </c>
      <c r="K119" s="132"/>
      <c r="L119" s="132">
        <f t="shared" si="13"/>
        <v>0</v>
      </c>
      <c r="M119" s="4"/>
      <c r="N119" s="68"/>
      <c r="O119" s="132" t="e">
        <f t="shared" si="10"/>
        <v>#DIV/0!</v>
      </c>
      <c r="P119" s="132"/>
      <c r="Q119" s="132">
        <f t="shared" si="14"/>
        <v>0</v>
      </c>
      <c r="R119" s="4"/>
      <c r="S119" s="68"/>
      <c r="T119" s="132" t="e">
        <f t="shared" si="11"/>
        <v>#DIV/0!</v>
      </c>
      <c r="U119" s="132"/>
      <c r="V119" s="135"/>
    </row>
    <row r="120" spans="1:22" x14ac:dyDescent="0.15">
      <c r="A120" s="130">
        <v>324</v>
      </c>
      <c r="B120" s="37" t="s">
        <v>695</v>
      </c>
      <c r="C120" s="132">
        <f t="shared" si="8"/>
        <v>1.4412</v>
      </c>
      <c r="D120" s="133">
        <v>7971</v>
      </c>
      <c r="E120" s="134">
        <v>11488.06</v>
      </c>
      <c r="F120" s="132">
        <v>0</v>
      </c>
      <c r="G120" s="132">
        <f t="shared" si="12"/>
        <v>0</v>
      </c>
      <c r="H120" s="133"/>
      <c r="I120" s="185"/>
      <c r="J120" s="132" t="e">
        <f t="shared" si="9"/>
        <v>#DIV/0!</v>
      </c>
      <c r="K120" s="132"/>
      <c r="L120" s="132">
        <f t="shared" si="13"/>
        <v>0</v>
      </c>
      <c r="M120" s="4"/>
      <c r="N120" s="68"/>
      <c r="O120" s="132" t="e">
        <f t="shared" si="10"/>
        <v>#DIV/0!</v>
      </c>
      <c r="P120" s="132"/>
      <c r="Q120" s="132">
        <f t="shared" si="14"/>
        <v>0</v>
      </c>
      <c r="R120" s="4"/>
      <c r="S120" s="68"/>
      <c r="T120" s="132" t="e">
        <f t="shared" si="11"/>
        <v>#DIV/0!</v>
      </c>
      <c r="U120" s="132"/>
      <c r="V120" s="135"/>
    </row>
    <row r="121" spans="1:22" x14ac:dyDescent="0.15">
      <c r="A121" s="130">
        <v>326</v>
      </c>
      <c r="B121" s="37" t="s">
        <v>456</v>
      </c>
      <c r="C121" s="132">
        <f t="shared" si="8"/>
        <v>1.8391</v>
      </c>
      <c r="D121" s="133">
        <v>6921</v>
      </c>
      <c r="E121" s="134">
        <v>12728.28</v>
      </c>
      <c r="F121" s="132">
        <v>0</v>
      </c>
      <c r="G121" s="132">
        <f t="shared" si="12"/>
        <v>0</v>
      </c>
      <c r="H121" s="133"/>
      <c r="I121" s="185"/>
      <c r="J121" s="132" t="e">
        <f t="shared" si="9"/>
        <v>#DIV/0!</v>
      </c>
      <c r="K121" s="132"/>
      <c r="L121" s="132">
        <f t="shared" si="13"/>
        <v>0</v>
      </c>
      <c r="M121" s="4"/>
      <c r="N121" s="68"/>
      <c r="O121" s="132" t="e">
        <f t="shared" si="10"/>
        <v>#DIV/0!</v>
      </c>
      <c r="P121" s="132"/>
      <c r="Q121" s="132">
        <f t="shared" si="14"/>
        <v>0</v>
      </c>
      <c r="R121" s="4"/>
      <c r="S121" s="68"/>
      <c r="T121" s="132" t="e">
        <f t="shared" si="11"/>
        <v>#DIV/0!</v>
      </c>
      <c r="U121" s="132"/>
      <c r="V121" s="135"/>
    </row>
    <row r="122" spans="1:22" x14ac:dyDescent="0.15">
      <c r="A122" s="130">
        <v>332</v>
      </c>
      <c r="B122" s="37" t="s">
        <v>172</v>
      </c>
      <c r="C122" s="132">
        <f t="shared" si="8"/>
        <v>1.1168</v>
      </c>
      <c r="D122" s="133">
        <v>2061</v>
      </c>
      <c r="E122" s="134">
        <v>2301.77</v>
      </c>
      <c r="F122" s="132">
        <v>0</v>
      </c>
      <c r="G122" s="132">
        <f t="shared" si="12"/>
        <v>0</v>
      </c>
      <c r="H122" s="133"/>
      <c r="I122" s="185"/>
      <c r="J122" s="132" t="e">
        <f t="shared" si="9"/>
        <v>#DIV/0!</v>
      </c>
      <c r="K122" s="132"/>
      <c r="L122" s="132">
        <f t="shared" si="13"/>
        <v>0</v>
      </c>
      <c r="M122" s="4"/>
      <c r="N122" s="68"/>
      <c r="O122" s="132" t="e">
        <f t="shared" si="10"/>
        <v>#DIV/0!</v>
      </c>
      <c r="P122" s="132"/>
      <c r="Q122" s="132">
        <f t="shared" si="14"/>
        <v>0</v>
      </c>
      <c r="R122" s="4"/>
      <c r="S122" s="68"/>
      <c r="T122" s="132" t="e">
        <f t="shared" si="11"/>
        <v>#DIV/0!</v>
      </c>
      <c r="U122" s="132"/>
      <c r="V122" s="135"/>
    </row>
    <row r="123" spans="1:22" x14ac:dyDescent="0.15">
      <c r="A123" s="130">
        <v>336</v>
      </c>
      <c r="B123" s="37" t="s">
        <v>385</v>
      </c>
      <c r="C123" s="132">
        <f t="shared" si="8"/>
        <v>1.4933000000000001</v>
      </c>
      <c r="D123" s="133">
        <v>5245</v>
      </c>
      <c r="E123" s="134">
        <v>7832.21</v>
      </c>
      <c r="F123" s="132">
        <v>0</v>
      </c>
      <c r="G123" s="132">
        <f t="shared" si="12"/>
        <v>0</v>
      </c>
      <c r="H123" s="133"/>
      <c r="I123" s="185"/>
      <c r="J123" s="132" t="e">
        <f t="shared" si="9"/>
        <v>#DIV/0!</v>
      </c>
      <c r="K123" s="132"/>
      <c r="L123" s="132">
        <f t="shared" si="13"/>
        <v>0</v>
      </c>
      <c r="M123" s="4"/>
      <c r="N123" s="68"/>
      <c r="O123" s="132" t="e">
        <f t="shared" si="10"/>
        <v>#DIV/0!</v>
      </c>
      <c r="P123" s="132"/>
      <c r="Q123" s="132">
        <f t="shared" si="14"/>
        <v>0</v>
      </c>
      <c r="R123" s="4"/>
      <c r="S123" s="68"/>
      <c r="T123" s="132" t="e">
        <f t="shared" si="11"/>
        <v>#DIV/0!</v>
      </c>
      <c r="U123" s="132"/>
      <c r="V123" s="135"/>
    </row>
    <row r="124" spans="1:22" x14ac:dyDescent="0.15">
      <c r="A124" s="130">
        <v>340</v>
      </c>
      <c r="B124" s="37" t="s">
        <v>387</v>
      </c>
      <c r="C124" s="132">
        <f t="shared" si="8"/>
        <v>1.2511000000000001</v>
      </c>
      <c r="D124" s="133">
        <v>4803</v>
      </c>
      <c r="E124" s="134">
        <v>6009.06</v>
      </c>
      <c r="F124" s="132">
        <v>0</v>
      </c>
      <c r="G124" s="132">
        <f t="shared" si="12"/>
        <v>0</v>
      </c>
      <c r="H124" s="133"/>
      <c r="I124" s="185"/>
      <c r="J124" s="132" t="e">
        <f t="shared" si="9"/>
        <v>#DIV/0!</v>
      </c>
      <c r="K124" s="132"/>
      <c r="L124" s="132">
        <f t="shared" si="13"/>
        <v>0</v>
      </c>
      <c r="M124" s="4"/>
      <c r="N124" s="68"/>
      <c r="O124" s="132" t="e">
        <f t="shared" si="10"/>
        <v>#DIV/0!</v>
      </c>
      <c r="P124" s="132"/>
      <c r="Q124" s="132">
        <f t="shared" si="14"/>
        <v>0</v>
      </c>
      <c r="R124" s="4"/>
      <c r="S124" s="68"/>
      <c r="T124" s="132" t="e">
        <f t="shared" si="11"/>
        <v>#DIV/0!</v>
      </c>
      <c r="U124" s="132"/>
      <c r="V124" s="135"/>
    </row>
    <row r="125" spans="1:22" x14ac:dyDescent="0.15">
      <c r="A125" s="130">
        <v>342</v>
      </c>
      <c r="B125" s="37" t="s">
        <v>602</v>
      </c>
      <c r="C125" s="132">
        <f t="shared" si="8"/>
        <v>1.4297</v>
      </c>
      <c r="D125" s="133">
        <v>4757</v>
      </c>
      <c r="E125" s="134">
        <v>6801.2</v>
      </c>
      <c r="F125" s="132">
        <v>3.84</v>
      </c>
      <c r="G125" s="132">
        <f t="shared" si="12"/>
        <v>0</v>
      </c>
      <c r="H125" s="133"/>
      <c r="I125" s="185"/>
      <c r="J125" s="132" t="e">
        <f t="shared" si="9"/>
        <v>#DIV/0!</v>
      </c>
      <c r="K125" s="132"/>
      <c r="L125" s="132">
        <f t="shared" si="13"/>
        <v>0</v>
      </c>
      <c r="M125" s="4"/>
      <c r="N125" s="68"/>
      <c r="O125" s="132" t="e">
        <f t="shared" si="10"/>
        <v>#DIV/0!</v>
      </c>
      <c r="P125" s="132"/>
      <c r="Q125" s="132">
        <f t="shared" si="14"/>
        <v>0</v>
      </c>
      <c r="R125" s="4"/>
      <c r="S125" s="68"/>
      <c r="T125" s="132" t="e">
        <f t="shared" si="11"/>
        <v>#DIV/0!</v>
      </c>
      <c r="U125" s="132"/>
      <c r="V125" s="135"/>
    </row>
    <row r="126" spans="1:22" x14ac:dyDescent="0.15">
      <c r="A126" s="130">
        <v>344</v>
      </c>
      <c r="B126" s="37" t="s">
        <v>348</v>
      </c>
      <c r="C126" s="132">
        <f t="shared" si="8"/>
        <v>1.4487000000000001</v>
      </c>
      <c r="D126" s="133">
        <v>6567</v>
      </c>
      <c r="E126" s="134">
        <v>9513.67</v>
      </c>
      <c r="F126" s="132">
        <v>0</v>
      </c>
      <c r="G126" s="132">
        <f t="shared" si="12"/>
        <v>0</v>
      </c>
      <c r="H126" s="133"/>
      <c r="I126" s="185"/>
      <c r="J126" s="132" t="e">
        <f t="shared" si="9"/>
        <v>#DIV/0!</v>
      </c>
      <c r="K126" s="132"/>
      <c r="L126" s="132">
        <f t="shared" si="13"/>
        <v>0</v>
      </c>
      <c r="M126" s="4"/>
      <c r="N126" s="68"/>
      <c r="O126" s="132" t="e">
        <f t="shared" si="10"/>
        <v>#DIV/0!</v>
      </c>
      <c r="P126" s="132"/>
      <c r="Q126" s="132">
        <f t="shared" si="14"/>
        <v>0</v>
      </c>
      <c r="R126" s="4"/>
      <c r="S126" s="68"/>
      <c r="T126" s="132" t="e">
        <f t="shared" si="11"/>
        <v>#DIV/0!</v>
      </c>
      <c r="U126" s="132"/>
      <c r="V126" s="135"/>
    </row>
    <row r="127" spans="1:22" x14ac:dyDescent="0.15">
      <c r="A127" s="130">
        <v>348</v>
      </c>
      <c r="B127" s="37" t="s">
        <v>436</v>
      </c>
      <c r="C127" s="132">
        <f t="shared" si="8"/>
        <v>1.3189</v>
      </c>
      <c r="D127" s="133">
        <v>8684</v>
      </c>
      <c r="E127" s="134">
        <v>11452.99</v>
      </c>
      <c r="F127" s="132">
        <v>0</v>
      </c>
      <c r="G127" s="132">
        <f t="shared" si="12"/>
        <v>0</v>
      </c>
      <c r="H127" s="133"/>
      <c r="I127" s="185"/>
      <c r="J127" s="132" t="e">
        <f t="shared" si="9"/>
        <v>#DIV/0!</v>
      </c>
      <c r="K127" s="132"/>
      <c r="L127" s="132">
        <f t="shared" si="13"/>
        <v>0</v>
      </c>
      <c r="M127" s="4"/>
      <c r="N127" s="68"/>
      <c r="O127" s="132" t="e">
        <f t="shared" si="10"/>
        <v>#DIV/0!</v>
      </c>
      <c r="P127" s="132"/>
      <c r="Q127" s="132">
        <f t="shared" si="14"/>
        <v>0</v>
      </c>
      <c r="R127" s="4"/>
      <c r="S127" s="68"/>
      <c r="T127" s="132" t="e">
        <f t="shared" si="11"/>
        <v>#DIV/0!</v>
      </c>
      <c r="U127" s="132"/>
      <c r="V127" s="135"/>
    </row>
    <row r="128" spans="1:22" x14ac:dyDescent="0.15">
      <c r="A128" s="130">
        <v>354</v>
      </c>
      <c r="B128" s="37" t="s">
        <v>222</v>
      </c>
      <c r="C128" s="132">
        <f t="shared" si="8"/>
        <v>1.3238000000000001</v>
      </c>
      <c r="D128" s="133">
        <v>1622</v>
      </c>
      <c r="E128" s="134">
        <v>2147.1999999999998</v>
      </c>
      <c r="F128" s="132">
        <v>0</v>
      </c>
      <c r="G128" s="132">
        <f t="shared" si="12"/>
        <v>0</v>
      </c>
      <c r="H128" s="133"/>
      <c r="I128" s="185"/>
      <c r="J128" s="132" t="e">
        <f t="shared" si="9"/>
        <v>#DIV/0!</v>
      </c>
      <c r="K128" s="132"/>
      <c r="L128" s="132">
        <f t="shared" si="13"/>
        <v>0</v>
      </c>
      <c r="M128" s="4"/>
      <c r="N128" s="68"/>
      <c r="O128" s="132" t="e">
        <f t="shared" si="10"/>
        <v>#DIV/0!</v>
      </c>
      <c r="P128" s="132"/>
      <c r="Q128" s="132">
        <f t="shared" si="14"/>
        <v>0</v>
      </c>
      <c r="R128" s="4"/>
      <c r="S128" s="68"/>
      <c r="T128" s="132" t="e">
        <f t="shared" si="11"/>
        <v>#DIV/0!</v>
      </c>
      <c r="U128" s="132"/>
      <c r="V128" s="135"/>
    </row>
    <row r="129" spans="1:22" x14ac:dyDescent="0.15">
      <c r="A129" s="130">
        <v>358</v>
      </c>
      <c r="B129" s="37" t="s">
        <v>619</v>
      </c>
      <c r="C129" s="132">
        <f t="shared" si="8"/>
        <v>1.5245</v>
      </c>
      <c r="D129" s="133">
        <v>9126</v>
      </c>
      <c r="E129" s="134">
        <v>13912.84</v>
      </c>
      <c r="F129" s="132">
        <v>0</v>
      </c>
      <c r="G129" s="132">
        <f t="shared" si="12"/>
        <v>0</v>
      </c>
      <c r="H129" s="133"/>
      <c r="I129" s="185"/>
      <c r="J129" s="132" t="e">
        <f t="shared" si="9"/>
        <v>#DIV/0!</v>
      </c>
      <c r="K129" s="132"/>
      <c r="L129" s="132">
        <f t="shared" si="13"/>
        <v>0</v>
      </c>
      <c r="M129" s="4"/>
      <c r="N129" s="68"/>
      <c r="O129" s="132" t="e">
        <f t="shared" si="10"/>
        <v>#DIV/0!</v>
      </c>
      <c r="P129" s="132"/>
      <c r="Q129" s="132">
        <f t="shared" si="14"/>
        <v>0</v>
      </c>
      <c r="R129" s="4"/>
      <c r="S129" s="68"/>
      <c r="T129" s="132" t="e">
        <f t="shared" si="11"/>
        <v>#DIV/0!</v>
      </c>
      <c r="U129" s="132"/>
      <c r="V129" s="135"/>
    </row>
    <row r="130" spans="1:22" x14ac:dyDescent="0.15">
      <c r="A130" s="130">
        <v>362</v>
      </c>
      <c r="B130" s="37" t="s">
        <v>558</v>
      </c>
      <c r="C130" s="132">
        <f t="shared" si="8"/>
        <v>1.4796</v>
      </c>
      <c r="D130" s="133">
        <v>6510</v>
      </c>
      <c r="E130" s="134">
        <v>9632.27</v>
      </c>
      <c r="F130" s="132">
        <v>0</v>
      </c>
      <c r="G130" s="132">
        <f t="shared" si="12"/>
        <v>0</v>
      </c>
      <c r="H130" s="133"/>
      <c r="I130" s="185"/>
      <c r="J130" s="132" t="e">
        <f t="shared" si="9"/>
        <v>#DIV/0!</v>
      </c>
      <c r="K130" s="132"/>
      <c r="L130" s="132">
        <f t="shared" si="13"/>
        <v>0</v>
      </c>
      <c r="M130" s="4"/>
      <c r="N130" s="68"/>
      <c r="O130" s="132" t="e">
        <f t="shared" si="10"/>
        <v>#DIV/0!</v>
      </c>
      <c r="P130" s="132"/>
      <c r="Q130" s="132">
        <f t="shared" si="14"/>
        <v>0</v>
      </c>
      <c r="R130" s="4"/>
      <c r="S130" s="68"/>
      <c r="T130" s="132" t="e">
        <f t="shared" si="11"/>
        <v>#DIV/0!</v>
      </c>
      <c r="U130" s="132"/>
      <c r="V130" s="135"/>
    </row>
    <row r="131" spans="1:22" x14ac:dyDescent="0.15">
      <c r="A131" s="130">
        <v>364</v>
      </c>
      <c r="B131" s="37" t="s">
        <v>178</v>
      </c>
      <c r="C131" s="132">
        <f t="shared" si="8"/>
        <v>1.3109999999999999</v>
      </c>
      <c r="D131" s="133">
        <v>642</v>
      </c>
      <c r="E131" s="134">
        <v>841.64</v>
      </c>
      <c r="F131" s="132">
        <v>0</v>
      </c>
      <c r="G131" s="132">
        <f t="shared" si="12"/>
        <v>0</v>
      </c>
      <c r="H131" s="133"/>
      <c r="I131" s="185"/>
      <c r="J131" s="132" t="e">
        <f t="shared" si="9"/>
        <v>#DIV/0!</v>
      </c>
      <c r="K131" s="132"/>
      <c r="L131" s="132">
        <f t="shared" si="13"/>
        <v>0</v>
      </c>
      <c r="M131" s="4"/>
      <c r="N131" s="68"/>
      <c r="O131" s="132" t="e">
        <f t="shared" si="10"/>
        <v>#DIV/0!</v>
      </c>
      <c r="P131" s="132"/>
      <c r="Q131" s="132">
        <f t="shared" si="14"/>
        <v>0</v>
      </c>
      <c r="R131" s="4"/>
      <c r="S131" s="68"/>
      <c r="T131" s="132" t="e">
        <f t="shared" si="11"/>
        <v>#DIV/0!</v>
      </c>
      <c r="U131" s="132"/>
      <c r="V131" s="135"/>
    </row>
    <row r="132" spans="1:22" x14ac:dyDescent="0.15">
      <c r="A132" s="130">
        <v>366</v>
      </c>
      <c r="B132" s="37" t="s">
        <v>598</v>
      </c>
      <c r="C132" s="132">
        <f t="shared" si="8"/>
        <v>1.244</v>
      </c>
      <c r="D132" s="133">
        <v>6318</v>
      </c>
      <c r="E132" s="134">
        <v>7859.77</v>
      </c>
      <c r="F132" s="132">
        <v>0</v>
      </c>
      <c r="G132" s="132">
        <f t="shared" si="12"/>
        <v>0</v>
      </c>
      <c r="H132" s="133"/>
      <c r="I132" s="185"/>
      <c r="J132" s="132" t="e">
        <f t="shared" si="9"/>
        <v>#DIV/0!</v>
      </c>
      <c r="K132" s="132"/>
      <c r="L132" s="132">
        <f t="shared" si="13"/>
        <v>0</v>
      </c>
      <c r="M132" s="4"/>
      <c r="N132" s="68"/>
      <c r="O132" s="132" t="e">
        <f t="shared" si="10"/>
        <v>#DIV/0!</v>
      </c>
      <c r="P132" s="132"/>
      <c r="Q132" s="132">
        <f t="shared" si="14"/>
        <v>0</v>
      </c>
      <c r="R132" s="4"/>
      <c r="S132" s="68"/>
      <c r="T132" s="132" t="e">
        <f t="shared" si="11"/>
        <v>#DIV/0!</v>
      </c>
      <c r="U132" s="132"/>
      <c r="V132" s="135"/>
    </row>
    <row r="133" spans="1:22" x14ac:dyDescent="0.15">
      <c r="A133" s="130">
        <v>368</v>
      </c>
      <c r="B133" s="37" t="s">
        <v>507</v>
      </c>
      <c r="C133" s="132">
        <f t="shared" ref="C133:C196" si="18">IF(D133=0,SW_CMI,ROUND(E133/D133,4))</f>
        <v>1.3631</v>
      </c>
      <c r="D133" s="133">
        <v>11020</v>
      </c>
      <c r="E133" s="134">
        <v>15021.62</v>
      </c>
      <c r="F133" s="132">
        <v>0</v>
      </c>
      <c r="G133" s="132">
        <f t="shared" si="12"/>
        <v>0</v>
      </c>
      <c r="H133" s="133"/>
      <c r="I133" s="185"/>
      <c r="J133" s="132" t="e">
        <f t="shared" ref="J133:J196" si="19">IF(ROUND(G133*$I$214,4)&gt;0,ROUND(G133*$I$214,4),$I$213)</f>
        <v>#DIV/0!</v>
      </c>
      <c r="K133" s="132"/>
      <c r="L133" s="132">
        <f t="shared" si="13"/>
        <v>0</v>
      </c>
      <c r="M133" s="4"/>
      <c r="N133" s="68"/>
      <c r="O133" s="132" t="e">
        <f t="shared" ref="O133:O196" si="20">IF(ROUND(L133*$N$214,4)&gt;0,ROUND(L133*$N$214,4),$N$213)</f>
        <v>#DIV/0!</v>
      </c>
      <c r="P133" s="132"/>
      <c r="Q133" s="132">
        <f t="shared" si="14"/>
        <v>0</v>
      </c>
      <c r="R133" s="4"/>
      <c r="S133" s="68"/>
      <c r="T133" s="132" t="e">
        <f t="shared" ref="T133:T196" si="21">IF(ROUND(Q133*$S$214,4)&gt;0,ROUND(Q133*$S$214,4),$S$213)</f>
        <v>#DIV/0!</v>
      </c>
      <c r="U133" s="132"/>
      <c r="V133" s="135"/>
    </row>
    <row r="134" spans="1:22" x14ac:dyDescent="0.15">
      <c r="A134" s="130">
        <v>370</v>
      </c>
      <c r="B134" s="37" t="s">
        <v>705</v>
      </c>
      <c r="C134" s="132">
        <f t="shared" si="18"/>
        <v>1.2130000000000001</v>
      </c>
      <c r="D134" s="133">
        <v>9371</v>
      </c>
      <c r="E134" s="134">
        <v>11366.68</v>
      </c>
      <c r="F134" s="132">
        <v>0</v>
      </c>
      <c r="G134" s="132">
        <f t="shared" ref="G134:G197" si="22">IF(H134=0,0,ROUND(I134/H134,4))</f>
        <v>0</v>
      </c>
      <c r="H134" s="133"/>
      <c r="I134" s="185"/>
      <c r="J134" s="132" t="e">
        <f t="shared" si="19"/>
        <v>#DIV/0!</v>
      </c>
      <c r="K134" s="132"/>
      <c r="L134" s="132">
        <f t="shared" ref="L134:L197" si="23">IF(M134=0,0,ROUND(N134/M134,4))</f>
        <v>0</v>
      </c>
      <c r="M134" s="4"/>
      <c r="N134" s="68"/>
      <c r="O134" s="132" t="e">
        <f t="shared" si="20"/>
        <v>#DIV/0!</v>
      </c>
      <c r="P134" s="132"/>
      <c r="Q134" s="132">
        <f t="shared" ref="Q134:Q197" si="24">IF(R134=0,0,ROUND(S134/R134,4))</f>
        <v>0</v>
      </c>
      <c r="R134" s="4"/>
      <c r="S134" s="68"/>
      <c r="T134" s="132" t="e">
        <f t="shared" si="21"/>
        <v>#DIV/0!</v>
      </c>
      <c r="U134" s="132"/>
      <c r="V134" s="135"/>
    </row>
    <row r="135" spans="1:22" x14ac:dyDescent="0.15">
      <c r="A135" s="130">
        <v>372</v>
      </c>
      <c r="B135" s="37" t="s">
        <v>653</v>
      </c>
      <c r="C135" s="132">
        <f t="shared" si="18"/>
        <v>1.3384</v>
      </c>
      <c r="D135" s="133">
        <v>7770</v>
      </c>
      <c r="E135" s="134">
        <v>10399.120000000001</v>
      </c>
      <c r="F135" s="132">
        <v>0</v>
      </c>
      <c r="G135" s="132">
        <f t="shared" si="22"/>
        <v>0</v>
      </c>
      <c r="H135" s="133"/>
      <c r="I135" s="185"/>
      <c r="J135" s="132" t="e">
        <f t="shared" si="19"/>
        <v>#DIV/0!</v>
      </c>
      <c r="K135" s="132"/>
      <c r="L135" s="132">
        <f t="shared" si="23"/>
        <v>0</v>
      </c>
      <c r="M135" s="4"/>
      <c r="N135" s="68"/>
      <c r="O135" s="132" t="e">
        <f t="shared" si="20"/>
        <v>#DIV/0!</v>
      </c>
      <c r="P135" s="132"/>
      <c r="Q135" s="132">
        <f t="shared" si="24"/>
        <v>0</v>
      </c>
      <c r="R135" s="4"/>
      <c r="S135" s="68"/>
      <c r="T135" s="132" t="e">
        <f t="shared" si="21"/>
        <v>#DIV/0!</v>
      </c>
      <c r="U135" s="132"/>
      <c r="V135" s="135"/>
    </row>
    <row r="136" spans="1:22" x14ac:dyDescent="0.15">
      <c r="A136" s="130">
        <v>374</v>
      </c>
      <c r="B136" s="37" t="s">
        <v>666</v>
      </c>
      <c r="C136" s="132">
        <f t="shared" si="18"/>
        <v>1.5674999999999999</v>
      </c>
      <c r="D136" s="133">
        <v>4306</v>
      </c>
      <c r="E136" s="134">
        <v>6749.54</v>
      </c>
      <c r="F136" s="132">
        <v>0</v>
      </c>
      <c r="G136" s="132">
        <f t="shared" si="22"/>
        <v>0</v>
      </c>
      <c r="H136" s="133"/>
      <c r="I136" s="185"/>
      <c r="J136" s="132" t="e">
        <f t="shared" si="19"/>
        <v>#DIV/0!</v>
      </c>
      <c r="K136" s="132"/>
      <c r="L136" s="132">
        <f t="shared" si="23"/>
        <v>0</v>
      </c>
      <c r="M136" s="4"/>
      <c r="N136" s="68"/>
      <c r="O136" s="132" t="e">
        <f t="shared" si="20"/>
        <v>#DIV/0!</v>
      </c>
      <c r="P136" s="132"/>
      <c r="Q136" s="132">
        <f t="shared" si="24"/>
        <v>0</v>
      </c>
      <c r="R136" s="4"/>
      <c r="S136" s="68"/>
      <c r="T136" s="132" t="e">
        <f t="shared" si="21"/>
        <v>#DIV/0!</v>
      </c>
      <c r="U136" s="132"/>
      <c r="V136" s="135"/>
    </row>
    <row r="137" spans="1:22" x14ac:dyDescent="0.15">
      <c r="A137" s="130">
        <v>378</v>
      </c>
      <c r="B137" s="37" t="s">
        <v>418</v>
      </c>
      <c r="C137" s="132">
        <f t="shared" si="18"/>
        <v>1.3787</v>
      </c>
      <c r="D137" s="133">
        <v>6372</v>
      </c>
      <c r="E137" s="134">
        <v>8784.89</v>
      </c>
      <c r="F137" s="132">
        <v>0</v>
      </c>
      <c r="G137" s="132">
        <f t="shared" si="22"/>
        <v>0</v>
      </c>
      <c r="H137" s="133"/>
      <c r="I137" s="185"/>
      <c r="J137" s="132" t="e">
        <f t="shared" si="19"/>
        <v>#DIV/0!</v>
      </c>
      <c r="K137" s="132"/>
      <c r="L137" s="132">
        <f t="shared" si="23"/>
        <v>0</v>
      </c>
      <c r="M137" s="4"/>
      <c r="N137" s="68"/>
      <c r="O137" s="132" t="e">
        <f t="shared" si="20"/>
        <v>#DIV/0!</v>
      </c>
      <c r="P137" s="132"/>
      <c r="Q137" s="132">
        <f t="shared" si="24"/>
        <v>0</v>
      </c>
      <c r="R137" s="4"/>
      <c r="S137" s="68"/>
      <c r="T137" s="132" t="e">
        <f t="shared" si="21"/>
        <v>#DIV/0!</v>
      </c>
      <c r="U137" s="132"/>
      <c r="V137" s="135"/>
    </row>
    <row r="138" spans="1:22" x14ac:dyDescent="0.15">
      <c r="A138" s="130">
        <v>380</v>
      </c>
      <c r="B138" s="37" t="s">
        <v>226</v>
      </c>
      <c r="C138" s="132">
        <f t="shared" si="18"/>
        <v>1.3535999999999999</v>
      </c>
      <c r="D138" s="133">
        <v>1184</v>
      </c>
      <c r="E138" s="134">
        <v>1602.69</v>
      </c>
      <c r="F138" s="132">
        <v>0</v>
      </c>
      <c r="G138" s="132">
        <f t="shared" si="22"/>
        <v>0</v>
      </c>
      <c r="H138" s="133"/>
      <c r="I138" s="185"/>
      <c r="J138" s="132" t="e">
        <f t="shared" si="19"/>
        <v>#DIV/0!</v>
      </c>
      <c r="K138" s="132"/>
      <c r="L138" s="132">
        <f t="shared" si="23"/>
        <v>0</v>
      </c>
      <c r="M138" s="4"/>
      <c r="N138" s="68"/>
      <c r="O138" s="132" t="e">
        <f t="shared" si="20"/>
        <v>#DIV/0!</v>
      </c>
      <c r="P138" s="132"/>
      <c r="Q138" s="132">
        <f t="shared" si="24"/>
        <v>0</v>
      </c>
      <c r="R138" s="4"/>
      <c r="S138" s="68"/>
      <c r="T138" s="132" t="e">
        <f t="shared" si="21"/>
        <v>#DIV/0!</v>
      </c>
      <c r="U138" s="132"/>
      <c r="V138" s="135"/>
    </row>
    <row r="139" spans="1:22" x14ac:dyDescent="0.15">
      <c r="A139" s="130">
        <v>382</v>
      </c>
      <c r="B139" s="37" t="s">
        <v>820</v>
      </c>
      <c r="C139" s="132">
        <f t="shared" si="18"/>
        <v>1.4601</v>
      </c>
      <c r="D139" s="133">
        <v>3965</v>
      </c>
      <c r="E139" s="134">
        <v>5789.39</v>
      </c>
      <c r="F139" s="132">
        <v>0</v>
      </c>
      <c r="G139" s="132">
        <f t="shared" si="22"/>
        <v>0</v>
      </c>
      <c r="H139" s="133"/>
      <c r="I139" s="185"/>
      <c r="J139" s="132" t="e">
        <f t="shared" si="19"/>
        <v>#DIV/0!</v>
      </c>
      <c r="K139" s="132"/>
      <c r="L139" s="132">
        <f t="shared" si="23"/>
        <v>0</v>
      </c>
      <c r="M139" s="4"/>
      <c r="N139" s="68"/>
      <c r="O139" s="132" t="e">
        <f t="shared" si="20"/>
        <v>#DIV/0!</v>
      </c>
      <c r="P139" s="132"/>
      <c r="Q139" s="132">
        <f t="shared" si="24"/>
        <v>0</v>
      </c>
      <c r="R139" s="4"/>
      <c r="S139" s="68"/>
      <c r="T139" s="132" t="e">
        <f t="shared" si="21"/>
        <v>#DIV/0!</v>
      </c>
      <c r="U139" s="132"/>
      <c r="V139" s="135"/>
    </row>
    <row r="140" spans="1:22" x14ac:dyDescent="0.15">
      <c r="A140" s="130">
        <v>384</v>
      </c>
      <c r="B140" s="37" t="s">
        <v>493</v>
      </c>
      <c r="C140" s="132">
        <f t="shared" si="18"/>
        <v>1.4460999999999999</v>
      </c>
      <c r="D140" s="133">
        <v>14935</v>
      </c>
      <c r="E140" s="134">
        <v>21597.17</v>
      </c>
      <c r="F140" s="132">
        <v>0</v>
      </c>
      <c r="G140" s="132">
        <f t="shared" si="22"/>
        <v>0</v>
      </c>
      <c r="H140" s="133"/>
      <c r="I140" s="185"/>
      <c r="J140" s="132" t="e">
        <f t="shared" si="19"/>
        <v>#DIV/0!</v>
      </c>
      <c r="K140" s="132"/>
      <c r="L140" s="132">
        <f t="shared" si="23"/>
        <v>0</v>
      </c>
      <c r="M140" s="4"/>
      <c r="N140" s="68"/>
      <c r="O140" s="132" t="e">
        <f t="shared" si="20"/>
        <v>#DIV/0!</v>
      </c>
      <c r="P140" s="132"/>
      <c r="Q140" s="132">
        <f t="shared" si="24"/>
        <v>0</v>
      </c>
      <c r="R140" s="4"/>
      <c r="S140" s="68"/>
      <c r="T140" s="132" t="e">
        <f t="shared" si="21"/>
        <v>#DIV/0!</v>
      </c>
      <c r="U140" s="132"/>
      <c r="V140" s="135"/>
    </row>
    <row r="141" spans="1:22" x14ac:dyDescent="0.15">
      <c r="A141" s="130">
        <v>386</v>
      </c>
      <c r="B141" s="37" t="s">
        <v>338</v>
      </c>
      <c r="C141" s="132">
        <f t="shared" si="18"/>
        <v>1.5327999999999999</v>
      </c>
      <c r="D141" s="133">
        <v>7525</v>
      </c>
      <c r="E141" s="134">
        <v>11534.33</v>
      </c>
      <c r="F141" s="132">
        <v>0</v>
      </c>
      <c r="G141" s="132">
        <f t="shared" si="22"/>
        <v>0</v>
      </c>
      <c r="H141" s="133"/>
      <c r="I141" s="185"/>
      <c r="J141" s="132" t="e">
        <f t="shared" si="19"/>
        <v>#DIV/0!</v>
      </c>
      <c r="K141" s="132"/>
      <c r="L141" s="132">
        <f t="shared" si="23"/>
        <v>0</v>
      </c>
      <c r="M141" s="4"/>
      <c r="N141" s="68"/>
      <c r="O141" s="132" t="e">
        <f t="shared" si="20"/>
        <v>#DIV/0!</v>
      </c>
      <c r="P141" s="132"/>
      <c r="Q141" s="132">
        <f t="shared" si="24"/>
        <v>0</v>
      </c>
      <c r="R141" s="4"/>
      <c r="S141" s="68"/>
      <c r="T141" s="132" t="e">
        <f t="shared" si="21"/>
        <v>#DIV/0!</v>
      </c>
      <c r="U141" s="132"/>
      <c r="V141" s="135"/>
    </row>
    <row r="142" spans="1:22" x14ac:dyDescent="0.15">
      <c r="A142" s="130">
        <v>388</v>
      </c>
      <c r="B142" s="37" t="s">
        <v>532</v>
      </c>
      <c r="C142" s="132">
        <f t="shared" si="18"/>
        <v>1.5607</v>
      </c>
      <c r="D142" s="133">
        <v>4303</v>
      </c>
      <c r="E142" s="134">
        <v>6715.63</v>
      </c>
      <c r="F142" s="132">
        <v>0</v>
      </c>
      <c r="G142" s="132">
        <f t="shared" si="22"/>
        <v>0</v>
      </c>
      <c r="H142" s="133"/>
      <c r="I142" s="185"/>
      <c r="J142" s="132" t="e">
        <f t="shared" si="19"/>
        <v>#DIV/0!</v>
      </c>
      <c r="K142" s="132"/>
      <c r="L142" s="132">
        <f t="shared" si="23"/>
        <v>0</v>
      </c>
      <c r="M142" s="4"/>
      <c r="N142" s="68"/>
      <c r="O142" s="132" t="e">
        <f t="shared" si="20"/>
        <v>#DIV/0!</v>
      </c>
      <c r="P142" s="132"/>
      <c r="Q142" s="132">
        <f t="shared" si="24"/>
        <v>0</v>
      </c>
      <c r="R142" s="4"/>
      <c r="S142" s="68"/>
      <c r="T142" s="132" t="e">
        <f t="shared" si="21"/>
        <v>#DIV/0!</v>
      </c>
      <c r="U142" s="132"/>
      <c r="V142" s="135"/>
    </row>
    <row r="143" spans="1:22" x14ac:dyDescent="0.15">
      <c r="A143" s="130">
        <v>390</v>
      </c>
      <c r="B143" s="37" t="s">
        <v>450</v>
      </c>
      <c r="C143" s="132">
        <f t="shared" si="18"/>
        <v>1.5104</v>
      </c>
      <c r="D143" s="133">
        <v>8107</v>
      </c>
      <c r="E143" s="134">
        <v>12244.7</v>
      </c>
      <c r="F143" s="132">
        <v>0</v>
      </c>
      <c r="G143" s="132">
        <f t="shared" si="22"/>
        <v>0</v>
      </c>
      <c r="H143" s="133"/>
      <c r="I143" s="185"/>
      <c r="J143" s="132" t="e">
        <f t="shared" si="19"/>
        <v>#DIV/0!</v>
      </c>
      <c r="K143" s="132"/>
      <c r="L143" s="132">
        <f t="shared" si="23"/>
        <v>0</v>
      </c>
      <c r="M143" s="4"/>
      <c r="N143" s="68"/>
      <c r="O143" s="132" t="e">
        <f t="shared" si="20"/>
        <v>#DIV/0!</v>
      </c>
      <c r="P143" s="132"/>
      <c r="Q143" s="132">
        <f t="shared" si="24"/>
        <v>0</v>
      </c>
      <c r="R143" s="4"/>
      <c r="S143" s="68"/>
      <c r="T143" s="132" t="e">
        <f t="shared" si="21"/>
        <v>#DIV/0!</v>
      </c>
      <c r="U143" s="132"/>
      <c r="V143" s="135"/>
    </row>
    <row r="144" spans="1:22" x14ac:dyDescent="0.15">
      <c r="A144" s="130">
        <v>394</v>
      </c>
      <c r="B144" s="37" t="s">
        <v>184</v>
      </c>
      <c r="C144" s="132">
        <f t="shared" si="18"/>
        <v>1.1698</v>
      </c>
      <c r="D144" s="133">
        <v>2914</v>
      </c>
      <c r="E144" s="134">
        <v>3408.74</v>
      </c>
      <c r="F144" s="132">
        <v>0</v>
      </c>
      <c r="G144" s="132">
        <f t="shared" si="22"/>
        <v>0</v>
      </c>
      <c r="H144" s="133"/>
      <c r="I144" s="185"/>
      <c r="J144" s="132" t="e">
        <f t="shared" si="19"/>
        <v>#DIV/0!</v>
      </c>
      <c r="K144" s="132"/>
      <c r="L144" s="132">
        <f t="shared" si="23"/>
        <v>0</v>
      </c>
      <c r="M144" s="4"/>
      <c r="N144" s="68"/>
      <c r="O144" s="132" t="e">
        <f t="shared" si="20"/>
        <v>#DIV/0!</v>
      </c>
      <c r="P144" s="132"/>
      <c r="Q144" s="132">
        <f t="shared" si="24"/>
        <v>0</v>
      </c>
      <c r="R144" s="4"/>
      <c r="S144" s="68"/>
      <c r="T144" s="132" t="e">
        <f t="shared" si="21"/>
        <v>#DIV/0!</v>
      </c>
      <c r="U144" s="132"/>
      <c r="V144" s="135"/>
    </row>
    <row r="145" spans="1:22" x14ac:dyDescent="0.15">
      <c r="A145" s="130">
        <v>398</v>
      </c>
      <c r="B145" s="37" t="s">
        <v>766</v>
      </c>
      <c r="C145" s="132">
        <f t="shared" si="18"/>
        <v>1.4177999999999999</v>
      </c>
      <c r="D145" s="133">
        <v>11677</v>
      </c>
      <c r="E145" s="134">
        <v>16555.240000000002</v>
      </c>
      <c r="F145" s="132">
        <v>0</v>
      </c>
      <c r="G145" s="132">
        <f t="shared" si="22"/>
        <v>0</v>
      </c>
      <c r="H145" s="133"/>
      <c r="I145" s="185"/>
      <c r="J145" s="132" t="e">
        <f t="shared" si="19"/>
        <v>#DIV/0!</v>
      </c>
      <c r="K145" s="132"/>
      <c r="L145" s="132">
        <f t="shared" si="23"/>
        <v>0</v>
      </c>
      <c r="M145" s="4"/>
      <c r="N145" s="68"/>
      <c r="O145" s="132" t="e">
        <f t="shared" si="20"/>
        <v>#DIV/0!</v>
      </c>
      <c r="P145" s="132"/>
      <c r="Q145" s="132">
        <f t="shared" si="24"/>
        <v>0</v>
      </c>
      <c r="R145" s="4"/>
      <c r="S145" s="68"/>
      <c r="T145" s="132" t="e">
        <f t="shared" si="21"/>
        <v>#DIV/0!</v>
      </c>
      <c r="U145" s="132"/>
      <c r="V145" s="135"/>
    </row>
    <row r="146" spans="1:22" x14ac:dyDescent="0.15">
      <c r="A146" s="130">
        <v>400</v>
      </c>
      <c r="B146" s="37" t="s">
        <v>599</v>
      </c>
      <c r="C146" s="132">
        <f t="shared" si="18"/>
        <v>1.4254</v>
      </c>
      <c r="D146" s="133">
        <v>8797</v>
      </c>
      <c r="E146" s="134">
        <v>12539.56</v>
      </c>
      <c r="F146" s="132">
        <v>0</v>
      </c>
      <c r="G146" s="132">
        <f t="shared" si="22"/>
        <v>0</v>
      </c>
      <c r="H146" s="133"/>
      <c r="I146" s="185"/>
      <c r="J146" s="132" t="e">
        <f t="shared" si="19"/>
        <v>#DIV/0!</v>
      </c>
      <c r="K146" s="132"/>
      <c r="L146" s="132">
        <f t="shared" si="23"/>
        <v>0</v>
      </c>
      <c r="M146" s="4"/>
      <c r="N146" s="68"/>
      <c r="O146" s="132" t="e">
        <f t="shared" si="20"/>
        <v>#DIV/0!</v>
      </c>
      <c r="P146" s="132"/>
      <c r="Q146" s="132">
        <f t="shared" si="24"/>
        <v>0</v>
      </c>
      <c r="R146" s="4"/>
      <c r="S146" s="68"/>
      <c r="T146" s="132" t="e">
        <f t="shared" si="21"/>
        <v>#DIV/0!</v>
      </c>
      <c r="U146" s="132"/>
      <c r="V146" s="135"/>
    </row>
    <row r="147" spans="1:22" x14ac:dyDescent="0.15">
      <c r="A147" s="130">
        <v>402</v>
      </c>
      <c r="B147" s="37" t="s">
        <v>458</v>
      </c>
      <c r="C147" s="132">
        <f t="shared" si="18"/>
        <v>1.4459</v>
      </c>
      <c r="D147" s="133">
        <v>8058</v>
      </c>
      <c r="E147" s="134">
        <v>11650.75</v>
      </c>
      <c r="F147" s="132">
        <v>0</v>
      </c>
      <c r="G147" s="132">
        <f t="shared" si="22"/>
        <v>0</v>
      </c>
      <c r="H147" s="133"/>
      <c r="I147" s="185"/>
      <c r="J147" s="132" t="e">
        <f t="shared" si="19"/>
        <v>#DIV/0!</v>
      </c>
      <c r="K147" s="132"/>
      <c r="L147" s="132">
        <f t="shared" si="23"/>
        <v>0</v>
      </c>
      <c r="M147" s="4"/>
      <c r="N147" s="68"/>
      <c r="O147" s="132" t="e">
        <f t="shared" si="20"/>
        <v>#DIV/0!</v>
      </c>
      <c r="P147" s="132"/>
      <c r="Q147" s="132">
        <f t="shared" si="24"/>
        <v>0</v>
      </c>
      <c r="R147" s="4"/>
      <c r="S147" s="68"/>
      <c r="T147" s="132" t="e">
        <f t="shared" si="21"/>
        <v>#DIV/0!</v>
      </c>
      <c r="U147" s="132"/>
      <c r="V147" s="135"/>
    </row>
    <row r="148" spans="1:22" x14ac:dyDescent="0.15">
      <c r="A148" s="130">
        <v>406</v>
      </c>
      <c r="B148" s="37" t="s">
        <v>500</v>
      </c>
      <c r="C148" s="132">
        <f t="shared" si="18"/>
        <v>1.3888</v>
      </c>
      <c r="D148" s="133">
        <v>4101</v>
      </c>
      <c r="E148" s="134">
        <v>5695.59</v>
      </c>
      <c r="F148" s="132">
        <v>0</v>
      </c>
      <c r="G148" s="132">
        <f t="shared" si="22"/>
        <v>0</v>
      </c>
      <c r="H148" s="133"/>
      <c r="I148" s="185"/>
      <c r="J148" s="132" t="e">
        <f t="shared" si="19"/>
        <v>#DIV/0!</v>
      </c>
      <c r="K148" s="132"/>
      <c r="L148" s="132">
        <f t="shared" si="23"/>
        <v>0</v>
      </c>
      <c r="M148" s="4"/>
      <c r="N148" s="68"/>
      <c r="O148" s="132" t="e">
        <f t="shared" si="20"/>
        <v>#DIV/0!</v>
      </c>
      <c r="P148" s="132"/>
      <c r="Q148" s="132">
        <f t="shared" si="24"/>
        <v>0</v>
      </c>
      <c r="R148" s="4"/>
      <c r="S148" s="68"/>
      <c r="T148" s="132" t="e">
        <f t="shared" si="21"/>
        <v>#DIV/0!</v>
      </c>
      <c r="U148" s="132"/>
      <c r="V148" s="135"/>
    </row>
    <row r="149" spans="1:22" x14ac:dyDescent="0.15">
      <c r="A149" s="130">
        <v>410</v>
      </c>
      <c r="B149" s="37" t="s">
        <v>560</v>
      </c>
      <c r="C149" s="132">
        <f t="shared" si="18"/>
        <v>1.4749000000000001</v>
      </c>
      <c r="D149" s="133">
        <v>5495</v>
      </c>
      <c r="E149" s="134">
        <v>8104.78</v>
      </c>
      <c r="F149" s="132">
        <v>0</v>
      </c>
      <c r="G149" s="132">
        <f t="shared" si="22"/>
        <v>0</v>
      </c>
      <c r="H149" s="133"/>
      <c r="I149" s="185"/>
      <c r="J149" s="132" t="e">
        <f t="shared" si="19"/>
        <v>#DIV/0!</v>
      </c>
      <c r="K149" s="132"/>
      <c r="L149" s="132">
        <f t="shared" si="23"/>
        <v>0</v>
      </c>
      <c r="M149" s="4"/>
      <c r="N149" s="68"/>
      <c r="O149" s="132" t="e">
        <f t="shared" si="20"/>
        <v>#DIV/0!</v>
      </c>
      <c r="P149" s="132"/>
      <c r="Q149" s="132">
        <f t="shared" si="24"/>
        <v>0</v>
      </c>
      <c r="R149" s="4"/>
      <c r="S149" s="68"/>
      <c r="T149" s="132" t="e">
        <f t="shared" si="21"/>
        <v>#DIV/0!</v>
      </c>
      <c r="U149" s="132"/>
      <c r="V149" s="135"/>
    </row>
    <row r="150" spans="1:22" x14ac:dyDescent="0.15">
      <c r="A150" s="130">
        <v>412</v>
      </c>
      <c r="B150" s="37" t="s">
        <v>651</v>
      </c>
      <c r="C150" s="132">
        <f t="shared" si="18"/>
        <v>1.4906999999999999</v>
      </c>
      <c r="D150" s="133">
        <v>5020</v>
      </c>
      <c r="E150" s="134">
        <v>7483.24</v>
      </c>
      <c r="F150" s="132">
        <v>0</v>
      </c>
      <c r="G150" s="132">
        <f t="shared" si="22"/>
        <v>0</v>
      </c>
      <c r="H150" s="133"/>
      <c r="I150" s="185"/>
      <c r="J150" s="132" t="e">
        <f t="shared" si="19"/>
        <v>#DIV/0!</v>
      </c>
      <c r="K150" s="132"/>
      <c r="L150" s="132">
        <f t="shared" si="23"/>
        <v>0</v>
      </c>
      <c r="M150" s="4"/>
      <c r="N150" s="68"/>
      <c r="O150" s="132" t="e">
        <f t="shared" si="20"/>
        <v>#DIV/0!</v>
      </c>
      <c r="P150" s="132"/>
      <c r="Q150" s="132">
        <f t="shared" si="24"/>
        <v>0</v>
      </c>
      <c r="R150" s="4"/>
      <c r="S150" s="68"/>
      <c r="T150" s="132" t="e">
        <f t="shared" si="21"/>
        <v>#DIV/0!</v>
      </c>
      <c r="U150" s="132"/>
      <c r="V150" s="135"/>
    </row>
    <row r="151" spans="1:22" x14ac:dyDescent="0.15">
      <c r="A151" s="130">
        <v>416</v>
      </c>
      <c r="B151" s="37" t="s">
        <v>208</v>
      </c>
      <c r="C151" s="132">
        <f t="shared" si="18"/>
        <v>1.3271999999999999</v>
      </c>
      <c r="D151" s="133">
        <v>7459</v>
      </c>
      <c r="E151" s="134">
        <v>9899.43</v>
      </c>
      <c r="F151" s="132">
        <v>0</v>
      </c>
      <c r="G151" s="132">
        <f t="shared" si="22"/>
        <v>0</v>
      </c>
      <c r="H151" s="133"/>
      <c r="I151" s="185"/>
      <c r="J151" s="132" t="e">
        <f t="shared" si="19"/>
        <v>#DIV/0!</v>
      </c>
      <c r="K151" s="132"/>
      <c r="L151" s="132">
        <f t="shared" si="23"/>
        <v>0</v>
      </c>
      <c r="M151" s="4"/>
      <c r="N151" s="68"/>
      <c r="O151" s="132" t="e">
        <f t="shared" si="20"/>
        <v>#DIV/0!</v>
      </c>
      <c r="P151" s="132"/>
      <c r="Q151" s="132">
        <f t="shared" si="24"/>
        <v>0</v>
      </c>
      <c r="R151" s="4"/>
      <c r="S151" s="68"/>
      <c r="T151" s="132" t="e">
        <f t="shared" si="21"/>
        <v>#DIV/0!</v>
      </c>
      <c r="U151" s="132"/>
      <c r="V151" s="135"/>
    </row>
    <row r="152" spans="1:22" x14ac:dyDescent="0.15">
      <c r="A152" s="130">
        <v>418</v>
      </c>
      <c r="B152" s="37" t="s">
        <v>672</v>
      </c>
      <c r="C152" s="132">
        <f t="shared" si="18"/>
        <v>1.0669999999999999</v>
      </c>
      <c r="D152" s="133">
        <v>1042</v>
      </c>
      <c r="E152" s="134">
        <v>1111.79</v>
      </c>
      <c r="F152" s="132">
        <v>0</v>
      </c>
      <c r="G152" s="132">
        <f t="shared" si="22"/>
        <v>0</v>
      </c>
      <c r="H152" s="133"/>
      <c r="I152" s="185"/>
      <c r="J152" s="132" t="e">
        <f t="shared" si="19"/>
        <v>#DIV/0!</v>
      </c>
      <c r="K152" s="132"/>
      <c r="L152" s="132">
        <f t="shared" si="23"/>
        <v>0</v>
      </c>
      <c r="M152" s="4"/>
      <c r="N152" s="68"/>
      <c r="O152" s="132" t="e">
        <f t="shared" si="20"/>
        <v>#DIV/0!</v>
      </c>
      <c r="P152" s="132"/>
      <c r="Q152" s="132">
        <f t="shared" si="24"/>
        <v>0</v>
      </c>
      <c r="R152" s="4"/>
      <c r="S152" s="68"/>
      <c r="T152" s="132" t="e">
        <f t="shared" si="21"/>
        <v>#DIV/0!</v>
      </c>
      <c r="U152" s="132"/>
      <c r="V152" s="135"/>
    </row>
    <row r="153" spans="1:22" x14ac:dyDescent="0.15">
      <c r="A153" s="130">
        <v>426</v>
      </c>
      <c r="B153" s="37" t="s">
        <v>819</v>
      </c>
      <c r="C153" s="132">
        <f t="shared" si="18"/>
        <v>1.2654000000000001</v>
      </c>
      <c r="D153" s="133">
        <v>5399</v>
      </c>
      <c r="E153" s="134">
        <v>6832.01</v>
      </c>
      <c r="F153" s="132">
        <v>0</v>
      </c>
      <c r="G153" s="132">
        <f t="shared" si="22"/>
        <v>0</v>
      </c>
      <c r="H153" s="133"/>
      <c r="I153" s="185"/>
      <c r="J153" s="132" t="e">
        <f t="shared" si="19"/>
        <v>#DIV/0!</v>
      </c>
      <c r="K153" s="132"/>
      <c r="L153" s="132">
        <f t="shared" si="23"/>
        <v>0</v>
      </c>
      <c r="M153" s="4"/>
      <c r="N153" s="68"/>
      <c r="O153" s="132" t="e">
        <f t="shared" si="20"/>
        <v>#DIV/0!</v>
      </c>
      <c r="P153" s="132"/>
      <c r="Q153" s="132">
        <f t="shared" si="24"/>
        <v>0</v>
      </c>
      <c r="R153" s="4"/>
      <c r="S153" s="68"/>
      <c r="T153" s="132" t="e">
        <f t="shared" si="21"/>
        <v>#DIV/0!</v>
      </c>
      <c r="U153" s="132"/>
      <c r="V153" s="135"/>
    </row>
    <row r="154" spans="1:22" x14ac:dyDescent="0.15">
      <c r="A154" s="130">
        <v>428</v>
      </c>
      <c r="B154" s="37" t="s">
        <v>241</v>
      </c>
      <c r="C154" s="132">
        <f t="shared" si="18"/>
        <v>1.4831000000000001</v>
      </c>
      <c r="D154" s="133">
        <v>18131</v>
      </c>
      <c r="E154" s="134">
        <v>26890.57</v>
      </c>
      <c r="F154" s="132">
        <v>0</v>
      </c>
      <c r="G154" s="132">
        <f t="shared" si="22"/>
        <v>0</v>
      </c>
      <c r="H154" s="133"/>
      <c r="I154" s="185"/>
      <c r="J154" s="132" t="e">
        <f t="shared" si="19"/>
        <v>#DIV/0!</v>
      </c>
      <c r="K154" s="132"/>
      <c r="L154" s="132">
        <f t="shared" si="23"/>
        <v>0</v>
      </c>
      <c r="M154" s="4"/>
      <c r="N154" s="68"/>
      <c r="O154" s="132" t="e">
        <f t="shared" si="20"/>
        <v>#DIV/0!</v>
      </c>
      <c r="P154" s="132"/>
      <c r="Q154" s="132">
        <f t="shared" si="24"/>
        <v>0</v>
      </c>
      <c r="R154" s="4"/>
      <c r="S154" s="68"/>
      <c r="T154" s="132" t="e">
        <f t="shared" si="21"/>
        <v>#DIV/0!</v>
      </c>
      <c r="U154" s="132"/>
      <c r="V154" s="135"/>
    </row>
    <row r="155" spans="1:22" x14ac:dyDescent="0.15">
      <c r="A155" s="130">
        <v>434</v>
      </c>
      <c r="B155" s="37" t="s">
        <v>464</v>
      </c>
      <c r="C155" s="132">
        <f t="shared" si="18"/>
        <v>1.3819999999999999</v>
      </c>
      <c r="D155" s="133">
        <v>10703</v>
      </c>
      <c r="E155" s="134">
        <v>14791.82</v>
      </c>
      <c r="F155" s="132">
        <v>0</v>
      </c>
      <c r="G155" s="132">
        <f t="shared" si="22"/>
        <v>0</v>
      </c>
      <c r="H155" s="133"/>
      <c r="I155" s="185"/>
      <c r="J155" s="132" t="e">
        <f t="shared" si="19"/>
        <v>#DIV/0!</v>
      </c>
      <c r="K155" s="132"/>
      <c r="L155" s="132">
        <f t="shared" si="23"/>
        <v>0</v>
      </c>
      <c r="M155" s="4"/>
      <c r="N155" s="68"/>
      <c r="O155" s="132" t="e">
        <f t="shared" si="20"/>
        <v>#DIV/0!</v>
      </c>
      <c r="P155" s="132"/>
      <c r="Q155" s="132">
        <f t="shared" si="24"/>
        <v>0</v>
      </c>
      <c r="R155" s="4"/>
      <c r="S155" s="68"/>
      <c r="T155" s="132" t="e">
        <f t="shared" si="21"/>
        <v>#DIV/0!</v>
      </c>
      <c r="U155" s="132"/>
      <c r="V155" s="135"/>
    </row>
    <row r="156" spans="1:22" x14ac:dyDescent="0.15">
      <c r="A156" s="130">
        <v>436</v>
      </c>
      <c r="B156" s="37" t="s">
        <v>681</v>
      </c>
      <c r="C156" s="132">
        <f t="shared" si="18"/>
        <v>1.6532</v>
      </c>
      <c r="D156" s="133">
        <v>5747</v>
      </c>
      <c r="E156" s="134">
        <v>9501.16</v>
      </c>
      <c r="F156" s="132">
        <v>0</v>
      </c>
      <c r="G156" s="132">
        <f t="shared" si="22"/>
        <v>0</v>
      </c>
      <c r="H156" s="133"/>
      <c r="I156" s="185"/>
      <c r="J156" s="132" t="e">
        <f t="shared" si="19"/>
        <v>#DIV/0!</v>
      </c>
      <c r="K156" s="132"/>
      <c r="L156" s="132">
        <f t="shared" si="23"/>
        <v>0</v>
      </c>
      <c r="M156" s="4"/>
      <c r="N156" s="68"/>
      <c r="O156" s="132" t="e">
        <f t="shared" si="20"/>
        <v>#DIV/0!</v>
      </c>
      <c r="P156" s="132"/>
      <c r="Q156" s="132">
        <f t="shared" si="24"/>
        <v>0</v>
      </c>
      <c r="R156" s="4"/>
      <c r="S156" s="68"/>
      <c r="T156" s="132" t="e">
        <f t="shared" si="21"/>
        <v>#DIV/0!</v>
      </c>
      <c r="U156" s="132"/>
      <c r="V156" s="135"/>
    </row>
    <row r="157" spans="1:22" x14ac:dyDescent="0.15">
      <c r="A157" s="130">
        <v>444</v>
      </c>
      <c r="B157" s="37" t="s">
        <v>391</v>
      </c>
      <c r="C157" s="132">
        <f t="shared" si="18"/>
        <v>1.4464999999999999</v>
      </c>
      <c r="D157" s="133">
        <v>5532</v>
      </c>
      <c r="E157" s="134">
        <v>8002.03</v>
      </c>
      <c r="F157" s="132">
        <v>0</v>
      </c>
      <c r="G157" s="132">
        <f t="shared" si="22"/>
        <v>0</v>
      </c>
      <c r="H157" s="133"/>
      <c r="I157" s="185"/>
      <c r="J157" s="132" t="e">
        <f t="shared" si="19"/>
        <v>#DIV/0!</v>
      </c>
      <c r="K157" s="132"/>
      <c r="L157" s="132">
        <f t="shared" si="23"/>
        <v>0</v>
      </c>
      <c r="M157" s="4"/>
      <c r="N157" s="68"/>
      <c r="O157" s="132" t="e">
        <f t="shared" si="20"/>
        <v>#DIV/0!</v>
      </c>
      <c r="P157" s="132"/>
      <c r="Q157" s="132">
        <f t="shared" si="24"/>
        <v>0</v>
      </c>
      <c r="R157" s="4"/>
      <c r="S157" s="68"/>
      <c r="T157" s="132" t="e">
        <f t="shared" si="21"/>
        <v>#DIV/0!</v>
      </c>
      <c r="U157" s="132"/>
      <c r="V157" s="135"/>
    </row>
    <row r="158" spans="1:22" x14ac:dyDescent="0.15">
      <c r="A158" s="130">
        <v>446</v>
      </c>
      <c r="B158" s="37" t="s">
        <v>674</v>
      </c>
      <c r="C158" s="132">
        <f t="shared" si="18"/>
        <v>1.3916999999999999</v>
      </c>
      <c r="D158" s="133">
        <v>3337</v>
      </c>
      <c r="E158" s="134">
        <v>4644.07</v>
      </c>
      <c r="F158" s="132">
        <v>0</v>
      </c>
      <c r="G158" s="132">
        <f t="shared" si="22"/>
        <v>0</v>
      </c>
      <c r="H158" s="133"/>
      <c r="I158" s="185"/>
      <c r="J158" s="132" t="e">
        <f t="shared" si="19"/>
        <v>#DIV/0!</v>
      </c>
      <c r="K158" s="132"/>
      <c r="L158" s="132">
        <f t="shared" si="23"/>
        <v>0</v>
      </c>
      <c r="M158" s="4"/>
      <c r="N158" s="68"/>
      <c r="O158" s="132" t="e">
        <f t="shared" si="20"/>
        <v>#DIV/0!</v>
      </c>
      <c r="P158" s="132"/>
      <c r="Q158" s="132">
        <f t="shared" si="24"/>
        <v>0</v>
      </c>
      <c r="R158" s="4"/>
      <c r="S158" s="68"/>
      <c r="T158" s="132" t="e">
        <f t="shared" si="21"/>
        <v>#DIV/0!</v>
      </c>
      <c r="U158" s="132"/>
      <c r="V158" s="135"/>
    </row>
    <row r="159" spans="1:22" x14ac:dyDescent="0.15">
      <c r="A159" s="130">
        <v>448</v>
      </c>
      <c r="B159" s="37" t="s">
        <v>194</v>
      </c>
      <c r="C159" s="132">
        <f t="shared" si="18"/>
        <v>1.3555999999999999</v>
      </c>
      <c r="D159" s="133">
        <v>6229</v>
      </c>
      <c r="E159" s="134">
        <v>8443.81</v>
      </c>
      <c r="F159" s="132">
        <v>0</v>
      </c>
      <c r="G159" s="132">
        <f t="shared" si="22"/>
        <v>0</v>
      </c>
      <c r="H159" s="133"/>
      <c r="I159" s="185"/>
      <c r="J159" s="132" t="e">
        <f t="shared" si="19"/>
        <v>#DIV/0!</v>
      </c>
      <c r="K159" s="132"/>
      <c r="L159" s="132">
        <f t="shared" si="23"/>
        <v>0</v>
      </c>
      <c r="M159" s="4"/>
      <c r="N159" s="68"/>
      <c r="O159" s="132" t="e">
        <f t="shared" si="20"/>
        <v>#DIV/0!</v>
      </c>
      <c r="P159" s="132"/>
      <c r="Q159" s="132">
        <f t="shared" si="24"/>
        <v>0</v>
      </c>
      <c r="R159" s="4"/>
      <c r="S159" s="68"/>
      <c r="T159" s="132" t="e">
        <f t="shared" si="21"/>
        <v>#DIV/0!</v>
      </c>
      <c r="U159" s="132"/>
      <c r="V159" s="135"/>
    </row>
    <row r="160" spans="1:22" x14ac:dyDescent="0.15">
      <c r="A160" s="130">
        <v>452</v>
      </c>
      <c r="B160" s="37" t="s">
        <v>399</v>
      </c>
      <c r="C160" s="132">
        <f t="shared" si="18"/>
        <v>1.3669</v>
      </c>
      <c r="D160" s="133">
        <v>8478</v>
      </c>
      <c r="E160" s="134">
        <v>11588.71</v>
      </c>
      <c r="F160" s="132">
        <v>0</v>
      </c>
      <c r="G160" s="132">
        <f t="shared" si="22"/>
        <v>0</v>
      </c>
      <c r="H160" s="133"/>
      <c r="I160" s="185"/>
      <c r="J160" s="132" t="e">
        <f t="shared" si="19"/>
        <v>#DIV/0!</v>
      </c>
      <c r="K160" s="132"/>
      <c r="L160" s="132">
        <f t="shared" si="23"/>
        <v>0</v>
      </c>
      <c r="M160" s="4"/>
      <c r="N160" s="68"/>
      <c r="O160" s="132" t="e">
        <f t="shared" si="20"/>
        <v>#DIV/0!</v>
      </c>
      <c r="P160" s="132"/>
      <c r="Q160" s="132">
        <f t="shared" si="24"/>
        <v>0</v>
      </c>
      <c r="R160" s="4"/>
      <c r="S160" s="68"/>
      <c r="T160" s="132" t="e">
        <f t="shared" si="21"/>
        <v>#DIV/0!</v>
      </c>
      <c r="U160" s="132"/>
      <c r="V160" s="135"/>
    </row>
    <row r="161" spans="1:22" x14ac:dyDescent="0.15">
      <c r="A161" s="130">
        <v>454</v>
      </c>
      <c r="B161" s="37" t="s">
        <v>207</v>
      </c>
      <c r="C161" s="132">
        <f t="shared" si="18"/>
        <v>1.3683000000000001</v>
      </c>
      <c r="D161" s="133">
        <v>3277</v>
      </c>
      <c r="E161" s="134">
        <v>4483.95</v>
      </c>
      <c r="F161" s="132">
        <v>0</v>
      </c>
      <c r="G161" s="132">
        <f t="shared" si="22"/>
        <v>0</v>
      </c>
      <c r="H161" s="133"/>
      <c r="I161" s="185"/>
      <c r="J161" s="132" t="e">
        <f t="shared" si="19"/>
        <v>#DIV/0!</v>
      </c>
      <c r="K161" s="132"/>
      <c r="L161" s="132">
        <f t="shared" si="23"/>
        <v>0</v>
      </c>
      <c r="M161" s="4"/>
      <c r="N161" s="68"/>
      <c r="O161" s="132" t="e">
        <f t="shared" si="20"/>
        <v>#DIV/0!</v>
      </c>
      <c r="P161" s="132"/>
      <c r="Q161" s="132">
        <f t="shared" si="24"/>
        <v>0</v>
      </c>
      <c r="R161" s="4"/>
      <c r="S161" s="68"/>
      <c r="T161" s="132" t="e">
        <f t="shared" si="21"/>
        <v>#DIV/0!</v>
      </c>
      <c r="U161" s="132"/>
      <c r="V161" s="135"/>
    </row>
    <row r="162" spans="1:22" x14ac:dyDescent="0.15">
      <c r="A162" s="130">
        <v>458</v>
      </c>
      <c r="B162" s="37" t="s">
        <v>821</v>
      </c>
      <c r="C162" s="132">
        <f t="shared" si="18"/>
        <v>1.6108</v>
      </c>
      <c r="D162" s="133">
        <v>5836</v>
      </c>
      <c r="E162" s="134">
        <v>9400.6299999999992</v>
      </c>
      <c r="F162" s="132">
        <v>0</v>
      </c>
      <c r="G162" s="132">
        <f t="shared" si="22"/>
        <v>0</v>
      </c>
      <c r="H162" s="133"/>
      <c r="I162" s="185"/>
      <c r="J162" s="132" t="e">
        <f t="shared" si="19"/>
        <v>#DIV/0!</v>
      </c>
      <c r="K162" s="132"/>
      <c r="L162" s="132">
        <f t="shared" si="23"/>
        <v>0</v>
      </c>
      <c r="M162" s="4"/>
      <c r="N162" s="68"/>
      <c r="O162" s="132" t="e">
        <f t="shared" si="20"/>
        <v>#DIV/0!</v>
      </c>
      <c r="P162" s="132"/>
      <c r="Q162" s="132">
        <f t="shared" si="24"/>
        <v>0</v>
      </c>
      <c r="R162" s="4"/>
      <c r="S162" s="68"/>
      <c r="T162" s="132" t="e">
        <f t="shared" si="21"/>
        <v>#DIV/0!</v>
      </c>
      <c r="U162" s="132"/>
      <c r="V162" s="135"/>
    </row>
    <row r="163" spans="1:22" x14ac:dyDescent="0.15">
      <c r="A163" s="130">
        <v>460</v>
      </c>
      <c r="B163" s="37" t="s">
        <v>182</v>
      </c>
      <c r="C163" s="132">
        <f t="shared" si="18"/>
        <v>1.2587999999999999</v>
      </c>
      <c r="D163" s="133">
        <v>6783</v>
      </c>
      <c r="E163" s="134">
        <v>8538.49</v>
      </c>
      <c r="F163" s="132">
        <v>0</v>
      </c>
      <c r="G163" s="132">
        <f t="shared" si="22"/>
        <v>0</v>
      </c>
      <c r="H163" s="133"/>
      <c r="I163" s="185"/>
      <c r="J163" s="132" t="e">
        <f t="shared" si="19"/>
        <v>#DIV/0!</v>
      </c>
      <c r="K163" s="132"/>
      <c r="L163" s="132">
        <f t="shared" si="23"/>
        <v>0</v>
      </c>
      <c r="M163" s="4"/>
      <c r="N163" s="68"/>
      <c r="O163" s="132" t="e">
        <f t="shared" si="20"/>
        <v>#DIV/0!</v>
      </c>
      <c r="P163" s="132"/>
      <c r="Q163" s="132">
        <f t="shared" si="24"/>
        <v>0</v>
      </c>
      <c r="R163" s="4"/>
      <c r="S163" s="68"/>
      <c r="T163" s="132" t="e">
        <f t="shared" si="21"/>
        <v>#DIV/0!</v>
      </c>
      <c r="U163" s="132"/>
      <c r="V163" s="135"/>
    </row>
    <row r="164" spans="1:22" x14ac:dyDescent="0.15">
      <c r="A164" s="130">
        <v>462</v>
      </c>
      <c r="B164" s="37" t="s">
        <v>394</v>
      </c>
      <c r="C164" s="132">
        <f t="shared" si="18"/>
        <v>1.2595000000000001</v>
      </c>
      <c r="D164" s="133">
        <v>3921</v>
      </c>
      <c r="E164" s="134">
        <v>4938.6499999999996</v>
      </c>
      <c r="F164" s="132">
        <v>0</v>
      </c>
      <c r="G164" s="132">
        <f t="shared" si="22"/>
        <v>0</v>
      </c>
      <c r="H164" s="133"/>
      <c r="I164" s="185"/>
      <c r="J164" s="132" t="e">
        <f t="shared" si="19"/>
        <v>#DIV/0!</v>
      </c>
      <c r="K164" s="132"/>
      <c r="L164" s="132">
        <f t="shared" si="23"/>
        <v>0</v>
      </c>
      <c r="M164" s="4"/>
      <c r="N164" s="68"/>
      <c r="O164" s="132" t="e">
        <f t="shared" si="20"/>
        <v>#DIV/0!</v>
      </c>
      <c r="P164" s="132"/>
      <c r="Q164" s="132">
        <f t="shared" si="24"/>
        <v>0</v>
      </c>
      <c r="R164" s="4"/>
      <c r="S164" s="68"/>
      <c r="T164" s="132" t="e">
        <f t="shared" si="21"/>
        <v>#DIV/0!</v>
      </c>
      <c r="U164" s="132"/>
      <c r="V164" s="135"/>
    </row>
    <row r="165" spans="1:22" x14ac:dyDescent="0.15">
      <c r="A165" s="130">
        <v>663</v>
      </c>
      <c r="B165" s="37" t="s">
        <v>605</v>
      </c>
      <c r="C165" s="132">
        <f t="shared" si="18"/>
        <v>1.5383</v>
      </c>
      <c r="D165" s="133">
        <v>6841</v>
      </c>
      <c r="E165" s="134">
        <v>10523.31</v>
      </c>
      <c r="F165" s="132">
        <v>0</v>
      </c>
      <c r="G165" s="132">
        <f t="shared" si="22"/>
        <v>0</v>
      </c>
      <c r="H165" s="133"/>
      <c r="I165" s="185"/>
      <c r="J165" s="132" t="e">
        <f t="shared" si="19"/>
        <v>#DIV/0!</v>
      </c>
      <c r="K165" s="132"/>
      <c r="L165" s="132">
        <f t="shared" si="23"/>
        <v>0</v>
      </c>
      <c r="M165" s="4"/>
      <c r="N165" s="68"/>
      <c r="O165" s="132" t="e">
        <f t="shared" si="20"/>
        <v>#DIV/0!</v>
      </c>
      <c r="P165" s="132"/>
      <c r="Q165" s="132">
        <f t="shared" si="24"/>
        <v>0</v>
      </c>
      <c r="R165" s="4"/>
      <c r="S165" s="68"/>
      <c r="T165" s="132" t="e">
        <f t="shared" si="21"/>
        <v>#DIV/0!</v>
      </c>
      <c r="U165" s="132"/>
      <c r="V165" s="135"/>
    </row>
    <row r="166" spans="1:22" x14ac:dyDescent="0.15">
      <c r="A166" s="130">
        <v>665</v>
      </c>
      <c r="B166" s="37" t="s">
        <v>645</v>
      </c>
      <c r="C166" s="132">
        <f t="shared" si="18"/>
        <v>1.5026999999999999</v>
      </c>
      <c r="D166" s="133">
        <v>5012</v>
      </c>
      <c r="E166" s="134">
        <v>7531.43</v>
      </c>
      <c r="F166" s="132">
        <v>3.84</v>
      </c>
      <c r="G166" s="132">
        <f t="shared" si="22"/>
        <v>0</v>
      </c>
      <c r="H166" s="133"/>
      <c r="I166" s="185"/>
      <c r="J166" s="132" t="e">
        <f t="shared" si="19"/>
        <v>#DIV/0!</v>
      </c>
      <c r="K166" s="132"/>
      <c r="L166" s="132">
        <f t="shared" si="23"/>
        <v>0</v>
      </c>
      <c r="M166" s="4"/>
      <c r="N166" s="68"/>
      <c r="O166" s="132" t="e">
        <f t="shared" si="20"/>
        <v>#DIV/0!</v>
      </c>
      <c r="P166" s="132"/>
      <c r="Q166" s="132">
        <f t="shared" si="24"/>
        <v>0</v>
      </c>
      <c r="R166" s="4"/>
      <c r="S166" s="68"/>
      <c r="T166" s="132" t="e">
        <f t="shared" si="21"/>
        <v>#DIV/0!</v>
      </c>
      <c r="U166" s="132"/>
      <c r="V166" s="135"/>
    </row>
    <row r="167" spans="1:22" x14ac:dyDescent="0.15">
      <c r="A167" s="130">
        <v>669</v>
      </c>
      <c r="B167" s="37" t="s">
        <v>679</v>
      </c>
      <c r="C167" s="132">
        <f t="shared" si="18"/>
        <v>1.5699000000000001</v>
      </c>
      <c r="D167" s="133">
        <v>5343</v>
      </c>
      <c r="E167" s="134">
        <v>8387.7199999999993</v>
      </c>
      <c r="F167" s="132">
        <v>0</v>
      </c>
      <c r="G167" s="132">
        <f t="shared" si="22"/>
        <v>0</v>
      </c>
      <c r="H167" s="133"/>
      <c r="I167" s="185"/>
      <c r="J167" s="132" t="e">
        <f t="shared" si="19"/>
        <v>#DIV/0!</v>
      </c>
      <c r="K167" s="132"/>
      <c r="L167" s="132">
        <f t="shared" si="23"/>
        <v>0</v>
      </c>
      <c r="M167" s="4"/>
      <c r="N167" s="68"/>
      <c r="O167" s="132" t="e">
        <f t="shared" si="20"/>
        <v>#DIV/0!</v>
      </c>
      <c r="P167" s="132"/>
      <c r="Q167" s="132">
        <f t="shared" si="24"/>
        <v>0</v>
      </c>
      <c r="R167" s="4"/>
      <c r="S167" s="68"/>
      <c r="T167" s="132" t="e">
        <f t="shared" si="21"/>
        <v>#DIV/0!</v>
      </c>
      <c r="U167" s="132"/>
      <c r="V167" s="135"/>
    </row>
    <row r="168" spans="1:22" x14ac:dyDescent="0.15">
      <c r="A168" s="130">
        <v>671</v>
      </c>
      <c r="B168" s="37" t="s">
        <v>606</v>
      </c>
      <c r="C168" s="132">
        <f t="shared" si="18"/>
        <v>1.3915999999999999</v>
      </c>
      <c r="D168" s="133">
        <v>1521</v>
      </c>
      <c r="E168" s="134">
        <v>2116.65</v>
      </c>
      <c r="F168" s="132">
        <v>0</v>
      </c>
      <c r="G168" s="132">
        <f t="shared" si="22"/>
        <v>0</v>
      </c>
      <c r="H168" s="133"/>
      <c r="I168" s="185"/>
      <c r="J168" s="132" t="e">
        <f t="shared" si="19"/>
        <v>#DIV/0!</v>
      </c>
      <c r="K168" s="132"/>
      <c r="L168" s="132">
        <f t="shared" si="23"/>
        <v>0</v>
      </c>
      <c r="M168" s="4"/>
      <c r="N168" s="68"/>
      <c r="O168" s="132" t="e">
        <f t="shared" si="20"/>
        <v>#DIV/0!</v>
      </c>
      <c r="P168" s="132"/>
      <c r="Q168" s="132">
        <f t="shared" si="24"/>
        <v>0</v>
      </c>
      <c r="R168" s="4"/>
      <c r="S168" s="68"/>
      <c r="T168" s="132" t="e">
        <f t="shared" si="21"/>
        <v>#DIV/0!</v>
      </c>
      <c r="U168" s="132"/>
      <c r="V168" s="135"/>
    </row>
    <row r="169" spans="1:22" x14ac:dyDescent="0.15">
      <c r="A169" s="130">
        <v>675</v>
      </c>
      <c r="B169" s="37" t="s">
        <v>192</v>
      </c>
      <c r="C169" s="132">
        <f t="shared" si="18"/>
        <v>1.2863</v>
      </c>
      <c r="D169" s="133">
        <v>3572</v>
      </c>
      <c r="E169" s="134">
        <v>4594.57</v>
      </c>
      <c r="F169" s="132">
        <v>0</v>
      </c>
      <c r="G169" s="132">
        <f t="shared" si="22"/>
        <v>0</v>
      </c>
      <c r="H169" s="133"/>
      <c r="I169" s="185"/>
      <c r="J169" s="132" t="e">
        <f t="shared" si="19"/>
        <v>#DIV/0!</v>
      </c>
      <c r="K169" s="132"/>
      <c r="L169" s="132">
        <f t="shared" si="23"/>
        <v>0</v>
      </c>
      <c r="M169" s="4"/>
      <c r="N169" s="68"/>
      <c r="O169" s="132" t="e">
        <f t="shared" si="20"/>
        <v>#DIV/0!</v>
      </c>
      <c r="P169" s="132"/>
      <c r="Q169" s="132">
        <f t="shared" si="24"/>
        <v>0</v>
      </c>
      <c r="R169" s="4"/>
      <c r="S169" s="68"/>
      <c r="T169" s="132" t="e">
        <f t="shared" si="21"/>
        <v>#DIV/0!</v>
      </c>
      <c r="U169" s="132"/>
      <c r="V169" s="135"/>
    </row>
    <row r="170" spans="1:22" x14ac:dyDescent="0.15">
      <c r="A170" s="130">
        <v>677</v>
      </c>
      <c r="B170" s="37" t="s">
        <v>655</v>
      </c>
      <c r="C170" s="132">
        <f t="shared" si="18"/>
        <v>1.4484999999999999</v>
      </c>
      <c r="D170" s="133">
        <v>6757</v>
      </c>
      <c r="E170" s="134">
        <v>9787.6</v>
      </c>
      <c r="F170" s="132">
        <v>0</v>
      </c>
      <c r="G170" s="132">
        <f t="shared" si="22"/>
        <v>0</v>
      </c>
      <c r="H170" s="133"/>
      <c r="I170" s="185"/>
      <c r="J170" s="132" t="e">
        <f t="shared" si="19"/>
        <v>#DIV/0!</v>
      </c>
      <c r="K170" s="132"/>
      <c r="L170" s="132">
        <f t="shared" si="23"/>
        <v>0</v>
      </c>
      <c r="M170" s="4"/>
      <c r="N170" s="68"/>
      <c r="O170" s="132" t="e">
        <f t="shared" si="20"/>
        <v>#DIV/0!</v>
      </c>
      <c r="P170" s="132"/>
      <c r="Q170" s="132">
        <f t="shared" si="24"/>
        <v>0</v>
      </c>
      <c r="R170" s="4"/>
      <c r="S170" s="68"/>
      <c r="T170" s="132" t="e">
        <f t="shared" si="21"/>
        <v>#DIV/0!</v>
      </c>
      <c r="U170" s="132"/>
      <c r="V170" s="135"/>
    </row>
    <row r="171" spans="1:22" x14ac:dyDescent="0.15">
      <c r="A171" s="130">
        <v>679</v>
      </c>
      <c r="B171" s="37" t="s">
        <v>620</v>
      </c>
      <c r="C171" s="132">
        <f t="shared" si="18"/>
        <v>1.3976999999999999</v>
      </c>
      <c r="D171" s="133">
        <v>9179</v>
      </c>
      <c r="E171" s="134">
        <v>12829.11</v>
      </c>
      <c r="F171" s="132">
        <v>0</v>
      </c>
      <c r="G171" s="132">
        <f t="shared" si="22"/>
        <v>0</v>
      </c>
      <c r="H171" s="133"/>
      <c r="I171" s="185"/>
      <c r="J171" s="132" t="e">
        <f t="shared" si="19"/>
        <v>#DIV/0!</v>
      </c>
      <c r="K171" s="132"/>
      <c r="L171" s="132">
        <f t="shared" si="23"/>
        <v>0</v>
      </c>
      <c r="M171" s="4"/>
      <c r="N171" s="68"/>
      <c r="O171" s="132" t="e">
        <f t="shared" si="20"/>
        <v>#DIV/0!</v>
      </c>
      <c r="P171" s="132"/>
      <c r="Q171" s="132">
        <f t="shared" si="24"/>
        <v>0</v>
      </c>
      <c r="R171" s="4"/>
      <c r="S171" s="68"/>
      <c r="T171" s="132" t="e">
        <f t="shared" si="21"/>
        <v>#DIV/0!</v>
      </c>
      <c r="U171" s="132"/>
      <c r="V171" s="135"/>
    </row>
    <row r="172" spans="1:22" x14ac:dyDescent="0.15">
      <c r="A172" s="130">
        <v>685</v>
      </c>
      <c r="B172" s="37" t="s">
        <v>607</v>
      </c>
      <c r="C172" s="132">
        <f t="shared" si="18"/>
        <v>1.514</v>
      </c>
      <c r="D172" s="133">
        <v>7348</v>
      </c>
      <c r="E172" s="134">
        <v>11124.88</v>
      </c>
      <c r="F172" s="132">
        <v>0</v>
      </c>
      <c r="G172" s="132">
        <f t="shared" si="22"/>
        <v>0</v>
      </c>
      <c r="H172" s="133"/>
      <c r="I172" s="185"/>
      <c r="J172" s="132" t="e">
        <f t="shared" si="19"/>
        <v>#DIV/0!</v>
      </c>
      <c r="K172" s="132"/>
      <c r="L172" s="132">
        <f t="shared" si="23"/>
        <v>0</v>
      </c>
      <c r="M172" s="4"/>
      <c r="N172" s="68"/>
      <c r="O172" s="132" t="e">
        <f t="shared" si="20"/>
        <v>#DIV/0!</v>
      </c>
      <c r="P172" s="132"/>
      <c r="Q172" s="132">
        <f t="shared" si="24"/>
        <v>0</v>
      </c>
      <c r="R172" s="4"/>
      <c r="S172" s="68"/>
      <c r="T172" s="132" t="e">
        <f t="shared" si="21"/>
        <v>#DIV/0!</v>
      </c>
      <c r="U172" s="132"/>
      <c r="V172" s="135"/>
    </row>
    <row r="173" spans="1:22" x14ac:dyDescent="0.15">
      <c r="A173" s="130">
        <v>687</v>
      </c>
      <c r="B173" s="37" t="s">
        <v>621</v>
      </c>
      <c r="C173" s="132">
        <f t="shared" si="18"/>
        <v>1.4395</v>
      </c>
      <c r="D173" s="133">
        <v>11018</v>
      </c>
      <c r="E173" s="134">
        <v>15860.08</v>
      </c>
      <c r="F173" s="132">
        <v>0</v>
      </c>
      <c r="G173" s="132">
        <f t="shared" si="22"/>
        <v>0</v>
      </c>
      <c r="H173" s="133"/>
      <c r="I173" s="185"/>
      <c r="J173" s="132" t="e">
        <f t="shared" si="19"/>
        <v>#DIV/0!</v>
      </c>
      <c r="K173" s="132"/>
      <c r="L173" s="132">
        <f t="shared" si="23"/>
        <v>0</v>
      </c>
      <c r="M173" s="4"/>
      <c r="N173" s="68"/>
      <c r="O173" s="132" t="e">
        <f t="shared" si="20"/>
        <v>#DIV/0!</v>
      </c>
      <c r="P173" s="132"/>
      <c r="Q173" s="132">
        <f t="shared" si="24"/>
        <v>0</v>
      </c>
      <c r="R173" s="4"/>
      <c r="S173" s="68"/>
      <c r="T173" s="132" t="e">
        <f t="shared" si="21"/>
        <v>#DIV/0!</v>
      </c>
      <c r="U173" s="132"/>
      <c r="V173" s="135"/>
    </row>
    <row r="174" spans="1:22" x14ac:dyDescent="0.15">
      <c r="A174" s="130">
        <v>689</v>
      </c>
      <c r="B174" s="37" t="s">
        <v>622</v>
      </c>
      <c r="C174" s="132">
        <f t="shared" si="18"/>
        <v>1.3580000000000001</v>
      </c>
      <c r="D174" s="133">
        <v>9333</v>
      </c>
      <c r="E174" s="134">
        <v>12674.56</v>
      </c>
      <c r="F174" s="132">
        <v>0</v>
      </c>
      <c r="G174" s="132">
        <f t="shared" si="22"/>
        <v>0</v>
      </c>
      <c r="H174" s="133"/>
      <c r="I174" s="185"/>
      <c r="J174" s="132" t="e">
        <f t="shared" si="19"/>
        <v>#DIV/0!</v>
      </c>
      <c r="K174" s="132"/>
      <c r="L174" s="132">
        <f t="shared" si="23"/>
        <v>0</v>
      </c>
      <c r="M174" s="4"/>
      <c r="N174" s="68"/>
      <c r="O174" s="132" t="e">
        <f t="shared" si="20"/>
        <v>#DIV/0!</v>
      </c>
      <c r="P174" s="132"/>
      <c r="Q174" s="132">
        <f t="shared" si="24"/>
        <v>0</v>
      </c>
      <c r="R174" s="4"/>
      <c r="S174" s="68"/>
      <c r="T174" s="132" t="e">
        <f t="shared" si="21"/>
        <v>#DIV/0!</v>
      </c>
      <c r="U174" s="132"/>
      <c r="V174" s="135"/>
    </row>
    <row r="175" spans="1:22" x14ac:dyDescent="0.15">
      <c r="A175" s="130">
        <v>693</v>
      </c>
      <c r="B175" s="37" t="s">
        <v>670</v>
      </c>
      <c r="C175" s="132">
        <f t="shared" si="18"/>
        <v>1.6040000000000001</v>
      </c>
      <c r="D175" s="133">
        <v>5098</v>
      </c>
      <c r="E175" s="134">
        <v>8176.95</v>
      </c>
      <c r="F175" s="132">
        <v>0</v>
      </c>
      <c r="G175" s="132">
        <f t="shared" si="22"/>
        <v>0</v>
      </c>
      <c r="H175" s="133"/>
      <c r="I175" s="185"/>
      <c r="J175" s="132" t="e">
        <f t="shared" si="19"/>
        <v>#DIV/0!</v>
      </c>
      <c r="K175" s="132"/>
      <c r="L175" s="132">
        <f t="shared" si="23"/>
        <v>0</v>
      </c>
      <c r="M175" s="4"/>
      <c r="N175" s="68"/>
      <c r="O175" s="132" t="e">
        <f t="shared" si="20"/>
        <v>#DIV/0!</v>
      </c>
      <c r="P175" s="132"/>
      <c r="Q175" s="132">
        <f t="shared" si="24"/>
        <v>0</v>
      </c>
      <c r="R175" s="4"/>
      <c r="S175" s="68"/>
      <c r="T175" s="132" t="e">
        <f t="shared" si="21"/>
        <v>#DIV/0!</v>
      </c>
      <c r="U175" s="132"/>
      <c r="V175" s="135"/>
    </row>
    <row r="176" spans="1:22" x14ac:dyDescent="0.15">
      <c r="A176" s="130">
        <v>695</v>
      </c>
      <c r="B176" s="37" t="s">
        <v>623</v>
      </c>
      <c r="C176" s="132">
        <f t="shared" si="18"/>
        <v>1.5396000000000001</v>
      </c>
      <c r="D176" s="133">
        <v>10044</v>
      </c>
      <c r="E176" s="134">
        <v>15464.08</v>
      </c>
      <c r="F176" s="132">
        <v>0</v>
      </c>
      <c r="G176" s="132">
        <f t="shared" si="22"/>
        <v>0</v>
      </c>
      <c r="H176" s="133"/>
      <c r="I176" s="185"/>
      <c r="J176" s="132" t="e">
        <f t="shared" si="19"/>
        <v>#DIV/0!</v>
      </c>
      <c r="K176" s="132"/>
      <c r="L176" s="132">
        <f t="shared" si="23"/>
        <v>0</v>
      </c>
      <c r="M176" s="4"/>
      <c r="N176" s="68"/>
      <c r="O176" s="132" t="e">
        <f t="shared" si="20"/>
        <v>#DIV/0!</v>
      </c>
      <c r="P176" s="132"/>
      <c r="Q176" s="132">
        <f t="shared" si="24"/>
        <v>0</v>
      </c>
      <c r="R176" s="4"/>
      <c r="S176" s="68"/>
      <c r="T176" s="132" t="e">
        <f t="shared" si="21"/>
        <v>#DIV/0!</v>
      </c>
      <c r="U176" s="132"/>
      <c r="V176" s="135"/>
    </row>
    <row r="177" spans="1:22" x14ac:dyDescent="0.15">
      <c r="A177" s="130">
        <v>697</v>
      </c>
      <c r="B177" s="37" t="s">
        <v>215</v>
      </c>
      <c r="C177" s="132">
        <f t="shared" si="18"/>
        <v>1.2648999999999999</v>
      </c>
      <c r="D177" s="133">
        <v>7590</v>
      </c>
      <c r="E177" s="134">
        <v>9600.4599999999991</v>
      </c>
      <c r="F177" s="132">
        <v>0</v>
      </c>
      <c r="G177" s="132">
        <f t="shared" si="22"/>
        <v>0</v>
      </c>
      <c r="H177" s="133"/>
      <c r="I177" s="185"/>
      <c r="J177" s="132" t="e">
        <f t="shared" si="19"/>
        <v>#DIV/0!</v>
      </c>
      <c r="K177" s="132"/>
      <c r="L177" s="132">
        <f t="shared" si="23"/>
        <v>0</v>
      </c>
      <c r="M177" s="4"/>
      <c r="N177" s="68"/>
      <c r="O177" s="132" t="e">
        <f t="shared" si="20"/>
        <v>#DIV/0!</v>
      </c>
      <c r="P177" s="132"/>
      <c r="Q177" s="132">
        <f t="shared" si="24"/>
        <v>0</v>
      </c>
      <c r="R177" s="4"/>
      <c r="S177" s="68"/>
      <c r="T177" s="132" t="e">
        <f t="shared" si="21"/>
        <v>#DIV/0!</v>
      </c>
      <c r="U177" s="132"/>
      <c r="V177" s="135"/>
    </row>
    <row r="178" spans="1:22" x14ac:dyDescent="0.15">
      <c r="A178" s="130">
        <v>699</v>
      </c>
      <c r="B178" s="37" t="s">
        <v>239</v>
      </c>
      <c r="C178" s="132">
        <f t="shared" si="18"/>
        <v>1.3071999999999999</v>
      </c>
      <c r="D178" s="133">
        <v>10517</v>
      </c>
      <c r="E178" s="134">
        <v>13748.07</v>
      </c>
      <c r="F178" s="132">
        <v>0</v>
      </c>
      <c r="G178" s="132">
        <f t="shared" si="22"/>
        <v>0</v>
      </c>
      <c r="H178" s="133"/>
      <c r="I178" s="185"/>
      <c r="J178" s="132" t="e">
        <f t="shared" si="19"/>
        <v>#DIV/0!</v>
      </c>
      <c r="K178" s="132"/>
      <c r="L178" s="132">
        <f t="shared" si="23"/>
        <v>0</v>
      </c>
      <c r="M178" s="4"/>
      <c r="N178" s="68"/>
      <c r="O178" s="132" t="e">
        <f t="shared" si="20"/>
        <v>#DIV/0!</v>
      </c>
      <c r="P178" s="132"/>
      <c r="Q178" s="132">
        <f t="shared" si="24"/>
        <v>0</v>
      </c>
      <c r="R178" s="4"/>
      <c r="S178" s="68"/>
      <c r="T178" s="132" t="e">
        <f t="shared" si="21"/>
        <v>#DIV/0!</v>
      </c>
      <c r="U178" s="132"/>
      <c r="V178" s="135"/>
    </row>
    <row r="179" spans="1:22" x14ac:dyDescent="0.15">
      <c r="A179" s="130">
        <v>701</v>
      </c>
      <c r="B179" s="37" t="s">
        <v>506</v>
      </c>
      <c r="C179" s="132">
        <f t="shared" si="18"/>
        <v>1.2648999999999999</v>
      </c>
      <c r="D179" s="133">
        <v>2567</v>
      </c>
      <c r="E179" s="134">
        <v>3246.98</v>
      </c>
      <c r="F179" s="132">
        <v>0</v>
      </c>
      <c r="G179" s="132">
        <f t="shared" si="22"/>
        <v>0</v>
      </c>
      <c r="H179" s="133"/>
      <c r="I179" s="185"/>
      <c r="J179" s="132" t="e">
        <f t="shared" si="19"/>
        <v>#DIV/0!</v>
      </c>
      <c r="K179" s="132"/>
      <c r="L179" s="132">
        <f t="shared" si="23"/>
        <v>0</v>
      </c>
      <c r="M179" s="4"/>
      <c r="N179" s="68"/>
      <c r="O179" s="132" t="e">
        <f t="shared" si="20"/>
        <v>#DIV/0!</v>
      </c>
      <c r="P179" s="132"/>
      <c r="Q179" s="132">
        <f t="shared" si="24"/>
        <v>0</v>
      </c>
      <c r="R179" s="4"/>
      <c r="S179" s="68"/>
      <c r="T179" s="132" t="e">
        <f t="shared" si="21"/>
        <v>#DIV/0!</v>
      </c>
      <c r="U179" s="132"/>
      <c r="V179" s="135"/>
    </row>
    <row r="180" spans="1:22" x14ac:dyDescent="0.15">
      <c r="A180" s="130">
        <v>703</v>
      </c>
      <c r="B180" s="37" t="s">
        <v>677</v>
      </c>
      <c r="C180" s="132">
        <f t="shared" si="18"/>
        <v>1.5028999999999999</v>
      </c>
      <c r="D180" s="133">
        <v>73</v>
      </c>
      <c r="E180" s="134">
        <v>109.71</v>
      </c>
      <c r="F180" s="132">
        <v>0</v>
      </c>
      <c r="G180" s="132">
        <f t="shared" si="22"/>
        <v>0</v>
      </c>
      <c r="H180" s="133"/>
      <c r="I180" s="185"/>
      <c r="J180" s="132" t="e">
        <f t="shared" si="19"/>
        <v>#DIV/0!</v>
      </c>
      <c r="K180" s="132"/>
      <c r="L180" s="132">
        <f t="shared" si="23"/>
        <v>0</v>
      </c>
      <c r="M180" s="4"/>
      <c r="N180" s="68"/>
      <c r="O180" s="132" t="e">
        <f t="shared" si="20"/>
        <v>#DIV/0!</v>
      </c>
      <c r="P180" s="132"/>
      <c r="Q180" s="132">
        <f t="shared" si="24"/>
        <v>0</v>
      </c>
      <c r="R180" s="4"/>
      <c r="S180" s="68"/>
      <c r="T180" s="132" t="e">
        <f t="shared" si="21"/>
        <v>#DIV/0!</v>
      </c>
      <c r="U180" s="132"/>
      <c r="V180" s="135"/>
    </row>
    <row r="181" spans="1:22" x14ac:dyDescent="0.15">
      <c r="A181" s="130">
        <v>709</v>
      </c>
      <c r="B181" s="37" t="s">
        <v>225</v>
      </c>
      <c r="C181" s="132">
        <f t="shared" si="18"/>
        <v>1.3269</v>
      </c>
      <c r="D181" s="133">
        <v>3399</v>
      </c>
      <c r="E181" s="134">
        <v>4510.2</v>
      </c>
      <c r="F181" s="132">
        <v>0</v>
      </c>
      <c r="G181" s="132">
        <f t="shared" si="22"/>
        <v>0</v>
      </c>
      <c r="H181" s="133"/>
      <c r="I181" s="185"/>
      <c r="J181" s="132" t="e">
        <f t="shared" si="19"/>
        <v>#DIV/0!</v>
      </c>
      <c r="K181" s="132"/>
      <c r="L181" s="132">
        <f t="shared" si="23"/>
        <v>0</v>
      </c>
      <c r="M181" s="4"/>
      <c r="N181" s="68"/>
      <c r="O181" s="132" t="e">
        <f t="shared" si="20"/>
        <v>#DIV/0!</v>
      </c>
      <c r="P181" s="132"/>
      <c r="Q181" s="132">
        <f t="shared" si="24"/>
        <v>0</v>
      </c>
      <c r="R181" s="4"/>
      <c r="S181" s="68"/>
      <c r="T181" s="132" t="e">
        <f t="shared" si="21"/>
        <v>#DIV/0!</v>
      </c>
      <c r="U181" s="132"/>
      <c r="V181" s="135"/>
    </row>
    <row r="182" spans="1:22" x14ac:dyDescent="0.15">
      <c r="A182" s="130">
        <v>713</v>
      </c>
      <c r="B182" s="37" t="s">
        <v>41</v>
      </c>
      <c r="C182" s="132">
        <f t="shared" si="18"/>
        <v>1.595</v>
      </c>
      <c r="D182" s="133">
        <v>10763</v>
      </c>
      <c r="E182" s="134">
        <v>17166.75</v>
      </c>
      <c r="F182" s="132">
        <v>3.84</v>
      </c>
      <c r="G182" s="132">
        <f t="shared" si="22"/>
        <v>0</v>
      </c>
      <c r="H182" s="133"/>
      <c r="I182" s="185"/>
      <c r="J182" s="132" t="e">
        <f t="shared" si="19"/>
        <v>#DIV/0!</v>
      </c>
      <c r="K182" s="132"/>
      <c r="L182" s="132">
        <f t="shared" si="23"/>
        <v>0</v>
      </c>
      <c r="M182" s="4"/>
      <c r="N182" s="68"/>
      <c r="O182" s="132" t="e">
        <f t="shared" si="20"/>
        <v>#DIV/0!</v>
      </c>
      <c r="P182" s="132"/>
      <c r="Q182" s="132">
        <f t="shared" si="24"/>
        <v>0</v>
      </c>
      <c r="R182" s="4"/>
      <c r="S182" s="68"/>
      <c r="T182" s="132" t="e">
        <f t="shared" si="21"/>
        <v>#DIV/0!</v>
      </c>
      <c r="U182" s="132"/>
      <c r="V182" s="135"/>
    </row>
    <row r="183" spans="1:22" x14ac:dyDescent="0.15">
      <c r="A183" s="130">
        <v>715</v>
      </c>
      <c r="B183" s="37" t="s">
        <v>210</v>
      </c>
      <c r="C183" s="132">
        <f t="shared" si="18"/>
        <v>1.3398000000000001</v>
      </c>
      <c r="D183" s="133">
        <v>6969</v>
      </c>
      <c r="E183" s="134">
        <v>9337.07</v>
      </c>
      <c r="F183" s="132">
        <v>0</v>
      </c>
      <c r="G183" s="132">
        <f t="shared" si="22"/>
        <v>0</v>
      </c>
      <c r="H183" s="133"/>
      <c r="I183" s="185"/>
      <c r="J183" s="132" t="e">
        <f t="shared" si="19"/>
        <v>#DIV/0!</v>
      </c>
      <c r="K183" s="132"/>
      <c r="L183" s="132">
        <f t="shared" si="23"/>
        <v>0</v>
      </c>
      <c r="M183" s="4"/>
      <c r="N183" s="68"/>
      <c r="O183" s="132" t="e">
        <f t="shared" si="20"/>
        <v>#DIV/0!</v>
      </c>
      <c r="P183" s="132"/>
      <c r="Q183" s="132">
        <f t="shared" si="24"/>
        <v>0</v>
      </c>
      <c r="R183" s="4"/>
      <c r="S183" s="68"/>
      <c r="T183" s="132" t="e">
        <f t="shared" si="21"/>
        <v>#DIV/0!</v>
      </c>
      <c r="U183" s="132"/>
      <c r="V183" s="135"/>
    </row>
    <row r="184" spans="1:22" x14ac:dyDescent="0.15">
      <c r="A184" s="130">
        <v>717</v>
      </c>
      <c r="B184" s="37" t="s">
        <v>190</v>
      </c>
      <c r="C184" s="132">
        <f t="shared" si="18"/>
        <v>1.419</v>
      </c>
      <c r="D184" s="133">
        <v>13947</v>
      </c>
      <c r="E184" s="134">
        <v>19791.419999999998</v>
      </c>
      <c r="F184" s="132">
        <v>0</v>
      </c>
      <c r="G184" s="132">
        <f t="shared" si="22"/>
        <v>0</v>
      </c>
      <c r="H184" s="133"/>
      <c r="I184" s="185"/>
      <c r="J184" s="132" t="e">
        <f t="shared" si="19"/>
        <v>#DIV/0!</v>
      </c>
      <c r="K184" s="132"/>
      <c r="L184" s="132">
        <f t="shared" si="23"/>
        <v>0</v>
      </c>
      <c r="M184" s="4"/>
      <c r="N184" s="68"/>
      <c r="O184" s="132" t="e">
        <f t="shared" si="20"/>
        <v>#DIV/0!</v>
      </c>
      <c r="P184" s="132"/>
      <c r="Q184" s="132">
        <f t="shared" si="24"/>
        <v>0</v>
      </c>
      <c r="R184" s="4"/>
      <c r="S184" s="68"/>
      <c r="T184" s="132" t="e">
        <f t="shared" si="21"/>
        <v>#DIV/0!</v>
      </c>
      <c r="U184" s="132"/>
      <c r="V184" s="135"/>
    </row>
    <row r="185" spans="1:22" x14ac:dyDescent="0.15">
      <c r="A185" s="130">
        <v>719</v>
      </c>
      <c r="B185" s="37" t="s">
        <v>238</v>
      </c>
      <c r="C185" s="132">
        <f t="shared" si="18"/>
        <v>1.1553</v>
      </c>
      <c r="D185" s="133">
        <v>7024</v>
      </c>
      <c r="E185" s="134">
        <v>8114.6</v>
      </c>
      <c r="F185" s="132">
        <v>0</v>
      </c>
      <c r="G185" s="132">
        <f t="shared" si="22"/>
        <v>0</v>
      </c>
      <c r="H185" s="133"/>
      <c r="I185" s="185"/>
      <c r="J185" s="132" t="e">
        <f t="shared" si="19"/>
        <v>#DIV/0!</v>
      </c>
      <c r="K185" s="132"/>
      <c r="L185" s="132">
        <f t="shared" si="23"/>
        <v>0</v>
      </c>
      <c r="M185" s="4"/>
      <c r="N185" s="68"/>
      <c r="O185" s="132" t="e">
        <f t="shared" si="20"/>
        <v>#DIV/0!</v>
      </c>
      <c r="P185" s="132"/>
      <c r="Q185" s="132">
        <f t="shared" si="24"/>
        <v>0</v>
      </c>
      <c r="R185" s="4"/>
      <c r="S185" s="68"/>
      <c r="T185" s="132" t="e">
        <f t="shared" si="21"/>
        <v>#DIV/0!</v>
      </c>
      <c r="U185" s="132"/>
      <c r="V185" s="135"/>
    </row>
    <row r="186" spans="1:22" x14ac:dyDescent="0.15">
      <c r="A186" s="130">
        <v>723</v>
      </c>
      <c r="B186" s="37" t="s">
        <v>188</v>
      </c>
      <c r="C186" s="132">
        <f t="shared" si="18"/>
        <v>1.3108</v>
      </c>
      <c r="D186" s="133">
        <v>7704</v>
      </c>
      <c r="E186" s="134">
        <v>10098.48</v>
      </c>
      <c r="F186" s="132">
        <v>0</v>
      </c>
      <c r="G186" s="132">
        <f t="shared" si="22"/>
        <v>0</v>
      </c>
      <c r="H186" s="133"/>
      <c r="I186" s="185"/>
      <c r="J186" s="132" t="e">
        <f t="shared" si="19"/>
        <v>#DIV/0!</v>
      </c>
      <c r="K186" s="132"/>
      <c r="L186" s="132">
        <f t="shared" si="23"/>
        <v>0</v>
      </c>
      <c r="M186" s="4"/>
      <c r="N186" s="68"/>
      <c r="O186" s="132" t="e">
        <f t="shared" si="20"/>
        <v>#DIV/0!</v>
      </c>
      <c r="P186" s="132"/>
      <c r="Q186" s="132">
        <f t="shared" si="24"/>
        <v>0</v>
      </c>
      <c r="R186" s="4"/>
      <c r="S186" s="68"/>
      <c r="T186" s="132" t="e">
        <f t="shared" si="21"/>
        <v>#DIV/0!</v>
      </c>
      <c r="U186" s="132"/>
      <c r="V186" s="135"/>
    </row>
    <row r="187" spans="1:22" x14ac:dyDescent="0.15">
      <c r="A187" s="130">
        <v>725</v>
      </c>
      <c r="B187" s="37" t="s">
        <v>624</v>
      </c>
      <c r="C187" s="132">
        <f t="shared" si="18"/>
        <v>1.4296</v>
      </c>
      <c r="D187" s="133">
        <v>6019</v>
      </c>
      <c r="E187" s="134">
        <v>8605.0499999999993</v>
      </c>
      <c r="F187" s="132">
        <v>0</v>
      </c>
      <c r="G187" s="132">
        <f t="shared" si="22"/>
        <v>0</v>
      </c>
      <c r="H187" s="133"/>
      <c r="I187" s="185"/>
      <c r="J187" s="132" t="e">
        <f t="shared" si="19"/>
        <v>#DIV/0!</v>
      </c>
      <c r="K187" s="132"/>
      <c r="L187" s="132">
        <f t="shared" si="23"/>
        <v>0</v>
      </c>
      <c r="M187" s="4"/>
      <c r="N187" s="68"/>
      <c r="O187" s="132" t="e">
        <f t="shared" si="20"/>
        <v>#DIV/0!</v>
      </c>
      <c r="P187" s="132"/>
      <c r="Q187" s="132">
        <f t="shared" si="24"/>
        <v>0</v>
      </c>
      <c r="R187" s="4"/>
      <c r="S187" s="68"/>
      <c r="T187" s="132" t="e">
        <f t="shared" si="21"/>
        <v>#DIV/0!</v>
      </c>
      <c r="U187" s="132"/>
      <c r="V187" s="135"/>
    </row>
    <row r="188" spans="1:22" x14ac:dyDescent="0.15">
      <c r="A188" s="130">
        <v>727</v>
      </c>
      <c r="B188" s="37" t="s">
        <v>214</v>
      </c>
      <c r="C188" s="132">
        <f t="shared" si="18"/>
        <v>1.32</v>
      </c>
      <c r="D188" s="133">
        <v>7118</v>
      </c>
      <c r="E188" s="134">
        <v>9395.98</v>
      </c>
      <c r="F188" s="132">
        <v>0</v>
      </c>
      <c r="G188" s="132">
        <f t="shared" si="22"/>
        <v>0</v>
      </c>
      <c r="H188" s="133"/>
      <c r="I188" s="185"/>
      <c r="J188" s="132" t="e">
        <f t="shared" si="19"/>
        <v>#DIV/0!</v>
      </c>
      <c r="K188" s="132"/>
      <c r="L188" s="132">
        <f t="shared" si="23"/>
        <v>0</v>
      </c>
      <c r="M188" s="4"/>
      <c r="N188" s="68"/>
      <c r="O188" s="132" t="e">
        <f t="shared" si="20"/>
        <v>#DIV/0!</v>
      </c>
      <c r="P188" s="132"/>
      <c r="Q188" s="132">
        <f t="shared" si="24"/>
        <v>0</v>
      </c>
      <c r="R188" s="4"/>
      <c r="S188" s="68"/>
      <c r="T188" s="132" t="e">
        <f t="shared" si="21"/>
        <v>#DIV/0!</v>
      </c>
      <c r="U188" s="132"/>
      <c r="V188" s="135"/>
    </row>
    <row r="189" spans="1:22" x14ac:dyDescent="0.15">
      <c r="A189" s="130">
        <v>729</v>
      </c>
      <c r="B189" s="37" t="s">
        <v>209</v>
      </c>
      <c r="C189" s="132">
        <f t="shared" si="18"/>
        <v>1.2987</v>
      </c>
      <c r="D189" s="133">
        <v>11205</v>
      </c>
      <c r="E189" s="134">
        <v>14551.46</v>
      </c>
      <c r="F189" s="132">
        <v>0</v>
      </c>
      <c r="G189" s="132">
        <f t="shared" si="22"/>
        <v>0</v>
      </c>
      <c r="H189" s="133"/>
      <c r="I189" s="185"/>
      <c r="J189" s="132" t="e">
        <f t="shared" si="19"/>
        <v>#DIV/0!</v>
      </c>
      <c r="K189" s="132"/>
      <c r="L189" s="132">
        <f t="shared" si="23"/>
        <v>0</v>
      </c>
      <c r="M189" s="4"/>
      <c r="N189" s="68"/>
      <c r="O189" s="132" t="e">
        <f t="shared" si="20"/>
        <v>#DIV/0!</v>
      </c>
      <c r="P189" s="132"/>
      <c r="Q189" s="132">
        <f t="shared" si="24"/>
        <v>0</v>
      </c>
      <c r="R189" s="4"/>
      <c r="S189" s="68"/>
      <c r="T189" s="132" t="e">
        <f t="shared" si="21"/>
        <v>#DIV/0!</v>
      </c>
      <c r="U189" s="132"/>
      <c r="V189" s="135"/>
    </row>
    <row r="190" spans="1:22" x14ac:dyDescent="0.15">
      <c r="A190" s="130">
        <v>733</v>
      </c>
      <c r="B190" s="37" t="s">
        <v>211</v>
      </c>
      <c r="C190" s="132">
        <f t="shared" si="18"/>
        <v>1.3103</v>
      </c>
      <c r="D190" s="133">
        <v>13298</v>
      </c>
      <c r="E190" s="134">
        <v>17425.03</v>
      </c>
      <c r="F190" s="132">
        <v>0</v>
      </c>
      <c r="G190" s="132">
        <f t="shared" si="22"/>
        <v>0</v>
      </c>
      <c r="H190" s="133"/>
      <c r="I190" s="185"/>
      <c r="J190" s="132" t="e">
        <f t="shared" si="19"/>
        <v>#DIV/0!</v>
      </c>
      <c r="K190" s="132"/>
      <c r="L190" s="132">
        <f t="shared" si="23"/>
        <v>0</v>
      </c>
      <c r="M190" s="4"/>
      <c r="N190" s="68"/>
      <c r="O190" s="132" t="e">
        <f t="shared" si="20"/>
        <v>#DIV/0!</v>
      </c>
      <c r="P190" s="132"/>
      <c r="Q190" s="132">
        <f t="shared" si="24"/>
        <v>0</v>
      </c>
      <c r="R190" s="4"/>
      <c r="S190" s="68"/>
      <c r="T190" s="132" t="e">
        <f t="shared" si="21"/>
        <v>#DIV/0!</v>
      </c>
      <c r="U190" s="132"/>
      <c r="V190" s="135"/>
    </row>
    <row r="191" spans="1:22" x14ac:dyDescent="0.15">
      <c r="A191" s="130">
        <v>735</v>
      </c>
      <c r="B191" s="37" t="s">
        <v>649</v>
      </c>
      <c r="C191" s="132">
        <f t="shared" si="18"/>
        <v>1.3685</v>
      </c>
      <c r="D191" s="133">
        <v>11015</v>
      </c>
      <c r="E191" s="134">
        <v>15074.54</v>
      </c>
      <c r="F191" s="132">
        <v>3.84</v>
      </c>
      <c r="G191" s="132">
        <f t="shared" si="22"/>
        <v>0</v>
      </c>
      <c r="H191" s="133"/>
      <c r="I191" s="185"/>
      <c r="J191" s="132" t="e">
        <f t="shared" si="19"/>
        <v>#DIV/0!</v>
      </c>
      <c r="K191" s="132"/>
      <c r="L191" s="132">
        <f t="shared" si="23"/>
        <v>0</v>
      </c>
      <c r="M191" s="4"/>
      <c r="N191" s="68"/>
      <c r="O191" s="132" t="e">
        <f t="shared" si="20"/>
        <v>#DIV/0!</v>
      </c>
      <c r="P191" s="132"/>
      <c r="Q191" s="132">
        <f t="shared" si="24"/>
        <v>0</v>
      </c>
      <c r="R191" s="4"/>
      <c r="S191" s="68"/>
      <c r="T191" s="132" t="e">
        <f t="shared" si="21"/>
        <v>#DIV/0!</v>
      </c>
      <c r="U191" s="132"/>
      <c r="V191" s="135"/>
    </row>
    <row r="192" spans="1:22" x14ac:dyDescent="0.15">
      <c r="A192" s="130">
        <v>737</v>
      </c>
      <c r="B192" s="37" t="s">
        <v>229</v>
      </c>
      <c r="C192" s="132">
        <f t="shared" si="18"/>
        <v>1.2969999999999999</v>
      </c>
      <c r="D192" s="133">
        <v>7655</v>
      </c>
      <c r="E192" s="134">
        <v>9928.51</v>
      </c>
      <c r="F192" s="132">
        <v>0</v>
      </c>
      <c r="G192" s="132">
        <f t="shared" si="22"/>
        <v>0</v>
      </c>
      <c r="H192" s="133"/>
      <c r="I192" s="185"/>
      <c r="J192" s="132" t="e">
        <f t="shared" si="19"/>
        <v>#DIV/0!</v>
      </c>
      <c r="K192" s="132"/>
      <c r="L192" s="132">
        <f t="shared" si="23"/>
        <v>0</v>
      </c>
      <c r="M192" s="4"/>
      <c r="N192" s="68"/>
      <c r="O192" s="132" t="e">
        <f t="shared" si="20"/>
        <v>#DIV/0!</v>
      </c>
      <c r="P192" s="132"/>
      <c r="Q192" s="132">
        <f t="shared" si="24"/>
        <v>0</v>
      </c>
      <c r="R192" s="4"/>
      <c r="S192" s="68"/>
      <c r="T192" s="132" t="e">
        <f t="shared" si="21"/>
        <v>#DIV/0!</v>
      </c>
      <c r="U192" s="132"/>
      <c r="V192" s="135"/>
    </row>
    <row r="193" spans="1:22" x14ac:dyDescent="0.15">
      <c r="A193" s="130">
        <v>739</v>
      </c>
      <c r="B193" s="37" t="s">
        <v>212</v>
      </c>
      <c r="C193" s="132">
        <f t="shared" si="18"/>
        <v>1.3144</v>
      </c>
      <c r="D193" s="133">
        <v>4878</v>
      </c>
      <c r="E193" s="134">
        <v>6411.4</v>
      </c>
      <c r="F193" s="132">
        <v>0</v>
      </c>
      <c r="G193" s="132">
        <f t="shared" si="22"/>
        <v>0</v>
      </c>
      <c r="H193" s="133"/>
      <c r="I193" s="185"/>
      <c r="J193" s="132" t="e">
        <f t="shared" si="19"/>
        <v>#DIV/0!</v>
      </c>
      <c r="K193" s="132"/>
      <c r="L193" s="132">
        <f t="shared" si="23"/>
        <v>0</v>
      </c>
      <c r="M193" s="4"/>
      <c r="N193" s="68"/>
      <c r="O193" s="132" t="e">
        <f t="shared" si="20"/>
        <v>#DIV/0!</v>
      </c>
      <c r="P193" s="132"/>
      <c r="Q193" s="132">
        <f t="shared" si="24"/>
        <v>0</v>
      </c>
      <c r="R193" s="4"/>
      <c r="S193" s="68"/>
      <c r="T193" s="132" t="e">
        <f t="shared" si="21"/>
        <v>#DIV/0!</v>
      </c>
      <c r="U193" s="132"/>
      <c r="V193" s="135"/>
    </row>
    <row r="194" spans="1:22" x14ac:dyDescent="0.15">
      <c r="A194" s="130">
        <v>741</v>
      </c>
      <c r="B194" s="37" t="s">
        <v>435</v>
      </c>
      <c r="C194" s="132">
        <f t="shared" si="18"/>
        <v>1.6027</v>
      </c>
      <c r="D194" s="133">
        <v>6371</v>
      </c>
      <c r="E194" s="134">
        <v>10211.02</v>
      </c>
      <c r="F194" s="132">
        <v>3.84</v>
      </c>
      <c r="G194" s="132">
        <f t="shared" si="22"/>
        <v>0</v>
      </c>
      <c r="H194" s="133"/>
      <c r="I194" s="185"/>
      <c r="J194" s="132" t="e">
        <f t="shared" si="19"/>
        <v>#DIV/0!</v>
      </c>
      <c r="K194" s="132"/>
      <c r="L194" s="132">
        <f t="shared" si="23"/>
        <v>0</v>
      </c>
      <c r="M194" s="4"/>
      <c r="N194" s="68"/>
      <c r="O194" s="132" t="e">
        <f t="shared" si="20"/>
        <v>#DIV/0!</v>
      </c>
      <c r="P194" s="132"/>
      <c r="Q194" s="132">
        <f t="shared" si="24"/>
        <v>0</v>
      </c>
      <c r="R194" s="4"/>
      <c r="S194" s="68"/>
      <c r="T194" s="132" t="e">
        <f t="shared" si="21"/>
        <v>#DIV/0!</v>
      </c>
      <c r="U194" s="132"/>
      <c r="V194" s="135"/>
    </row>
    <row r="195" spans="1:22" x14ac:dyDescent="0.15">
      <c r="A195" s="130">
        <v>743</v>
      </c>
      <c r="B195" s="37" t="s">
        <v>213</v>
      </c>
      <c r="C195" s="132">
        <f t="shared" si="18"/>
        <v>1.2645</v>
      </c>
      <c r="D195" s="133">
        <v>3049</v>
      </c>
      <c r="E195" s="134">
        <v>3855.47</v>
      </c>
      <c r="F195" s="132">
        <v>0</v>
      </c>
      <c r="G195" s="132">
        <f t="shared" si="22"/>
        <v>0</v>
      </c>
      <c r="H195" s="133"/>
      <c r="I195" s="185"/>
      <c r="J195" s="132" t="e">
        <f t="shared" si="19"/>
        <v>#DIV/0!</v>
      </c>
      <c r="K195" s="132"/>
      <c r="L195" s="132">
        <f t="shared" si="23"/>
        <v>0</v>
      </c>
      <c r="M195" s="4"/>
      <c r="N195" s="68"/>
      <c r="O195" s="132" t="e">
        <f t="shared" si="20"/>
        <v>#DIV/0!</v>
      </c>
      <c r="P195" s="132"/>
      <c r="Q195" s="132">
        <f t="shared" si="24"/>
        <v>0</v>
      </c>
      <c r="R195" s="4"/>
      <c r="S195" s="68"/>
      <c r="T195" s="132" t="e">
        <f t="shared" si="21"/>
        <v>#DIV/0!</v>
      </c>
      <c r="U195" s="132"/>
      <c r="V195" s="135"/>
    </row>
    <row r="196" spans="1:22" x14ac:dyDescent="0.15">
      <c r="A196" s="130">
        <v>767</v>
      </c>
      <c r="B196" s="37" t="s">
        <v>216</v>
      </c>
      <c r="C196" s="132">
        <f t="shared" si="18"/>
        <v>1.3452</v>
      </c>
      <c r="D196" s="133">
        <v>6246</v>
      </c>
      <c r="E196" s="134">
        <v>8402.07</v>
      </c>
      <c r="F196" s="132">
        <v>0</v>
      </c>
      <c r="G196" s="132">
        <f t="shared" si="22"/>
        <v>0</v>
      </c>
      <c r="H196" s="133"/>
      <c r="I196" s="185"/>
      <c r="J196" s="132" t="e">
        <f t="shared" si="19"/>
        <v>#DIV/0!</v>
      </c>
      <c r="K196" s="132"/>
      <c r="L196" s="132">
        <f t="shared" si="23"/>
        <v>0</v>
      </c>
      <c r="M196" s="4"/>
      <c r="N196" s="68"/>
      <c r="O196" s="132" t="e">
        <f t="shared" si="20"/>
        <v>#DIV/0!</v>
      </c>
      <c r="P196" s="132"/>
      <c r="Q196" s="132">
        <f t="shared" si="24"/>
        <v>0</v>
      </c>
      <c r="R196" s="4"/>
      <c r="S196" s="68"/>
      <c r="T196" s="132" t="e">
        <f t="shared" si="21"/>
        <v>#DIV/0!</v>
      </c>
      <c r="U196" s="132"/>
      <c r="V196" s="135"/>
    </row>
    <row r="197" spans="1:22" x14ac:dyDescent="0.15">
      <c r="A197" s="130">
        <v>785</v>
      </c>
      <c r="B197" s="37" t="s">
        <v>504</v>
      </c>
      <c r="C197" s="132">
        <f t="shared" ref="C197:C208" si="25">IF(D197=0,SW_CMI,ROUND(E197/D197,4))</f>
        <v>1.4061999999999999</v>
      </c>
      <c r="D197" s="133">
        <v>0</v>
      </c>
      <c r="E197" s="134">
        <v>0</v>
      </c>
      <c r="F197" s="132">
        <v>0</v>
      </c>
      <c r="G197" s="132">
        <f t="shared" si="22"/>
        <v>0</v>
      </c>
      <c r="H197" s="133"/>
      <c r="I197" s="185"/>
      <c r="J197" s="132" t="e">
        <f t="shared" ref="J197:J208" si="26">IF(ROUND(G197*$I$214,4)&gt;0,ROUND(G197*$I$214,4),$I$213)</f>
        <v>#DIV/0!</v>
      </c>
      <c r="K197" s="132"/>
      <c r="L197" s="132">
        <f t="shared" si="23"/>
        <v>0</v>
      </c>
      <c r="M197" s="4"/>
      <c r="N197" s="68"/>
      <c r="O197" s="132" t="e">
        <f t="shared" ref="O197:O208" si="27">IF(ROUND(L197*$N$214,4)&gt;0,ROUND(L197*$N$214,4),$N$213)</f>
        <v>#DIV/0!</v>
      </c>
      <c r="P197" s="132"/>
      <c r="Q197" s="132">
        <f t="shared" si="24"/>
        <v>0</v>
      </c>
      <c r="R197" s="4"/>
      <c r="S197" s="68"/>
      <c r="T197" s="132" t="e">
        <f t="shared" ref="T197:T208" si="28">IF(ROUND(Q197*$S$214,4)&gt;0,ROUND(Q197*$S$214,4),$S$213)</f>
        <v>#DIV/0!</v>
      </c>
      <c r="U197" s="132"/>
      <c r="V197" s="135"/>
    </row>
    <row r="198" spans="1:22" x14ac:dyDescent="0.15">
      <c r="A198" s="130">
        <v>940</v>
      </c>
      <c r="B198" s="37" t="s">
        <v>43</v>
      </c>
      <c r="C198" s="132">
        <f t="shared" si="25"/>
        <v>1.2724</v>
      </c>
      <c r="D198" s="133">
        <v>4372</v>
      </c>
      <c r="E198" s="134">
        <v>5563.06</v>
      </c>
      <c r="F198" s="132">
        <v>0</v>
      </c>
      <c r="G198" s="132">
        <f t="shared" ref="G198:G207" si="29">IF(H198=0,0,ROUND(I198/H198,4))</f>
        <v>0</v>
      </c>
      <c r="H198" s="133"/>
      <c r="I198" s="185"/>
      <c r="J198" s="132" t="e">
        <f t="shared" si="26"/>
        <v>#DIV/0!</v>
      </c>
      <c r="K198" s="132"/>
      <c r="L198" s="132">
        <f t="shared" ref="L198:L208" si="30">IF(M198=0,0,ROUND(N198/M198,4))</f>
        <v>0</v>
      </c>
      <c r="M198" s="4"/>
      <c r="N198" s="68"/>
      <c r="O198" s="132" t="e">
        <f t="shared" si="27"/>
        <v>#DIV/0!</v>
      </c>
      <c r="P198" s="132"/>
      <c r="Q198" s="132">
        <f t="shared" ref="Q198:Q208" si="31">IF(R198=0,0,ROUND(S198/R198,4))</f>
        <v>0</v>
      </c>
      <c r="R198" s="4"/>
      <c r="S198" s="68"/>
      <c r="T198" s="132" t="e">
        <f t="shared" si="28"/>
        <v>#DIV/0!</v>
      </c>
      <c r="U198" s="132"/>
      <c r="V198" s="135"/>
    </row>
    <row r="199" spans="1:22" x14ac:dyDescent="0.15">
      <c r="A199" s="130">
        <v>1132</v>
      </c>
      <c r="B199" s="37" t="s">
        <v>196</v>
      </c>
      <c r="C199" s="132">
        <f t="shared" si="25"/>
        <v>1.5096000000000001</v>
      </c>
      <c r="D199" s="133">
        <v>5222</v>
      </c>
      <c r="E199" s="134">
        <v>7883.19</v>
      </c>
      <c r="F199" s="132">
        <v>0</v>
      </c>
      <c r="G199" s="132">
        <f t="shared" si="29"/>
        <v>0</v>
      </c>
      <c r="H199" s="133"/>
      <c r="I199" s="185"/>
      <c r="J199" s="132" t="e">
        <f t="shared" si="26"/>
        <v>#DIV/0!</v>
      </c>
      <c r="K199" s="132"/>
      <c r="L199" s="132">
        <f t="shared" si="30"/>
        <v>0</v>
      </c>
      <c r="M199" s="4"/>
      <c r="N199" s="68"/>
      <c r="O199" s="132" t="e">
        <f t="shared" si="27"/>
        <v>#DIV/0!</v>
      </c>
      <c r="P199" s="132"/>
      <c r="Q199" s="132">
        <f t="shared" si="31"/>
        <v>0</v>
      </c>
      <c r="R199" s="4"/>
      <c r="S199" s="68"/>
      <c r="T199" s="132" t="e">
        <f t="shared" si="28"/>
        <v>#DIV/0!</v>
      </c>
      <c r="U199" s="132"/>
      <c r="V199" s="135"/>
    </row>
    <row r="200" spans="1:22" x14ac:dyDescent="0.15">
      <c r="A200" s="130">
        <v>1194</v>
      </c>
      <c r="B200" s="37" t="s">
        <v>237</v>
      </c>
      <c r="C200" s="132">
        <f t="shared" si="25"/>
        <v>1.4061999999999999</v>
      </c>
      <c r="D200" s="133">
        <v>0</v>
      </c>
      <c r="E200" s="134">
        <v>0</v>
      </c>
      <c r="F200" s="132">
        <v>0</v>
      </c>
      <c r="G200" s="132">
        <f t="shared" si="29"/>
        <v>0</v>
      </c>
      <c r="H200" s="133"/>
      <c r="I200" s="185"/>
      <c r="J200" s="132" t="e">
        <f t="shared" si="26"/>
        <v>#DIV/0!</v>
      </c>
      <c r="K200" s="132"/>
      <c r="L200" s="132">
        <f t="shared" si="30"/>
        <v>0</v>
      </c>
      <c r="M200" s="4"/>
      <c r="N200" s="68"/>
      <c r="O200" s="132" t="e">
        <f t="shared" si="27"/>
        <v>#DIV/0!</v>
      </c>
      <c r="P200" s="132"/>
      <c r="Q200" s="132">
        <f t="shared" si="31"/>
        <v>0</v>
      </c>
      <c r="R200" s="4"/>
      <c r="S200" s="68"/>
      <c r="T200" s="132" t="e">
        <f t="shared" si="28"/>
        <v>#DIV/0!</v>
      </c>
      <c r="U200" s="132"/>
      <c r="V200" s="135"/>
    </row>
    <row r="201" spans="1:22" x14ac:dyDescent="0.15">
      <c r="A201" s="130">
        <v>1203</v>
      </c>
      <c r="B201" s="37" t="s">
        <v>407</v>
      </c>
      <c r="C201" s="132">
        <f t="shared" si="25"/>
        <v>1.4499</v>
      </c>
      <c r="D201" s="133">
        <v>1850</v>
      </c>
      <c r="E201" s="134">
        <v>2682.23</v>
      </c>
      <c r="F201" s="132">
        <v>0</v>
      </c>
      <c r="G201" s="132">
        <f t="shared" si="29"/>
        <v>0</v>
      </c>
      <c r="H201" s="133"/>
      <c r="I201" s="185"/>
      <c r="J201" s="132" t="e">
        <f t="shared" si="26"/>
        <v>#DIV/0!</v>
      </c>
      <c r="K201" s="132"/>
      <c r="L201" s="132">
        <f t="shared" si="30"/>
        <v>0</v>
      </c>
      <c r="M201" s="4"/>
      <c r="N201" s="68"/>
      <c r="O201" s="132" t="e">
        <f t="shared" si="27"/>
        <v>#DIV/0!</v>
      </c>
      <c r="P201" s="132"/>
      <c r="Q201" s="132">
        <f t="shared" si="31"/>
        <v>0</v>
      </c>
      <c r="R201" s="4"/>
      <c r="S201" s="68"/>
      <c r="T201" s="132" t="e">
        <f t="shared" si="28"/>
        <v>#DIV/0!</v>
      </c>
      <c r="U201" s="132"/>
      <c r="V201" s="135"/>
    </row>
    <row r="202" spans="1:22" x14ac:dyDescent="0.15">
      <c r="A202" s="130">
        <v>1209</v>
      </c>
      <c r="B202" s="37" t="s">
        <v>217</v>
      </c>
      <c r="C202" s="132">
        <f t="shared" si="25"/>
        <v>1.3488</v>
      </c>
      <c r="D202" s="133">
        <v>2898</v>
      </c>
      <c r="E202" s="134">
        <v>3908.94</v>
      </c>
      <c r="F202" s="132">
        <v>0</v>
      </c>
      <c r="G202" s="132">
        <f t="shared" si="29"/>
        <v>0</v>
      </c>
      <c r="H202" s="133"/>
      <c r="I202" s="185"/>
      <c r="J202" s="132" t="e">
        <f t="shared" si="26"/>
        <v>#DIV/0!</v>
      </c>
      <c r="K202" s="132"/>
      <c r="L202" s="132">
        <f t="shared" si="30"/>
        <v>0</v>
      </c>
      <c r="M202" s="4"/>
      <c r="N202" s="68"/>
      <c r="O202" s="132" t="e">
        <f t="shared" si="27"/>
        <v>#DIV/0!</v>
      </c>
      <c r="P202" s="132"/>
      <c r="Q202" s="132">
        <f t="shared" si="31"/>
        <v>0</v>
      </c>
      <c r="R202" s="4"/>
      <c r="S202" s="68"/>
      <c r="T202" s="132" t="e">
        <f t="shared" si="28"/>
        <v>#DIV/0!</v>
      </c>
      <c r="U202" s="132"/>
      <c r="V202" s="135"/>
    </row>
    <row r="203" spans="1:22" x14ac:dyDescent="0.15">
      <c r="A203" s="130">
        <v>1232</v>
      </c>
      <c r="B203" s="37" t="s">
        <v>255</v>
      </c>
      <c r="C203" s="132">
        <f t="shared" si="25"/>
        <v>1.3229</v>
      </c>
      <c r="D203" s="133">
        <v>3699</v>
      </c>
      <c r="E203" s="134">
        <v>4893.2700000000004</v>
      </c>
      <c r="F203" s="132">
        <v>3.84</v>
      </c>
      <c r="G203" s="132">
        <f t="shared" si="29"/>
        <v>0</v>
      </c>
      <c r="H203" s="133"/>
      <c r="I203" s="185"/>
      <c r="J203" s="132" t="e">
        <f t="shared" si="26"/>
        <v>#DIV/0!</v>
      </c>
      <c r="K203" s="132"/>
      <c r="L203" s="132">
        <f t="shared" si="30"/>
        <v>0</v>
      </c>
      <c r="M203" s="4"/>
      <c r="N203" s="68"/>
      <c r="O203" s="132" t="e">
        <f t="shared" si="27"/>
        <v>#DIV/0!</v>
      </c>
      <c r="P203" s="132"/>
      <c r="Q203" s="132">
        <f t="shared" si="31"/>
        <v>0</v>
      </c>
      <c r="R203" s="4"/>
      <c r="S203" s="68"/>
      <c r="T203" s="132" t="e">
        <f t="shared" si="28"/>
        <v>#DIV/0!</v>
      </c>
      <c r="U203" s="132"/>
      <c r="V203" s="135"/>
    </row>
    <row r="204" spans="1:22" x14ac:dyDescent="0.15">
      <c r="A204" s="130">
        <v>1282</v>
      </c>
      <c r="B204" s="37" t="s">
        <v>328</v>
      </c>
      <c r="C204" s="132">
        <f t="shared" si="25"/>
        <v>1.3193999999999999</v>
      </c>
      <c r="D204" s="133">
        <v>2965</v>
      </c>
      <c r="E204" s="134">
        <v>3912</v>
      </c>
      <c r="F204" s="132">
        <v>0</v>
      </c>
      <c r="G204" s="132">
        <f t="shared" si="29"/>
        <v>0</v>
      </c>
      <c r="H204" s="133"/>
      <c r="I204" s="185"/>
      <c r="J204" s="132" t="e">
        <f t="shared" si="26"/>
        <v>#DIV/0!</v>
      </c>
      <c r="K204" s="132"/>
      <c r="L204" s="132">
        <f t="shared" si="30"/>
        <v>0</v>
      </c>
      <c r="M204" s="4"/>
      <c r="N204" s="68"/>
      <c r="O204" s="132" t="e">
        <f t="shared" si="27"/>
        <v>#DIV/0!</v>
      </c>
      <c r="P204" s="132"/>
      <c r="Q204" s="132">
        <f t="shared" si="31"/>
        <v>0</v>
      </c>
      <c r="R204" s="4"/>
      <c r="S204" s="68"/>
      <c r="T204" s="132" t="e">
        <f t="shared" si="28"/>
        <v>#DIV/0!</v>
      </c>
      <c r="U204" s="132"/>
      <c r="V204" s="135"/>
    </row>
    <row r="205" spans="1:22" x14ac:dyDescent="0.15">
      <c r="A205" s="130">
        <v>1324</v>
      </c>
      <c r="B205" s="37" t="s">
        <v>477</v>
      </c>
      <c r="C205" s="132">
        <f t="shared" si="25"/>
        <v>0.93149999999999999</v>
      </c>
      <c r="D205" s="133">
        <v>617</v>
      </c>
      <c r="E205" s="134">
        <v>574.72</v>
      </c>
      <c r="F205" s="132">
        <v>0</v>
      </c>
      <c r="G205" s="132">
        <f t="shared" si="29"/>
        <v>0</v>
      </c>
      <c r="H205" s="133"/>
      <c r="I205" s="185"/>
      <c r="J205" s="132" t="e">
        <f t="shared" si="26"/>
        <v>#DIV/0!</v>
      </c>
      <c r="K205" s="132"/>
      <c r="L205" s="132">
        <f t="shared" si="30"/>
        <v>0</v>
      </c>
      <c r="M205" s="4"/>
      <c r="N205" s="68"/>
      <c r="O205" s="132" t="e">
        <f t="shared" si="27"/>
        <v>#DIV/0!</v>
      </c>
      <c r="P205" s="132"/>
      <c r="Q205" s="132">
        <f t="shared" si="31"/>
        <v>0</v>
      </c>
      <c r="R205" s="4"/>
      <c r="S205" s="68"/>
      <c r="T205" s="132" t="e">
        <f t="shared" si="28"/>
        <v>#DIV/0!</v>
      </c>
      <c r="U205" s="132"/>
      <c r="V205" s="135"/>
    </row>
    <row r="206" spans="1:22" x14ac:dyDescent="0.15">
      <c r="A206" s="130">
        <v>1326</v>
      </c>
      <c r="B206" s="37" t="s">
        <v>675</v>
      </c>
      <c r="C206" s="132">
        <f t="shared" si="25"/>
        <v>1.2616000000000001</v>
      </c>
      <c r="D206" s="133">
        <v>2418</v>
      </c>
      <c r="E206" s="134">
        <v>3050.54</v>
      </c>
      <c r="F206" s="132">
        <v>0</v>
      </c>
      <c r="G206" s="132">
        <f t="shared" si="29"/>
        <v>0</v>
      </c>
      <c r="H206" s="133"/>
      <c r="I206" s="185"/>
      <c r="J206" s="132" t="e">
        <f t="shared" si="26"/>
        <v>#DIV/0!</v>
      </c>
      <c r="K206" s="132"/>
      <c r="L206" s="132">
        <f t="shared" si="30"/>
        <v>0</v>
      </c>
      <c r="M206" s="4"/>
      <c r="N206" s="68"/>
      <c r="O206" s="132" t="e">
        <f t="shared" si="27"/>
        <v>#DIV/0!</v>
      </c>
      <c r="P206" s="132"/>
      <c r="Q206" s="132">
        <f t="shared" si="31"/>
        <v>0</v>
      </c>
      <c r="R206" s="4"/>
      <c r="S206" s="68"/>
      <c r="T206" s="132" t="e">
        <f>IF(ROUND(Q206*$S$214,4)&gt;0,ROUND(Q206*$S$214,4),$S$213)</f>
        <v>#DIV/0!</v>
      </c>
      <c r="U206" s="132"/>
      <c r="V206" s="135"/>
    </row>
    <row r="207" spans="1:22" x14ac:dyDescent="0.15">
      <c r="A207" s="130">
        <v>1366</v>
      </c>
      <c r="B207" s="37" t="s">
        <v>438</v>
      </c>
      <c r="C207" s="132">
        <f t="shared" si="25"/>
        <v>1.6023000000000001</v>
      </c>
      <c r="D207" s="133">
        <v>4326</v>
      </c>
      <c r="E207" s="134">
        <v>6931.34</v>
      </c>
      <c r="F207" s="132">
        <v>3.84</v>
      </c>
      <c r="G207" s="132">
        <f t="shared" si="29"/>
        <v>0</v>
      </c>
      <c r="H207" s="133"/>
      <c r="I207" s="185"/>
      <c r="J207" s="132" t="e">
        <f t="shared" ref="J207" si="32">IF(ROUND(G207*$I$214,4)&gt;0,ROUND(G207*$I$214,4),$I$213)</f>
        <v>#DIV/0!</v>
      </c>
      <c r="K207" s="132"/>
      <c r="L207" s="132">
        <f t="shared" si="30"/>
        <v>0</v>
      </c>
      <c r="M207" s="4"/>
      <c r="N207" s="68"/>
      <c r="O207" s="132" t="e">
        <f t="shared" ref="O207" si="33">IF(ROUND(L207*$N$214,4)&gt;0,ROUND(L207*$N$214,4),$N$213)</f>
        <v>#DIV/0!</v>
      </c>
      <c r="P207" s="132"/>
      <c r="Q207" s="132">
        <f t="shared" si="31"/>
        <v>0</v>
      </c>
      <c r="R207" s="4"/>
      <c r="S207" s="68"/>
      <c r="T207" s="132" t="e">
        <f t="shared" ref="T207" si="34">IF(ROUND(Q207*$S$214,4)&gt;0,ROUND(Q207*$S$214,4),$S$213)</f>
        <v>#DIV/0!</v>
      </c>
      <c r="U207" s="132"/>
      <c r="V207" s="135"/>
    </row>
    <row r="208" spans="1:22" x14ac:dyDescent="0.15">
      <c r="A208" s="130">
        <v>1421</v>
      </c>
      <c r="B208" s="37" t="s">
        <v>713</v>
      </c>
      <c r="C208" s="132">
        <f t="shared" si="25"/>
        <v>1.3228</v>
      </c>
      <c r="D208" s="133">
        <v>3705</v>
      </c>
      <c r="E208" s="134">
        <v>4901.03</v>
      </c>
      <c r="F208" s="132">
        <v>0</v>
      </c>
      <c r="G208" s="132">
        <f>IF(H208=0,0,ROUND(I208/H208,4))</f>
        <v>0</v>
      </c>
      <c r="H208" s="133"/>
      <c r="I208" s="185"/>
      <c r="J208" s="132" t="e">
        <f t="shared" si="26"/>
        <v>#DIV/0!</v>
      </c>
      <c r="K208" s="132"/>
      <c r="L208" s="132">
        <f t="shared" si="30"/>
        <v>0</v>
      </c>
      <c r="M208" s="4"/>
      <c r="N208" s="68"/>
      <c r="O208" s="132" t="e">
        <f t="shared" si="27"/>
        <v>#DIV/0!</v>
      </c>
      <c r="P208" s="132"/>
      <c r="Q208" s="132">
        <f t="shared" si="31"/>
        <v>0</v>
      </c>
      <c r="R208" s="4"/>
      <c r="S208" s="68"/>
      <c r="T208" s="132" t="e">
        <f t="shared" si="28"/>
        <v>#DIV/0!</v>
      </c>
      <c r="U208" s="132"/>
      <c r="V208" s="135"/>
    </row>
    <row r="209" spans="1:22" x14ac:dyDescent="0.15">
      <c r="A209" s="130"/>
      <c r="B209" s="37"/>
      <c r="C209" s="132"/>
      <c r="D209" s="133"/>
      <c r="E209" s="134"/>
      <c r="F209" s="132"/>
      <c r="G209" s="132"/>
      <c r="H209" s="133"/>
      <c r="I209" s="185"/>
      <c r="J209" s="132"/>
      <c r="K209" s="132"/>
      <c r="L209" s="132"/>
      <c r="M209" s="4"/>
      <c r="N209" s="68"/>
      <c r="O209" s="132"/>
      <c r="P209" s="72"/>
      <c r="Q209" s="132"/>
      <c r="R209" s="4"/>
      <c r="S209" s="68"/>
      <c r="T209" s="132"/>
      <c r="U209" s="72"/>
      <c r="V209" s="135"/>
    </row>
    <row r="210" spans="1:22" x14ac:dyDescent="0.15">
      <c r="G210" s="72"/>
      <c r="Q210" s="72"/>
    </row>
    <row r="211" spans="1:22" x14ac:dyDescent="0.15">
      <c r="H211" s="4"/>
      <c r="J211" s="69"/>
      <c r="M211" s="4"/>
      <c r="N211" s="4"/>
      <c r="O211" s="69"/>
      <c r="T211" s="69"/>
    </row>
    <row r="212" spans="1:22" x14ac:dyDescent="0.15">
      <c r="D212" s="70" t="s">
        <v>929</v>
      </c>
      <c r="E212" s="66">
        <f>ROUND(SUM(E4:E208)/SUM(D4:D208),4)</f>
        <v>1.4061999999999999</v>
      </c>
      <c r="H212" s="70" t="s">
        <v>931</v>
      </c>
      <c r="I212" s="66" t="e">
        <f>ROUND(SUM(I4:I208)/SUM(H4:H208),4)</f>
        <v>#DIV/0!</v>
      </c>
      <c r="M212" s="70" t="s">
        <v>930</v>
      </c>
      <c r="N212" s="66" t="e">
        <f>ROUND(SUM(N4:N208)/SUM(M4:M208),4)</f>
        <v>#DIV/0!</v>
      </c>
      <c r="R212" s="70" t="s">
        <v>928</v>
      </c>
      <c r="S212" s="66" t="e">
        <f>ROUND(SUM(S4:S208)/SUM(R4:R208),4)</f>
        <v>#DIV/0!</v>
      </c>
    </row>
    <row r="213" spans="1:22" x14ac:dyDescent="0.15">
      <c r="H213" s="70" t="s">
        <v>929</v>
      </c>
      <c r="I213" s="66">
        <f>+E212</f>
        <v>1.4061999999999999</v>
      </c>
      <c r="M213" s="70" t="s">
        <v>929</v>
      </c>
      <c r="N213" s="66">
        <f>+E212</f>
        <v>1.4061999999999999</v>
      </c>
      <c r="R213" s="70" t="s">
        <v>929</v>
      </c>
      <c r="S213" s="66">
        <f>+N213</f>
        <v>1.4061999999999999</v>
      </c>
    </row>
    <row r="214" spans="1:22" x14ac:dyDescent="0.15">
      <c r="H214" s="70" t="s">
        <v>932</v>
      </c>
      <c r="I214" s="71" t="e">
        <f>ROUND(I213/I212,6)</f>
        <v>#DIV/0!</v>
      </c>
      <c r="J214" s="69"/>
      <c r="M214" s="70" t="s">
        <v>926</v>
      </c>
      <c r="N214" s="71" t="e">
        <f>ROUND(N213/N212,6)</f>
        <v>#DIV/0!</v>
      </c>
      <c r="O214" s="69"/>
      <c r="R214" s="70" t="s">
        <v>927</v>
      </c>
      <c r="S214" s="71" t="e">
        <f>ROUND(S213/S212,6)</f>
        <v>#DIV/0!</v>
      </c>
      <c r="T214" s="69"/>
    </row>
    <row r="216" spans="1:22" x14ac:dyDescent="0.15">
      <c r="A216" s="37"/>
      <c r="M216" s="4"/>
      <c r="R216" s="4"/>
    </row>
    <row r="217" spans="1:22" x14ac:dyDescent="0.15">
      <c r="A217" s="37"/>
    </row>
    <row r="218" spans="1:22" x14ac:dyDescent="0.15">
      <c r="A218" s="37"/>
      <c r="J218" s="67"/>
      <c r="O218" s="67"/>
      <c r="T218" s="67"/>
    </row>
    <row r="219" spans="1:22" x14ac:dyDescent="0.15">
      <c r="H219" s="4"/>
      <c r="I219" s="4"/>
      <c r="J219" s="67"/>
      <c r="O219" s="67"/>
      <c r="T219" s="67"/>
    </row>
    <row r="220" spans="1:22" x14ac:dyDescent="0.15">
      <c r="J220" s="67"/>
      <c r="O220" s="67"/>
      <c r="T220" s="67"/>
    </row>
    <row r="221" spans="1:22" x14ac:dyDescent="0.15">
      <c r="H221" s="4"/>
      <c r="J221" s="67"/>
      <c r="O221" s="67"/>
      <c r="T221" s="67"/>
    </row>
    <row r="222" spans="1:22" x14ac:dyDescent="0.15">
      <c r="J222" s="67"/>
      <c r="O222" s="67"/>
      <c r="T222" s="67"/>
    </row>
    <row r="223" spans="1:22" x14ac:dyDescent="0.15">
      <c r="J223" s="67"/>
      <c r="O223" s="67"/>
      <c r="T223" s="67"/>
    </row>
    <row r="224" spans="1:22" x14ac:dyDescent="0.15">
      <c r="A224" s="37">
        <v>1</v>
      </c>
      <c r="B224" s="1">
        <f>+A224+1</f>
        <v>2</v>
      </c>
      <c r="C224" s="1">
        <f t="shared" ref="C224:U224" si="35">+B224+1</f>
        <v>3</v>
      </c>
      <c r="D224" s="1">
        <f t="shared" si="35"/>
        <v>4</v>
      </c>
      <c r="E224" s="1">
        <f t="shared" si="35"/>
        <v>5</v>
      </c>
      <c r="F224" s="1">
        <f t="shared" si="35"/>
        <v>6</v>
      </c>
      <c r="G224" s="1">
        <f t="shared" si="35"/>
        <v>7</v>
      </c>
      <c r="H224" s="1">
        <f t="shared" si="35"/>
        <v>8</v>
      </c>
      <c r="I224" s="1">
        <f t="shared" si="35"/>
        <v>9</v>
      </c>
      <c r="J224" s="1">
        <f t="shared" si="35"/>
        <v>10</v>
      </c>
      <c r="K224" s="1">
        <f t="shared" si="35"/>
        <v>11</v>
      </c>
      <c r="L224" s="1">
        <f t="shared" si="35"/>
        <v>12</v>
      </c>
      <c r="M224" s="1">
        <f t="shared" si="35"/>
        <v>13</v>
      </c>
      <c r="N224" s="1">
        <f t="shared" si="35"/>
        <v>14</v>
      </c>
      <c r="O224" s="1">
        <f t="shared" si="35"/>
        <v>15</v>
      </c>
      <c r="P224" s="1">
        <f t="shared" si="35"/>
        <v>16</v>
      </c>
      <c r="Q224" s="1">
        <f t="shared" si="35"/>
        <v>17</v>
      </c>
      <c r="R224" s="1">
        <f t="shared" si="35"/>
        <v>18</v>
      </c>
      <c r="S224" s="1">
        <f t="shared" si="35"/>
        <v>19</v>
      </c>
      <c r="T224" s="1">
        <f t="shared" si="35"/>
        <v>20</v>
      </c>
      <c r="U224" s="1">
        <f t="shared" si="35"/>
        <v>21</v>
      </c>
    </row>
    <row r="225" spans="10:20" x14ac:dyDescent="0.15">
      <c r="J225" s="67"/>
      <c r="O225" s="67"/>
      <c r="T225" s="67"/>
    </row>
    <row r="226" spans="10:20" x14ac:dyDescent="0.15">
      <c r="J226" s="67"/>
      <c r="O226" s="67"/>
      <c r="T226" s="67"/>
    </row>
    <row r="227" spans="10:20" x14ac:dyDescent="0.15">
      <c r="J227" s="67"/>
      <c r="O227" s="67"/>
      <c r="T227" s="67"/>
    </row>
    <row r="228" spans="10:20" x14ac:dyDescent="0.15">
      <c r="J228" s="67"/>
      <c r="O228" s="67"/>
      <c r="T228" s="67"/>
    </row>
    <row r="229" spans="10:20" x14ac:dyDescent="0.15">
      <c r="J229" s="67"/>
      <c r="O229" s="67"/>
      <c r="T229" s="67"/>
    </row>
    <row r="230" spans="10:20" x14ac:dyDescent="0.15">
      <c r="J230" s="67"/>
      <c r="O230" s="67"/>
      <c r="T230" s="67"/>
    </row>
    <row r="231" spans="10:20" x14ac:dyDescent="0.15">
      <c r="J231" s="67"/>
      <c r="O231" s="67"/>
      <c r="T231" s="67"/>
    </row>
    <row r="232" spans="10:20" x14ac:dyDescent="0.15">
      <c r="J232" s="67"/>
      <c r="O232" s="67"/>
      <c r="T232" s="67"/>
    </row>
    <row r="233" spans="10:20" x14ac:dyDescent="0.15">
      <c r="J233" s="67"/>
      <c r="O233" s="67"/>
      <c r="T233" s="67"/>
    </row>
    <row r="234" spans="10:20" x14ac:dyDescent="0.15">
      <c r="J234" s="67"/>
      <c r="O234" s="67"/>
      <c r="T234" s="67"/>
    </row>
    <row r="235" spans="10:20" x14ac:dyDescent="0.15">
      <c r="J235" s="67"/>
      <c r="O235" s="67"/>
      <c r="T235" s="67"/>
    </row>
    <row r="236" spans="10:20" x14ac:dyDescent="0.15">
      <c r="J236" s="67"/>
      <c r="O236" s="67"/>
      <c r="T236" s="67"/>
    </row>
    <row r="237" spans="10:20" x14ac:dyDescent="0.15">
      <c r="J237" s="67"/>
      <c r="O237" s="67"/>
      <c r="T237" s="67"/>
    </row>
    <row r="238" spans="10:20" x14ac:dyDescent="0.15">
      <c r="J238" s="67"/>
      <c r="O238" s="67"/>
      <c r="T238" s="67"/>
    </row>
    <row r="239" spans="10:20" x14ac:dyDescent="0.15">
      <c r="J239" s="67"/>
      <c r="O239" s="67"/>
      <c r="T239" s="67"/>
    </row>
    <row r="240" spans="10:20" x14ac:dyDescent="0.15">
      <c r="J240" s="67"/>
      <c r="O240" s="67"/>
      <c r="T240" s="67"/>
    </row>
    <row r="241" spans="10:20" x14ac:dyDescent="0.15">
      <c r="J241" s="67"/>
      <c r="O241" s="67"/>
      <c r="T241" s="67"/>
    </row>
    <row r="242" spans="10:20" x14ac:dyDescent="0.15">
      <c r="J242" s="67"/>
      <c r="O242" s="67"/>
      <c r="T242" s="67"/>
    </row>
    <row r="243" spans="10:20" x14ac:dyDescent="0.15">
      <c r="J243" s="67"/>
      <c r="O243" s="67"/>
      <c r="T243" s="67"/>
    </row>
    <row r="244" spans="10:20" x14ac:dyDescent="0.15">
      <c r="J244" s="67"/>
      <c r="O244" s="67"/>
      <c r="T244" s="67"/>
    </row>
    <row r="245" spans="10:20" x14ac:dyDescent="0.15">
      <c r="J245" s="67"/>
      <c r="O245" s="67"/>
      <c r="T245" s="67"/>
    </row>
    <row r="246" spans="10:20" x14ac:dyDescent="0.15">
      <c r="J246" s="67"/>
      <c r="O246" s="67"/>
      <c r="T246" s="67"/>
    </row>
    <row r="247" spans="10:20" x14ac:dyDescent="0.15">
      <c r="J247" s="67"/>
      <c r="O247" s="67"/>
      <c r="T247" s="67"/>
    </row>
    <row r="248" spans="10:20" x14ac:dyDescent="0.15">
      <c r="J248" s="67"/>
      <c r="O248" s="67"/>
      <c r="T248" s="67"/>
    </row>
    <row r="249" spans="10:20" x14ac:dyDescent="0.15">
      <c r="J249" s="67"/>
      <c r="O249" s="67"/>
      <c r="T249" s="67"/>
    </row>
    <row r="250" spans="10:20" x14ac:dyDescent="0.15">
      <c r="J250" s="67"/>
      <c r="O250" s="67"/>
      <c r="T250" s="67"/>
    </row>
    <row r="251" spans="10:20" x14ac:dyDescent="0.15">
      <c r="J251" s="67"/>
      <c r="O251" s="67"/>
      <c r="T251" s="67"/>
    </row>
    <row r="252" spans="10:20" x14ac:dyDescent="0.15">
      <c r="J252" s="67"/>
      <c r="O252" s="67"/>
      <c r="T252" s="67"/>
    </row>
    <row r="253" spans="10:20" x14ac:dyDescent="0.15">
      <c r="J253" s="67"/>
      <c r="O253" s="67"/>
      <c r="T253" s="67"/>
    </row>
    <row r="254" spans="10:20" x14ac:dyDescent="0.15">
      <c r="J254" s="67"/>
      <c r="O254" s="67"/>
      <c r="T254" s="67"/>
    </row>
    <row r="255" spans="10:20" x14ac:dyDescent="0.15">
      <c r="J255" s="67"/>
      <c r="O255" s="67"/>
      <c r="T255" s="67"/>
    </row>
    <row r="256" spans="10:20" x14ac:dyDescent="0.15">
      <c r="J256" s="67"/>
      <c r="O256" s="67"/>
      <c r="T256" s="67"/>
    </row>
    <row r="257" spans="10:20" x14ac:dyDescent="0.15">
      <c r="J257" s="67"/>
      <c r="O257" s="67"/>
      <c r="T257" s="67"/>
    </row>
    <row r="258" spans="10:20" x14ac:dyDescent="0.15">
      <c r="J258" s="67"/>
      <c r="O258" s="67"/>
      <c r="T258" s="67"/>
    </row>
    <row r="259" spans="10:20" x14ac:dyDescent="0.15">
      <c r="J259" s="67"/>
      <c r="O259" s="67"/>
      <c r="T259" s="67"/>
    </row>
    <row r="260" spans="10:20" x14ac:dyDescent="0.15">
      <c r="J260" s="67"/>
      <c r="O260" s="67"/>
      <c r="T260" s="67"/>
    </row>
    <row r="261" spans="10:20" x14ac:dyDescent="0.15">
      <c r="J261" s="67"/>
      <c r="O261" s="67"/>
      <c r="T261" s="67"/>
    </row>
    <row r="262" spans="10:20" x14ac:dyDescent="0.15">
      <c r="J262" s="67"/>
      <c r="O262" s="67"/>
      <c r="T262" s="67"/>
    </row>
    <row r="263" spans="10:20" x14ac:dyDescent="0.15">
      <c r="J263" s="67"/>
      <c r="O263" s="67"/>
      <c r="T263" s="67"/>
    </row>
    <row r="264" spans="10:20" x14ac:dyDescent="0.15">
      <c r="J264" s="67"/>
      <c r="O264" s="67"/>
      <c r="T264" s="67"/>
    </row>
    <row r="265" spans="10:20" x14ac:dyDescent="0.15">
      <c r="J265" s="67"/>
      <c r="O265" s="67"/>
      <c r="T265" s="67"/>
    </row>
    <row r="266" spans="10:20" x14ac:dyDescent="0.15">
      <c r="J266" s="67"/>
      <c r="O266" s="67"/>
      <c r="T266" s="67"/>
    </row>
    <row r="267" spans="10:20" x14ac:dyDescent="0.15">
      <c r="J267" s="67"/>
      <c r="O267" s="67"/>
      <c r="T267" s="67"/>
    </row>
    <row r="268" spans="10:20" x14ac:dyDescent="0.15">
      <c r="J268" s="67"/>
      <c r="O268" s="67"/>
      <c r="T268" s="67"/>
    </row>
    <row r="269" spans="10:20" x14ac:dyDescent="0.15">
      <c r="J269" s="67"/>
      <c r="O269" s="67"/>
      <c r="T269" s="67"/>
    </row>
    <row r="270" spans="10:20" x14ac:dyDescent="0.15">
      <c r="J270" s="67"/>
      <c r="O270" s="67"/>
      <c r="T270" s="67"/>
    </row>
    <row r="271" spans="10:20" x14ac:dyDescent="0.15">
      <c r="J271" s="67"/>
      <c r="O271" s="67"/>
      <c r="T271" s="67"/>
    </row>
    <row r="272" spans="10:20" x14ac:dyDescent="0.15">
      <c r="J272" s="67"/>
      <c r="O272" s="67"/>
      <c r="T272" s="67"/>
    </row>
    <row r="273" spans="10:20" x14ac:dyDescent="0.15">
      <c r="J273" s="67"/>
      <c r="O273" s="67"/>
      <c r="T273" s="67"/>
    </row>
    <row r="274" spans="10:20" x14ac:dyDescent="0.15">
      <c r="J274" s="67"/>
      <c r="O274" s="67"/>
      <c r="T274" s="67"/>
    </row>
    <row r="275" spans="10:20" x14ac:dyDescent="0.15">
      <c r="J275" s="67"/>
      <c r="O275" s="67"/>
      <c r="T275" s="67"/>
    </row>
    <row r="276" spans="10:20" x14ac:dyDescent="0.15">
      <c r="J276" s="67"/>
      <c r="O276" s="67"/>
      <c r="T276" s="67"/>
    </row>
    <row r="277" spans="10:20" x14ac:dyDescent="0.15">
      <c r="J277" s="67"/>
      <c r="O277" s="67"/>
      <c r="T277" s="67"/>
    </row>
    <row r="278" spans="10:20" x14ac:dyDescent="0.15">
      <c r="J278" s="67"/>
      <c r="O278" s="67"/>
      <c r="T278" s="67"/>
    </row>
    <row r="279" spans="10:20" x14ac:dyDescent="0.15">
      <c r="J279" s="67"/>
      <c r="O279" s="67"/>
      <c r="T279" s="67"/>
    </row>
    <row r="280" spans="10:20" x14ac:dyDescent="0.15">
      <c r="J280" s="67"/>
      <c r="O280" s="67"/>
      <c r="T280" s="67"/>
    </row>
    <row r="281" spans="10:20" x14ac:dyDescent="0.15">
      <c r="J281" s="67"/>
      <c r="O281" s="67"/>
      <c r="T281" s="67"/>
    </row>
    <row r="282" spans="10:20" x14ac:dyDescent="0.15">
      <c r="J282" s="67"/>
      <c r="O282" s="67"/>
      <c r="T282" s="67"/>
    </row>
    <row r="283" spans="10:20" x14ac:dyDescent="0.15">
      <c r="J283" s="67"/>
      <c r="O283" s="67"/>
      <c r="T283" s="67"/>
    </row>
    <row r="284" spans="10:20" x14ac:dyDescent="0.15">
      <c r="J284" s="67"/>
      <c r="O284" s="67"/>
      <c r="T284" s="67"/>
    </row>
    <row r="285" spans="10:20" x14ac:dyDescent="0.15">
      <c r="J285" s="67"/>
      <c r="O285" s="67"/>
      <c r="T285" s="67"/>
    </row>
    <row r="286" spans="10:20" x14ac:dyDescent="0.15">
      <c r="J286" s="67"/>
      <c r="O286" s="67"/>
      <c r="T286" s="67"/>
    </row>
    <row r="287" spans="10:20" x14ac:dyDescent="0.15">
      <c r="J287" s="67"/>
      <c r="O287" s="67"/>
      <c r="T287" s="67"/>
    </row>
    <row r="288" spans="10:20" x14ac:dyDescent="0.15">
      <c r="J288" s="67"/>
      <c r="O288" s="67"/>
      <c r="T288" s="67"/>
    </row>
    <row r="289" spans="10:20" x14ac:dyDescent="0.15">
      <c r="J289" s="67"/>
      <c r="O289" s="67"/>
      <c r="T289" s="67"/>
    </row>
    <row r="290" spans="10:20" x14ac:dyDescent="0.15">
      <c r="J290" s="67"/>
      <c r="O290" s="67"/>
      <c r="T290" s="67"/>
    </row>
    <row r="291" spans="10:20" x14ac:dyDescent="0.15">
      <c r="J291" s="67"/>
      <c r="O291" s="67"/>
      <c r="T291" s="67"/>
    </row>
    <row r="292" spans="10:20" x14ac:dyDescent="0.15">
      <c r="J292" s="67"/>
      <c r="O292" s="67"/>
      <c r="T292" s="67"/>
    </row>
    <row r="293" spans="10:20" x14ac:dyDescent="0.15">
      <c r="J293" s="67"/>
      <c r="O293" s="67"/>
      <c r="T293" s="67"/>
    </row>
    <row r="294" spans="10:20" x14ac:dyDescent="0.15">
      <c r="J294" s="67"/>
      <c r="O294" s="67"/>
      <c r="T294" s="67"/>
    </row>
    <row r="295" spans="10:20" x14ac:dyDescent="0.15">
      <c r="J295" s="67"/>
      <c r="O295" s="67"/>
      <c r="T295" s="67"/>
    </row>
    <row r="296" spans="10:20" x14ac:dyDescent="0.15">
      <c r="J296" s="67"/>
      <c r="O296" s="67"/>
      <c r="T296" s="67"/>
    </row>
    <row r="297" spans="10:20" x14ac:dyDescent="0.15">
      <c r="J297" s="67"/>
      <c r="O297" s="67"/>
      <c r="T297" s="67"/>
    </row>
    <row r="298" spans="10:20" x14ac:dyDescent="0.15">
      <c r="J298" s="67"/>
      <c r="O298" s="67"/>
      <c r="T298" s="67"/>
    </row>
    <row r="299" spans="10:20" x14ac:dyDescent="0.15">
      <c r="J299" s="67"/>
      <c r="O299" s="67"/>
      <c r="T299" s="67"/>
    </row>
    <row r="300" spans="10:20" x14ac:dyDescent="0.15">
      <c r="J300" s="67"/>
      <c r="O300" s="67"/>
      <c r="T300" s="67"/>
    </row>
    <row r="301" spans="10:20" x14ac:dyDescent="0.15">
      <c r="J301" s="67"/>
      <c r="O301" s="67"/>
      <c r="T301" s="67"/>
    </row>
    <row r="302" spans="10:20" x14ac:dyDescent="0.15">
      <c r="J302" s="67"/>
      <c r="O302" s="67"/>
      <c r="T302" s="67"/>
    </row>
    <row r="303" spans="10:20" x14ac:dyDescent="0.15">
      <c r="J303" s="67"/>
      <c r="O303" s="67"/>
      <c r="T303" s="67"/>
    </row>
    <row r="304" spans="10:20" x14ac:dyDescent="0.15">
      <c r="J304" s="67"/>
      <c r="O304" s="67"/>
      <c r="T304" s="67"/>
    </row>
    <row r="305" spans="10:20" x14ac:dyDescent="0.15">
      <c r="J305" s="67"/>
      <c r="O305" s="67"/>
      <c r="T305" s="67"/>
    </row>
    <row r="306" spans="10:20" x14ac:dyDescent="0.15">
      <c r="J306" s="67"/>
      <c r="O306" s="67"/>
      <c r="T306" s="67"/>
    </row>
  </sheetData>
  <sortState xmlns:xlrd2="http://schemas.microsoft.com/office/spreadsheetml/2017/richdata2" ref="A4:B208">
    <sortCondition ref="A4:A208"/>
  </sortState>
  <mergeCells count="4">
    <mergeCell ref="C1:F1"/>
    <mergeCell ref="G1:K1"/>
    <mergeCell ref="Q1:U1"/>
    <mergeCell ref="L1:P1"/>
  </mergeCells>
  <phoneticPr fontId="11" type="noConversion"/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"/>
  <dimension ref="A1:AB210"/>
  <sheetViews>
    <sheetView workbookViewId="0">
      <pane xSplit="1" ySplit="2" topLeftCell="B189" activePane="bottomRight" state="frozen"/>
      <selection pane="topRight" activeCell="B1" sqref="B1"/>
      <selection pane="bottomLeft" activeCell="A3" sqref="A3"/>
      <selection pane="bottomRight" activeCell="L210" sqref="L210"/>
    </sheetView>
  </sheetViews>
  <sheetFormatPr baseColWidth="10" defaultColWidth="9.3984375" defaultRowHeight="14" x14ac:dyDescent="0.2"/>
  <cols>
    <col min="1" max="1" width="10.796875" style="78" bestFit="1" customWidth="1"/>
    <col min="2" max="2" width="51.59765625" style="78" bestFit="1" customWidth="1"/>
    <col min="3" max="3" width="11.3984375" style="78" customWidth="1"/>
    <col min="4" max="4" width="12.59765625" style="78" bestFit="1" customWidth="1"/>
    <col min="5" max="5" width="12.796875" style="78" bestFit="1" customWidth="1"/>
    <col min="6" max="6" width="11.59765625" style="78" bestFit="1" customWidth="1"/>
    <col min="7" max="7" width="12.3984375" style="78" bestFit="1" customWidth="1"/>
    <col min="8" max="8" width="12.796875" style="78" bestFit="1" customWidth="1"/>
    <col min="9" max="9" width="12.3984375" style="78" customWidth="1"/>
    <col min="10" max="11" width="11.3984375" style="78" bestFit="1" customWidth="1"/>
    <col min="12" max="13" width="10.59765625" style="78" bestFit="1" customWidth="1"/>
    <col min="14" max="14" width="11.796875" style="78" bestFit="1" customWidth="1"/>
    <col min="15" max="17" width="10.59765625" style="78" bestFit="1" customWidth="1"/>
    <col min="18" max="18" width="11.796875" style="78" bestFit="1" customWidth="1"/>
    <col min="19" max="19" width="13.19921875" style="78" customWidth="1"/>
    <col min="20" max="20" width="9.796875" style="78" bestFit="1" customWidth="1"/>
    <col min="21" max="22" width="11.3984375" style="78" bestFit="1" customWidth="1"/>
    <col min="23" max="23" width="12.3984375" style="78" bestFit="1" customWidth="1"/>
    <col min="24" max="24" width="11.3984375" style="78" bestFit="1" customWidth="1"/>
    <col min="25" max="25" width="11.19921875" style="78" customWidth="1"/>
    <col min="26" max="26" width="11.3984375" style="78" bestFit="1" customWidth="1"/>
    <col min="27" max="27" width="12.3984375" style="78" bestFit="1" customWidth="1"/>
    <col min="28" max="16384" width="9.3984375" style="78"/>
  </cols>
  <sheetData>
    <row r="1" spans="1:28" x14ac:dyDescent="0.2">
      <c r="A1" s="150">
        <v>1</v>
      </c>
      <c r="B1" s="150">
        <f>+A1+1</f>
        <v>2</v>
      </c>
      <c r="C1" s="150">
        <f t="shared" ref="C1:U1" si="0">+B1+1</f>
        <v>3</v>
      </c>
      <c r="D1" s="150">
        <f t="shared" si="0"/>
        <v>4</v>
      </c>
      <c r="E1" s="150">
        <f t="shared" si="0"/>
        <v>5</v>
      </c>
      <c r="F1" s="150">
        <f t="shared" si="0"/>
        <v>6</v>
      </c>
      <c r="G1" s="150">
        <f t="shared" si="0"/>
        <v>7</v>
      </c>
      <c r="H1" s="150">
        <f t="shared" si="0"/>
        <v>8</v>
      </c>
      <c r="I1" s="150">
        <f t="shared" si="0"/>
        <v>9</v>
      </c>
      <c r="J1" s="150">
        <f t="shared" si="0"/>
        <v>10</v>
      </c>
      <c r="K1" s="150">
        <f t="shared" si="0"/>
        <v>11</v>
      </c>
      <c r="L1" s="150">
        <f t="shared" si="0"/>
        <v>12</v>
      </c>
      <c r="M1" s="150">
        <f t="shared" si="0"/>
        <v>13</v>
      </c>
      <c r="N1" s="150">
        <f t="shared" si="0"/>
        <v>14</v>
      </c>
      <c r="O1" s="150">
        <f t="shared" si="0"/>
        <v>15</v>
      </c>
      <c r="P1" s="150">
        <f t="shared" si="0"/>
        <v>16</v>
      </c>
      <c r="Q1" s="150">
        <f t="shared" si="0"/>
        <v>17</v>
      </c>
      <c r="R1" s="150">
        <f t="shared" si="0"/>
        <v>18</v>
      </c>
      <c r="S1" s="150">
        <f t="shared" si="0"/>
        <v>19</v>
      </c>
      <c r="T1" s="150">
        <f t="shared" si="0"/>
        <v>20</v>
      </c>
      <c r="U1" s="150">
        <f t="shared" si="0"/>
        <v>21</v>
      </c>
      <c r="V1" s="150">
        <f t="shared" ref="V1" si="1">+U1+1</f>
        <v>22</v>
      </c>
      <c r="W1" s="150">
        <f t="shared" ref="W1" si="2">+V1+1</f>
        <v>23</v>
      </c>
      <c r="X1" s="150">
        <f t="shared" ref="X1" si="3">+W1+1</f>
        <v>24</v>
      </c>
      <c r="Y1" s="150">
        <f t="shared" ref="Y1" si="4">+X1+1</f>
        <v>25</v>
      </c>
      <c r="Z1" s="150">
        <f t="shared" ref="Z1" si="5">+Y1+1</f>
        <v>26</v>
      </c>
      <c r="AA1" s="150">
        <f t="shared" ref="AA1" si="6">+Z1+1</f>
        <v>27</v>
      </c>
    </row>
    <row r="2" spans="1:28" ht="45" x14ac:dyDescent="0.2">
      <c r="A2" s="218" t="s">
        <v>145</v>
      </c>
      <c r="B2" s="195" t="s">
        <v>128</v>
      </c>
      <c r="C2" s="195" t="s">
        <v>156</v>
      </c>
      <c r="D2" s="195" t="s">
        <v>157</v>
      </c>
      <c r="E2" s="195" t="s">
        <v>421</v>
      </c>
      <c r="F2" s="195" t="s">
        <v>422</v>
      </c>
      <c r="G2" s="195" t="s">
        <v>423</v>
      </c>
      <c r="H2" s="195" t="s">
        <v>424</v>
      </c>
      <c r="I2" s="190" t="s">
        <v>49</v>
      </c>
      <c r="J2" s="195" t="s">
        <v>420</v>
      </c>
      <c r="K2" s="190" t="s">
        <v>50</v>
      </c>
      <c r="L2" s="195" t="s">
        <v>719</v>
      </c>
      <c r="M2" s="195" t="s">
        <v>720</v>
      </c>
      <c r="N2" s="195" t="s">
        <v>721</v>
      </c>
      <c r="O2" s="195" t="s">
        <v>722</v>
      </c>
      <c r="P2" s="195" t="s">
        <v>716</v>
      </c>
      <c r="Q2" s="195" t="s">
        <v>717</v>
      </c>
      <c r="R2" s="195" t="s">
        <v>718</v>
      </c>
      <c r="S2" s="195" t="s">
        <v>54</v>
      </c>
      <c r="T2" s="195" t="s">
        <v>427</v>
      </c>
      <c r="U2" s="196">
        <v>44377</v>
      </c>
      <c r="V2" s="79">
        <v>44469</v>
      </c>
      <c r="W2" s="79">
        <v>44561</v>
      </c>
      <c r="X2" s="79">
        <v>44651</v>
      </c>
      <c r="Y2" s="79">
        <v>44742</v>
      </c>
      <c r="Z2" s="79">
        <v>44834</v>
      </c>
      <c r="AA2" s="79">
        <v>44926</v>
      </c>
      <c r="AB2" s="78" t="s">
        <v>518</v>
      </c>
    </row>
    <row r="3" spans="1:28" x14ac:dyDescent="0.2">
      <c r="A3" s="78">
        <v>210</v>
      </c>
      <c r="B3" s="78" t="s">
        <v>173</v>
      </c>
      <c r="C3" s="79">
        <v>44287</v>
      </c>
      <c r="D3" s="79">
        <v>44651</v>
      </c>
      <c r="E3" s="147">
        <v>6099370</v>
      </c>
      <c r="F3" s="147">
        <v>797936</v>
      </c>
      <c r="G3" s="147">
        <v>2283380</v>
      </c>
      <c r="H3" s="147">
        <v>1141293</v>
      </c>
      <c r="I3" s="147">
        <v>30354</v>
      </c>
      <c r="J3" s="147">
        <v>35440</v>
      </c>
      <c r="K3" s="147">
        <v>39420</v>
      </c>
      <c r="L3" s="148">
        <v>1.2198</v>
      </c>
      <c r="M3" s="148">
        <v>1.2163999999999999</v>
      </c>
      <c r="N3" s="148">
        <v>1.1839999999999999</v>
      </c>
      <c r="O3" s="148">
        <v>1.337</v>
      </c>
      <c r="P3" s="148">
        <v>1.3115000000000001</v>
      </c>
      <c r="Q3" s="148">
        <v>1.2372000000000001</v>
      </c>
      <c r="R3" s="148">
        <v>1.2825</v>
      </c>
      <c r="S3" s="148">
        <f>ROUND(AVERAGE(L3:O3),4)</f>
        <v>1.2393000000000001</v>
      </c>
      <c r="T3" s="78">
        <f>VLOOKUP(C3&amp;D3,Documentation!$J$37:$K$52,2,FALSE)</f>
        <v>1</v>
      </c>
      <c r="U3" s="148">
        <f>+L3</f>
        <v>1.2198</v>
      </c>
      <c r="V3" s="148">
        <f t="shared" ref="V3:Y18" si="7">+M3</f>
        <v>1.2163999999999999</v>
      </c>
      <c r="W3" s="148">
        <f t="shared" si="7"/>
        <v>1.1839999999999999</v>
      </c>
      <c r="X3" s="148">
        <f>+O3</f>
        <v>1.337</v>
      </c>
    </row>
    <row r="4" spans="1:28" x14ac:dyDescent="0.2">
      <c r="A4" s="78">
        <v>332</v>
      </c>
      <c r="B4" s="78" t="s">
        <v>172</v>
      </c>
      <c r="C4" s="79">
        <v>44256</v>
      </c>
      <c r="D4" s="79">
        <v>44620</v>
      </c>
      <c r="E4" s="147">
        <v>759909</v>
      </c>
      <c r="F4" s="147">
        <v>238454</v>
      </c>
      <c r="G4" s="147">
        <v>403338</v>
      </c>
      <c r="H4" s="147">
        <v>398337</v>
      </c>
      <c r="I4" s="147">
        <v>7863</v>
      </c>
      <c r="J4" s="147">
        <v>8182</v>
      </c>
      <c r="K4" s="147">
        <v>10585</v>
      </c>
      <c r="L4" s="148">
        <v>1.0852999999999999</v>
      </c>
      <c r="M4" s="148">
        <v>1.1140000000000001</v>
      </c>
      <c r="N4" s="148">
        <v>1.1027</v>
      </c>
      <c r="O4" s="148">
        <v>1.1021000000000001</v>
      </c>
      <c r="P4" s="148">
        <v>1.1495</v>
      </c>
      <c r="Q4" s="148">
        <v>1.1563000000000001</v>
      </c>
      <c r="R4" s="148">
        <v>1.1187</v>
      </c>
      <c r="S4" s="148">
        <f>ROUND(AVERAGE(L4:O4),4)</f>
        <v>1.101</v>
      </c>
      <c r="T4" s="78">
        <f>VLOOKUP(C4&amp;D4,Documentation!$J$37:$K$52,2,FALSE)</f>
        <v>1</v>
      </c>
      <c r="U4" s="148">
        <f>+L4</f>
        <v>1.0852999999999999</v>
      </c>
      <c r="V4" s="148">
        <f t="shared" si="7"/>
        <v>1.1140000000000001</v>
      </c>
      <c r="W4" s="148">
        <f t="shared" si="7"/>
        <v>1.1027</v>
      </c>
      <c r="X4" s="148">
        <f t="shared" si="7"/>
        <v>1.1021000000000001</v>
      </c>
    </row>
    <row r="5" spans="1:28" x14ac:dyDescent="0.2">
      <c r="A5" s="78">
        <v>30</v>
      </c>
      <c r="B5" s="78" t="s">
        <v>223</v>
      </c>
      <c r="C5" s="79">
        <v>44378</v>
      </c>
      <c r="D5" s="79">
        <v>44742</v>
      </c>
      <c r="E5" s="147">
        <v>5833713</v>
      </c>
      <c r="F5" s="147">
        <v>272068</v>
      </c>
      <c r="G5" s="147">
        <v>1937525</v>
      </c>
      <c r="H5" s="147">
        <v>1809515</v>
      </c>
      <c r="I5" s="147">
        <v>18377</v>
      </c>
      <c r="J5" s="147">
        <v>23514</v>
      </c>
      <c r="K5" s="147">
        <v>27740</v>
      </c>
      <c r="L5" s="148">
        <v>1.2539</v>
      </c>
      <c r="M5" s="148">
        <v>1.2573000000000001</v>
      </c>
      <c r="N5" s="148">
        <v>1.2929999999999999</v>
      </c>
      <c r="O5" s="148">
        <v>1.3913</v>
      </c>
      <c r="P5" s="148">
        <v>1.236</v>
      </c>
      <c r="Q5" s="148">
        <v>1.2362</v>
      </c>
      <c r="R5" s="148">
        <v>1.256</v>
      </c>
      <c r="S5" s="148">
        <f>ROUND(AVERAGE(M5:P5),4)</f>
        <v>1.2944</v>
      </c>
      <c r="T5" s="78">
        <f>VLOOKUP(C5&amp;D5,Documentation!$J$37:$K$52,2,FALSE)</f>
        <v>2</v>
      </c>
      <c r="U5" s="148"/>
      <c r="V5" s="148">
        <f t="shared" si="7"/>
        <v>1.2573000000000001</v>
      </c>
      <c r="W5" s="148">
        <f t="shared" si="7"/>
        <v>1.2929999999999999</v>
      </c>
      <c r="X5" s="148">
        <f t="shared" si="7"/>
        <v>1.3913</v>
      </c>
      <c r="Y5" s="148">
        <f>+P5</f>
        <v>1.236</v>
      </c>
    </row>
    <row r="6" spans="1:28" x14ac:dyDescent="0.2">
      <c r="A6" s="78">
        <v>38</v>
      </c>
      <c r="B6" s="78" t="s">
        <v>240</v>
      </c>
      <c r="C6" s="79">
        <v>44378</v>
      </c>
      <c r="D6" s="79">
        <v>44742</v>
      </c>
      <c r="E6" s="147">
        <v>5194562</v>
      </c>
      <c r="F6" s="147">
        <v>458719</v>
      </c>
      <c r="G6" s="147">
        <v>1537319</v>
      </c>
      <c r="H6" s="147">
        <v>1463169</v>
      </c>
      <c r="I6" s="147">
        <v>22052</v>
      </c>
      <c r="J6" s="147">
        <v>31026</v>
      </c>
      <c r="K6" s="147">
        <v>45990</v>
      </c>
      <c r="L6" s="148">
        <v>1.4798</v>
      </c>
      <c r="M6" s="148">
        <v>1.4906999999999999</v>
      </c>
      <c r="N6" s="148">
        <v>1.5202</v>
      </c>
      <c r="O6" s="148">
        <v>1.6677999999999999</v>
      </c>
      <c r="P6" s="148">
        <v>1.4178999999999999</v>
      </c>
      <c r="Q6" s="148">
        <v>1.403</v>
      </c>
      <c r="R6" s="148">
        <v>1.4200999999999999</v>
      </c>
      <c r="S6" s="148">
        <f t="shared" ref="S6:S46" si="8">ROUND(AVERAGE(M6:P6),4)</f>
        <v>1.5242</v>
      </c>
      <c r="T6" s="78">
        <f>VLOOKUP(C6&amp;D6,Documentation!$J$37:$K$52,2,FALSE)</f>
        <v>2</v>
      </c>
      <c r="V6" s="148">
        <f>+M6</f>
        <v>1.4906999999999999</v>
      </c>
      <c r="W6" s="148">
        <f t="shared" si="7"/>
        <v>1.5202</v>
      </c>
      <c r="X6" s="148">
        <f t="shared" si="7"/>
        <v>1.6677999999999999</v>
      </c>
      <c r="Y6" s="148">
        <f t="shared" si="7"/>
        <v>1.4178999999999999</v>
      </c>
    </row>
    <row r="7" spans="1:28" x14ac:dyDescent="0.2">
      <c r="A7" s="78">
        <v>64</v>
      </c>
      <c r="B7" s="78" t="s">
        <v>398</v>
      </c>
      <c r="C7" s="79">
        <v>44378</v>
      </c>
      <c r="D7" s="79">
        <v>44742</v>
      </c>
      <c r="E7" s="147">
        <v>5945108</v>
      </c>
      <c r="F7" s="147">
        <v>567300</v>
      </c>
      <c r="G7" s="147">
        <v>1381060</v>
      </c>
      <c r="H7" s="147">
        <v>1736486</v>
      </c>
      <c r="I7" s="147">
        <v>29165</v>
      </c>
      <c r="J7" s="147">
        <v>41574</v>
      </c>
      <c r="K7" s="147">
        <v>51100</v>
      </c>
      <c r="L7" s="148">
        <v>1.5249999999999999</v>
      </c>
      <c r="M7" s="148">
        <v>1.5421</v>
      </c>
      <c r="N7" s="148">
        <v>1.5871999999999999</v>
      </c>
      <c r="O7" s="148">
        <v>1.6223000000000001</v>
      </c>
      <c r="P7" s="148">
        <v>1.4811000000000001</v>
      </c>
      <c r="Q7" s="148">
        <v>1.4712000000000001</v>
      </c>
      <c r="R7" s="148">
        <v>1.4410000000000001</v>
      </c>
      <c r="S7" s="148">
        <f t="shared" si="8"/>
        <v>1.5582</v>
      </c>
      <c r="T7" s="78">
        <f>VLOOKUP(C7&amp;D7,Documentation!$J$37:$K$52,2,FALSE)</f>
        <v>2</v>
      </c>
      <c r="V7" s="148">
        <f t="shared" ref="V7:AA70" si="9">+M7</f>
        <v>1.5421</v>
      </c>
      <c r="W7" s="148">
        <f t="shared" si="7"/>
        <v>1.5871999999999999</v>
      </c>
      <c r="X7" s="148">
        <f t="shared" si="7"/>
        <v>1.6223000000000001</v>
      </c>
      <c r="Y7" s="148">
        <f t="shared" si="7"/>
        <v>1.4811000000000001</v>
      </c>
    </row>
    <row r="8" spans="1:28" x14ac:dyDescent="0.2">
      <c r="A8" s="78">
        <v>74</v>
      </c>
      <c r="B8" s="78" t="s">
        <v>205</v>
      </c>
      <c r="C8" s="79">
        <v>44378</v>
      </c>
      <c r="D8" s="79">
        <v>44742</v>
      </c>
      <c r="E8" s="147">
        <v>10824873</v>
      </c>
      <c r="F8" s="147">
        <v>1332770</v>
      </c>
      <c r="G8" s="147">
        <v>4394501</v>
      </c>
      <c r="H8" s="147">
        <v>3984790</v>
      </c>
      <c r="I8" s="147">
        <v>27964</v>
      </c>
      <c r="J8" s="147">
        <v>59401</v>
      </c>
      <c r="K8" s="147">
        <v>69350</v>
      </c>
      <c r="L8" s="148">
        <v>1.4802999999999999</v>
      </c>
      <c r="M8" s="148">
        <v>1.4578</v>
      </c>
      <c r="N8" s="148">
        <v>1.4822</v>
      </c>
      <c r="O8" s="148">
        <v>1.5033000000000001</v>
      </c>
      <c r="P8" s="148">
        <v>1.4750000000000001</v>
      </c>
      <c r="Q8" s="148">
        <v>1.4563999999999999</v>
      </c>
      <c r="R8" s="148">
        <v>1.462</v>
      </c>
      <c r="S8" s="148">
        <f t="shared" si="8"/>
        <v>1.4796</v>
      </c>
      <c r="T8" s="78">
        <f>VLOOKUP(C8&amp;D8,Documentation!$J$37:$K$52,2,FALSE)</f>
        <v>2</v>
      </c>
      <c r="V8" s="148">
        <f t="shared" si="9"/>
        <v>1.4578</v>
      </c>
      <c r="W8" s="148">
        <f t="shared" si="7"/>
        <v>1.4822</v>
      </c>
      <c r="X8" s="148">
        <f t="shared" si="7"/>
        <v>1.5033000000000001</v>
      </c>
      <c r="Y8" s="148">
        <f t="shared" si="7"/>
        <v>1.4750000000000001</v>
      </c>
    </row>
    <row r="9" spans="1:28" x14ac:dyDescent="0.2">
      <c r="A9" s="78">
        <v>84</v>
      </c>
      <c r="B9" s="78" t="s">
        <v>201</v>
      </c>
      <c r="C9" s="79">
        <v>44378</v>
      </c>
      <c r="D9" s="79">
        <v>44742</v>
      </c>
      <c r="E9" s="147">
        <v>4503575</v>
      </c>
      <c r="F9" s="147">
        <v>1339014</v>
      </c>
      <c r="G9" s="147">
        <v>2630721</v>
      </c>
      <c r="H9" s="147">
        <v>2450957</v>
      </c>
      <c r="I9" s="147">
        <v>9093</v>
      </c>
      <c r="J9" s="147">
        <v>22620</v>
      </c>
      <c r="K9" s="147">
        <v>37595</v>
      </c>
      <c r="L9" s="148">
        <v>1.2276</v>
      </c>
      <c r="M9" s="148">
        <v>1.2426999999999999</v>
      </c>
      <c r="N9" s="148">
        <v>1.2606999999999999</v>
      </c>
      <c r="O9" s="148">
        <v>1.3348</v>
      </c>
      <c r="P9" s="148">
        <v>1.3152999999999999</v>
      </c>
      <c r="Q9" s="148">
        <v>1.3120000000000001</v>
      </c>
      <c r="R9" s="148">
        <v>1.3295999999999999</v>
      </c>
      <c r="S9" s="148">
        <f t="shared" si="8"/>
        <v>1.2884</v>
      </c>
      <c r="T9" s="78">
        <f>VLOOKUP(C9&amp;D9,Documentation!$J$37:$K$52,2,FALSE)</f>
        <v>2</v>
      </c>
      <c r="V9" s="148">
        <f t="shared" si="9"/>
        <v>1.2426999999999999</v>
      </c>
      <c r="W9" s="148">
        <f t="shared" si="7"/>
        <v>1.2606999999999999</v>
      </c>
      <c r="X9" s="148">
        <f t="shared" si="7"/>
        <v>1.3348</v>
      </c>
      <c r="Y9" s="148">
        <f t="shared" si="7"/>
        <v>1.3152999999999999</v>
      </c>
    </row>
    <row r="10" spans="1:28" x14ac:dyDescent="0.2">
      <c r="A10" s="78">
        <v>92</v>
      </c>
      <c r="B10" s="78" t="s">
        <v>403</v>
      </c>
      <c r="C10" s="79">
        <v>44378</v>
      </c>
      <c r="D10" s="79">
        <v>44742</v>
      </c>
      <c r="E10" s="147">
        <v>6369375</v>
      </c>
      <c r="F10" s="147">
        <v>598405</v>
      </c>
      <c r="G10" s="147">
        <v>2247356</v>
      </c>
      <c r="H10" s="147">
        <v>2103144</v>
      </c>
      <c r="I10" s="147">
        <v>32717</v>
      </c>
      <c r="J10" s="147">
        <v>40120</v>
      </c>
      <c r="K10" s="147">
        <v>62050</v>
      </c>
      <c r="L10" s="148">
        <v>1.4016999999999999</v>
      </c>
      <c r="M10" s="148">
        <v>1.3464</v>
      </c>
      <c r="N10" s="148">
        <v>1.2833000000000001</v>
      </c>
      <c r="O10" s="148">
        <v>1.3379000000000001</v>
      </c>
      <c r="P10" s="148">
        <v>1.3698999999999999</v>
      </c>
      <c r="Q10" s="148">
        <v>1.4495</v>
      </c>
      <c r="R10" s="148">
        <v>1.4212</v>
      </c>
      <c r="S10" s="148">
        <f t="shared" si="8"/>
        <v>1.3344</v>
      </c>
      <c r="T10" s="78">
        <f>VLOOKUP(C10&amp;D10,Documentation!$J$37:$K$52,2,FALSE)</f>
        <v>2</v>
      </c>
      <c r="V10" s="148">
        <f t="shared" si="9"/>
        <v>1.3464</v>
      </c>
      <c r="W10" s="148">
        <f t="shared" si="7"/>
        <v>1.2833000000000001</v>
      </c>
      <c r="X10" s="148">
        <f t="shared" si="7"/>
        <v>1.3379000000000001</v>
      </c>
      <c r="Y10" s="148">
        <f t="shared" si="7"/>
        <v>1.3698999999999999</v>
      </c>
      <c r="Z10" s="149"/>
      <c r="AA10" s="149"/>
    </row>
    <row r="11" spans="1:28" x14ac:dyDescent="0.2">
      <c r="A11" s="78">
        <v>106</v>
      </c>
      <c r="B11" s="78" t="s">
        <v>203</v>
      </c>
      <c r="C11" s="79">
        <v>44378</v>
      </c>
      <c r="D11" s="79">
        <v>44742</v>
      </c>
      <c r="E11" s="147">
        <v>5057291</v>
      </c>
      <c r="F11" s="147">
        <v>839229</v>
      </c>
      <c r="G11" s="147">
        <v>2421184</v>
      </c>
      <c r="H11" s="147">
        <v>1761284</v>
      </c>
      <c r="I11" s="147">
        <v>27550</v>
      </c>
      <c r="J11" s="147">
        <v>33962</v>
      </c>
      <c r="K11" s="147">
        <v>67160</v>
      </c>
      <c r="L11" s="148">
        <v>1.3206</v>
      </c>
      <c r="M11" s="148">
        <v>1.2848999999999999</v>
      </c>
      <c r="N11" s="148">
        <v>1.2786999999999999</v>
      </c>
      <c r="O11" s="148">
        <v>1.2945</v>
      </c>
      <c r="P11" s="148">
        <v>1.2687999999999999</v>
      </c>
      <c r="Q11" s="148">
        <v>1.2579</v>
      </c>
      <c r="R11" s="148">
        <v>1.3077000000000001</v>
      </c>
      <c r="S11" s="148">
        <f t="shared" si="8"/>
        <v>1.2817000000000001</v>
      </c>
      <c r="T11" s="78">
        <f>VLOOKUP(C11&amp;D11,Documentation!$J$37:$K$52,2,FALSE)</f>
        <v>2</v>
      </c>
      <c r="V11" s="148">
        <f t="shared" si="9"/>
        <v>1.2848999999999999</v>
      </c>
      <c r="W11" s="148">
        <f t="shared" si="7"/>
        <v>1.2786999999999999</v>
      </c>
      <c r="X11" s="148">
        <f t="shared" si="7"/>
        <v>1.2945</v>
      </c>
      <c r="Y11" s="148">
        <f t="shared" si="7"/>
        <v>1.2687999999999999</v>
      </c>
      <c r="Z11" s="149"/>
      <c r="AA11" s="149"/>
    </row>
    <row r="12" spans="1:28" x14ac:dyDescent="0.2">
      <c r="A12" s="78">
        <v>108</v>
      </c>
      <c r="B12" s="78" t="s">
        <v>364</v>
      </c>
      <c r="C12" s="79">
        <v>44378</v>
      </c>
      <c r="D12" s="79">
        <v>44742</v>
      </c>
      <c r="E12" s="147">
        <v>11260370</v>
      </c>
      <c r="F12" s="147">
        <v>2333005</v>
      </c>
      <c r="G12" s="147">
        <v>2712055</v>
      </c>
      <c r="H12" s="147">
        <v>2791371</v>
      </c>
      <c r="I12" s="147">
        <v>32565</v>
      </c>
      <c r="J12" s="147">
        <v>56738</v>
      </c>
      <c r="K12" s="147">
        <v>62780</v>
      </c>
      <c r="L12" s="148">
        <v>1.5294000000000001</v>
      </c>
      <c r="M12" s="148">
        <v>1.5422</v>
      </c>
      <c r="N12" s="148">
        <v>1.5659000000000001</v>
      </c>
      <c r="O12" s="148">
        <v>1.6556999999999999</v>
      </c>
      <c r="P12" s="148">
        <v>1.5422</v>
      </c>
      <c r="Q12" s="148">
        <v>1.5502</v>
      </c>
      <c r="R12" s="148">
        <v>1.6295999999999999</v>
      </c>
      <c r="S12" s="148">
        <f t="shared" si="8"/>
        <v>1.5765</v>
      </c>
      <c r="T12" s="78">
        <f>VLOOKUP(C12&amp;D12,Documentation!$J$37:$K$52,2,FALSE)</f>
        <v>2</v>
      </c>
      <c r="V12" s="148">
        <f t="shared" si="9"/>
        <v>1.5422</v>
      </c>
      <c r="W12" s="148">
        <f t="shared" si="7"/>
        <v>1.5659000000000001</v>
      </c>
      <c r="X12" s="148">
        <f t="shared" si="7"/>
        <v>1.6556999999999999</v>
      </c>
      <c r="Y12" s="148">
        <f t="shared" si="7"/>
        <v>1.5422</v>
      </c>
      <c r="Z12" s="149"/>
      <c r="AA12" s="149"/>
    </row>
    <row r="13" spans="1:28" x14ac:dyDescent="0.2">
      <c r="A13" s="78">
        <v>112</v>
      </c>
      <c r="B13" s="78" t="s">
        <v>227</v>
      </c>
      <c r="C13" s="79">
        <v>44378</v>
      </c>
      <c r="D13" s="79">
        <v>44742</v>
      </c>
      <c r="E13" s="147">
        <v>9174446</v>
      </c>
      <c r="F13" s="147">
        <v>1039294</v>
      </c>
      <c r="G13" s="147">
        <v>3112955</v>
      </c>
      <c r="H13" s="147">
        <v>2830907</v>
      </c>
      <c r="I13" s="147">
        <v>36131</v>
      </c>
      <c r="J13" s="147">
        <v>85865</v>
      </c>
      <c r="K13" s="147">
        <v>97455</v>
      </c>
      <c r="L13" s="148">
        <v>1.2775000000000001</v>
      </c>
      <c r="M13" s="148">
        <v>1.2829999999999999</v>
      </c>
      <c r="N13" s="148">
        <v>1.2925</v>
      </c>
      <c r="O13" s="148">
        <v>1.258</v>
      </c>
      <c r="P13" s="148">
        <v>1.2221</v>
      </c>
      <c r="Q13" s="148">
        <v>1.2155</v>
      </c>
      <c r="R13" s="148">
        <v>1.2068000000000001</v>
      </c>
      <c r="S13" s="148">
        <f t="shared" si="8"/>
        <v>1.2639</v>
      </c>
      <c r="T13" s="78">
        <f>VLOOKUP(C13&amp;D13,Documentation!$J$37:$K$52,2,FALSE)</f>
        <v>2</v>
      </c>
      <c r="V13" s="148">
        <f t="shared" si="9"/>
        <v>1.2829999999999999</v>
      </c>
      <c r="W13" s="148">
        <f t="shared" si="7"/>
        <v>1.2925</v>
      </c>
      <c r="X13" s="148">
        <f t="shared" si="7"/>
        <v>1.258</v>
      </c>
      <c r="Y13" s="148">
        <f t="shared" si="7"/>
        <v>1.2221</v>
      </c>
      <c r="Z13" s="149"/>
      <c r="AA13" s="149"/>
    </row>
    <row r="14" spans="1:28" x14ac:dyDescent="0.2">
      <c r="A14" s="78">
        <v>136</v>
      </c>
      <c r="B14" s="78" t="s">
        <v>397</v>
      </c>
      <c r="C14" s="79">
        <v>44378</v>
      </c>
      <c r="D14" s="79">
        <v>44742</v>
      </c>
      <c r="E14" s="147">
        <v>4467476</v>
      </c>
      <c r="F14" s="147">
        <v>513111</v>
      </c>
      <c r="G14" s="147">
        <v>1345948</v>
      </c>
      <c r="H14" s="147">
        <v>1413712</v>
      </c>
      <c r="I14" s="147">
        <v>24777</v>
      </c>
      <c r="J14" s="147">
        <v>32782</v>
      </c>
      <c r="K14" s="147">
        <v>48910</v>
      </c>
      <c r="L14" s="148">
        <v>1.4678</v>
      </c>
      <c r="M14" s="148">
        <v>1.4539</v>
      </c>
      <c r="N14" s="148">
        <v>1.4101999999999999</v>
      </c>
      <c r="O14" s="148">
        <v>1.5595000000000001</v>
      </c>
      <c r="P14" s="148">
        <v>1.4415</v>
      </c>
      <c r="Q14" s="148">
        <v>1.3122</v>
      </c>
      <c r="R14" s="148">
        <v>1.3997999999999999</v>
      </c>
      <c r="S14" s="148">
        <f t="shared" si="8"/>
        <v>1.4662999999999999</v>
      </c>
      <c r="T14" s="78">
        <f>VLOOKUP(C14&amp;D14,Documentation!$J$37:$K$52,2,FALSE)</f>
        <v>2</v>
      </c>
      <c r="V14" s="148">
        <f t="shared" si="9"/>
        <v>1.4539</v>
      </c>
      <c r="W14" s="148">
        <f t="shared" si="7"/>
        <v>1.4101999999999999</v>
      </c>
      <c r="X14" s="148">
        <f t="shared" si="7"/>
        <v>1.5595000000000001</v>
      </c>
      <c r="Y14" s="148">
        <f t="shared" si="7"/>
        <v>1.4415</v>
      </c>
      <c r="Z14" s="149"/>
      <c r="AA14" s="149"/>
    </row>
    <row r="15" spans="1:28" x14ac:dyDescent="0.2">
      <c r="A15" s="78">
        <v>174</v>
      </c>
      <c r="B15" s="78" t="s">
        <v>221</v>
      </c>
      <c r="C15" s="79">
        <v>44378</v>
      </c>
      <c r="D15" s="79">
        <v>44742</v>
      </c>
      <c r="E15" s="147">
        <v>3679066</v>
      </c>
      <c r="F15" s="147">
        <v>742418</v>
      </c>
      <c r="G15" s="147">
        <v>2089674</v>
      </c>
      <c r="H15" s="147">
        <v>1458452</v>
      </c>
      <c r="I15" s="147">
        <v>10790</v>
      </c>
      <c r="J15" s="147">
        <v>21528</v>
      </c>
      <c r="K15" s="147">
        <v>29930</v>
      </c>
      <c r="L15" s="148">
        <v>1.2730999999999999</v>
      </c>
      <c r="M15" s="148">
        <v>1.2806</v>
      </c>
      <c r="N15" s="148">
        <v>1.3277000000000001</v>
      </c>
      <c r="O15" s="148">
        <v>1.4041999999999999</v>
      </c>
      <c r="P15" s="148">
        <v>1.3327</v>
      </c>
      <c r="Q15" s="148">
        <v>1.3059000000000001</v>
      </c>
      <c r="R15" s="148">
        <v>1.3421000000000001</v>
      </c>
      <c r="S15" s="148">
        <f t="shared" si="8"/>
        <v>1.3363</v>
      </c>
      <c r="T15" s="78">
        <f>VLOOKUP(C15&amp;D15,Documentation!$J$37:$K$52,2,FALSE)</f>
        <v>2</v>
      </c>
      <c r="V15" s="148">
        <f t="shared" si="9"/>
        <v>1.2806</v>
      </c>
      <c r="W15" s="148">
        <f t="shared" si="7"/>
        <v>1.3277000000000001</v>
      </c>
      <c r="X15" s="148">
        <f t="shared" si="7"/>
        <v>1.4041999999999999</v>
      </c>
      <c r="Y15" s="148">
        <f t="shared" si="7"/>
        <v>1.3327</v>
      </c>
      <c r="Z15" s="149"/>
      <c r="AA15" s="149"/>
    </row>
    <row r="16" spans="1:28" x14ac:dyDescent="0.2">
      <c r="A16" s="78">
        <v>238</v>
      </c>
      <c r="B16" s="78" t="s">
        <v>235</v>
      </c>
      <c r="C16" s="79">
        <v>44378</v>
      </c>
      <c r="D16" s="79">
        <v>44742</v>
      </c>
      <c r="E16" s="147">
        <v>3331130</v>
      </c>
      <c r="F16" s="147">
        <v>416082</v>
      </c>
      <c r="G16" s="147">
        <v>1365853</v>
      </c>
      <c r="H16" s="147">
        <v>1133967</v>
      </c>
      <c r="I16" s="147">
        <v>17874</v>
      </c>
      <c r="J16" s="147">
        <v>24362</v>
      </c>
      <c r="K16" s="147">
        <v>27375</v>
      </c>
      <c r="L16" s="148">
        <v>1.3178000000000001</v>
      </c>
      <c r="M16" s="148">
        <v>1.2773000000000001</v>
      </c>
      <c r="N16" s="148">
        <v>1.298</v>
      </c>
      <c r="O16" s="148">
        <v>1.3130999999999999</v>
      </c>
      <c r="P16" s="148">
        <v>1.3864000000000001</v>
      </c>
      <c r="Q16" s="148">
        <v>1.4489000000000001</v>
      </c>
      <c r="R16" s="148">
        <v>1.3373999999999999</v>
      </c>
      <c r="S16" s="148">
        <f t="shared" si="8"/>
        <v>1.3187</v>
      </c>
      <c r="T16" s="78">
        <f>VLOOKUP(C16&amp;D16,Documentation!$J$37:$K$52,2,FALSE)</f>
        <v>2</v>
      </c>
      <c r="V16" s="148">
        <f t="shared" si="9"/>
        <v>1.2773000000000001</v>
      </c>
      <c r="W16" s="148">
        <f t="shared" si="7"/>
        <v>1.298</v>
      </c>
      <c r="X16" s="148">
        <f t="shared" si="7"/>
        <v>1.3130999999999999</v>
      </c>
      <c r="Y16" s="148">
        <f t="shared" si="7"/>
        <v>1.3864000000000001</v>
      </c>
      <c r="Z16" s="149"/>
      <c r="AA16" s="149"/>
    </row>
    <row r="17" spans="1:27" x14ac:dyDescent="0.2">
      <c r="A17" s="78">
        <v>248</v>
      </c>
      <c r="B17" s="78" t="s">
        <v>592</v>
      </c>
      <c r="C17" s="79">
        <v>44378</v>
      </c>
      <c r="D17" s="79">
        <v>44742</v>
      </c>
      <c r="E17" s="147">
        <v>5683647</v>
      </c>
      <c r="F17" s="147">
        <v>845418</v>
      </c>
      <c r="G17" s="147">
        <v>1562838</v>
      </c>
      <c r="H17" s="147">
        <v>1673736</v>
      </c>
      <c r="I17" s="147">
        <v>23768</v>
      </c>
      <c r="J17" s="147">
        <v>39819</v>
      </c>
      <c r="K17" s="147">
        <v>47450</v>
      </c>
      <c r="L17" s="148">
        <v>1.3274999999999999</v>
      </c>
      <c r="M17" s="148">
        <v>1.3421000000000001</v>
      </c>
      <c r="N17" s="148">
        <v>1.4308000000000001</v>
      </c>
      <c r="O17" s="148">
        <v>1.4932000000000001</v>
      </c>
      <c r="P17" s="148">
        <v>1.4371</v>
      </c>
      <c r="Q17" s="148">
        <v>1.4499</v>
      </c>
      <c r="R17" s="148">
        <v>1.5464</v>
      </c>
      <c r="S17" s="148">
        <f t="shared" si="8"/>
        <v>1.4258</v>
      </c>
      <c r="T17" s="78">
        <f>VLOOKUP(C17&amp;D17,Documentation!$J$37:$K$52,2,FALSE)</f>
        <v>2</v>
      </c>
      <c r="V17" s="148">
        <f t="shared" si="9"/>
        <v>1.3421000000000001</v>
      </c>
      <c r="W17" s="148">
        <f t="shared" si="7"/>
        <v>1.4308000000000001</v>
      </c>
      <c r="X17" s="148">
        <f t="shared" si="7"/>
        <v>1.4932000000000001</v>
      </c>
      <c r="Y17" s="148">
        <f t="shared" si="7"/>
        <v>1.4371</v>
      </c>
      <c r="Z17" s="149"/>
      <c r="AA17" s="149"/>
    </row>
    <row r="18" spans="1:27" x14ac:dyDescent="0.2">
      <c r="A18" s="78">
        <v>256</v>
      </c>
      <c r="B18" s="78" t="s">
        <v>228</v>
      </c>
      <c r="C18" s="79">
        <v>44378</v>
      </c>
      <c r="D18" s="79">
        <v>44742</v>
      </c>
      <c r="E18" s="147">
        <v>5276827</v>
      </c>
      <c r="F18" s="147">
        <v>657703</v>
      </c>
      <c r="G18" s="147">
        <v>1980165</v>
      </c>
      <c r="H18" s="147">
        <v>1719756</v>
      </c>
      <c r="I18" s="147">
        <v>17267</v>
      </c>
      <c r="J18" s="147">
        <v>47762</v>
      </c>
      <c r="K18" s="147">
        <v>51100</v>
      </c>
      <c r="L18" s="148">
        <v>1.1828000000000001</v>
      </c>
      <c r="M18" s="148">
        <v>1.1603000000000001</v>
      </c>
      <c r="N18" s="148">
        <v>1.1756</v>
      </c>
      <c r="O18" s="148">
        <v>1.1578999999999999</v>
      </c>
      <c r="P18" s="148">
        <v>1.1335</v>
      </c>
      <c r="Q18" s="148">
        <v>1.1547000000000001</v>
      </c>
      <c r="R18" s="148">
        <v>1.1263000000000001</v>
      </c>
      <c r="S18" s="148">
        <f t="shared" si="8"/>
        <v>1.1568000000000001</v>
      </c>
      <c r="T18" s="78">
        <f>VLOOKUP(C18&amp;D18,Documentation!$J$37:$K$52,2,FALSE)</f>
        <v>2</v>
      </c>
      <c r="V18" s="148">
        <f t="shared" si="9"/>
        <v>1.1603000000000001</v>
      </c>
      <c r="W18" s="148">
        <f t="shared" si="7"/>
        <v>1.1756</v>
      </c>
      <c r="X18" s="148">
        <f t="shared" si="7"/>
        <v>1.1578999999999999</v>
      </c>
      <c r="Y18" s="148">
        <f t="shared" si="7"/>
        <v>1.1335</v>
      </c>
      <c r="Z18" s="149"/>
      <c r="AA18" s="149"/>
    </row>
    <row r="19" spans="1:27" x14ac:dyDescent="0.2">
      <c r="A19" s="78">
        <v>258</v>
      </c>
      <c r="B19" s="78" t="s">
        <v>204</v>
      </c>
      <c r="C19" s="79">
        <v>44378</v>
      </c>
      <c r="D19" s="79">
        <v>44742</v>
      </c>
      <c r="E19" s="147">
        <v>12721001</v>
      </c>
      <c r="F19" s="147">
        <v>1675794</v>
      </c>
      <c r="G19" s="147">
        <v>6868074</v>
      </c>
      <c r="H19" s="147">
        <v>5229700</v>
      </c>
      <c r="I19" s="147">
        <v>48577</v>
      </c>
      <c r="J19" s="147">
        <v>64324</v>
      </c>
      <c r="K19" s="147">
        <v>88330</v>
      </c>
      <c r="L19" s="148">
        <v>1.3288</v>
      </c>
      <c r="M19" s="148">
        <v>1.3294999999999999</v>
      </c>
      <c r="N19" s="148">
        <v>1.3360000000000001</v>
      </c>
      <c r="O19" s="148">
        <v>1.3342000000000001</v>
      </c>
      <c r="P19" s="148">
        <v>1.3201000000000001</v>
      </c>
      <c r="Q19" s="148">
        <v>1.3313999999999999</v>
      </c>
      <c r="R19" s="148">
        <v>1.3221000000000001</v>
      </c>
      <c r="S19" s="148">
        <f t="shared" si="8"/>
        <v>1.33</v>
      </c>
      <c r="T19" s="78">
        <f>VLOOKUP(C19&amp;D19,Documentation!$J$37:$K$52,2,FALSE)</f>
        <v>2</v>
      </c>
      <c r="V19" s="148">
        <f t="shared" si="9"/>
        <v>1.3294999999999999</v>
      </c>
      <c r="W19" s="148">
        <f t="shared" si="9"/>
        <v>1.3360000000000001</v>
      </c>
      <c r="X19" s="148">
        <f t="shared" si="9"/>
        <v>1.3342000000000001</v>
      </c>
      <c r="Y19" s="148">
        <f t="shared" si="9"/>
        <v>1.3201000000000001</v>
      </c>
      <c r="Z19" s="149"/>
      <c r="AA19" s="149"/>
    </row>
    <row r="20" spans="1:27" x14ac:dyDescent="0.2">
      <c r="A20" s="78">
        <v>270</v>
      </c>
      <c r="B20" s="147" t="s">
        <v>38</v>
      </c>
      <c r="C20" s="79">
        <v>44378</v>
      </c>
      <c r="D20" s="79">
        <v>44742</v>
      </c>
      <c r="E20" s="147">
        <v>19903454</v>
      </c>
      <c r="F20" s="147">
        <v>2290198</v>
      </c>
      <c r="G20" s="147">
        <v>5503801</v>
      </c>
      <c r="H20" s="147">
        <v>11741858</v>
      </c>
      <c r="I20" s="147">
        <v>41860</v>
      </c>
      <c r="J20" s="147">
        <v>69458</v>
      </c>
      <c r="K20" s="147">
        <v>76650</v>
      </c>
      <c r="L20" s="148">
        <v>1.5684</v>
      </c>
      <c r="M20" s="148">
        <v>1.5936999999999999</v>
      </c>
      <c r="N20" s="148">
        <v>1.6166</v>
      </c>
      <c r="O20" s="148">
        <v>1.6394</v>
      </c>
      <c r="P20" s="148">
        <v>1.6001000000000001</v>
      </c>
      <c r="Q20" s="148">
        <v>1.6378999999999999</v>
      </c>
      <c r="R20" s="148">
        <v>1.6664000000000001</v>
      </c>
      <c r="S20" s="148">
        <f t="shared" si="8"/>
        <v>1.6125</v>
      </c>
      <c r="T20" s="78">
        <f>VLOOKUP(C20&amp;D20,Documentation!$J$37:$K$52,2,FALSE)</f>
        <v>2</v>
      </c>
      <c r="V20" s="148">
        <f t="shared" si="9"/>
        <v>1.5936999999999999</v>
      </c>
      <c r="W20" s="148">
        <f t="shared" si="9"/>
        <v>1.6166</v>
      </c>
      <c r="X20" s="148">
        <f t="shared" si="9"/>
        <v>1.6394</v>
      </c>
      <c r="Y20" s="148">
        <f t="shared" si="9"/>
        <v>1.6001000000000001</v>
      </c>
      <c r="Z20" s="149"/>
      <c r="AA20" s="149"/>
    </row>
    <row r="21" spans="1:27" x14ac:dyDescent="0.2">
      <c r="A21" s="78">
        <v>286</v>
      </c>
      <c r="B21" s="78" t="s">
        <v>37</v>
      </c>
      <c r="C21" s="79">
        <v>44378</v>
      </c>
      <c r="D21" s="79">
        <v>44742</v>
      </c>
      <c r="E21" s="147">
        <v>10268128</v>
      </c>
      <c r="F21" s="147">
        <v>1385796</v>
      </c>
      <c r="G21" s="147">
        <v>2985648</v>
      </c>
      <c r="H21" s="147">
        <v>3228060</v>
      </c>
      <c r="I21" s="147">
        <v>41582</v>
      </c>
      <c r="J21" s="147">
        <v>52773</v>
      </c>
      <c r="K21" s="147">
        <v>74825</v>
      </c>
      <c r="L21" s="148">
        <v>1.5891</v>
      </c>
      <c r="M21" s="148">
        <v>1.5895999999999999</v>
      </c>
      <c r="N21" s="148">
        <v>1.6565000000000001</v>
      </c>
      <c r="O21" s="148">
        <v>1.6835</v>
      </c>
      <c r="P21" s="148">
        <v>1.6484000000000001</v>
      </c>
      <c r="Q21" s="148">
        <v>1.5972999999999999</v>
      </c>
      <c r="R21" s="148">
        <v>1.5539000000000001</v>
      </c>
      <c r="S21" s="148">
        <f t="shared" si="8"/>
        <v>1.6445000000000001</v>
      </c>
      <c r="T21" s="78">
        <f>VLOOKUP(C21&amp;D21,Documentation!$J$37:$K$52,2,FALSE)</f>
        <v>2</v>
      </c>
      <c r="V21" s="148">
        <f t="shared" si="9"/>
        <v>1.5895999999999999</v>
      </c>
      <c r="W21" s="148">
        <f t="shared" si="9"/>
        <v>1.6565000000000001</v>
      </c>
      <c r="X21" s="148">
        <f t="shared" si="9"/>
        <v>1.6835</v>
      </c>
      <c r="Y21" s="148">
        <f t="shared" si="9"/>
        <v>1.6484000000000001</v>
      </c>
      <c r="Z21" s="149"/>
      <c r="AA21" s="149"/>
    </row>
    <row r="22" spans="1:27" x14ac:dyDescent="0.2">
      <c r="A22" s="78">
        <v>304</v>
      </c>
      <c r="B22" s="78" t="s">
        <v>699</v>
      </c>
      <c r="C22" s="79">
        <v>44348</v>
      </c>
      <c r="D22" s="79">
        <v>44712</v>
      </c>
      <c r="E22" s="147">
        <v>3962819</v>
      </c>
      <c r="F22" s="147">
        <v>576706</v>
      </c>
      <c r="G22" s="147">
        <v>1610532</v>
      </c>
      <c r="H22" s="147">
        <v>1370653</v>
      </c>
      <c r="I22" s="147">
        <v>20740</v>
      </c>
      <c r="J22" s="147">
        <v>30705</v>
      </c>
      <c r="K22" s="147">
        <v>40150</v>
      </c>
      <c r="L22" s="148">
        <v>1.284</v>
      </c>
      <c r="M22" s="148">
        <v>1.2410000000000001</v>
      </c>
      <c r="N22" s="148">
        <v>1.2101999999999999</v>
      </c>
      <c r="O22" s="148">
        <v>1.3045</v>
      </c>
      <c r="P22" s="148">
        <v>1.27</v>
      </c>
      <c r="Q22" s="148">
        <v>1.2927999999999999</v>
      </c>
      <c r="R22" s="148">
        <v>1.3580000000000001</v>
      </c>
      <c r="S22" s="148">
        <f t="shared" si="8"/>
        <v>1.2564</v>
      </c>
      <c r="T22" s="78">
        <f>VLOOKUP(C22&amp;D22,Documentation!$J$37:$K$52,2,FALSE)</f>
        <v>2</v>
      </c>
      <c r="V22" s="148">
        <f t="shared" si="9"/>
        <v>1.2410000000000001</v>
      </c>
      <c r="W22" s="148">
        <f t="shared" si="9"/>
        <v>1.2101999999999999</v>
      </c>
      <c r="X22" s="148">
        <f t="shared" si="9"/>
        <v>1.3045</v>
      </c>
      <c r="Y22" s="148">
        <f t="shared" si="9"/>
        <v>1.27</v>
      </c>
      <c r="Z22" s="149"/>
      <c r="AA22" s="149"/>
    </row>
    <row r="23" spans="1:27" x14ac:dyDescent="0.2">
      <c r="A23" s="78">
        <v>306</v>
      </c>
      <c r="B23" s="78" t="s">
        <v>701</v>
      </c>
      <c r="C23" s="79">
        <v>44348</v>
      </c>
      <c r="D23" s="79">
        <v>44712</v>
      </c>
      <c r="E23" s="147">
        <v>8599044</v>
      </c>
      <c r="F23" s="147">
        <v>972084</v>
      </c>
      <c r="G23" s="147">
        <v>2563181</v>
      </c>
      <c r="H23" s="147">
        <v>2251898</v>
      </c>
      <c r="I23" s="147">
        <v>24223</v>
      </c>
      <c r="J23" s="147">
        <v>55027</v>
      </c>
      <c r="K23" s="147">
        <v>57670</v>
      </c>
      <c r="L23" s="148">
        <v>1.3652</v>
      </c>
      <c r="M23" s="148">
        <v>1.3341000000000001</v>
      </c>
      <c r="N23" s="148">
        <v>1.3447</v>
      </c>
      <c r="O23" s="148">
        <v>1.4346000000000001</v>
      </c>
      <c r="P23" s="148">
        <v>1.3468</v>
      </c>
      <c r="Q23" s="148">
        <v>1.3560000000000001</v>
      </c>
      <c r="R23" s="148">
        <v>1.385</v>
      </c>
      <c r="S23" s="148">
        <f t="shared" si="8"/>
        <v>1.3651</v>
      </c>
      <c r="T23" s="78">
        <f>VLOOKUP(C23&amp;D23,Documentation!$J$37:$K$52,2,FALSE)</f>
        <v>2</v>
      </c>
      <c r="V23" s="148">
        <f t="shared" si="9"/>
        <v>1.3341000000000001</v>
      </c>
      <c r="W23" s="148">
        <f t="shared" si="9"/>
        <v>1.3447</v>
      </c>
      <c r="X23" s="148">
        <f t="shared" si="9"/>
        <v>1.4346000000000001</v>
      </c>
      <c r="Y23" s="148">
        <f t="shared" si="9"/>
        <v>1.3468</v>
      </c>
      <c r="Z23" s="149"/>
      <c r="AA23" s="149"/>
    </row>
    <row r="24" spans="1:27" x14ac:dyDescent="0.2">
      <c r="A24" s="78">
        <v>308</v>
      </c>
      <c r="B24" s="78" t="s">
        <v>703</v>
      </c>
      <c r="C24" s="79">
        <v>44348</v>
      </c>
      <c r="D24" s="79">
        <v>44712</v>
      </c>
      <c r="E24" s="147">
        <v>4290283</v>
      </c>
      <c r="F24" s="147">
        <v>579043</v>
      </c>
      <c r="G24" s="147">
        <v>1364447</v>
      </c>
      <c r="H24" s="147">
        <v>1666895</v>
      </c>
      <c r="I24" s="147">
        <v>18246</v>
      </c>
      <c r="J24" s="147">
        <v>28604</v>
      </c>
      <c r="K24" s="147">
        <v>34310</v>
      </c>
      <c r="L24" s="148">
        <v>1.3360000000000001</v>
      </c>
      <c r="M24" s="148">
        <v>1.2814000000000001</v>
      </c>
      <c r="N24" s="148">
        <v>1.3046</v>
      </c>
      <c r="O24" s="148">
        <v>1.3393999999999999</v>
      </c>
      <c r="P24" s="148">
        <v>1.2905</v>
      </c>
      <c r="Q24" s="148">
        <v>1.3465</v>
      </c>
      <c r="R24" s="148">
        <v>1.3567</v>
      </c>
      <c r="S24" s="148">
        <f t="shared" si="8"/>
        <v>1.304</v>
      </c>
      <c r="T24" s="78">
        <f>VLOOKUP(C24&amp;D24,Documentation!$J$37:$K$52,2,FALSE)</f>
        <v>2</v>
      </c>
      <c r="V24" s="148">
        <f t="shared" si="9"/>
        <v>1.2814000000000001</v>
      </c>
      <c r="W24" s="148">
        <f t="shared" si="9"/>
        <v>1.3046</v>
      </c>
      <c r="X24" s="148">
        <f t="shared" si="9"/>
        <v>1.3393999999999999</v>
      </c>
      <c r="Y24" s="148">
        <f t="shared" si="9"/>
        <v>1.2905</v>
      </c>
      <c r="Z24" s="149"/>
      <c r="AA24" s="149"/>
    </row>
    <row r="25" spans="1:27" x14ac:dyDescent="0.2">
      <c r="A25" s="78">
        <v>310</v>
      </c>
      <c r="B25" s="78" t="s">
        <v>693</v>
      </c>
      <c r="C25" s="79">
        <v>44348</v>
      </c>
      <c r="D25" s="79">
        <v>44712</v>
      </c>
      <c r="E25" s="147">
        <v>7422171</v>
      </c>
      <c r="F25" s="147">
        <v>828602</v>
      </c>
      <c r="G25" s="147">
        <v>2551083</v>
      </c>
      <c r="H25" s="147">
        <v>2215185</v>
      </c>
      <c r="I25" s="147">
        <v>30885</v>
      </c>
      <c r="J25" s="147">
        <v>47694</v>
      </c>
      <c r="K25" s="147">
        <v>62780</v>
      </c>
      <c r="L25" s="148">
        <v>1.3777999999999999</v>
      </c>
      <c r="M25" s="148">
        <v>1.3958999999999999</v>
      </c>
      <c r="N25" s="148">
        <v>1.3645</v>
      </c>
      <c r="O25" s="148">
        <v>1.4113</v>
      </c>
      <c r="P25" s="148">
        <v>1.3666</v>
      </c>
      <c r="Q25" s="148">
        <v>1.4730000000000001</v>
      </c>
      <c r="R25" s="148">
        <v>1.393</v>
      </c>
      <c r="S25" s="148">
        <f t="shared" si="8"/>
        <v>1.3846000000000001</v>
      </c>
      <c r="T25" s="78">
        <f>VLOOKUP(C25&amp;D25,Documentation!$J$37:$K$52,2,FALSE)</f>
        <v>2</v>
      </c>
      <c r="V25" s="148">
        <f t="shared" si="9"/>
        <v>1.3958999999999999</v>
      </c>
      <c r="W25" s="148">
        <f t="shared" si="9"/>
        <v>1.3645</v>
      </c>
      <c r="X25" s="148">
        <f t="shared" si="9"/>
        <v>1.4113</v>
      </c>
      <c r="Y25" s="148">
        <f t="shared" si="9"/>
        <v>1.3666</v>
      </c>
      <c r="Z25" s="149"/>
      <c r="AA25" s="149"/>
    </row>
    <row r="26" spans="1:27" x14ac:dyDescent="0.2">
      <c r="A26" s="78">
        <v>314</v>
      </c>
      <c r="B26" s="78" t="s">
        <v>691</v>
      </c>
      <c r="C26" s="79">
        <v>44348</v>
      </c>
      <c r="D26" s="79">
        <v>44712</v>
      </c>
      <c r="E26" s="147">
        <v>7833259</v>
      </c>
      <c r="F26" s="147">
        <v>697788</v>
      </c>
      <c r="G26" s="147">
        <v>2103449</v>
      </c>
      <c r="H26" s="147">
        <v>1780616</v>
      </c>
      <c r="I26" s="147">
        <v>31694</v>
      </c>
      <c r="J26" s="147">
        <v>45757</v>
      </c>
      <c r="K26" s="147">
        <v>65335</v>
      </c>
      <c r="L26" s="148">
        <v>1.3827</v>
      </c>
      <c r="M26" s="148">
        <v>1.357</v>
      </c>
      <c r="N26" s="148">
        <v>1.3320000000000001</v>
      </c>
      <c r="O26" s="148">
        <v>1.3434999999999999</v>
      </c>
      <c r="P26" s="148">
        <v>1.4080999999999999</v>
      </c>
      <c r="Q26" s="148">
        <v>1.3125</v>
      </c>
      <c r="R26" s="148">
        <v>1.3348</v>
      </c>
      <c r="S26" s="148">
        <f t="shared" si="8"/>
        <v>1.3602000000000001</v>
      </c>
      <c r="T26" s="78">
        <f>VLOOKUP(C26&amp;D26,Documentation!$J$37:$K$52,2,FALSE)</f>
        <v>2</v>
      </c>
      <c r="V26" s="148">
        <f t="shared" si="9"/>
        <v>1.357</v>
      </c>
      <c r="W26" s="148">
        <f t="shared" si="9"/>
        <v>1.3320000000000001</v>
      </c>
      <c r="X26" s="148">
        <f t="shared" si="9"/>
        <v>1.3434999999999999</v>
      </c>
      <c r="Y26" s="148">
        <f t="shared" si="9"/>
        <v>1.4080999999999999</v>
      </c>
      <c r="Z26" s="149"/>
      <c r="AA26" s="149"/>
    </row>
    <row r="27" spans="1:27" x14ac:dyDescent="0.2">
      <c r="A27" s="78">
        <v>316</v>
      </c>
      <c r="B27" s="78" t="s">
        <v>231</v>
      </c>
      <c r="C27" s="79">
        <v>44348</v>
      </c>
      <c r="D27" s="79">
        <v>44712</v>
      </c>
      <c r="E27" s="147">
        <v>6867424</v>
      </c>
      <c r="F27" s="147">
        <v>638387</v>
      </c>
      <c r="G27" s="147">
        <v>1735456</v>
      </c>
      <c r="H27" s="147">
        <v>1698300</v>
      </c>
      <c r="I27" s="147">
        <v>23531</v>
      </c>
      <c r="J27" s="147">
        <v>41250</v>
      </c>
      <c r="K27" s="147">
        <v>46355</v>
      </c>
      <c r="L27" s="148">
        <v>1.3698999999999999</v>
      </c>
      <c r="M27" s="148">
        <v>1.3431999999999999</v>
      </c>
      <c r="N27" s="148">
        <v>1.3196000000000001</v>
      </c>
      <c r="O27" s="148">
        <v>1.3223</v>
      </c>
      <c r="P27" s="148">
        <v>1.3258000000000001</v>
      </c>
      <c r="Q27" s="148">
        <v>1.3434999999999999</v>
      </c>
      <c r="R27" s="148">
        <v>1.2982</v>
      </c>
      <c r="S27" s="148">
        <f t="shared" si="8"/>
        <v>1.3277000000000001</v>
      </c>
      <c r="T27" s="78">
        <f>VLOOKUP(C27&amp;D27,Documentation!$J$37:$K$52,2,FALSE)</f>
        <v>2</v>
      </c>
      <c r="V27" s="148">
        <f t="shared" si="9"/>
        <v>1.3431999999999999</v>
      </c>
      <c r="W27" s="148">
        <f t="shared" si="9"/>
        <v>1.3196000000000001</v>
      </c>
      <c r="X27" s="148">
        <f t="shared" si="9"/>
        <v>1.3223</v>
      </c>
      <c r="Y27" s="148">
        <f t="shared" si="9"/>
        <v>1.3258000000000001</v>
      </c>
      <c r="Z27" s="149"/>
      <c r="AA27" s="149"/>
    </row>
    <row r="28" spans="1:27" x14ac:dyDescent="0.2">
      <c r="A28" s="78">
        <v>320</v>
      </c>
      <c r="B28" s="78" t="s">
        <v>233</v>
      </c>
      <c r="C28" s="79">
        <v>44348</v>
      </c>
      <c r="D28" s="79">
        <v>44712</v>
      </c>
      <c r="E28" s="147">
        <v>5355550</v>
      </c>
      <c r="F28" s="147">
        <v>715693</v>
      </c>
      <c r="G28" s="147">
        <v>1582696</v>
      </c>
      <c r="H28" s="147">
        <v>1826951</v>
      </c>
      <c r="I28" s="147">
        <v>25440</v>
      </c>
      <c r="J28" s="147">
        <v>35826</v>
      </c>
      <c r="K28" s="147">
        <v>43800</v>
      </c>
      <c r="L28" s="148">
        <v>1.4323999999999999</v>
      </c>
      <c r="M28" s="148">
        <v>1.3763000000000001</v>
      </c>
      <c r="N28" s="148">
        <v>1.3466</v>
      </c>
      <c r="O28" s="148">
        <v>1.3226</v>
      </c>
      <c r="P28" s="148">
        <v>1.3216000000000001</v>
      </c>
      <c r="Q28" s="148">
        <v>1.3393999999999999</v>
      </c>
      <c r="R28" s="148">
        <v>1.3426</v>
      </c>
      <c r="S28" s="148">
        <f t="shared" si="8"/>
        <v>1.3418000000000001</v>
      </c>
      <c r="T28" s="78">
        <f>VLOOKUP(C28&amp;D28,Documentation!$J$37:$K$52,2,FALSE)</f>
        <v>2</v>
      </c>
      <c r="V28" s="148">
        <f t="shared" si="9"/>
        <v>1.3763000000000001</v>
      </c>
      <c r="W28" s="148">
        <f t="shared" si="9"/>
        <v>1.3466</v>
      </c>
      <c r="X28" s="148">
        <f t="shared" si="9"/>
        <v>1.3226</v>
      </c>
      <c r="Y28" s="148">
        <f t="shared" si="9"/>
        <v>1.3216000000000001</v>
      </c>
      <c r="Z28" s="149"/>
      <c r="AA28" s="149"/>
    </row>
    <row r="29" spans="1:27" x14ac:dyDescent="0.2">
      <c r="A29" s="78">
        <v>322</v>
      </c>
      <c r="B29" s="78" t="s">
        <v>232</v>
      </c>
      <c r="C29" s="79">
        <v>44378</v>
      </c>
      <c r="D29" s="79">
        <v>44742</v>
      </c>
      <c r="E29" s="147">
        <v>6706871</v>
      </c>
      <c r="F29" s="147">
        <v>822378</v>
      </c>
      <c r="G29" s="147">
        <v>1651375</v>
      </c>
      <c r="H29" s="147">
        <v>1766529</v>
      </c>
      <c r="I29" s="147">
        <v>30143</v>
      </c>
      <c r="J29" s="147">
        <v>45728</v>
      </c>
      <c r="K29" s="147">
        <v>62780</v>
      </c>
      <c r="L29" s="148">
        <v>1.3788</v>
      </c>
      <c r="M29" s="148">
        <v>1.3249</v>
      </c>
      <c r="N29" s="148">
        <v>1.2810999999999999</v>
      </c>
      <c r="O29" s="148">
        <v>1.3098000000000001</v>
      </c>
      <c r="P29" s="148">
        <v>1.3028999999999999</v>
      </c>
      <c r="Q29" s="148">
        <v>1.3324</v>
      </c>
      <c r="R29" s="148">
        <v>1.3223</v>
      </c>
      <c r="S29" s="148">
        <f t="shared" si="8"/>
        <v>1.3047</v>
      </c>
      <c r="T29" s="78">
        <f>VLOOKUP(C29&amp;D29,Documentation!$J$37:$K$52,2,FALSE)</f>
        <v>2</v>
      </c>
      <c r="V29" s="148">
        <f t="shared" si="9"/>
        <v>1.3249</v>
      </c>
      <c r="W29" s="148">
        <f t="shared" si="9"/>
        <v>1.2810999999999999</v>
      </c>
      <c r="X29" s="148">
        <f t="shared" si="9"/>
        <v>1.3098000000000001</v>
      </c>
      <c r="Y29" s="148">
        <f t="shared" si="9"/>
        <v>1.3028999999999999</v>
      </c>
      <c r="Z29" s="149"/>
      <c r="AA29" s="149"/>
    </row>
    <row r="30" spans="1:27" x14ac:dyDescent="0.2">
      <c r="A30" s="78">
        <v>324</v>
      </c>
      <c r="B30" s="78" t="s">
        <v>695</v>
      </c>
      <c r="C30" s="79">
        <v>44348</v>
      </c>
      <c r="D30" s="79">
        <v>44712</v>
      </c>
      <c r="E30" s="147">
        <v>6874790</v>
      </c>
      <c r="F30" s="147">
        <v>819929</v>
      </c>
      <c r="G30" s="147">
        <v>2020566</v>
      </c>
      <c r="H30" s="147">
        <v>1807571</v>
      </c>
      <c r="I30" s="147">
        <v>36716</v>
      </c>
      <c r="J30" s="147">
        <v>48790</v>
      </c>
      <c r="K30" s="147">
        <v>54020</v>
      </c>
      <c r="L30" s="148">
        <v>1.2822</v>
      </c>
      <c r="M30" s="148">
        <v>1.2815000000000001</v>
      </c>
      <c r="N30" s="148">
        <v>1.2762</v>
      </c>
      <c r="O30" s="148">
        <v>1.2709999999999999</v>
      </c>
      <c r="P30" s="148">
        <v>1.3052999999999999</v>
      </c>
      <c r="Q30" s="148">
        <v>1.3446</v>
      </c>
      <c r="R30" s="148">
        <v>1.2892999999999999</v>
      </c>
      <c r="S30" s="148">
        <f t="shared" si="8"/>
        <v>1.2835000000000001</v>
      </c>
      <c r="T30" s="78">
        <f>VLOOKUP(C30&amp;D30,Documentation!$J$37:$K$52,2,FALSE)</f>
        <v>2</v>
      </c>
      <c r="V30" s="148">
        <f t="shared" si="9"/>
        <v>1.2815000000000001</v>
      </c>
      <c r="W30" s="148">
        <f t="shared" si="9"/>
        <v>1.2762</v>
      </c>
      <c r="X30" s="148">
        <f t="shared" si="9"/>
        <v>1.2709999999999999</v>
      </c>
      <c r="Y30" s="148">
        <f t="shared" si="9"/>
        <v>1.3052999999999999</v>
      </c>
      <c r="Z30" s="149"/>
      <c r="AA30" s="149"/>
    </row>
    <row r="31" spans="1:27" x14ac:dyDescent="0.2">
      <c r="A31" s="78">
        <v>416</v>
      </c>
      <c r="B31" s="78" t="s">
        <v>208</v>
      </c>
      <c r="C31" s="79">
        <v>44378</v>
      </c>
      <c r="D31" s="79">
        <v>44742</v>
      </c>
      <c r="E31" s="147">
        <v>9580661</v>
      </c>
      <c r="F31" s="147">
        <v>1366097</v>
      </c>
      <c r="G31" s="147">
        <v>3142619</v>
      </c>
      <c r="H31" s="147">
        <v>4073608</v>
      </c>
      <c r="I31" s="147">
        <v>27163</v>
      </c>
      <c r="J31" s="147">
        <v>46115</v>
      </c>
      <c r="K31" s="147">
        <v>59130</v>
      </c>
      <c r="L31" s="148">
        <v>1.2868999999999999</v>
      </c>
      <c r="M31" s="148">
        <v>1.2911999999999999</v>
      </c>
      <c r="N31" s="148">
        <v>1.2675000000000001</v>
      </c>
      <c r="O31" s="148">
        <v>1.3464</v>
      </c>
      <c r="P31" s="148">
        <v>1.3512999999999999</v>
      </c>
      <c r="Q31" s="148">
        <v>1.3559000000000001</v>
      </c>
      <c r="R31" s="148">
        <v>1.3440000000000001</v>
      </c>
      <c r="S31" s="148">
        <f t="shared" si="8"/>
        <v>1.3141</v>
      </c>
      <c r="T31" s="78">
        <f>VLOOKUP(C31&amp;D31,Documentation!$J$37:$K$52,2,FALSE)</f>
        <v>2</v>
      </c>
      <c r="V31" s="148">
        <f t="shared" si="9"/>
        <v>1.2911999999999999</v>
      </c>
      <c r="W31" s="148">
        <f t="shared" si="9"/>
        <v>1.2675000000000001</v>
      </c>
      <c r="X31" s="148">
        <f t="shared" si="9"/>
        <v>1.3464</v>
      </c>
      <c r="Y31" s="148">
        <f t="shared" si="9"/>
        <v>1.3512999999999999</v>
      </c>
      <c r="Z31" s="149"/>
      <c r="AA31" s="149"/>
    </row>
    <row r="32" spans="1:27" x14ac:dyDescent="0.2">
      <c r="A32" s="78">
        <v>428</v>
      </c>
      <c r="B32" s="78" t="s">
        <v>241</v>
      </c>
      <c r="C32" s="79">
        <v>44378</v>
      </c>
      <c r="D32" s="79">
        <v>44742</v>
      </c>
      <c r="E32" s="147">
        <v>18020208</v>
      </c>
      <c r="F32" s="147">
        <v>2605987</v>
      </c>
      <c r="G32" s="147">
        <v>8760076</v>
      </c>
      <c r="H32" s="147">
        <v>6489108</v>
      </c>
      <c r="I32" s="147">
        <v>67594</v>
      </c>
      <c r="J32" s="147">
        <v>117663</v>
      </c>
      <c r="K32" s="147">
        <v>142350</v>
      </c>
      <c r="L32" s="148">
        <v>1.4057999999999999</v>
      </c>
      <c r="M32" s="148">
        <v>1.4135</v>
      </c>
      <c r="N32" s="148">
        <v>1.4356</v>
      </c>
      <c r="O32" s="148">
        <v>1.6022000000000001</v>
      </c>
      <c r="P32" s="148">
        <v>1.532</v>
      </c>
      <c r="Q32" s="148">
        <v>1.554</v>
      </c>
      <c r="R32" s="148">
        <v>1.5335000000000001</v>
      </c>
      <c r="S32" s="148">
        <f t="shared" si="8"/>
        <v>1.4958</v>
      </c>
      <c r="T32" s="78">
        <f>VLOOKUP(C32&amp;D32,Documentation!$J$37:$K$52,2,FALSE)</f>
        <v>2</v>
      </c>
      <c r="V32" s="148">
        <f t="shared" si="9"/>
        <v>1.4135</v>
      </c>
      <c r="W32" s="148">
        <f t="shared" si="9"/>
        <v>1.4356</v>
      </c>
      <c r="X32" s="148">
        <f t="shared" si="9"/>
        <v>1.6022000000000001</v>
      </c>
      <c r="Y32" s="148">
        <f t="shared" si="9"/>
        <v>1.532</v>
      </c>
      <c r="Z32" s="149"/>
      <c r="AA32" s="149"/>
    </row>
    <row r="33" spans="1:27" x14ac:dyDescent="0.2">
      <c r="A33" s="78">
        <v>452</v>
      </c>
      <c r="B33" s="78" t="s">
        <v>399</v>
      </c>
      <c r="C33" s="79">
        <v>44378</v>
      </c>
      <c r="D33" s="79">
        <v>44742</v>
      </c>
      <c r="E33" s="147">
        <v>6191751</v>
      </c>
      <c r="F33" s="147">
        <v>683875</v>
      </c>
      <c r="G33" s="147">
        <v>1635157</v>
      </c>
      <c r="H33" s="147">
        <v>1780980</v>
      </c>
      <c r="I33" s="147">
        <v>29547</v>
      </c>
      <c r="J33" s="147">
        <v>40485</v>
      </c>
      <c r="K33" s="147">
        <v>57670</v>
      </c>
      <c r="L33" s="148">
        <v>1.2902</v>
      </c>
      <c r="M33" s="148">
        <v>1.2801</v>
      </c>
      <c r="N33" s="148">
        <v>1.2543</v>
      </c>
      <c r="O33" s="148">
        <v>1.3111999999999999</v>
      </c>
      <c r="P33" s="148">
        <v>1.2975000000000001</v>
      </c>
      <c r="Q33" s="148">
        <v>1.3056000000000001</v>
      </c>
      <c r="R33" s="148">
        <v>1.3178000000000001</v>
      </c>
      <c r="S33" s="148">
        <f t="shared" si="8"/>
        <v>1.2858000000000001</v>
      </c>
      <c r="T33" s="78">
        <f>VLOOKUP(C33&amp;D33,Documentation!$J$37:$K$52,2,FALSE)</f>
        <v>2</v>
      </c>
      <c r="V33" s="148">
        <f t="shared" si="9"/>
        <v>1.2801</v>
      </c>
      <c r="W33" s="148">
        <f t="shared" si="9"/>
        <v>1.2543</v>
      </c>
      <c r="X33" s="148">
        <f t="shared" si="9"/>
        <v>1.3111999999999999</v>
      </c>
      <c r="Y33" s="148">
        <f t="shared" si="9"/>
        <v>1.2975000000000001</v>
      </c>
      <c r="Z33" s="149"/>
      <c r="AA33" s="149"/>
    </row>
    <row r="34" spans="1:27" x14ac:dyDescent="0.2">
      <c r="A34" s="78">
        <v>454</v>
      </c>
      <c r="B34" s="78" t="s">
        <v>207</v>
      </c>
      <c r="C34" s="79">
        <v>44378</v>
      </c>
      <c r="D34" s="79">
        <v>44742</v>
      </c>
      <c r="E34" s="147">
        <v>3853859</v>
      </c>
      <c r="F34" s="147">
        <v>717589</v>
      </c>
      <c r="G34" s="147">
        <v>1703855</v>
      </c>
      <c r="H34" s="147">
        <v>1082628</v>
      </c>
      <c r="I34" s="147">
        <v>18701</v>
      </c>
      <c r="J34" s="147">
        <v>26625</v>
      </c>
      <c r="K34" s="147">
        <v>37230</v>
      </c>
      <c r="L34" s="148">
        <v>1.276</v>
      </c>
      <c r="M34" s="148">
        <v>1.3317000000000001</v>
      </c>
      <c r="N34" s="148">
        <v>1.2814000000000001</v>
      </c>
      <c r="O34" s="148">
        <v>1.3160000000000001</v>
      </c>
      <c r="P34" s="148">
        <v>1.3257000000000001</v>
      </c>
      <c r="Q34" s="148">
        <v>1.3286</v>
      </c>
      <c r="R34" s="148">
        <v>1.3007</v>
      </c>
      <c r="S34" s="148">
        <f t="shared" si="8"/>
        <v>1.3137000000000001</v>
      </c>
      <c r="T34" s="78">
        <f>VLOOKUP(C34&amp;D34,Documentation!$J$37:$K$52,2,FALSE)</f>
        <v>2</v>
      </c>
      <c r="V34" s="148">
        <f t="shared" si="9"/>
        <v>1.3317000000000001</v>
      </c>
      <c r="W34" s="148">
        <f t="shared" si="9"/>
        <v>1.2814000000000001</v>
      </c>
      <c r="X34" s="148">
        <f t="shared" si="9"/>
        <v>1.3160000000000001</v>
      </c>
      <c r="Y34" s="148">
        <f t="shared" si="9"/>
        <v>1.3257000000000001</v>
      </c>
      <c r="Z34" s="149"/>
      <c r="AA34" s="149"/>
    </row>
    <row r="35" spans="1:27" x14ac:dyDescent="0.2">
      <c r="A35" s="78">
        <v>458</v>
      </c>
      <c r="B35" s="78" t="s">
        <v>206</v>
      </c>
      <c r="C35" s="79">
        <v>44378</v>
      </c>
      <c r="D35" s="79">
        <v>44742</v>
      </c>
      <c r="E35" s="147">
        <v>6047023</v>
      </c>
      <c r="F35" s="147">
        <v>656902</v>
      </c>
      <c r="G35" s="147">
        <v>2200486</v>
      </c>
      <c r="H35" s="147">
        <v>2292486</v>
      </c>
      <c r="I35" s="147">
        <v>21978</v>
      </c>
      <c r="J35" s="147">
        <v>39972</v>
      </c>
      <c r="K35" s="147">
        <v>46720</v>
      </c>
      <c r="L35" s="148">
        <v>1.3575999999999999</v>
      </c>
      <c r="M35" s="148">
        <v>1.3691</v>
      </c>
      <c r="N35" s="148">
        <v>1.4086000000000001</v>
      </c>
      <c r="O35" s="148">
        <v>1.5521</v>
      </c>
      <c r="P35" s="148">
        <v>1.4544999999999999</v>
      </c>
      <c r="Q35" s="148">
        <v>1.478</v>
      </c>
      <c r="R35" s="148">
        <v>1.4487000000000001</v>
      </c>
      <c r="S35" s="148">
        <f t="shared" si="8"/>
        <v>1.4460999999999999</v>
      </c>
      <c r="T35" s="78">
        <f>VLOOKUP(C35&amp;D35,Documentation!$J$37:$K$52,2,FALSE)</f>
        <v>2</v>
      </c>
      <c r="V35" s="148">
        <f t="shared" si="9"/>
        <v>1.3691</v>
      </c>
      <c r="W35" s="148">
        <f t="shared" si="9"/>
        <v>1.4086000000000001</v>
      </c>
      <c r="X35" s="148">
        <f t="shared" si="9"/>
        <v>1.5521</v>
      </c>
      <c r="Y35" s="148">
        <f t="shared" si="9"/>
        <v>1.4544999999999999</v>
      </c>
      <c r="Z35" s="149"/>
      <c r="AA35" s="149"/>
    </row>
    <row r="36" spans="1:27" x14ac:dyDescent="0.2">
      <c r="A36" s="78">
        <v>697</v>
      </c>
      <c r="B36" s="78" t="s">
        <v>215</v>
      </c>
      <c r="C36" s="79">
        <v>44378</v>
      </c>
      <c r="D36" s="79">
        <v>44742</v>
      </c>
      <c r="E36" s="147">
        <v>6031485</v>
      </c>
      <c r="F36" s="147">
        <v>610383</v>
      </c>
      <c r="G36" s="147">
        <v>1792685</v>
      </c>
      <c r="H36" s="147">
        <v>1788601</v>
      </c>
      <c r="I36" s="147">
        <v>26089</v>
      </c>
      <c r="J36" s="147">
        <v>50403</v>
      </c>
      <c r="K36" s="147">
        <v>59130</v>
      </c>
      <c r="L36" s="148">
        <v>1.3229</v>
      </c>
      <c r="M36" s="148">
        <v>1.3708</v>
      </c>
      <c r="N36" s="148">
        <v>1.3769</v>
      </c>
      <c r="O36" s="148">
        <v>1.4481999999999999</v>
      </c>
      <c r="P36" s="148">
        <v>1.383</v>
      </c>
      <c r="Q36" s="148">
        <v>1.3286</v>
      </c>
      <c r="R36" s="148">
        <v>1.3875</v>
      </c>
      <c r="S36" s="148">
        <f t="shared" si="8"/>
        <v>1.3947000000000001</v>
      </c>
      <c r="T36" s="78">
        <f>VLOOKUP(C36&amp;D36,Documentation!$J$37:$K$52,2,FALSE)</f>
        <v>2</v>
      </c>
      <c r="V36" s="148">
        <f t="shared" si="9"/>
        <v>1.3708</v>
      </c>
      <c r="W36" s="148">
        <f t="shared" si="9"/>
        <v>1.3769</v>
      </c>
      <c r="X36" s="148">
        <f t="shared" si="9"/>
        <v>1.4481999999999999</v>
      </c>
      <c r="Y36" s="148">
        <f t="shared" si="9"/>
        <v>1.383</v>
      </c>
      <c r="Z36" s="149"/>
      <c r="AA36" s="149"/>
    </row>
    <row r="37" spans="1:27" x14ac:dyDescent="0.2">
      <c r="A37" s="78">
        <v>699</v>
      </c>
      <c r="B37" s="78" t="s">
        <v>239</v>
      </c>
      <c r="C37" s="79">
        <v>44378</v>
      </c>
      <c r="D37" s="79">
        <v>44742</v>
      </c>
      <c r="E37" s="147">
        <v>5339674</v>
      </c>
      <c r="F37" s="147">
        <v>634101</v>
      </c>
      <c r="G37" s="147">
        <v>1722476</v>
      </c>
      <c r="H37" s="147">
        <v>1574684</v>
      </c>
      <c r="I37" s="147">
        <v>34951</v>
      </c>
      <c r="J37" s="147">
        <v>42831</v>
      </c>
      <c r="K37" s="147">
        <v>49275</v>
      </c>
      <c r="L37" s="148">
        <v>1.1795</v>
      </c>
      <c r="M37" s="148">
        <v>1.2042999999999999</v>
      </c>
      <c r="N37" s="148">
        <v>1.2450000000000001</v>
      </c>
      <c r="O37" s="148">
        <v>1.2151000000000001</v>
      </c>
      <c r="P37" s="148">
        <v>1.2438</v>
      </c>
      <c r="Q37" s="148">
        <v>1.2561</v>
      </c>
      <c r="R37" s="148">
        <v>1.23</v>
      </c>
      <c r="S37" s="148">
        <f t="shared" si="8"/>
        <v>1.2271000000000001</v>
      </c>
      <c r="T37" s="78">
        <f>VLOOKUP(C37&amp;D37,Documentation!$J$37:$K$52,2,FALSE)</f>
        <v>2</v>
      </c>
      <c r="V37" s="148">
        <f t="shared" si="9"/>
        <v>1.2042999999999999</v>
      </c>
      <c r="W37" s="148">
        <f t="shared" si="9"/>
        <v>1.2450000000000001</v>
      </c>
      <c r="X37" s="148">
        <f t="shared" si="9"/>
        <v>1.2151000000000001</v>
      </c>
      <c r="Y37" s="148">
        <f t="shared" si="9"/>
        <v>1.2438</v>
      </c>
      <c r="Z37" s="149"/>
      <c r="AA37" s="149"/>
    </row>
    <row r="38" spans="1:27" x14ac:dyDescent="0.2">
      <c r="A38" s="78">
        <v>715</v>
      </c>
      <c r="B38" s="78" t="s">
        <v>210</v>
      </c>
      <c r="C38" s="79">
        <v>44378</v>
      </c>
      <c r="D38" s="79">
        <v>44742</v>
      </c>
      <c r="E38" s="147">
        <v>5474666</v>
      </c>
      <c r="F38" s="147">
        <v>492312</v>
      </c>
      <c r="G38" s="147">
        <v>1375301</v>
      </c>
      <c r="H38" s="147">
        <v>1696602</v>
      </c>
      <c r="I38" s="147">
        <v>23476</v>
      </c>
      <c r="J38" s="147">
        <v>31939</v>
      </c>
      <c r="K38" s="147">
        <v>40515</v>
      </c>
      <c r="L38" s="148">
        <v>1.4073</v>
      </c>
      <c r="M38" s="148">
        <v>1.4097</v>
      </c>
      <c r="N38" s="148">
        <v>1.3359000000000001</v>
      </c>
      <c r="O38" s="148">
        <v>1.4191</v>
      </c>
      <c r="P38" s="148">
        <v>1.4186000000000001</v>
      </c>
      <c r="Q38" s="148">
        <v>1.4444999999999999</v>
      </c>
      <c r="R38" s="148">
        <v>1.4137</v>
      </c>
      <c r="S38" s="148">
        <f t="shared" si="8"/>
        <v>1.3957999999999999</v>
      </c>
      <c r="T38" s="78">
        <f>VLOOKUP(C38&amp;D38,Documentation!$J$37:$K$52,2,FALSE)</f>
        <v>2</v>
      </c>
      <c r="V38" s="148">
        <f t="shared" si="9"/>
        <v>1.4097</v>
      </c>
      <c r="W38" s="148">
        <f t="shared" si="9"/>
        <v>1.3359000000000001</v>
      </c>
      <c r="X38" s="148">
        <f t="shared" si="9"/>
        <v>1.4191</v>
      </c>
      <c r="Y38" s="148">
        <f t="shared" si="9"/>
        <v>1.4186000000000001</v>
      </c>
      <c r="Z38" s="149"/>
      <c r="AA38" s="149"/>
    </row>
    <row r="39" spans="1:27" x14ac:dyDescent="0.2">
      <c r="A39" s="78">
        <v>719</v>
      </c>
      <c r="B39" s="78" t="s">
        <v>238</v>
      </c>
      <c r="C39" s="79">
        <v>44378</v>
      </c>
      <c r="D39" s="79">
        <v>44742</v>
      </c>
      <c r="E39" s="147">
        <v>2599139</v>
      </c>
      <c r="F39" s="147">
        <v>331436</v>
      </c>
      <c r="G39" s="147">
        <v>1499158</v>
      </c>
      <c r="H39" s="147">
        <v>1144726</v>
      </c>
      <c r="I39" s="147">
        <v>20244</v>
      </c>
      <c r="J39" s="147">
        <v>21735</v>
      </c>
      <c r="K39" s="147">
        <v>33215</v>
      </c>
      <c r="L39" s="148">
        <v>1.1609</v>
      </c>
      <c r="M39" s="148">
        <v>1.1444000000000001</v>
      </c>
      <c r="N39" s="148">
        <v>1.0891</v>
      </c>
      <c r="O39" s="148">
        <v>1.0611999999999999</v>
      </c>
      <c r="P39" s="148">
        <v>1.024</v>
      </c>
      <c r="Q39" s="148">
        <v>1.1052999999999999</v>
      </c>
      <c r="R39" s="148">
        <v>1.1505000000000001</v>
      </c>
      <c r="S39" s="148">
        <f t="shared" si="8"/>
        <v>1.0797000000000001</v>
      </c>
      <c r="T39" s="78">
        <f>VLOOKUP(C39&amp;D39,Documentation!$J$37:$K$52,2,FALSE)</f>
        <v>2</v>
      </c>
      <c r="V39" s="148">
        <f t="shared" si="9"/>
        <v>1.1444000000000001</v>
      </c>
      <c r="W39" s="148">
        <f t="shared" si="9"/>
        <v>1.0891</v>
      </c>
      <c r="X39" s="148">
        <f t="shared" si="9"/>
        <v>1.0611999999999999</v>
      </c>
      <c r="Y39" s="148">
        <f t="shared" si="9"/>
        <v>1.024</v>
      </c>
      <c r="Z39" s="149"/>
      <c r="AA39" s="149"/>
    </row>
    <row r="40" spans="1:27" x14ac:dyDescent="0.2">
      <c r="A40" s="78">
        <v>727</v>
      </c>
      <c r="B40" s="78" t="s">
        <v>214</v>
      </c>
      <c r="C40" s="79">
        <v>44378</v>
      </c>
      <c r="D40" s="79">
        <v>44742</v>
      </c>
      <c r="E40" s="147">
        <v>6840382</v>
      </c>
      <c r="F40" s="147">
        <v>746168</v>
      </c>
      <c r="G40" s="147">
        <v>1654625</v>
      </c>
      <c r="H40" s="147">
        <v>1881322</v>
      </c>
      <c r="I40" s="147">
        <v>23708</v>
      </c>
      <c r="J40" s="147">
        <v>49708</v>
      </c>
      <c r="K40" s="147">
        <v>54750</v>
      </c>
      <c r="L40" s="148">
        <v>1.2970999999999999</v>
      </c>
      <c r="M40" s="148">
        <v>1.3139000000000001</v>
      </c>
      <c r="N40" s="148">
        <v>1.3062</v>
      </c>
      <c r="O40" s="148">
        <v>1.3367</v>
      </c>
      <c r="P40" s="148">
        <v>1.3212999999999999</v>
      </c>
      <c r="Q40" s="148">
        <v>1.3133999999999999</v>
      </c>
      <c r="R40" s="148">
        <v>1.3272999999999999</v>
      </c>
      <c r="S40" s="148">
        <f t="shared" si="8"/>
        <v>1.3194999999999999</v>
      </c>
      <c r="T40" s="78">
        <f>VLOOKUP(C40&amp;D40,Documentation!$J$37:$K$52,2,FALSE)</f>
        <v>2</v>
      </c>
      <c r="V40" s="148">
        <f t="shared" si="9"/>
        <v>1.3139000000000001</v>
      </c>
      <c r="W40" s="148">
        <f t="shared" si="9"/>
        <v>1.3062</v>
      </c>
      <c r="X40" s="148">
        <f t="shared" si="9"/>
        <v>1.3367</v>
      </c>
      <c r="Y40" s="148">
        <f t="shared" si="9"/>
        <v>1.3212999999999999</v>
      </c>
      <c r="Z40" s="149"/>
      <c r="AA40" s="149"/>
    </row>
    <row r="41" spans="1:27" x14ac:dyDescent="0.2">
      <c r="A41" s="78">
        <v>729</v>
      </c>
      <c r="B41" s="78" t="s">
        <v>209</v>
      </c>
      <c r="C41" s="79">
        <v>44378</v>
      </c>
      <c r="D41" s="79">
        <v>44742</v>
      </c>
      <c r="E41" s="147">
        <v>5687422</v>
      </c>
      <c r="F41" s="147">
        <v>804073</v>
      </c>
      <c r="G41" s="147">
        <v>2229927</v>
      </c>
      <c r="H41" s="147">
        <v>1648353</v>
      </c>
      <c r="I41" s="147">
        <v>35112</v>
      </c>
      <c r="J41" s="147">
        <v>43910</v>
      </c>
      <c r="K41" s="147">
        <v>56940</v>
      </c>
      <c r="L41" s="148">
        <v>1.5871999999999999</v>
      </c>
      <c r="M41" s="148">
        <v>1.5781000000000001</v>
      </c>
      <c r="N41" s="148">
        <v>1.538</v>
      </c>
      <c r="O41" s="148">
        <v>1.4749000000000001</v>
      </c>
      <c r="P41" s="148">
        <v>1.4665999999999999</v>
      </c>
      <c r="Q41" s="148">
        <v>1.5448</v>
      </c>
      <c r="R41" s="148">
        <v>1.5499000000000001</v>
      </c>
      <c r="S41" s="148">
        <f t="shared" si="8"/>
        <v>1.5144</v>
      </c>
      <c r="T41" s="78">
        <f>VLOOKUP(C41&amp;D41,Documentation!$J$37:$K$52,2,FALSE)</f>
        <v>2</v>
      </c>
      <c r="V41" s="148">
        <f t="shared" si="9"/>
        <v>1.5781000000000001</v>
      </c>
      <c r="W41" s="148">
        <f t="shared" si="9"/>
        <v>1.538</v>
      </c>
      <c r="X41" s="148">
        <f t="shared" si="9"/>
        <v>1.4749000000000001</v>
      </c>
      <c r="Y41" s="148">
        <f t="shared" si="9"/>
        <v>1.4665999999999999</v>
      </c>
      <c r="Z41" s="149"/>
      <c r="AA41" s="149"/>
    </row>
    <row r="42" spans="1:27" x14ac:dyDescent="0.2">
      <c r="A42" s="78">
        <v>733</v>
      </c>
      <c r="B42" s="78" t="s">
        <v>211</v>
      </c>
      <c r="C42" s="79">
        <v>44378</v>
      </c>
      <c r="D42" s="79">
        <v>44742</v>
      </c>
      <c r="E42" s="147">
        <v>7019155</v>
      </c>
      <c r="F42" s="147">
        <v>891504</v>
      </c>
      <c r="G42" s="147">
        <v>2368788</v>
      </c>
      <c r="H42" s="147">
        <v>1950069</v>
      </c>
      <c r="I42" s="147">
        <v>42636</v>
      </c>
      <c r="J42" s="147">
        <v>55337</v>
      </c>
      <c r="K42" s="147">
        <v>66430</v>
      </c>
      <c r="L42" s="148">
        <v>1.5415000000000001</v>
      </c>
      <c r="M42" s="148">
        <v>1.5629</v>
      </c>
      <c r="N42" s="148">
        <v>1.5173000000000001</v>
      </c>
      <c r="O42" s="148">
        <v>1.5476000000000001</v>
      </c>
      <c r="P42" s="148">
        <v>1.4846999999999999</v>
      </c>
      <c r="Q42" s="148">
        <v>1.4396</v>
      </c>
      <c r="R42" s="148">
        <v>1.4574</v>
      </c>
      <c r="S42" s="148">
        <f t="shared" si="8"/>
        <v>1.5281</v>
      </c>
      <c r="T42" s="78">
        <f>VLOOKUP(C42&amp;D42,Documentation!$J$37:$K$52,2,FALSE)</f>
        <v>2</v>
      </c>
      <c r="V42" s="148">
        <f t="shared" si="9"/>
        <v>1.5629</v>
      </c>
      <c r="W42" s="148">
        <f t="shared" si="9"/>
        <v>1.5173000000000001</v>
      </c>
      <c r="X42" s="148">
        <f t="shared" si="9"/>
        <v>1.5476000000000001</v>
      </c>
      <c r="Y42" s="148">
        <f t="shared" si="9"/>
        <v>1.4846999999999999</v>
      </c>
      <c r="Z42" s="149"/>
      <c r="AA42" s="149"/>
    </row>
    <row r="43" spans="1:27" x14ac:dyDescent="0.2">
      <c r="A43" s="78">
        <v>737</v>
      </c>
      <c r="B43" s="78" t="s">
        <v>229</v>
      </c>
      <c r="C43" s="79">
        <v>44378</v>
      </c>
      <c r="D43" s="79">
        <v>44742</v>
      </c>
      <c r="E43" s="147">
        <v>4354523</v>
      </c>
      <c r="F43" s="147">
        <v>521691</v>
      </c>
      <c r="G43" s="147">
        <v>1631155</v>
      </c>
      <c r="H43" s="147">
        <v>1576280</v>
      </c>
      <c r="I43" s="147">
        <v>23676</v>
      </c>
      <c r="J43" s="147">
        <v>34290</v>
      </c>
      <c r="K43" s="147">
        <v>40150</v>
      </c>
      <c r="L43" s="148">
        <v>1.4643999999999999</v>
      </c>
      <c r="M43" s="148">
        <v>1.4111</v>
      </c>
      <c r="N43" s="148">
        <v>1.3932</v>
      </c>
      <c r="O43" s="148">
        <v>1.4286000000000001</v>
      </c>
      <c r="P43" s="148">
        <v>1.5019</v>
      </c>
      <c r="Q43" s="148">
        <v>1.4034</v>
      </c>
      <c r="R43" s="148">
        <v>1.4157999999999999</v>
      </c>
      <c r="S43" s="148">
        <f t="shared" si="8"/>
        <v>1.4337</v>
      </c>
      <c r="T43" s="78">
        <f>VLOOKUP(C43&amp;D43,Documentation!$J$37:$K$52,2,FALSE)</f>
        <v>2</v>
      </c>
      <c r="V43" s="148">
        <f t="shared" si="9"/>
        <v>1.4111</v>
      </c>
      <c r="W43" s="148">
        <f t="shared" si="9"/>
        <v>1.3932</v>
      </c>
      <c r="X43" s="148">
        <f t="shared" si="9"/>
        <v>1.4286000000000001</v>
      </c>
      <c r="Y43" s="148">
        <f t="shared" si="9"/>
        <v>1.5019</v>
      </c>
      <c r="Z43" s="149"/>
      <c r="AA43" s="149"/>
    </row>
    <row r="44" spans="1:27" x14ac:dyDescent="0.2">
      <c r="A44" s="78">
        <v>739</v>
      </c>
      <c r="B44" s="78" t="s">
        <v>212</v>
      </c>
      <c r="C44" s="79">
        <v>44378</v>
      </c>
      <c r="D44" s="79">
        <v>44742</v>
      </c>
      <c r="E44" s="147">
        <v>3990510</v>
      </c>
      <c r="F44" s="147">
        <v>459791</v>
      </c>
      <c r="G44" s="147">
        <v>1248539</v>
      </c>
      <c r="H44" s="147">
        <v>1356999</v>
      </c>
      <c r="I44" s="147">
        <v>18314</v>
      </c>
      <c r="J44" s="147">
        <v>31016</v>
      </c>
      <c r="K44" s="147">
        <v>34675</v>
      </c>
      <c r="L44" s="148">
        <v>1.3006</v>
      </c>
      <c r="M44" s="148">
        <v>1.2876000000000001</v>
      </c>
      <c r="N44" s="148">
        <v>1.2891999999999999</v>
      </c>
      <c r="O44" s="148">
        <v>1.3117000000000001</v>
      </c>
      <c r="P44" s="148">
        <v>1.3453999999999999</v>
      </c>
      <c r="Q44" s="148">
        <v>1.3839999999999999</v>
      </c>
      <c r="R44" s="148">
        <v>1.4628000000000001</v>
      </c>
      <c r="S44" s="148">
        <f t="shared" si="8"/>
        <v>1.3085</v>
      </c>
      <c r="T44" s="78">
        <f>VLOOKUP(C44&amp;D44,Documentation!$J$37:$K$52,2,FALSE)</f>
        <v>2</v>
      </c>
      <c r="V44" s="148">
        <f t="shared" si="9"/>
        <v>1.2876000000000001</v>
      </c>
      <c r="W44" s="148">
        <f t="shared" si="9"/>
        <v>1.2891999999999999</v>
      </c>
      <c r="X44" s="148">
        <f t="shared" si="9"/>
        <v>1.3117000000000001</v>
      </c>
      <c r="Y44" s="148">
        <f t="shared" si="9"/>
        <v>1.3453999999999999</v>
      </c>
      <c r="Z44" s="149"/>
      <c r="AA44" s="149"/>
    </row>
    <row r="45" spans="1:27" x14ac:dyDescent="0.2">
      <c r="A45" s="78">
        <v>743</v>
      </c>
      <c r="B45" s="147" t="s">
        <v>213</v>
      </c>
      <c r="C45" s="79">
        <v>44378</v>
      </c>
      <c r="D45" s="79">
        <v>44742</v>
      </c>
      <c r="E45" s="147">
        <v>3423737</v>
      </c>
      <c r="F45" s="147">
        <v>415859</v>
      </c>
      <c r="G45" s="147">
        <v>1480571</v>
      </c>
      <c r="H45" s="147">
        <v>1312640</v>
      </c>
      <c r="I45" s="147">
        <v>15198</v>
      </c>
      <c r="J45" s="147">
        <v>29371</v>
      </c>
      <c r="K45" s="147">
        <v>33580</v>
      </c>
      <c r="L45" s="148">
        <v>1.4423999999999999</v>
      </c>
      <c r="M45" s="148">
        <v>1.484</v>
      </c>
      <c r="N45" s="148">
        <v>1.5133000000000001</v>
      </c>
      <c r="O45" s="148">
        <v>1.4691000000000001</v>
      </c>
      <c r="P45" s="148">
        <v>1.4218999999999999</v>
      </c>
      <c r="Q45" s="148">
        <v>1.5194000000000001</v>
      </c>
      <c r="R45" s="148">
        <v>1.4859</v>
      </c>
      <c r="S45" s="148">
        <f t="shared" si="8"/>
        <v>1.4721</v>
      </c>
      <c r="T45" s="78">
        <f>VLOOKUP(C45&amp;D45,Documentation!$J$37:$K$52,2,FALSE)</f>
        <v>2</v>
      </c>
      <c r="V45" s="148">
        <f t="shared" si="9"/>
        <v>1.484</v>
      </c>
      <c r="W45" s="148">
        <f t="shared" si="9"/>
        <v>1.5133000000000001</v>
      </c>
      <c r="X45" s="148">
        <f t="shared" si="9"/>
        <v>1.4691000000000001</v>
      </c>
      <c r="Y45" s="148">
        <f t="shared" si="9"/>
        <v>1.4218999999999999</v>
      </c>
      <c r="Z45" s="149"/>
      <c r="AA45" s="149"/>
    </row>
    <row r="46" spans="1:27" x14ac:dyDescent="0.2">
      <c r="A46" s="78">
        <v>767</v>
      </c>
      <c r="B46" s="78" t="s">
        <v>216</v>
      </c>
      <c r="C46" s="79">
        <v>44378</v>
      </c>
      <c r="D46" s="79">
        <v>44742</v>
      </c>
      <c r="E46" s="147">
        <v>4806621</v>
      </c>
      <c r="F46" s="147">
        <v>1007229</v>
      </c>
      <c r="G46" s="147">
        <v>1940217</v>
      </c>
      <c r="H46" s="147">
        <v>1799173</v>
      </c>
      <c r="I46" s="147">
        <v>26642</v>
      </c>
      <c r="J46" s="147">
        <v>40180</v>
      </c>
      <c r="K46" s="147">
        <v>58400</v>
      </c>
      <c r="L46" s="148">
        <v>1.4400999999999999</v>
      </c>
      <c r="M46" s="148">
        <v>1.4227000000000001</v>
      </c>
      <c r="N46" s="148">
        <v>1.4252</v>
      </c>
      <c r="O46" s="148">
        <v>1.4654</v>
      </c>
      <c r="P46" s="148">
        <v>1.5667</v>
      </c>
      <c r="Q46" s="148">
        <v>1.3742000000000001</v>
      </c>
      <c r="R46" s="148">
        <v>1.3505</v>
      </c>
      <c r="S46" s="148">
        <f t="shared" si="8"/>
        <v>1.47</v>
      </c>
      <c r="T46" s="78">
        <f>VLOOKUP(C46&amp;D46,Documentation!$J$37:$K$52,2,FALSE)</f>
        <v>2</v>
      </c>
      <c r="V46" s="148">
        <f t="shared" si="9"/>
        <v>1.4227000000000001</v>
      </c>
      <c r="W46" s="148">
        <f t="shared" si="9"/>
        <v>1.4252</v>
      </c>
      <c r="X46" s="148">
        <f t="shared" si="9"/>
        <v>1.4654</v>
      </c>
      <c r="Y46" s="148">
        <f t="shared" si="9"/>
        <v>1.5667</v>
      </c>
      <c r="Z46" s="149"/>
      <c r="AA46" s="149"/>
    </row>
    <row r="47" spans="1:27" x14ac:dyDescent="0.2">
      <c r="A47" s="78">
        <v>366</v>
      </c>
      <c r="B47" s="78" t="s">
        <v>598</v>
      </c>
      <c r="C47" s="79">
        <v>44562</v>
      </c>
      <c r="D47" s="79">
        <v>44742</v>
      </c>
      <c r="E47" s="147">
        <v>1790448</v>
      </c>
      <c r="F47" s="147">
        <v>250883</v>
      </c>
      <c r="G47" s="147">
        <v>781408</v>
      </c>
      <c r="H47" s="147">
        <v>623666</v>
      </c>
      <c r="I47" s="147">
        <v>12640</v>
      </c>
      <c r="J47" s="147">
        <v>14231</v>
      </c>
      <c r="K47" s="147">
        <v>18824</v>
      </c>
      <c r="L47" s="148">
        <v>1.1648000000000001</v>
      </c>
      <c r="M47" s="148">
        <v>1.1415</v>
      </c>
      <c r="N47" s="148">
        <v>1.0833999999999999</v>
      </c>
      <c r="O47" s="148">
        <v>1.1189</v>
      </c>
      <c r="P47" s="148">
        <v>1.3027</v>
      </c>
      <c r="Q47" s="148">
        <v>1.3541000000000001</v>
      </c>
      <c r="R47" s="148">
        <v>1.3131999999999999</v>
      </c>
      <c r="S47" s="148">
        <f>ROUND(AVERAGE(O47:P47),4)</f>
        <v>1.2108000000000001</v>
      </c>
      <c r="T47" s="78">
        <f>VLOOKUP(C47&amp;D47,Documentation!$J$37:$K$52,2,FALSE)</f>
        <v>3</v>
      </c>
      <c r="V47" s="148"/>
      <c r="W47" s="148"/>
      <c r="X47" s="148">
        <f t="shared" si="9"/>
        <v>1.1189</v>
      </c>
      <c r="Y47" s="148">
        <f t="shared" si="9"/>
        <v>1.3027</v>
      </c>
      <c r="Z47" s="149"/>
      <c r="AA47" s="149"/>
    </row>
    <row r="48" spans="1:27" x14ac:dyDescent="0.2">
      <c r="A48" s="78">
        <v>298</v>
      </c>
      <c r="B48" s="78" t="s">
        <v>345</v>
      </c>
      <c r="C48" s="79">
        <v>44470</v>
      </c>
      <c r="D48" s="79">
        <v>44834</v>
      </c>
      <c r="E48" s="147">
        <v>8392156</v>
      </c>
      <c r="F48" s="147">
        <v>895111</v>
      </c>
      <c r="G48" s="147">
        <v>2002073</v>
      </c>
      <c r="H48" s="147">
        <v>2237810</v>
      </c>
      <c r="I48" s="147">
        <v>27771</v>
      </c>
      <c r="J48" s="147">
        <v>44652</v>
      </c>
      <c r="K48" s="147">
        <v>47450</v>
      </c>
      <c r="L48" s="148">
        <v>1.349</v>
      </c>
      <c r="M48" s="148">
        <v>1.3379000000000001</v>
      </c>
      <c r="N48" s="148">
        <v>1.3646</v>
      </c>
      <c r="O48" s="148">
        <v>1.5308999999999999</v>
      </c>
      <c r="P48" s="148">
        <v>1.3909</v>
      </c>
      <c r="Q48" s="148">
        <v>1.4103000000000001</v>
      </c>
      <c r="R48" s="148">
        <v>1.4149</v>
      </c>
      <c r="S48" s="148">
        <f>ROUND(AVERAGE(N48:Q48),4)</f>
        <v>1.4241999999999999</v>
      </c>
      <c r="T48" s="78">
        <f>VLOOKUP(C48&amp;D48,Documentation!$J$37:$K$52,2,FALSE)</f>
        <v>4</v>
      </c>
      <c r="V48" s="148"/>
      <c r="W48" s="148">
        <f t="shared" si="9"/>
        <v>1.3646</v>
      </c>
      <c r="X48" s="148">
        <f t="shared" si="9"/>
        <v>1.5308999999999999</v>
      </c>
      <c r="Y48" s="148">
        <f t="shared" si="9"/>
        <v>1.3909</v>
      </c>
      <c r="Z48" s="148">
        <f>+Q48</f>
        <v>1.4103000000000001</v>
      </c>
      <c r="AA48" s="149"/>
    </row>
    <row r="49" spans="1:27" x14ac:dyDescent="0.2">
      <c r="A49" s="78">
        <v>398</v>
      </c>
      <c r="B49" s="78" t="s">
        <v>174</v>
      </c>
      <c r="C49" s="79">
        <v>44470</v>
      </c>
      <c r="D49" s="79">
        <v>44834</v>
      </c>
      <c r="E49" s="147">
        <v>10040131</v>
      </c>
      <c r="F49" s="147">
        <v>1240681</v>
      </c>
      <c r="G49" s="147">
        <v>3089450</v>
      </c>
      <c r="H49" s="147">
        <v>3045581</v>
      </c>
      <c r="I49" s="147">
        <v>54199</v>
      </c>
      <c r="J49" s="147">
        <v>70890</v>
      </c>
      <c r="K49" s="147">
        <v>111325</v>
      </c>
      <c r="L49" s="148">
        <v>1.3017000000000001</v>
      </c>
      <c r="M49" s="148">
        <v>1.2738</v>
      </c>
      <c r="N49" s="148">
        <v>1.2988</v>
      </c>
      <c r="O49" s="148">
        <v>1.3805000000000001</v>
      </c>
      <c r="P49" s="148">
        <v>1.3129999999999999</v>
      </c>
      <c r="Q49" s="148">
        <v>1.32</v>
      </c>
      <c r="R49" s="148">
        <v>1.3741000000000001</v>
      </c>
      <c r="S49" s="148">
        <f>ROUND(AVERAGE(N49:Q49),4)</f>
        <v>1.3281000000000001</v>
      </c>
      <c r="T49" s="78">
        <f>VLOOKUP(C49&amp;D49,Documentation!$J$37:$K$52,2,FALSE)</f>
        <v>4</v>
      </c>
      <c r="V49" s="148"/>
      <c r="W49" s="148">
        <f t="shared" si="9"/>
        <v>1.2988</v>
      </c>
      <c r="X49" s="148">
        <f t="shared" si="9"/>
        <v>1.3805000000000001</v>
      </c>
      <c r="Y49" s="148">
        <f t="shared" si="9"/>
        <v>1.3129999999999999</v>
      </c>
      <c r="Z49" s="148">
        <f t="shared" si="9"/>
        <v>1.32</v>
      </c>
      <c r="AA49" s="149"/>
    </row>
    <row r="50" spans="1:27" x14ac:dyDescent="0.2">
      <c r="A50" s="78">
        <v>677</v>
      </c>
      <c r="B50" s="78" t="s">
        <v>655</v>
      </c>
      <c r="C50" s="79">
        <v>44562</v>
      </c>
      <c r="D50" s="79">
        <v>44865</v>
      </c>
      <c r="E50" s="147">
        <v>4214197</v>
      </c>
      <c r="F50" s="147">
        <v>364204</v>
      </c>
      <c r="G50" s="147">
        <v>1017829</v>
      </c>
      <c r="H50" s="147">
        <v>1448460</v>
      </c>
      <c r="I50" s="147">
        <v>20893</v>
      </c>
      <c r="J50" s="147">
        <v>28994</v>
      </c>
      <c r="K50" s="147">
        <v>38000</v>
      </c>
      <c r="L50" s="148">
        <v>1.3007</v>
      </c>
      <c r="M50" s="148">
        <v>1.2954000000000001</v>
      </c>
      <c r="N50" s="148">
        <v>1.3562000000000001</v>
      </c>
      <c r="O50" s="148">
        <v>1.4039999999999999</v>
      </c>
      <c r="P50" s="148">
        <v>1.3563000000000001</v>
      </c>
      <c r="Q50" s="148">
        <v>1.3733</v>
      </c>
      <c r="R50" s="148">
        <v>1.4053</v>
      </c>
      <c r="S50" s="148">
        <f>ROUND(AVERAGE(O50:Q50),4)</f>
        <v>1.3778999999999999</v>
      </c>
      <c r="T50" s="78">
        <f>VLOOKUP(C50&amp;D50,Documentation!$J$37:$K$52,2,FALSE)</f>
        <v>5</v>
      </c>
      <c r="V50" s="148"/>
      <c r="W50" s="148"/>
      <c r="X50" s="148">
        <f t="shared" si="9"/>
        <v>1.4039999999999999</v>
      </c>
      <c r="Y50" s="148">
        <f t="shared" si="9"/>
        <v>1.3563000000000001</v>
      </c>
      <c r="Z50" s="148">
        <f t="shared" si="9"/>
        <v>1.3733</v>
      </c>
      <c r="AA50" s="149"/>
    </row>
    <row r="51" spans="1:27" x14ac:dyDescent="0.2">
      <c r="A51" s="78">
        <v>693</v>
      </c>
      <c r="B51" s="78" t="s">
        <v>670</v>
      </c>
      <c r="C51" s="79">
        <v>44562</v>
      </c>
      <c r="D51" s="79">
        <v>44865</v>
      </c>
      <c r="E51" s="147">
        <v>3584935</v>
      </c>
      <c r="F51" s="147">
        <v>380566</v>
      </c>
      <c r="G51" s="147">
        <v>1125803</v>
      </c>
      <c r="H51" s="147">
        <v>1358408</v>
      </c>
      <c r="I51" s="147">
        <v>17168</v>
      </c>
      <c r="J51" s="147">
        <v>25324</v>
      </c>
      <c r="K51" s="147">
        <v>48640</v>
      </c>
      <c r="L51" s="148">
        <v>1.3908</v>
      </c>
      <c r="M51" s="148">
        <v>1.4049</v>
      </c>
      <c r="N51" s="148">
        <v>1.4632000000000001</v>
      </c>
      <c r="O51" s="148">
        <v>1.4641</v>
      </c>
      <c r="P51" s="148">
        <v>1.41</v>
      </c>
      <c r="Q51" s="148">
        <v>1.4415</v>
      </c>
      <c r="R51" s="148">
        <v>1.4865999999999999</v>
      </c>
      <c r="S51" s="148">
        <f>ROUND(AVERAGE(O51:Q51),4)</f>
        <v>1.4384999999999999</v>
      </c>
      <c r="T51" s="78">
        <f>VLOOKUP(C51&amp;D51,Documentation!$J$37:$K$52,2,FALSE)</f>
        <v>5</v>
      </c>
      <c r="V51" s="148"/>
      <c r="W51" s="148"/>
      <c r="X51" s="148">
        <f t="shared" si="9"/>
        <v>1.4641</v>
      </c>
      <c r="Y51" s="148">
        <f t="shared" si="9"/>
        <v>1.41</v>
      </c>
      <c r="Z51" s="148">
        <f t="shared" si="9"/>
        <v>1.4415</v>
      </c>
      <c r="AA51" s="149"/>
    </row>
    <row r="52" spans="1:27" x14ac:dyDescent="0.2">
      <c r="A52" s="78">
        <v>114</v>
      </c>
      <c r="B52" s="78" t="s">
        <v>657</v>
      </c>
      <c r="C52" s="79">
        <v>44743</v>
      </c>
      <c r="D52" s="79">
        <v>44865</v>
      </c>
      <c r="E52" s="147">
        <v>993030</v>
      </c>
      <c r="F52" s="147">
        <v>139762</v>
      </c>
      <c r="G52" s="147">
        <v>331532</v>
      </c>
      <c r="H52" s="147">
        <v>240207</v>
      </c>
      <c r="I52" s="147">
        <v>3707</v>
      </c>
      <c r="J52" s="147">
        <v>5710</v>
      </c>
      <c r="K52" s="147">
        <v>7257</v>
      </c>
      <c r="L52" s="148">
        <v>1.2917000000000001</v>
      </c>
      <c r="M52" s="148">
        <v>1.2919</v>
      </c>
      <c r="N52" s="148">
        <v>1.3157000000000001</v>
      </c>
      <c r="O52" s="148">
        <v>1.2958000000000001</v>
      </c>
      <c r="P52" s="148">
        <v>1.3061</v>
      </c>
      <c r="Q52" s="148">
        <v>1.2766</v>
      </c>
      <c r="R52" s="148">
        <v>1.3037000000000001</v>
      </c>
      <c r="S52" s="148">
        <f>ROUND(AVERAGE(Q52),4)</f>
        <v>1.2766</v>
      </c>
      <c r="T52" s="78">
        <f>VLOOKUP(C52&amp;D52,Documentation!$J$37:$K$52,2,FALSE)</f>
        <v>6</v>
      </c>
      <c r="V52" s="148"/>
      <c r="W52" s="148"/>
      <c r="X52" s="148"/>
      <c r="Y52" s="148"/>
      <c r="Z52" s="148">
        <f t="shared" si="9"/>
        <v>1.2766</v>
      </c>
      <c r="AA52" s="149"/>
    </row>
    <row r="53" spans="1:27" x14ac:dyDescent="0.2">
      <c r="A53" s="78">
        <v>26</v>
      </c>
      <c r="B53" s="78" t="s">
        <v>199</v>
      </c>
      <c r="C53" s="79">
        <v>44562</v>
      </c>
      <c r="D53" s="79">
        <v>44926</v>
      </c>
      <c r="E53" s="147">
        <v>6672188</v>
      </c>
      <c r="F53" s="147">
        <v>441955</v>
      </c>
      <c r="G53" s="147">
        <v>1663995</v>
      </c>
      <c r="H53" s="147">
        <v>1711551</v>
      </c>
      <c r="I53" s="147">
        <v>22052</v>
      </c>
      <c r="J53" s="147">
        <v>28643</v>
      </c>
      <c r="K53" s="147">
        <v>33580</v>
      </c>
      <c r="L53" s="148">
        <v>2.2122000000000002</v>
      </c>
      <c r="M53" s="148">
        <v>2.2343000000000002</v>
      </c>
      <c r="N53" s="148">
        <v>2.1812999999999998</v>
      </c>
      <c r="O53" s="148">
        <v>2.0381</v>
      </c>
      <c r="P53" s="148">
        <v>2.0501999999999998</v>
      </c>
      <c r="Q53" s="148">
        <v>1.9555</v>
      </c>
      <c r="R53" s="148">
        <v>1.8902000000000001</v>
      </c>
      <c r="S53" s="148">
        <f>ROUND(AVERAGE(O53:R53),4)</f>
        <v>1.9835</v>
      </c>
      <c r="T53" s="78">
        <f>VLOOKUP(C53&amp;D53,Documentation!$J$37:$K$52,2,FALSE)</f>
        <v>7</v>
      </c>
      <c r="V53" s="148"/>
      <c r="W53" s="148"/>
      <c r="X53" s="148">
        <f t="shared" si="9"/>
        <v>2.0381</v>
      </c>
      <c r="Y53" s="148">
        <f t="shared" si="9"/>
        <v>2.0501999999999998</v>
      </c>
      <c r="Z53" s="148">
        <f t="shared" si="9"/>
        <v>1.9555</v>
      </c>
      <c r="AA53" s="148">
        <f>+R53</f>
        <v>1.8902000000000001</v>
      </c>
    </row>
    <row r="54" spans="1:27" x14ac:dyDescent="0.2">
      <c r="A54" s="78">
        <v>28</v>
      </c>
      <c r="B54" s="78" t="s">
        <v>711</v>
      </c>
      <c r="C54" s="79">
        <v>44562</v>
      </c>
      <c r="D54" s="79">
        <v>44926</v>
      </c>
      <c r="E54" s="147">
        <v>4539100</v>
      </c>
      <c r="F54" s="147">
        <v>443147</v>
      </c>
      <c r="G54" s="147">
        <v>1206343</v>
      </c>
      <c r="H54" s="147">
        <v>1263478</v>
      </c>
      <c r="I54" s="147">
        <v>22304</v>
      </c>
      <c r="J54" s="147">
        <v>32874</v>
      </c>
      <c r="K54" s="147">
        <v>37230</v>
      </c>
      <c r="L54" s="148">
        <v>1.4449000000000001</v>
      </c>
      <c r="M54" s="148">
        <v>1.4775</v>
      </c>
      <c r="N54" s="148">
        <v>1.4330000000000001</v>
      </c>
      <c r="O54" s="148">
        <v>1.5309999999999999</v>
      </c>
      <c r="P54" s="148">
        <v>1.5448</v>
      </c>
      <c r="Q54" s="148">
        <v>1.5435000000000001</v>
      </c>
      <c r="R54" s="148">
        <v>1.5799000000000001</v>
      </c>
      <c r="S54" s="148">
        <f t="shared" ref="S54:S117" si="10">ROUND(AVERAGE(O54:R54),4)</f>
        <v>1.5498000000000001</v>
      </c>
      <c r="T54" s="78">
        <f>VLOOKUP(C54&amp;D54,Documentation!$J$37:$K$52,2,FALSE)</f>
        <v>7</v>
      </c>
      <c r="V54" s="148"/>
      <c r="W54" s="148"/>
      <c r="X54" s="148">
        <f t="shared" si="9"/>
        <v>1.5309999999999999</v>
      </c>
      <c r="Y54" s="148">
        <f t="shared" si="9"/>
        <v>1.5448</v>
      </c>
      <c r="Z54" s="148">
        <f t="shared" si="9"/>
        <v>1.5435000000000001</v>
      </c>
      <c r="AA54" s="148">
        <f t="shared" si="9"/>
        <v>1.5799000000000001</v>
      </c>
    </row>
    <row r="55" spans="1:27" x14ac:dyDescent="0.2">
      <c r="A55" s="78">
        <v>32</v>
      </c>
      <c r="B55" s="78" t="s">
        <v>349</v>
      </c>
      <c r="C55" s="79">
        <v>44562</v>
      </c>
      <c r="D55" s="79">
        <v>44926</v>
      </c>
      <c r="E55" s="147">
        <v>5025148</v>
      </c>
      <c r="F55" s="147">
        <v>502300</v>
      </c>
      <c r="G55" s="147">
        <v>1479078</v>
      </c>
      <c r="H55" s="147">
        <v>1514056</v>
      </c>
      <c r="I55" s="147">
        <v>24305</v>
      </c>
      <c r="J55" s="147">
        <v>32528</v>
      </c>
      <c r="K55" s="147">
        <v>38325</v>
      </c>
      <c r="L55" s="148">
        <v>1.4462999999999999</v>
      </c>
      <c r="M55" s="148">
        <v>1.4466000000000001</v>
      </c>
      <c r="N55" s="148">
        <v>1.3945000000000001</v>
      </c>
      <c r="O55" s="148">
        <v>1.6024</v>
      </c>
      <c r="P55" s="148">
        <v>1.4807999999999999</v>
      </c>
      <c r="Q55" s="148">
        <v>1.5368999999999999</v>
      </c>
      <c r="R55" s="148">
        <v>1.4922</v>
      </c>
      <c r="S55" s="148">
        <f t="shared" si="10"/>
        <v>1.5281</v>
      </c>
      <c r="T55" s="78">
        <f>VLOOKUP(C55&amp;D55,Documentation!$J$37:$K$52,2,FALSE)</f>
        <v>7</v>
      </c>
      <c r="V55" s="148"/>
      <c r="W55" s="148"/>
      <c r="X55" s="148">
        <f t="shared" si="9"/>
        <v>1.6024</v>
      </c>
      <c r="Y55" s="148">
        <f t="shared" si="9"/>
        <v>1.4807999999999999</v>
      </c>
      <c r="Z55" s="148">
        <f t="shared" si="9"/>
        <v>1.5368999999999999</v>
      </c>
      <c r="AA55" s="148">
        <f t="shared" si="9"/>
        <v>1.4922</v>
      </c>
    </row>
    <row r="56" spans="1:27" x14ac:dyDescent="0.2">
      <c r="A56" s="78">
        <v>34</v>
      </c>
      <c r="B56" s="78" t="s">
        <v>381</v>
      </c>
      <c r="C56" s="79">
        <v>44562</v>
      </c>
      <c r="D56" s="79">
        <v>44926</v>
      </c>
      <c r="E56" s="147">
        <v>4629286</v>
      </c>
      <c r="F56" s="147">
        <v>613633</v>
      </c>
      <c r="G56" s="147">
        <v>1658198</v>
      </c>
      <c r="H56" s="147">
        <v>1329187</v>
      </c>
      <c r="I56" s="147">
        <v>24888</v>
      </c>
      <c r="J56" s="147">
        <v>35399</v>
      </c>
      <c r="K56" s="147">
        <v>55845</v>
      </c>
      <c r="L56" s="148">
        <v>1.4211</v>
      </c>
      <c r="M56" s="148">
        <v>1.3512999999999999</v>
      </c>
      <c r="N56" s="148">
        <v>1.3331</v>
      </c>
      <c r="O56" s="148">
        <v>1.4883999999999999</v>
      </c>
      <c r="P56" s="148">
        <v>1.4004000000000001</v>
      </c>
      <c r="Q56" s="148">
        <v>1.3479000000000001</v>
      </c>
      <c r="R56" s="148">
        <v>1.3193999999999999</v>
      </c>
      <c r="S56" s="148">
        <f t="shared" si="10"/>
        <v>1.389</v>
      </c>
      <c r="T56" s="78">
        <f>VLOOKUP(C56&amp;D56,Documentation!$J$37:$K$52,2,FALSE)</f>
        <v>7</v>
      </c>
      <c r="V56" s="148"/>
      <c r="W56" s="148"/>
      <c r="X56" s="148">
        <f t="shared" si="9"/>
        <v>1.4883999999999999</v>
      </c>
      <c r="Y56" s="148">
        <f t="shared" si="9"/>
        <v>1.4004000000000001</v>
      </c>
      <c r="Z56" s="148">
        <f t="shared" si="9"/>
        <v>1.3479000000000001</v>
      </c>
      <c r="AA56" s="148">
        <f t="shared" si="9"/>
        <v>1.3193999999999999</v>
      </c>
    </row>
    <row r="57" spans="1:27" x14ac:dyDescent="0.2">
      <c r="A57" s="78">
        <v>36</v>
      </c>
      <c r="B57" s="78" t="s">
        <v>197</v>
      </c>
      <c r="C57" s="79">
        <v>44562</v>
      </c>
      <c r="D57" s="79">
        <v>44926</v>
      </c>
      <c r="E57" s="147">
        <v>1895614</v>
      </c>
      <c r="F57" s="147">
        <v>369553</v>
      </c>
      <c r="G57" s="147">
        <v>844702</v>
      </c>
      <c r="H57" s="147">
        <v>713181</v>
      </c>
      <c r="I57" s="147">
        <v>9008</v>
      </c>
      <c r="J57" s="147">
        <v>16560</v>
      </c>
      <c r="K57" s="147">
        <v>18250</v>
      </c>
      <c r="L57" s="148">
        <v>1.262</v>
      </c>
      <c r="M57" s="148">
        <v>1.2876000000000001</v>
      </c>
      <c r="N57" s="148">
        <v>1.3459000000000001</v>
      </c>
      <c r="O57" s="148">
        <v>1.3733</v>
      </c>
      <c r="P57" s="148">
        <v>1.2863</v>
      </c>
      <c r="Q57" s="148">
        <v>1.2625999999999999</v>
      </c>
      <c r="R57" s="148">
        <v>1.2070000000000001</v>
      </c>
      <c r="S57" s="148">
        <f t="shared" si="10"/>
        <v>1.2823</v>
      </c>
      <c r="T57" s="78">
        <f>VLOOKUP(C57&amp;D57,Documentation!$J$37:$K$52,2,FALSE)</f>
        <v>7</v>
      </c>
      <c r="V57" s="148"/>
      <c r="W57" s="148"/>
      <c r="X57" s="148">
        <f t="shared" si="9"/>
        <v>1.3733</v>
      </c>
      <c r="Y57" s="148">
        <f t="shared" si="9"/>
        <v>1.2863</v>
      </c>
      <c r="Z57" s="148">
        <f t="shared" si="9"/>
        <v>1.2625999999999999</v>
      </c>
      <c r="AA57" s="148">
        <f t="shared" si="9"/>
        <v>1.2070000000000001</v>
      </c>
    </row>
    <row r="58" spans="1:27" x14ac:dyDescent="0.2">
      <c r="A58" s="78">
        <v>44</v>
      </c>
      <c r="B58" s="78" t="s">
        <v>396</v>
      </c>
      <c r="C58" s="79">
        <v>44562</v>
      </c>
      <c r="D58" s="79">
        <v>44926</v>
      </c>
      <c r="E58" s="147">
        <v>2426083</v>
      </c>
      <c r="F58" s="147">
        <v>621773</v>
      </c>
      <c r="G58" s="147">
        <v>1039743</v>
      </c>
      <c r="H58" s="147">
        <v>956254</v>
      </c>
      <c r="I58" s="147">
        <v>5242</v>
      </c>
      <c r="J58" s="147">
        <v>15280</v>
      </c>
      <c r="K58" s="147">
        <v>17520</v>
      </c>
      <c r="L58" s="148">
        <v>1.2924</v>
      </c>
      <c r="M58" s="148">
        <v>1.2339</v>
      </c>
      <c r="N58" s="148">
        <v>1.2305999999999999</v>
      </c>
      <c r="O58" s="148">
        <v>1.3</v>
      </c>
      <c r="P58" s="148">
        <v>1.2706999999999999</v>
      </c>
      <c r="Q58" s="148">
        <v>1.3696999999999999</v>
      </c>
      <c r="R58" s="148">
        <v>1.3063</v>
      </c>
      <c r="S58" s="148">
        <f t="shared" si="10"/>
        <v>1.3117000000000001</v>
      </c>
      <c r="T58" s="78">
        <f>VLOOKUP(C58&amp;D58,Documentation!$J$37:$K$52,2,FALSE)</f>
        <v>7</v>
      </c>
      <c r="V58" s="148"/>
      <c r="W58" s="148"/>
      <c r="X58" s="148">
        <f t="shared" si="9"/>
        <v>1.3</v>
      </c>
      <c r="Y58" s="148">
        <f t="shared" si="9"/>
        <v>1.2706999999999999</v>
      </c>
      <c r="Z58" s="148">
        <f t="shared" si="9"/>
        <v>1.3696999999999999</v>
      </c>
      <c r="AA58" s="148">
        <f t="shared" si="9"/>
        <v>1.3063</v>
      </c>
    </row>
    <row r="59" spans="1:27" x14ac:dyDescent="0.2">
      <c r="A59" s="78">
        <v>46</v>
      </c>
      <c r="B59" s="78" t="s">
        <v>179</v>
      </c>
      <c r="C59" s="79">
        <v>44562</v>
      </c>
      <c r="D59" s="79">
        <v>44926</v>
      </c>
      <c r="E59" s="147">
        <v>5747501</v>
      </c>
      <c r="F59" s="147">
        <v>897819</v>
      </c>
      <c r="G59" s="147">
        <v>2716362</v>
      </c>
      <c r="H59" s="147">
        <v>2685317</v>
      </c>
      <c r="I59" s="147">
        <v>23154</v>
      </c>
      <c r="J59" s="147">
        <v>34242</v>
      </c>
      <c r="K59" s="147">
        <v>39055</v>
      </c>
      <c r="L59" s="148">
        <v>1.278</v>
      </c>
      <c r="M59" s="148">
        <v>1.2904</v>
      </c>
      <c r="N59" s="148">
        <v>1.2997000000000001</v>
      </c>
      <c r="O59" s="148">
        <v>1.2794000000000001</v>
      </c>
      <c r="P59" s="148">
        <v>1.3249</v>
      </c>
      <c r="Q59" s="148">
        <v>1.3325</v>
      </c>
      <c r="R59" s="148">
        <v>1.3603000000000001</v>
      </c>
      <c r="S59" s="148">
        <f t="shared" si="10"/>
        <v>1.3243</v>
      </c>
      <c r="T59" s="78">
        <f>VLOOKUP(C59&amp;D59,Documentation!$J$37:$K$52,2,FALSE)</f>
        <v>7</v>
      </c>
      <c r="V59" s="148"/>
      <c r="W59" s="148"/>
      <c r="X59" s="148">
        <f t="shared" si="9"/>
        <v>1.2794000000000001</v>
      </c>
      <c r="Y59" s="148">
        <f t="shared" si="9"/>
        <v>1.3249</v>
      </c>
      <c r="Z59" s="148">
        <f t="shared" si="9"/>
        <v>1.3325</v>
      </c>
      <c r="AA59" s="148">
        <f t="shared" si="9"/>
        <v>1.3603000000000001</v>
      </c>
    </row>
    <row r="60" spans="1:27" x14ac:dyDescent="0.2">
      <c r="A60" s="78">
        <v>48</v>
      </c>
      <c r="B60" s="78" t="s">
        <v>647</v>
      </c>
      <c r="C60" s="79">
        <v>44562</v>
      </c>
      <c r="D60" s="79">
        <v>44957</v>
      </c>
      <c r="E60" s="147">
        <v>4927472</v>
      </c>
      <c r="F60" s="147">
        <v>542386</v>
      </c>
      <c r="G60" s="147">
        <v>1389257</v>
      </c>
      <c r="H60" s="147">
        <v>1708432</v>
      </c>
      <c r="I60" s="147">
        <v>18143</v>
      </c>
      <c r="J60" s="147">
        <v>28075</v>
      </c>
      <c r="K60" s="147">
        <v>68112</v>
      </c>
      <c r="L60" s="148">
        <v>1.5961000000000001</v>
      </c>
      <c r="M60" s="148">
        <v>1.6342000000000001</v>
      </c>
      <c r="N60" s="148">
        <v>1.6634</v>
      </c>
      <c r="O60" s="148">
        <v>1.7625999999999999</v>
      </c>
      <c r="P60" s="148">
        <v>1.7166999999999999</v>
      </c>
      <c r="Q60" s="148">
        <v>1.6511</v>
      </c>
      <c r="R60" s="148">
        <v>1.6266</v>
      </c>
      <c r="S60" s="148">
        <f t="shared" si="10"/>
        <v>1.6893</v>
      </c>
      <c r="T60" s="78">
        <f>VLOOKUP(C60&amp;D60,Documentation!$J$37:$K$52,2,FALSE)</f>
        <v>7</v>
      </c>
      <c r="V60" s="148"/>
      <c r="W60" s="148"/>
      <c r="X60" s="148">
        <f t="shared" si="9"/>
        <v>1.7625999999999999</v>
      </c>
      <c r="Y60" s="148">
        <f t="shared" si="9"/>
        <v>1.7166999999999999</v>
      </c>
      <c r="Z60" s="148">
        <f t="shared" si="9"/>
        <v>1.6511</v>
      </c>
      <c r="AA60" s="148">
        <f t="shared" si="9"/>
        <v>1.6266</v>
      </c>
    </row>
    <row r="61" spans="1:27" x14ac:dyDescent="0.2">
      <c r="A61" s="78">
        <v>52</v>
      </c>
      <c r="B61" s="78" t="s">
        <v>447</v>
      </c>
      <c r="C61" s="79">
        <v>44562</v>
      </c>
      <c r="D61" s="79">
        <v>44926</v>
      </c>
      <c r="E61" s="147">
        <v>2972187</v>
      </c>
      <c r="F61" s="147">
        <v>396424</v>
      </c>
      <c r="G61" s="147">
        <v>774643</v>
      </c>
      <c r="H61" s="147">
        <v>1348468</v>
      </c>
      <c r="I61" s="147">
        <v>5853</v>
      </c>
      <c r="J61" s="147">
        <v>14858</v>
      </c>
      <c r="K61" s="147">
        <v>21900</v>
      </c>
      <c r="L61" s="148">
        <v>1.3388</v>
      </c>
      <c r="M61" s="148">
        <v>1.3926000000000001</v>
      </c>
      <c r="N61" s="148">
        <v>1.4151</v>
      </c>
      <c r="O61" s="148">
        <v>1.4677</v>
      </c>
      <c r="P61" s="148">
        <v>1.4737</v>
      </c>
      <c r="Q61" s="148">
        <v>1.4303999999999999</v>
      </c>
      <c r="R61" s="148">
        <v>1.3888</v>
      </c>
      <c r="S61" s="148">
        <f t="shared" si="10"/>
        <v>1.4401999999999999</v>
      </c>
      <c r="T61" s="78">
        <f>VLOOKUP(C61&amp;D61,Documentation!$J$37:$K$52,2,FALSE)</f>
        <v>7</v>
      </c>
      <c r="V61" s="148"/>
      <c r="W61" s="148"/>
      <c r="X61" s="148">
        <f t="shared" si="9"/>
        <v>1.4677</v>
      </c>
      <c r="Y61" s="148">
        <f t="shared" si="9"/>
        <v>1.4737</v>
      </c>
      <c r="Z61" s="148">
        <f t="shared" si="9"/>
        <v>1.4303999999999999</v>
      </c>
      <c r="AA61" s="148">
        <f t="shared" si="9"/>
        <v>1.3888</v>
      </c>
    </row>
    <row r="62" spans="1:27" x14ac:dyDescent="0.2">
      <c r="A62" s="78">
        <v>58</v>
      </c>
      <c r="B62" s="78" t="s">
        <v>42</v>
      </c>
      <c r="C62" s="79">
        <v>44562</v>
      </c>
      <c r="D62" s="79">
        <v>44926</v>
      </c>
      <c r="E62" s="147">
        <v>4100773</v>
      </c>
      <c r="F62" s="147">
        <v>461561</v>
      </c>
      <c r="G62" s="147">
        <v>1478560</v>
      </c>
      <c r="H62" s="147">
        <v>1290506</v>
      </c>
      <c r="I62" s="147">
        <v>19184</v>
      </c>
      <c r="J62" s="147">
        <v>29996</v>
      </c>
      <c r="K62" s="147">
        <v>57305</v>
      </c>
      <c r="L62" s="148">
        <v>1.6259999999999999</v>
      </c>
      <c r="M62" s="148">
        <v>1.5402</v>
      </c>
      <c r="N62" s="148">
        <v>1.5144</v>
      </c>
      <c r="O62" s="148">
        <v>1.5740000000000001</v>
      </c>
      <c r="P62" s="148">
        <v>1.5346</v>
      </c>
      <c r="Q62" s="148">
        <v>1.5503</v>
      </c>
      <c r="R62" s="148">
        <v>1.7695000000000001</v>
      </c>
      <c r="S62" s="148">
        <f t="shared" si="10"/>
        <v>1.6071</v>
      </c>
      <c r="T62" s="78">
        <f>VLOOKUP(C62&amp;D62,Documentation!$J$37:$K$52,2,FALSE)</f>
        <v>7</v>
      </c>
      <c r="V62" s="148"/>
      <c r="W62" s="148"/>
      <c r="X62" s="148">
        <f t="shared" si="9"/>
        <v>1.5740000000000001</v>
      </c>
      <c r="Y62" s="148">
        <f t="shared" si="9"/>
        <v>1.5346</v>
      </c>
      <c r="Z62" s="148">
        <f t="shared" si="9"/>
        <v>1.5503</v>
      </c>
      <c r="AA62" s="148">
        <f t="shared" si="9"/>
        <v>1.7695000000000001</v>
      </c>
    </row>
    <row r="63" spans="1:27" x14ac:dyDescent="0.2">
      <c r="A63" s="78">
        <v>62</v>
      </c>
      <c r="B63" s="78" t="s">
        <v>604</v>
      </c>
      <c r="C63" s="79">
        <v>44593</v>
      </c>
      <c r="D63" s="79">
        <v>44926</v>
      </c>
      <c r="E63" s="147">
        <v>5079845</v>
      </c>
      <c r="F63" s="147">
        <v>572272</v>
      </c>
      <c r="G63" s="147">
        <v>1235429</v>
      </c>
      <c r="H63" s="147">
        <v>1373051</v>
      </c>
      <c r="I63" s="147">
        <v>22269</v>
      </c>
      <c r="J63" s="147">
        <v>33065</v>
      </c>
      <c r="K63" s="147">
        <v>40080</v>
      </c>
      <c r="L63" s="148">
        <v>1.3695999999999999</v>
      </c>
      <c r="M63" s="148">
        <v>1.3693</v>
      </c>
      <c r="N63" s="148">
        <v>1.4025000000000001</v>
      </c>
      <c r="O63" s="148">
        <v>1.4278</v>
      </c>
      <c r="P63" s="148">
        <v>1.4366000000000001</v>
      </c>
      <c r="Q63" s="148">
        <v>1.3895</v>
      </c>
      <c r="R63" s="148">
        <v>1.4242999999999999</v>
      </c>
      <c r="S63" s="148">
        <f t="shared" si="10"/>
        <v>1.4196</v>
      </c>
      <c r="T63" s="78">
        <f>VLOOKUP(C63&amp;D63,Documentation!$J$37:$K$52,2,FALSE)</f>
        <v>7</v>
      </c>
      <c r="V63" s="148"/>
      <c r="W63" s="148"/>
      <c r="X63" s="148">
        <f t="shared" si="9"/>
        <v>1.4278</v>
      </c>
      <c r="Y63" s="148">
        <f t="shared" si="9"/>
        <v>1.4366000000000001</v>
      </c>
      <c r="Z63" s="148">
        <f t="shared" si="9"/>
        <v>1.3895</v>
      </c>
      <c r="AA63" s="148">
        <f t="shared" si="9"/>
        <v>1.4242999999999999</v>
      </c>
    </row>
    <row r="64" spans="1:27" x14ac:dyDescent="0.2">
      <c r="A64" s="78">
        <v>66</v>
      </c>
      <c r="B64" s="78" t="s">
        <v>588</v>
      </c>
      <c r="C64" s="79">
        <v>44562</v>
      </c>
      <c r="D64" s="79">
        <v>44926</v>
      </c>
      <c r="E64" s="147">
        <v>7483974</v>
      </c>
      <c r="F64" s="147">
        <v>709027</v>
      </c>
      <c r="G64" s="147">
        <v>1927114</v>
      </c>
      <c r="H64" s="147">
        <v>2055460</v>
      </c>
      <c r="I64" s="147">
        <v>38473</v>
      </c>
      <c r="J64" s="147">
        <v>56320</v>
      </c>
      <c r="K64" s="147">
        <v>65700</v>
      </c>
      <c r="L64" s="148">
        <v>1.3823000000000001</v>
      </c>
      <c r="M64" s="148">
        <v>1.4625999999999999</v>
      </c>
      <c r="N64" s="148">
        <v>1.4822</v>
      </c>
      <c r="O64" s="148">
        <v>1.5567</v>
      </c>
      <c r="P64" s="148">
        <v>1.5069999999999999</v>
      </c>
      <c r="Q64" s="148">
        <v>1.5008999999999999</v>
      </c>
      <c r="R64" s="148">
        <v>1.4688000000000001</v>
      </c>
      <c r="S64" s="148">
        <f t="shared" si="10"/>
        <v>1.5084</v>
      </c>
      <c r="T64" s="78">
        <f>VLOOKUP(C64&amp;D64,Documentation!$J$37:$K$52,2,FALSE)</f>
        <v>7</v>
      </c>
      <c r="V64" s="148"/>
      <c r="W64" s="148"/>
      <c r="X64" s="148">
        <f t="shared" si="9"/>
        <v>1.5567</v>
      </c>
      <c r="Y64" s="148">
        <f t="shared" si="9"/>
        <v>1.5069999999999999</v>
      </c>
      <c r="Z64" s="148">
        <f t="shared" si="9"/>
        <v>1.5008999999999999</v>
      </c>
      <c r="AA64" s="148">
        <f t="shared" si="9"/>
        <v>1.4688000000000001</v>
      </c>
    </row>
    <row r="65" spans="1:27" x14ac:dyDescent="0.2">
      <c r="A65" s="78">
        <v>70</v>
      </c>
      <c r="B65" s="78" t="s">
        <v>697</v>
      </c>
      <c r="C65" s="79">
        <v>44562</v>
      </c>
      <c r="D65" s="79">
        <v>44926</v>
      </c>
      <c r="E65" s="147">
        <v>7887026</v>
      </c>
      <c r="F65" s="147">
        <v>807801</v>
      </c>
      <c r="G65" s="147">
        <v>1957924</v>
      </c>
      <c r="H65" s="147">
        <v>1809864</v>
      </c>
      <c r="I65" s="147">
        <v>3829</v>
      </c>
      <c r="J65" s="147">
        <v>28102</v>
      </c>
      <c r="K65" s="147">
        <v>40150</v>
      </c>
      <c r="L65" s="148">
        <v>1.2841</v>
      </c>
      <c r="M65" s="148">
        <v>1.3506</v>
      </c>
      <c r="N65" s="148">
        <v>1.3762000000000001</v>
      </c>
      <c r="O65" s="148">
        <v>1.4935</v>
      </c>
      <c r="P65" s="148">
        <v>1.4272</v>
      </c>
      <c r="Q65" s="148">
        <v>1.4731000000000001</v>
      </c>
      <c r="R65" s="148">
        <v>1.4094</v>
      </c>
      <c r="S65" s="148">
        <f t="shared" si="10"/>
        <v>1.4508000000000001</v>
      </c>
      <c r="T65" s="78">
        <f>VLOOKUP(C65&amp;D65,Documentation!$J$37:$K$52,2,FALSE)</f>
        <v>7</v>
      </c>
      <c r="V65" s="148"/>
      <c r="W65" s="148"/>
      <c r="X65" s="148">
        <f t="shared" si="9"/>
        <v>1.4935</v>
      </c>
      <c r="Y65" s="148">
        <f t="shared" si="9"/>
        <v>1.4272</v>
      </c>
      <c r="Z65" s="148">
        <f t="shared" si="9"/>
        <v>1.4731000000000001</v>
      </c>
      <c r="AA65" s="148">
        <f t="shared" ref="AA65:AA76" si="11">+R65</f>
        <v>1.4094</v>
      </c>
    </row>
    <row r="66" spans="1:27" x14ac:dyDescent="0.2">
      <c r="A66" s="78">
        <v>76</v>
      </c>
      <c r="B66" s="78" t="s">
        <v>462</v>
      </c>
      <c r="C66" s="79">
        <v>44562</v>
      </c>
      <c r="D66" s="79">
        <v>44926</v>
      </c>
      <c r="E66" s="147">
        <v>6823859</v>
      </c>
      <c r="F66" s="147">
        <v>892139</v>
      </c>
      <c r="G66" s="147">
        <v>1790249</v>
      </c>
      <c r="H66" s="147">
        <v>1730465</v>
      </c>
      <c r="I66" s="147">
        <v>28242</v>
      </c>
      <c r="J66" s="147">
        <v>42233</v>
      </c>
      <c r="K66" s="147">
        <v>54385</v>
      </c>
      <c r="L66" s="148">
        <v>1.3528</v>
      </c>
      <c r="M66" s="148">
        <v>1.3283</v>
      </c>
      <c r="N66" s="148">
        <v>1.2992999999999999</v>
      </c>
      <c r="O66" s="148">
        <v>1.3064</v>
      </c>
      <c r="P66" s="148">
        <v>1.3103</v>
      </c>
      <c r="Q66" s="148">
        <v>1.3027</v>
      </c>
      <c r="R66" s="148">
        <v>1.3365</v>
      </c>
      <c r="S66" s="148">
        <f t="shared" si="10"/>
        <v>1.3140000000000001</v>
      </c>
      <c r="T66" s="78">
        <f>VLOOKUP(C66&amp;D66,Documentation!$J$37:$K$52,2,FALSE)</f>
        <v>7</v>
      </c>
      <c r="V66" s="148"/>
      <c r="W66" s="148"/>
      <c r="X66" s="148">
        <f t="shared" si="9"/>
        <v>1.3064</v>
      </c>
      <c r="Y66" s="148">
        <f t="shared" si="9"/>
        <v>1.3103</v>
      </c>
      <c r="Z66" s="148">
        <f t="shared" si="9"/>
        <v>1.3027</v>
      </c>
      <c r="AA66" s="148">
        <f t="shared" si="11"/>
        <v>1.3365</v>
      </c>
    </row>
    <row r="67" spans="1:27" x14ac:dyDescent="0.2">
      <c r="A67" s="78">
        <v>86</v>
      </c>
      <c r="B67" s="78" t="s">
        <v>707</v>
      </c>
      <c r="C67" s="79">
        <v>44562</v>
      </c>
      <c r="D67" s="79">
        <v>44926</v>
      </c>
      <c r="E67" s="147">
        <v>5109441</v>
      </c>
      <c r="F67" s="147">
        <v>618115</v>
      </c>
      <c r="G67" s="147">
        <v>1754326</v>
      </c>
      <c r="H67" s="147">
        <v>1563130</v>
      </c>
      <c r="I67" s="147">
        <v>22694</v>
      </c>
      <c r="J67" s="147">
        <v>37561</v>
      </c>
      <c r="K67" s="147">
        <v>51100</v>
      </c>
      <c r="L67" s="148">
        <v>1.3007</v>
      </c>
      <c r="M67" s="148">
        <v>1.2648999999999999</v>
      </c>
      <c r="N67" s="148">
        <v>1.5258</v>
      </c>
      <c r="O67" s="148">
        <v>1.6315</v>
      </c>
      <c r="P67" s="148">
        <v>1.3852</v>
      </c>
      <c r="Q67" s="148">
        <v>1.3859999999999999</v>
      </c>
      <c r="R67" s="148">
        <v>1.431</v>
      </c>
      <c r="S67" s="148">
        <f t="shared" si="10"/>
        <v>1.4583999999999999</v>
      </c>
      <c r="T67" s="78">
        <f>VLOOKUP(C67&amp;D67,Documentation!$J$37:$K$52,2,FALSE)</f>
        <v>7</v>
      </c>
      <c r="V67" s="148"/>
      <c r="W67" s="148"/>
      <c r="X67" s="148">
        <f t="shared" si="9"/>
        <v>1.6315</v>
      </c>
      <c r="Y67" s="148">
        <f t="shared" si="9"/>
        <v>1.3852</v>
      </c>
      <c r="Z67" s="148">
        <f t="shared" si="9"/>
        <v>1.3859999999999999</v>
      </c>
      <c r="AA67" s="148">
        <f t="shared" si="11"/>
        <v>1.431</v>
      </c>
    </row>
    <row r="68" spans="1:27" x14ac:dyDescent="0.2">
      <c r="A68" s="78">
        <v>88</v>
      </c>
      <c r="B68" s="78" t="s">
        <v>544</v>
      </c>
      <c r="C68" s="79">
        <v>44562</v>
      </c>
      <c r="D68" s="79">
        <v>44926</v>
      </c>
      <c r="E68" s="147">
        <v>6805263</v>
      </c>
      <c r="F68" s="147">
        <v>704140</v>
      </c>
      <c r="G68" s="147">
        <v>1616908</v>
      </c>
      <c r="H68" s="147">
        <v>1612770</v>
      </c>
      <c r="I68" s="147">
        <v>28276</v>
      </c>
      <c r="J68" s="147">
        <v>39904</v>
      </c>
      <c r="K68" s="147">
        <v>49640</v>
      </c>
      <c r="L68" s="148">
        <v>1.3494999999999999</v>
      </c>
      <c r="M68" s="148">
        <v>1.3508</v>
      </c>
      <c r="N68" s="148">
        <v>1.4771000000000001</v>
      </c>
      <c r="O68" s="148">
        <v>1.6318999999999999</v>
      </c>
      <c r="P68" s="148">
        <v>1.5767</v>
      </c>
      <c r="Q68" s="148">
        <v>1.5202</v>
      </c>
      <c r="R68" s="148">
        <v>1.4423999999999999</v>
      </c>
      <c r="S68" s="148">
        <f t="shared" si="10"/>
        <v>1.5427999999999999</v>
      </c>
      <c r="T68" s="78">
        <f>VLOOKUP(C68&amp;D68,Documentation!$J$37:$K$52,2,FALSE)</f>
        <v>7</v>
      </c>
      <c r="V68" s="148"/>
      <c r="W68" s="148"/>
      <c r="X68" s="148">
        <f t="shared" si="9"/>
        <v>1.6318999999999999</v>
      </c>
      <c r="Y68" s="148">
        <f t="shared" si="9"/>
        <v>1.5767</v>
      </c>
      <c r="Z68" s="148">
        <f t="shared" si="9"/>
        <v>1.5202</v>
      </c>
      <c r="AA68" s="148">
        <f t="shared" si="11"/>
        <v>1.4423999999999999</v>
      </c>
    </row>
    <row r="69" spans="1:27" x14ac:dyDescent="0.2">
      <c r="A69" s="78">
        <v>90</v>
      </c>
      <c r="B69" s="78" t="s">
        <v>379</v>
      </c>
      <c r="C69" s="79">
        <v>44562</v>
      </c>
      <c r="D69" s="79">
        <v>44926</v>
      </c>
      <c r="E69" s="147">
        <v>2484354</v>
      </c>
      <c r="F69" s="147">
        <v>319264</v>
      </c>
      <c r="G69" s="147">
        <v>873777</v>
      </c>
      <c r="H69" s="147">
        <v>822010</v>
      </c>
      <c r="I69" s="147">
        <v>13841</v>
      </c>
      <c r="J69" s="147">
        <v>18276</v>
      </c>
      <c r="K69" s="147">
        <v>22995</v>
      </c>
      <c r="L69" s="148">
        <v>1.2865</v>
      </c>
      <c r="M69" s="148">
        <v>1.2319</v>
      </c>
      <c r="N69" s="148">
        <v>1.3</v>
      </c>
      <c r="O69" s="148">
        <v>1.3643000000000001</v>
      </c>
      <c r="P69" s="148">
        <v>1.2569999999999999</v>
      </c>
      <c r="Q69" s="148">
        <v>1.2201</v>
      </c>
      <c r="R69" s="148">
        <v>1.2315</v>
      </c>
      <c r="S69" s="148">
        <f t="shared" si="10"/>
        <v>1.2682</v>
      </c>
      <c r="T69" s="78">
        <f>VLOOKUP(C69&amp;D69,Documentation!$J$37:$K$52,2,FALSE)</f>
        <v>7</v>
      </c>
      <c r="V69" s="148"/>
      <c r="W69" s="148"/>
      <c r="X69" s="148">
        <f t="shared" si="9"/>
        <v>1.3643000000000001</v>
      </c>
      <c r="Y69" s="148">
        <f t="shared" si="9"/>
        <v>1.2569999999999999</v>
      </c>
      <c r="Z69" s="148">
        <f t="shared" si="9"/>
        <v>1.2201</v>
      </c>
      <c r="AA69" s="148">
        <f t="shared" si="11"/>
        <v>1.2315</v>
      </c>
    </row>
    <row r="70" spans="1:27" x14ac:dyDescent="0.2">
      <c r="A70" s="78">
        <v>94</v>
      </c>
      <c r="B70" s="78" t="s">
        <v>220</v>
      </c>
      <c r="C70" s="79">
        <v>44562</v>
      </c>
      <c r="D70" s="79">
        <v>44926</v>
      </c>
      <c r="E70" s="147">
        <v>7981157</v>
      </c>
      <c r="F70" s="147">
        <v>979025</v>
      </c>
      <c r="G70" s="147">
        <v>3362062</v>
      </c>
      <c r="H70" s="147">
        <v>3164809</v>
      </c>
      <c r="I70" s="147">
        <v>8574</v>
      </c>
      <c r="J70" s="147">
        <v>33572</v>
      </c>
      <c r="K70" s="147">
        <v>37595</v>
      </c>
      <c r="L70" s="148">
        <v>1.3005</v>
      </c>
      <c r="M70" s="148">
        <v>1.2705</v>
      </c>
      <c r="N70" s="148">
        <v>1.2454000000000001</v>
      </c>
      <c r="O70" s="148">
        <v>1.2516</v>
      </c>
      <c r="P70" s="148">
        <v>1.2722</v>
      </c>
      <c r="Q70" s="148">
        <v>1.2471000000000001</v>
      </c>
      <c r="R70" s="148">
        <v>1.2126999999999999</v>
      </c>
      <c r="S70" s="148">
        <f t="shared" si="10"/>
        <v>1.2459</v>
      </c>
      <c r="T70" s="78">
        <f>VLOOKUP(C70&amp;D70,Documentation!$J$37:$K$52,2,FALSE)</f>
        <v>7</v>
      </c>
      <c r="V70" s="148"/>
      <c r="W70" s="148"/>
      <c r="X70" s="148">
        <f t="shared" si="9"/>
        <v>1.2516</v>
      </c>
      <c r="Y70" s="148">
        <f t="shared" si="9"/>
        <v>1.2722</v>
      </c>
      <c r="Z70" s="148">
        <f t="shared" si="9"/>
        <v>1.2471000000000001</v>
      </c>
      <c r="AA70" s="148">
        <f t="shared" si="11"/>
        <v>1.2126999999999999</v>
      </c>
    </row>
    <row r="71" spans="1:27" x14ac:dyDescent="0.2">
      <c r="A71" s="78">
        <v>98</v>
      </c>
      <c r="B71" s="78" t="s">
        <v>494</v>
      </c>
      <c r="C71" s="79">
        <v>44562</v>
      </c>
      <c r="D71" s="79">
        <v>44926</v>
      </c>
      <c r="E71" s="147">
        <v>8762644</v>
      </c>
      <c r="F71" s="147">
        <v>847827</v>
      </c>
      <c r="G71" s="147">
        <v>2640551</v>
      </c>
      <c r="H71" s="147">
        <v>2341087</v>
      </c>
      <c r="I71" s="147">
        <v>38327</v>
      </c>
      <c r="J71" s="147">
        <v>54013</v>
      </c>
      <c r="K71" s="147">
        <v>56575</v>
      </c>
      <c r="L71" s="148">
        <v>1.7309000000000001</v>
      </c>
      <c r="M71" s="148">
        <v>1.6432</v>
      </c>
      <c r="N71" s="148">
        <v>1.7129000000000001</v>
      </c>
      <c r="O71" s="148">
        <v>1.7965</v>
      </c>
      <c r="P71" s="148">
        <v>1.7275</v>
      </c>
      <c r="Q71" s="148">
        <v>1.7211000000000001</v>
      </c>
      <c r="R71" s="148">
        <v>1.8019000000000001</v>
      </c>
      <c r="S71" s="148">
        <f t="shared" si="10"/>
        <v>1.7618</v>
      </c>
      <c r="T71" s="78">
        <f>VLOOKUP(C71&amp;D71,Documentation!$J$37:$K$52,2,FALSE)</f>
        <v>7</v>
      </c>
      <c r="V71" s="148"/>
      <c r="W71" s="148"/>
      <c r="X71" s="148">
        <f t="shared" ref="X71:AA86" si="12">+O71</f>
        <v>1.7965</v>
      </c>
      <c r="Y71" s="148">
        <f t="shared" si="12"/>
        <v>1.7275</v>
      </c>
      <c r="Z71" s="148">
        <f t="shared" ref="Z71" si="13">+Q71</f>
        <v>1.7211000000000001</v>
      </c>
      <c r="AA71" s="148">
        <f t="shared" si="11"/>
        <v>1.8019000000000001</v>
      </c>
    </row>
    <row r="72" spans="1:27" x14ac:dyDescent="0.2">
      <c r="A72" s="78">
        <v>100</v>
      </c>
      <c r="B72" s="78" t="s">
        <v>546</v>
      </c>
      <c r="C72" s="79">
        <v>44562</v>
      </c>
      <c r="D72" s="79">
        <v>44926</v>
      </c>
      <c r="E72" s="147">
        <v>4172757</v>
      </c>
      <c r="F72" s="147">
        <v>552776</v>
      </c>
      <c r="G72" s="147">
        <v>1292302</v>
      </c>
      <c r="H72" s="147">
        <v>1344060</v>
      </c>
      <c r="I72" s="147">
        <v>23618</v>
      </c>
      <c r="J72" s="147">
        <v>32673</v>
      </c>
      <c r="K72" s="147">
        <v>35770</v>
      </c>
      <c r="L72" s="148">
        <v>1.2769999999999999</v>
      </c>
      <c r="M72" s="148">
        <v>1.2979000000000001</v>
      </c>
      <c r="N72" s="148">
        <v>1.3354999999999999</v>
      </c>
      <c r="O72" s="148">
        <v>1.5053000000000001</v>
      </c>
      <c r="P72" s="148">
        <v>1.4235</v>
      </c>
      <c r="Q72" s="148">
        <v>1.4521999999999999</v>
      </c>
      <c r="R72" s="148">
        <v>1.3900999999999999</v>
      </c>
      <c r="S72" s="148">
        <f t="shared" si="10"/>
        <v>1.4428000000000001</v>
      </c>
      <c r="T72" s="78">
        <f>VLOOKUP(C72&amp;D72,Documentation!$J$37:$K$52,2,FALSE)</f>
        <v>7</v>
      </c>
      <c r="W72" s="148"/>
      <c r="X72" s="148">
        <f t="shared" si="12"/>
        <v>1.5053000000000001</v>
      </c>
      <c r="Y72" s="148">
        <f t="shared" si="12"/>
        <v>1.4235</v>
      </c>
      <c r="Z72" s="148">
        <f t="shared" si="12"/>
        <v>1.4521999999999999</v>
      </c>
      <c r="AA72" s="148">
        <f t="shared" si="11"/>
        <v>1.3900999999999999</v>
      </c>
    </row>
    <row r="73" spans="1:27" x14ac:dyDescent="0.2">
      <c r="A73" s="78">
        <v>102</v>
      </c>
      <c r="B73" s="78" t="s">
        <v>445</v>
      </c>
      <c r="C73" s="79">
        <v>44562</v>
      </c>
      <c r="D73" s="79">
        <v>44926</v>
      </c>
      <c r="E73" s="147">
        <v>5035191</v>
      </c>
      <c r="F73" s="147">
        <v>469937</v>
      </c>
      <c r="G73" s="147">
        <v>1235067</v>
      </c>
      <c r="H73" s="147">
        <v>1211742</v>
      </c>
      <c r="I73" s="147">
        <v>20837</v>
      </c>
      <c r="J73" s="147">
        <v>32233</v>
      </c>
      <c r="K73" s="147">
        <v>35770</v>
      </c>
      <c r="L73" s="148">
        <v>1.3162</v>
      </c>
      <c r="M73" s="148">
        <v>1.2331000000000001</v>
      </c>
      <c r="N73" s="148">
        <v>1.3004</v>
      </c>
      <c r="O73" s="148">
        <v>1.3139000000000001</v>
      </c>
      <c r="P73" s="148">
        <v>1.3344</v>
      </c>
      <c r="Q73" s="148">
        <v>1.3185</v>
      </c>
      <c r="R73" s="148">
        <v>1.2492000000000001</v>
      </c>
      <c r="S73" s="148">
        <f t="shared" si="10"/>
        <v>1.304</v>
      </c>
      <c r="T73" s="78">
        <f>VLOOKUP(C73&amp;D73,Documentation!$J$37:$K$52,2,FALSE)</f>
        <v>7</v>
      </c>
      <c r="W73" s="148"/>
      <c r="X73" s="148">
        <f t="shared" si="12"/>
        <v>1.3139000000000001</v>
      </c>
      <c r="Y73" s="148">
        <f t="shared" si="12"/>
        <v>1.3344</v>
      </c>
      <c r="Z73" s="148">
        <f t="shared" si="12"/>
        <v>1.3185</v>
      </c>
      <c r="AA73" s="148">
        <f t="shared" si="11"/>
        <v>1.2492000000000001</v>
      </c>
    </row>
    <row r="74" spans="1:27" x14ac:dyDescent="0.2">
      <c r="A74" s="78">
        <v>104</v>
      </c>
      <c r="B74" s="78" t="s">
        <v>678</v>
      </c>
      <c r="C74" s="79">
        <v>44562</v>
      </c>
      <c r="D74" s="79">
        <v>44926</v>
      </c>
      <c r="E74" s="147">
        <v>3139267</v>
      </c>
      <c r="F74" s="147">
        <v>410476</v>
      </c>
      <c r="G74" s="147">
        <v>1108729</v>
      </c>
      <c r="H74" s="147">
        <v>1072468</v>
      </c>
      <c r="I74" s="147">
        <v>17219</v>
      </c>
      <c r="J74" s="147">
        <v>25116</v>
      </c>
      <c r="K74" s="147">
        <v>33580</v>
      </c>
      <c r="L74" s="148">
        <v>1.3717999999999999</v>
      </c>
      <c r="M74" s="148">
        <v>1.3915999999999999</v>
      </c>
      <c r="N74" s="148">
        <v>1.3783000000000001</v>
      </c>
      <c r="O74" s="148">
        <v>1.4501999999999999</v>
      </c>
      <c r="P74" s="148">
        <v>1.4529000000000001</v>
      </c>
      <c r="Q74" s="148">
        <v>1.5381</v>
      </c>
      <c r="R74" s="148">
        <v>1.4283999999999999</v>
      </c>
      <c r="S74" s="148">
        <f t="shared" si="10"/>
        <v>1.4674</v>
      </c>
      <c r="T74" s="78">
        <f>VLOOKUP(C74&amp;D74,Documentation!$J$37:$K$52,2,FALSE)</f>
        <v>7</v>
      </c>
      <c r="W74" s="148"/>
      <c r="X74" s="148">
        <f t="shared" si="12"/>
        <v>1.4501999999999999</v>
      </c>
      <c r="Y74" s="148">
        <f t="shared" si="12"/>
        <v>1.4529000000000001</v>
      </c>
      <c r="Z74" s="148">
        <f t="shared" si="12"/>
        <v>1.5381</v>
      </c>
      <c r="AA74" s="148">
        <f t="shared" si="11"/>
        <v>1.4283999999999999</v>
      </c>
    </row>
    <row r="75" spans="1:27" x14ac:dyDescent="0.2">
      <c r="A75" s="78">
        <v>116</v>
      </c>
      <c r="B75" s="78" t="s">
        <v>586</v>
      </c>
      <c r="C75" s="79">
        <v>44562</v>
      </c>
      <c r="D75" s="79">
        <v>44926</v>
      </c>
      <c r="E75" s="147">
        <v>6910655</v>
      </c>
      <c r="F75" s="147">
        <v>641724</v>
      </c>
      <c r="G75" s="147">
        <v>1807000</v>
      </c>
      <c r="H75" s="147">
        <v>2091263</v>
      </c>
      <c r="I75" s="147">
        <v>23414</v>
      </c>
      <c r="J75" s="147">
        <v>40881</v>
      </c>
      <c r="K75" s="147">
        <v>47450</v>
      </c>
      <c r="L75" s="148">
        <v>1.5162</v>
      </c>
      <c r="M75" s="148">
        <v>1.5562</v>
      </c>
      <c r="N75" s="148">
        <v>1.5347999999999999</v>
      </c>
      <c r="O75" s="148">
        <v>1.7249000000000001</v>
      </c>
      <c r="P75" s="148">
        <v>1.7248000000000001</v>
      </c>
      <c r="Q75" s="148">
        <v>1.6476</v>
      </c>
      <c r="R75" s="148">
        <v>1.6288</v>
      </c>
      <c r="S75" s="148">
        <f t="shared" si="10"/>
        <v>1.6815</v>
      </c>
      <c r="T75" s="78">
        <f>VLOOKUP(C75&amp;D75,Documentation!$J$37:$K$52,2,FALSE)</f>
        <v>7</v>
      </c>
      <c r="W75" s="148"/>
      <c r="X75" s="148">
        <f t="shared" si="12"/>
        <v>1.7249000000000001</v>
      </c>
      <c r="Y75" s="148">
        <f t="shared" si="12"/>
        <v>1.7248000000000001</v>
      </c>
      <c r="Z75" s="148">
        <f t="shared" si="12"/>
        <v>1.6476</v>
      </c>
      <c r="AA75" s="148">
        <f t="shared" si="11"/>
        <v>1.6288</v>
      </c>
    </row>
    <row r="76" spans="1:27" x14ac:dyDescent="0.2">
      <c r="A76" s="78">
        <v>118</v>
      </c>
      <c r="B76" s="78" t="s">
        <v>470</v>
      </c>
      <c r="C76" s="79">
        <v>44562</v>
      </c>
      <c r="D76" s="79">
        <v>44926</v>
      </c>
      <c r="E76" s="147">
        <v>7045696</v>
      </c>
      <c r="F76" s="147">
        <v>1355333</v>
      </c>
      <c r="G76" s="147">
        <v>2274921</v>
      </c>
      <c r="H76" s="147">
        <v>2652905</v>
      </c>
      <c r="I76" s="147">
        <v>26081</v>
      </c>
      <c r="J76" s="147">
        <v>51874</v>
      </c>
      <c r="K76" s="147">
        <v>58400</v>
      </c>
      <c r="L76" s="148">
        <v>1.4867999999999999</v>
      </c>
      <c r="M76" s="148">
        <v>1.4652000000000001</v>
      </c>
      <c r="N76" s="148">
        <v>1.5152000000000001</v>
      </c>
      <c r="O76" s="148">
        <v>1.5926</v>
      </c>
      <c r="P76" s="148">
        <v>1.5367</v>
      </c>
      <c r="Q76" s="148">
        <v>1.5623</v>
      </c>
      <c r="R76" s="148">
        <v>1.4964</v>
      </c>
      <c r="S76" s="148">
        <f t="shared" si="10"/>
        <v>1.5469999999999999</v>
      </c>
      <c r="T76" s="78">
        <f>VLOOKUP(C76&amp;D76,Documentation!$J$37:$K$52,2,FALSE)</f>
        <v>7</v>
      </c>
      <c r="X76" s="148">
        <f>+O76</f>
        <v>1.5926</v>
      </c>
      <c r="Y76" s="148">
        <f t="shared" si="12"/>
        <v>1.5367</v>
      </c>
      <c r="Z76" s="148">
        <f t="shared" si="12"/>
        <v>1.5623</v>
      </c>
      <c r="AA76" s="148">
        <f t="shared" si="11"/>
        <v>1.4964</v>
      </c>
    </row>
    <row r="77" spans="1:27" x14ac:dyDescent="0.2">
      <c r="A77" s="78">
        <v>124</v>
      </c>
      <c r="B77" s="78" t="s">
        <v>499</v>
      </c>
      <c r="C77" s="79">
        <v>44562</v>
      </c>
      <c r="D77" s="79">
        <v>44926</v>
      </c>
      <c r="E77" s="147">
        <v>3866928</v>
      </c>
      <c r="F77" s="147">
        <v>402062</v>
      </c>
      <c r="G77" s="147">
        <v>1047279</v>
      </c>
      <c r="H77" s="147">
        <v>1225278</v>
      </c>
      <c r="I77" s="147">
        <v>10619</v>
      </c>
      <c r="J77" s="147">
        <v>22439</v>
      </c>
      <c r="K77" s="147">
        <v>24090</v>
      </c>
      <c r="L77" s="148">
        <v>1.3207</v>
      </c>
      <c r="M77" s="148">
        <v>1.2881</v>
      </c>
      <c r="N77" s="148">
        <v>1.2886</v>
      </c>
      <c r="O77" s="148">
        <v>1.3660000000000001</v>
      </c>
      <c r="P77" s="148">
        <v>1.3137000000000001</v>
      </c>
      <c r="Q77" s="148">
        <v>1.4732000000000001</v>
      </c>
      <c r="R77" s="148">
        <v>1.4247000000000001</v>
      </c>
      <c r="S77" s="148">
        <f t="shared" si="10"/>
        <v>1.3944000000000001</v>
      </c>
      <c r="T77" s="78">
        <f>VLOOKUP(C77&amp;D77,Documentation!$J$37:$K$52,2,FALSE)</f>
        <v>7</v>
      </c>
      <c r="X77" s="148">
        <f>+O77</f>
        <v>1.3660000000000001</v>
      </c>
      <c r="Y77" s="148">
        <f t="shared" si="12"/>
        <v>1.3137000000000001</v>
      </c>
      <c r="Z77" s="148">
        <f t="shared" si="12"/>
        <v>1.4732000000000001</v>
      </c>
      <c r="AA77" s="148">
        <f t="shared" si="12"/>
        <v>1.4247000000000001</v>
      </c>
    </row>
    <row r="78" spans="1:27" x14ac:dyDescent="0.2">
      <c r="A78" s="78">
        <v>126</v>
      </c>
      <c r="B78" s="78" t="s">
        <v>548</v>
      </c>
      <c r="C78" s="79">
        <v>44562</v>
      </c>
      <c r="D78" s="79">
        <v>44926</v>
      </c>
      <c r="E78" s="147">
        <v>5691831</v>
      </c>
      <c r="F78" s="147">
        <v>616143</v>
      </c>
      <c r="G78" s="147">
        <v>1453433</v>
      </c>
      <c r="H78" s="147">
        <v>1565001</v>
      </c>
      <c r="I78" s="147">
        <v>22207</v>
      </c>
      <c r="J78" s="147">
        <v>35615</v>
      </c>
      <c r="K78" s="147">
        <v>43800</v>
      </c>
      <c r="L78" s="148">
        <v>1.4000999999999999</v>
      </c>
      <c r="M78" s="148">
        <v>1.3904000000000001</v>
      </c>
      <c r="N78" s="148">
        <v>1.4692000000000001</v>
      </c>
      <c r="O78" s="148">
        <v>1.6352</v>
      </c>
      <c r="P78" s="148">
        <v>1.3858999999999999</v>
      </c>
      <c r="Q78" s="148">
        <v>1.3979999999999999</v>
      </c>
      <c r="R78" s="148">
        <v>1.4775</v>
      </c>
      <c r="S78" s="148">
        <f t="shared" si="10"/>
        <v>1.4742</v>
      </c>
      <c r="T78" s="78">
        <f>VLOOKUP(C78&amp;D78,Documentation!$J$37:$K$52,2,FALSE)</f>
        <v>7</v>
      </c>
      <c r="X78" s="148">
        <f t="shared" ref="X78:AA142" si="14">+O78</f>
        <v>1.6352</v>
      </c>
      <c r="Y78" s="148">
        <f t="shared" si="12"/>
        <v>1.3858999999999999</v>
      </c>
      <c r="Z78" s="148">
        <f t="shared" si="12"/>
        <v>1.3979999999999999</v>
      </c>
      <c r="AA78" s="148">
        <f t="shared" si="12"/>
        <v>1.4775</v>
      </c>
    </row>
    <row r="79" spans="1:27" x14ac:dyDescent="0.2">
      <c r="A79" s="78">
        <v>130</v>
      </c>
      <c r="B79" s="78" t="s">
        <v>472</v>
      </c>
      <c r="C79" s="79">
        <v>44562</v>
      </c>
      <c r="D79" s="79">
        <v>44926</v>
      </c>
      <c r="E79" s="147">
        <v>7458390</v>
      </c>
      <c r="F79" s="147">
        <v>866423</v>
      </c>
      <c r="G79" s="147">
        <v>2222782</v>
      </c>
      <c r="H79" s="147">
        <v>2095915</v>
      </c>
      <c r="I79" s="147">
        <v>28666</v>
      </c>
      <c r="J79" s="147">
        <v>54942</v>
      </c>
      <c r="K79" s="147">
        <v>57286</v>
      </c>
      <c r="L79" s="148">
        <v>1.3508</v>
      </c>
      <c r="M79" s="148">
        <v>1.3959999999999999</v>
      </c>
      <c r="N79" s="148">
        <v>1.3868</v>
      </c>
      <c r="O79" s="148">
        <v>1.538</v>
      </c>
      <c r="P79" s="148">
        <v>1.4943</v>
      </c>
      <c r="Q79" s="148">
        <v>1.5356000000000001</v>
      </c>
      <c r="R79" s="148">
        <v>1.6059000000000001</v>
      </c>
      <c r="S79" s="148">
        <f t="shared" si="10"/>
        <v>1.5435000000000001</v>
      </c>
      <c r="T79" s="78">
        <f>VLOOKUP(C79&amp;D79,Documentation!$J$37:$K$52,2,FALSE)</f>
        <v>7</v>
      </c>
      <c r="X79" s="148">
        <f t="shared" si="14"/>
        <v>1.538</v>
      </c>
      <c r="Y79" s="148">
        <f t="shared" si="12"/>
        <v>1.4943</v>
      </c>
      <c r="Z79" s="148">
        <f t="shared" si="12"/>
        <v>1.5356000000000001</v>
      </c>
      <c r="AA79" s="148">
        <f t="shared" si="12"/>
        <v>1.6059000000000001</v>
      </c>
    </row>
    <row r="80" spans="1:27" x14ac:dyDescent="0.2">
      <c r="A80" s="78">
        <v>132</v>
      </c>
      <c r="B80" s="78" t="s">
        <v>589</v>
      </c>
      <c r="C80" s="79">
        <v>44562</v>
      </c>
      <c r="D80" s="79">
        <v>44926</v>
      </c>
      <c r="E80" s="147">
        <v>9910012</v>
      </c>
      <c r="F80" s="147">
        <v>777543</v>
      </c>
      <c r="G80" s="147">
        <v>2474379</v>
      </c>
      <c r="H80" s="147">
        <v>1856580</v>
      </c>
      <c r="I80" s="147">
        <v>29467</v>
      </c>
      <c r="J80" s="147">
        <v>57325</v>
      </c>
      <c r="K80" s="147">
        <v>65700</v>
      </c>
      <c r="L80" s="148">
        <v>1.5478000000000001</v>
      </c>
      <c r="M80" s="148">
        <v>1.5212000000000001</v>
      </c>
      <c r="N80" s="148">
        <v>1.5266999999999999</v>
      </c>
      <c r="O80" s="148">
        <v>1.6153999999999999</v>
      </c>
      <c r="P80" s="148">
        <v>1.6178999999999999</v>
      </c>
      <c r="Q80" s="148">
        <v>1.6093</v>
      </c>
      <c r="R80" s="148">
        <v>1.5992</v>
      </c>
      <c r="S80" s="148">
        <f t="shared" si="10"/>
        <v>1.6105</v>
      </c>
      <c r="T80" s="78">
        <f>VLOOKUP(C80&amp;D80,Documentation!$J$37:$K$52,2,FALSE)</f>
        <v>7</v>
      </c>
      <c r="X80" s="148">
        <f t="shared" si="14"/>
        <v>1.6153999999999999</v>
      </c>
      <c r="Y80" s="148">
        <f t="shared" si="12"/>
        <v>1.6178999999999999</v>
      </c>
      <c r="Z80" s="148">
        <f t="shared" si="12"/>
        <v>1.6093</v>
      </c>
      <c r="AA80" s="148">
        <f t="shared" si="12"/>
        <v>1.5992</v>
      </c>
    </row>
    <row r="81" spans="1:27" x14ac:dyDescent="0.2">
      <c r="A81" s="78">
        <v>134</v>
      </c>
      <c r="B81" s="78" t="s">
        <v>581</v>
      </c>
      <c r="C81" s="79">
        <v>44562</v>
      </c>
      <c r="D81" s="79">
        <v>44926</v>
      </c>
      <c r="E81" s="147">
        <v>6890081</v>
      </c>
      <c r="F81" s="147">
        <v>637584</v>
      </c>
      <c r="G81" s="147">
        <v>1704856</v>
      </c>
      <c r="H81" s="147">
        <v>1941171</v>
      </c>
      <c r="I81" s="147">
        <v>29308</v>
      </c>
      <c r="J81" s="147">
        <v>40594</v>
      </c>
      <c r="K81" s="147">
        <v>49275</v>
      </c>
      <c r="L81" s="148">
        <v>1.3879999999999999</v>
      </c>
      <c r="M81" s="148">
        <v>1.3996</v>
      </c>
      <c r="N81" s="148">
        <v>1.3902000000000001</v>
      </c>
      <c r="O81" s="148">
        <v>1.5074000000000001</v>
      </c>
      <c r="P81" s="148">
        <v>1.4044000000000001</v>
      </c>
      <c r="Q81" s="148">
        <v>1.3943000000000001</v>
      </c>
      <c r="R81" s="148">
        <v>1.3661000000000001</v>
      </c>
      <c r="S81" s="148">
        <f t="shared" si="10"/>
        <v>1.4180999999999999</v>
      </c>
      <c r="T81" s="78">
        <f>VLOOKUP(C81&amp;D81,Documentation!$J$37:$K$52,2,FALSE)</f>
        <v>7</v>
      </c>
      <c r="X81" s="148">
        <f t="shared" si="14"/>
        <v>1.5074000000000001</v>
      </c>
      <c r="Y81" s="148">
        <f t="shared" si="12"/>
        <v>1.4044000000000001</v>
      </c>
      <c r="Z81" s="148">
        <f t="shared" si="12"/>
        <v>1.3943000000000001</v>
      </c>
      <c r="AA81" s="148">
        <f t="shared" si="12"/>
        <v>1.3661000000000001</v>
      </c>
    </row>
    <row r="82" spans="1:27" x14ac:dyDescent="0.2">
      <c r="A82" s="78">
        <v>142</v>
      </c>
      <c r="B82" s="78" t="s">
        <v>374</v>
      </c>
      <c r="C82" s="79">
        <v>44562</v>
      </c>
      <c r="D82" s="79">
        <v>44926</v>
      </c>
      <c r="E82" s="147">
        <v>3779161</v>
      </c>
      <c r="F82" s="147">
        <v>431168</v>
      </c>
      <c r="G82" s="147">
        <v>1190800</v>
      </c>
      <c r="H82" s="147">
        <v>1134001</v>
      </c>
      <c r="I82" s="147">
        <v>21350</v>
      </c>
      <c r="J82" s="147">
        <v>32237</v>
      </c>
      <c r="K82" s="147">
        <v>45260</v>
      </c>
      <c r="L82" s="148">
        <v>1.4568000000000001</v>
      </c>
      <c r="M82" s="148">
        <v>1.2950999999999999</v>
      </c>
      <c r="N82" s="148">
        <v>1.2984</v>
      </c>
      <c r="O82" s="148">
        <v>1.31</v>
      </c>
      <c r="P82" s="148">
        <v>1.4519</v>
      </c>
      <c r="Q82" s="148">
        <v>1.5085999999999999</v>
      </c>
      <c r="R82" s="148">
        <v>1.3402000000000001</v>
      </c>
      <c r="S82" s="148">
        <f t="shared" si="10"/>
        <v>1.4027000000000001</v>
      </c>
      <c r="T82" s="78">
        <f>VLOOKUP(C82&amp;D82,Documentation!$J$37:$K$52,2,FALSE)</f>
        <v>7</v>
      </c>
      <c r="X82" s="148">
        <f t="shared" si="14"/>
        <v>1.31</v>
      </c>
      <c r="Y82" s="148">
        <f t="shared" si="12"/>
        <v>1.4519</v>
      </c>
      <c r="Z82" s="148">
        <f t="shared" si="12"/>
        <v>1.5085999999999999</v>
      </c>
      <c r="AA82" s="148">
        <f t="shared" si="12"/>
        <v>1.3402000000000001</v>
      </c>
    </row>
    <row r="83" spans="1:27" x14ac:dyDescent="0.2">
      <c r="A83" s="78">
        <v>144</v>
      </c>
      <c r="B83" s="78" t="s">
        <v>193</v>
      </c>
      <c r="C83" s="79">
        <v>44562</v>
      </c>
      <c r="D83" s="79">
        <v>44926</v>
      </c>
      <c r="E83" s="147">
        <v>7812111</v>
      </c>
      <c r="F83" s="147">
        <v>1079690</v>
      </c>
      <c r="G83" s="147">
        <v>2127817</v>
      </c>
      <c r="H83" s="147">
        <v>2820773</v>
      </c>
      <c r="I83" s="147">
        <v>29239</v>
      </c>
      <c r="J83" s="147">
        <v>48000</v>
      </c>
      <c r="K83" s="147">
        <v>56575</v>
      </c>
      <c r="L83" s="148">
        <v>1.4493</v>
      </c>
      <c r="M83" s="148">
        <v>1.4456</v>
      </c>
      <c r="N83" s="148">
        <v>1.4702999999999999</v>
      </c>
      <c r="O83" s="148">
        <v>1.5245</v>
      </c>
      <c r="P83" s="148">
        <v>1.484</v>
      </c>
      <c r="Q83" s="148">
        <v>1.5106999999999999</v>
      </c>
      <c r="R83" s="148">
        <v>1.5156000000000001</v>
      </c>
      <c r="S83" s="148">
        <f t="shared" si="10"/>
        <v>1.5086999999999999</v>
      </c>
      <c r="T83" s="78">
        <f>VLOOKUP(C83&amp;D83,Documentation!$J$37:$K$52,2,FALSE)</f>
        <v>7</v>
      </c>
      <c r="X83" s="148">
        <f t="shared" si="14"/>
        <v>1.5245</v>
      </c>
      <c r="Y83" s="148">
        <f t="shared" si="12"/>
        <v>1.484</v>
      </c>
      <c r="Z83" s="148">
        <f t="shared" si="12"/>
        <v>1.5106999999999999</v>
      </c>
      <c r="AA83" s="148">
        <f t="shared" si="12"/>
        <v>1.5156000000000001</v>
      </c>
    </row>
    <row r="84" spans="1:27" x14ac:dyDescent="0.2">
      <c r="A84" s="78">
        <v>146</v>
      </c>
      <c r="B84" s="78" t="s">
        <v>176</v>
      </c>
      <c r="C84" s="79">
        <v>44562</v>
      </c>
      <c r="D84" s="79">
        <v>44926</v>
      </c>
      <c r="E84" s="147">
        <v>2951880</v>
      </c>
      <c r="F84" s="147">
        <v>553016</v>
      </c>
      <c r="G84" s="147">
        <v>1254535</v>
      </c>
      <c r="H84" s="147">
        <v>1533327</v>
      </c>
      <c r="I84" s="147">
        <v>16188</v>
      </c>
      <c r="J84" s="147">
        <v>23368</v>
      </c>
      <c r="K84" s="147">
        <v>24090</v>
      </c>
      <c r="L84" s="148">
        <v>1.2213000000000001</v>
      </c>
      <c r="M84" s="148">
        <v>1.2359</v>
      </c>
      <c r="N84" s="148">
        <v>1.2102999999999999</v>
      </c>
      <c r="O84" s="148">
        <v>1.2145999999999999</v>
      </c>
      <c r="P84" s="148">
        <v>1.262</v>
      </c>
      <c r="Q84" s="148">
        <v>1.2367999999999999</v>
      </c>
      <c r="R84" s="148">
        <v>1.2157</v>
      </c>
      <c r="S84" s="148">
        <f t="shared" si="10"/>
        <v>1.2323</v>
      </c>
      <c r="T84" s="78">
        <f>VLOOKUP(C84&amp;D84,Documentation!$J$37:$K$52,2,FALSE)</f>
        <v>7</v>
      </c>
      <c r="X84" s="148">
        <f t="shared" si="14"/>
        <v>1.2145999999999999</v>
      </c>
      <c r="Y84" s="148">
        <f t="shared" si="12"/>
        <v>1.262</v>
      </c>
      <c r="Z84" s="148">
        <f t="shared" si="12"/>
        <v>1.2367999999999999</v>
      </c>
      <c r="AA84" s="148">
        <f t="shared" si="12"/>
        <v>1.2157</v>
      </c>
    </row>
    <row r="85" spans="1:27" x14ac:dyDescent="0.2">
      <c r="A85" s="78">
        <v>150</v>
      </c>
      <c r="B85" s="78" t="s">
        <v>224</v>
      </c>
      <c r="C85" s="79">
        <v>44562</v>
      </c>
      <c r="D85" s="79">
        <v>44926</v>
      </c>
      <c r="E85" s="147">
        <v>7301556</v>
      </c>
      <c r="F85" s="147">
        <v>986052</v>
      </c>
      <c r="G85" s="147">
        <v>1550656</v>
      </c>
      <c r="H85" s="147">
        <v>2162991</v>
      </c>
      <c r="I85" s="147">
        <v>18373</v>
      </c>
      <c r="J85" s="147">
        <v>29231</v>
      </c>
      <c r="K85" s="147">
        <v>36223</v>
      </c>
      <c r="L85" s="148">
        <v>1.339</v>
      </c>
      <c r="M85" s="148">
        <v>1.3109999999999999</v>
      </c>
      <c r="N85" s="148">
        <v>1.3396999999999999</v>
      </c>
      <c r="O85" s="148">
        <v>1.4343999999999999</v>
      </c>
      <c r="P85" s="148">
        <v>1.4044000000000001</v>
      </c>
      <c r="Q85" s="148">
        <v>1.3683000000000001</v>
      </c>
      <c r="R85" s="148">
        <v>1.4789000000000001</v>
      </c>
      <c r="S85" s="148">
        <f t="shared" si="10"/>
        <v>1.4215</v>
      </c>
      <c r="T85" s="78">
        <f>VLOOKUP(C85&amp;D85,Documentation!$J$37:$K$52,2,FALSE)</f>
        <v>7</v>
      </c>
      <c r="X85" s="148">
        <f t="shared" si="14"/>
        <v>1.4343999999999999</v>
      </c>
      <c r="Y85" s="148">
        <f t="shared" si="12"/>
        <v>1.4044000000000001</v>
      </c>
      <c r="Z85" s="148">
        <f t="shared" si="12"/>
        <v>1.3683000000000001</v>
      </c>
      <c r="AA85" s="148">
        <f t="shared" si="12"/>
        <v>1.4789000000000001</v>
      </c>
    </row>
    <row r="86" spans="1:27" x14ac:dyDescent="0.2">
      <c r="A86" s="78">
        <v>152</v>
      </c>
      <c r="B86" s="78" t="s">
        <v>383</v>
      </c>
      <c r="C86" s="79">
        <v>44562</v>
      </c>
      <c r="D86" s="79">
        <v>44926</v>
      </c>
      <c r="E86" s="147">
        <v>3757470</v>
      </c>
      <c r="F86" s="147">
        <v>478886</v>
      </c>
      <c r="G86" s="147">
        <v>1195767</v>
      </c>
      <c r="H86" s="147">
        <v>1234870</v>
      </c>
      <c r="I86" s="147">
        <v>16122</v>
      </c>
      <c r="J86" s="147">
        <v>27349</v>
      </c>
      <c r="K86" s="147">
        <v>35040</v>
      </c>
      <c r="L86" s="148">
        <v>1.3311999999999999</v>
      </c>
      <c r="M86" s="148">
        <v>1.329</v>
      </c>
      <c r="N86" s="148">
        <v>1.292</v>
      </c>
      <c r="O86" s="148">
        <v>1.2405999999999999</v>
      </c>
      <c r="P86" s="148">
        <v>1.2704</v>
      </c>
      <c r="Q86" s="148">
        <v>1.3614999999999999</v>
      </c>
      <c r="R86" s="148">
        <v>1.3068</v>
      </c>
      <c r="S86" s="148">
        <f t="shared" si="10"/>
        <v>1.2948</v>
      </c>
      <c r="T86" s="78">
        <f>VLOOKUP(C86&amp;D86,Documentation!$J$37:$K$52,2,FALSE)</f>
        <v>7</v>
      </c>
      <c r="X86" s="148">
        <f t="shared" si="14"/>
        <v>1.2405999999999999</v>
      </c>
      <c r="Y86" s="148">
        <f t="shared" si="12"/>
        <v>1.2704</v>
      </c>
      <c r="Z86" s="148">
        <f t="shared" si="12"/>
        <v>1.3614999999999999</v>
      </c>
      <c r="AA86" s="148">
        <f t="shared" si="12"/>
        <v>1.3068</v>
      </c>
    </row>
    <row r="87" spans="1:27" x14ac:dyDescent="0.2">
      <c r="A87" s="78">
        <v>154</v>
      </c>
      <c r="B87" s="78" t="s">
        <v>491</v>
      </c>
      <c r="C87" s="79">
        <v>44562</v>
      </c>
      <c r="D87" s="79">
        <v>44926</v>
      </c>
      <c r="E87" s="147">
        <v>5793376</v>
      </c>
      <c r="F87" s="147">
        <v>620062</v>
      </c>
      <c r="G87" s="147">
        <v>1985277</v>
      </c>
      <c r="H87" s="147">
        <v>1833174</v>
      </c>
      <c r="I87" s="147">
        <v>22308</v>
      </c>
      <c r="J87" s="147">
        <v>41456</v>
      </c>
      <c r="K87" s="147">
        <v>50370</v>
      </c>
      <c r="L87" s="148">
        <v>1.4743999999999999</v>
      </c>
      <c r="M87" s="148">
        <v>1.4843</v>
      </c>
      <c r="N87" s="148">
        <v>1.4350000000000001</v>
      </c>
      <c r="O87" s="148">
        <v>1.5813999999999999</v>
      </c>
      <c r="P87" s="148">
        <v>1.4956</v>
      </c>
      <c r="Q87" s="148">
        <v>1.4227000000000001</v>
      </c>
      <c r="R87" s="148">
        <v>1.4696</v>
      </c>
      <c r="S87" s="148">
        <f t="shared" si="10"/>
        <v>1.4923</v>
      </c>
      <c r="T87" s="78">
        <f>VLOOKUP(C87&amp;D87,Documentation!$J$37:$K$52,2,FALSE)</f>
        <v>7</v>
      </c>
      <c r="X87" s="148">
        <f t="shared" si="14"/>
        <v>1.5813999999999999</v>
      </c>
      <c r="Y87" s="148">
        <f t="shared" si="14"/>
        <v>1.4956</v>
      </c>
      <c r="Z87" s="148">
        <f t="shared" si="14"/>
        <v>1.4227000000000001</v>
      </c>
      <c r="AA87" s="148">
        <f t="shared" si="14"/>
        <v>1.4696</v>
      </c>
    </row>
    <row r="88" spans="1:27" x14ac:dyDescent="0.2">
      <c r="A88" s="78">
        <v>156</v>
      </c>
      <c r="B88" s="78" t="s">
        <v>413</v>
      </c>
      <c r="C88" s="79">
        <v>44562</v>
      </c>
      <c r="D88" s="79">
        <v>44926</v>
      </c>
      <c r="E88" s="147">
        <v>6281779</v>
      </c>
      <c r="F88" s="147">
        <v>659606</v>
      </c>
      <c r="G88" s="147">
        <v>1867786</v>
      </c>
      <c r="H88" s="147">
        <v>1789479</v>
      </c>
      <c r="I88" s="147">
        <v>42829</v>
      </c>
      <c r="J88" s="147">
        <v>45458</v>
      </c>
      <c r="K88" s="147">
        <v>60955</v>
      </c>
      <c r="L88" s="148">
        <v>1.0487</v>
      </c>
      <c r="M88" s="148">
        <v>1.0564</v>
      </c>
      <c r="N88" s="148">
        <v>1.0664</v>
      </c>
      <c r="O88" s="148">
        <v>1.0686</v>
      </c>
      <c r="P88" s="148">
        <v>1.0654999999999999</v>
      </c>
      <c r="Q88" s="148">
        <v>1.0640000000000001</v>
      </c>
      <c r="R88" s="148">
        <v>1.0575000000000001</v>
      </c>
      <c r="S88" s="148">
        <f t="shared" si="10"/>
        <v>1.0639000000000001</v>
      </c>
      <c r="T88" s="78">
        <f>VLOOKUP(C88&amp;D88,Documentation!$J$37:$K$52,2,FALSE)</f>
        <v>7</v>
      </c>
      <c r="X88" s="148">
        <f t="shared" si="14"/>
        <v>1.0686</v>
      </c>
      <c r="Y88" s="148">
        <f t="shared" si="14"/>
        <v>1.0654999999999999</v>
      </c>
      <c r="Z88" s="148">
        <f t="shared" si="14"/>
        <v>1.0640000000000001</v>
      </c>
      <c r="AA88" s="148">
        <f t="shared" si="14"/>
        <v>1.0575000000000001</v>
      </c>
    </row>
    <row r="89" spans="1:27" x14ac:dyDescent="0.2">
      <c r="A89" s="78">
        <v>164</v>
      </c>
      <c r="B89" s="78" t="s">
        <v>712</v>
      </c>
      <c r="C89" s="79">
        <v>44562</v>
      </c>
      <c r="D89" s="79">
        <v>44926</v>
      </c>
      <c r="E89" s="147">
        <v>2715897</v>
      </c>
      <c r="F89" s="147">
        <v>349429</v>
      </c>
      <c r="G89" s="147">
        <v>823017</v>
      </c>
      <c r="H89" s="147">
        <v>1009732</v>
      </c>
      <c r="I89" s="147">
        <v>7975</v>
      </c>
      <c r="J89" s="147">
        <v>24216</v>
      </c>
      <c r="K89" s="147">
        <v>27010</v>
      </c>
      <c r="L89" s="148">
        <v>1.3391999999999999</v>
      </c>
      <c r="M89" s="148">
        <v>1.391</v>
      </c>
      <c r="N89" s="148">
        <v>1.4019999999999999</v>
      </c>
      <c r="O89" s="148">
        <v>1.3043</v>
      </c>
      <c r="P89" s="148">
        <v>1.3360000000000001</v>
      </c>
      <c r="Q89" s="148">
        <v>1.4455</v>
      </c>
      <c r="R89" s="148">
        <v>1.3163</v>
      </c>
      <c r="S89" s="148">
        <f t="shared" si="10"/>
        <v>1.3505</v>
      </c>
      <c r="T89" s="78">
        <f>VLOOKUP(C89&amp;D89,Documentation!$J$37:$K$52,2,FALSE)</f>
        <v>7</v>
      </c>
      <c r="X89" s="148">
        <f t="shared" si="14"/>
        <v>1.3043</v>
      </c>
      <c r="Y89" s="148">
        <f t="shared" si="14"/>
        <v>1.3360000000000001</v>
      </c>
      <c r="Z89" s="148">
        <f t="shared" si="14"/>
        <v>1.4455</v>
      </c>
      <c r="AA89" s="148">
        <f t="shared" si="14"/>
        <v>1.3163</v>
      </c>
    </row>
    <row r="90" spans="1:27" x14ac:dyDescent="0.2">
      <c r="A90" s="78">
        <v>168</v>
      </c>
      <c r="B90" s="78" t="s">
        <v>177</v>
      </c>
      <c r="C90" s="79">
        <v>44562</v>
      </c>
      <c r="D90" s="79">
        <v>44926</v>
      </c>
      <c r="E90" s="147">
        <v>6740201</v>
      </c>
      <c r="F90" s="147">
        <v>891987</v>
      </c>
      <c r="G90" s="147">
        <v>1846415</v>
      </c>
      <c r="H90" s="147">
        <v>2058984</v>
      </c>
      <c r="I90" s="147">
        <v>20072</v>
      </c>
      <c r="J90" s="147">
        <v>39895</v>
      </c>
      <c r="K90" s="147">
        <v>42705</v>
      </c>
      <c r="L90" s="148">
        <v>1.4555</v>
      </c>
      <c r="M90" s="148">
        <v>1.2755000000000001</v>
      </c>
      <c r="N90" s="148">
        <v>1.3047</v>
      </c>
      <c r="O90" s="148">
        <v>1.4237</v>
      </c>
      <c r="P90" s="148">
        <v>1.41</v>
      </c>
      <c r="Q90" s="148">
        <v>1.5002</v>
      </c>
      <c r="R90" s="148">
        <v>1.4411</v>
      </c>
      <c r="S90" s="148">
        <f t="shared" si="10"/>
        <v>1.4438</v>
      </c>
      <c r="T90" s="78">
        <f>VLOOKUP(C90&amp;D90,Documentation!$J$37:$K$52,2,FALSE)</f>
        <v>7</v>
      </c>
      <c r="X90" s="148">
        <f t="shared" si="14"/>
        <v>1.4237</v>
      </c>
      <c r="Y90" s="148">
        <f t="shared" si="14"/>
        <v>1.41</v>
      </c>
      <c r="Z90" s="148">
        <f t="shared" si="14"/>
        <v>1.5002</v>
      </c>
      <c r="AA90" s="148">
        <f t="shared" si="14"/>
        <v>1.4411</v>
      </c>
    </row>
    <row r="91" spans="1:27" x14ac:dyDescent="0.2">
      <c r="A91" s="78">
        <v>172</v>
      </c>
      <c r="B91" s="78" t="s">
        <v>709</v>
      </c>
      <c r="C91" s="79">
        <v>44562</v>
      </c>
      <c r="D91" s="79">
        <v>44926</v>
      </c>
      <c r="E91" s="147">
        <v>4641145</v>
      </c>
      <c r="F91" s="147">
        <v>455423</v>
      </c>
      <c r="G91" s="147">
        <v>1240283</v>
      </c>
      <c r="H91" s="147">
        <v>1295745</v>
      </c>
      <c r="I91" s="147">
        <v>26009</v>
      </c>
      <c r="J91" s="147">
        <v>36262</v>
      </c>
      <c r="K91" s="147">
        <v>45625</v>
      </c>
      <c r="L91" s="148">
        <v>1.2771999999999999</v>
      </c>
      <c r="M91" s="148">
        <v>1.2504</v>
      </c>
      <c r="N91" s="148">
        <v>1.2942</v>
      </c>
      <c r="O91" s="148">
        <v>1.3614999999999999</v>
      </c>
      <c r="P91" s="148">
        <v>1.3893</v>
      </c>
      <c r="Q91" s="148">
        <v>1.4359</v>
      </c>
      <c r="R91" s="148">
        <v>1.4799</v>
      </c>
      <c r="S91" s="148">
        <f t="shared" si="10"/>
        <v>1.4167000000000001</v>
      </c>
      <c r="T91" s="78">
        <f>VLOOKUP(C91&amp;D91,Documentation!$J$37:$K$52,2,FALSE)</f>
        <v>7</v>
      </c>
      <c r="X91" s="148">
        <f t="shared" si="14"/>
        <v>1.3614999999999999</v>
      </c>
      <c r="Y91" s="148">
        <f t="shared" si="14"/>
        <v>1.3893</v>
      </c>
      <c r="Z91" s="148">
        <f t="shared" si="14"/>
        <v>1.4359</v>
      </c>
      <c r="AA91" s="148">
        <f t="shared" si="14"/>
        <v>1.4799</v>
      </c>
    </row>
    <row r="92" spans="1:27" x14ac:dyDescent="0.2">
      <c r="A92" s="78">
        <v>176</v>
      </c>
      <c r="B92" s="78" t="s">
        <v>415</v>
      </c>
      <c r="C92" s="79">
        <v>44562</v>
      </c>
      <c r="D92" s="79">
        <v>44926</v>
      </c>
      <c r="E92" s="147">
        <v>4969479</v>
      </c>
      <c r="F92" s="147">
        <v>784689</v>
      </c>
      <c r="G92" s="147">
        <v>1391504</v>
      </c>
      <c r="H92" s="147">
        <v>1563290</v>
      </c>
      <c r="I92" s="147">
        <v>26899</v>
      </c>
      <c r="J92" s="147">
        <v>37929</v>
      </c>
      <c r="K92" s="147">
        <v>44530</v>
      </c>
      <c r="L92" s="148">
        <v>1.3652</v>
      </c>
      <c r="M92" s="148">
        <v>1.2905</v>
      </c>
      <c r="N92" s="148">
        <v>1.2883</v>
      </c>
      <c r="O92" s="148">
        <v>1.3895999999999999</v>
      </c>
      <c r="P92" s="148">
        <v>1.3368</v>
      </c>
      <c r="Q92" s="148">
        <v>1.3433999999999999</v>
      </c>
      <c r="R92" s="148">
        <v>1.3472999999999999</v>
      </c>
      <c r="S92" s="148">
        <f t="shared" si="10"/>
        <v>1.3543000000000001</v>
      </c>
      <c r="T92" s="78">
        <f>VLOOKUP(C92&amp;D92,Documentation!$J$37:$K$52,2,FALSE)</f>
        <v>7</v>
      </c>
      <c r="X92" s="148">
        <f t="shared" si="14"/>
        <v>1.3895999999999999</v>
      </c>
      <c r="Y92" s="148">
        <f t="shared" si="14"/>
        <v>1.3368</v>
      </c>
      <c r="Z92" s="148">
        <f t="shared" si="14"/>
        <v>1.3433999999999999</v>
      </c>
      <c r="AA92" s="148">
        <f t="shared" si="14"/>
        <v>1.3472999999999999</v>
      </c>
    </row>
    <row r="93" spans="1:27" x14ac:dyDescent="0.2">
      <c r="A93" s="78">
        <v>178</v>
      </c>
      <c r="B93" s="78" t="s">
        <v>185</v>
      </c>
      <c r="C93" s="79">
        <v>44562</v>
      </c>
      <c r="D93" s="79">
        <v>44926</v>
      </c>
      <c r="E93" s="147">
        <v>8915415</v>
      </c>
      <c r="F93" s="147">
        <v>1128431</v>
      </c>
      <c r="G93" s="147">
        <v>2091091</v>
      </c>
      <c r="H93" s="147">
        <v>2788733</v>
      </c>
      <c r="I93" s="147">
        <v>37095</v>
      </c>
      <c r="J93" s="147">
        <v>50482</v>
      </c>
      <c r="K93" s="147">
        <v>58400</v>
      </c>
      <c r="L93" s="148">
        <v>1.4406000000000001</v>
      </c>
      <c r="M93" s="148">
        <v>1.3748</v>
      </c>
      <c r="N93" s="148">
        <v>1.3495999999999999</v>
      </c>
      <c r="O93" s="148">
        <v>1.4216</v>
      </c>
      <c r="P93" s="148">
        <v>1.363</v>
      </c>
      <c r="Q93" s="148">
        <v>1.3942000000000001</v>
      </c>
      <c r="R93" s="148">
        <v>1.4092</v>
      </c>
      <c r="S93" s="148">
        <f t="shared" si="10"/>
        <v>1.397</v>
      </c>
      <c r="T93" s="78">
        <f>VLOOKUP(C93&amp;D93,Documentation!$J$37:$K$52,2,FALSE)</f>
        <v>7</v>
      </c>
      <c r="X93" s="148">
        <f t="shared" si="14"/>
        <v>1.4216</v>
      </c>
      <c r="Y93" s="148">
        <f t="shared" si="14"/>
        <v>1.363</v>
      </c>
      <c r="Z93" s="148">
        <f t="shared" si="14"/>
        <v>1.3942000000000001</v>
      </c>
      <c r="AA93" s="148">
        <f t="shared" si="14"/>
        <v>1.4092</v>
      </c>
    </row>
    <row r="94" spans="1:27" x14ac:dyDescent="0.2">
      <c r="A94" s="78">
        <v>182</v>
      </c>
      <c r="B94" s="78" t="s">
        <v>219</v>
      </c>
      <c r="C94" s="79">
        <v>44562</v>
      </c>
      <c r="D94" s="79">
        <v>44926</v>
      </c>
      <c r="E94" s="147">
        <v>8027111</v>
      </c>
      <c r="F94" s="147">
        <v>1111424</v>
      </c>
      <c r="G94" s="147">
        <v>2354712</v>
      </c>
      <c r="H94" s="147">
        <v>2803367</v>
      </c>
      <c r="I94" s="147">
        <v>35307</v>
      </c>
      <c r="J94" s="147">
        <v>49974</v>
      </c>
      <c r="K94" s="147">
        <v>60955</v>
      </c>
      <c r="L94" s="148">
        <v>1.4469000000000001</v>
      </c>
      <c r="M94" s="148">
        <v>1.4624999999999999</v>
      </c>
      <c r="N94" s="148">
        <v>1.4714</v>
      </c>
      <c r="O94" s="148">
        <v>1.4741</v>
      </c>
      <c r="P94" s="148">
        <v>1.4990000000000001</v>
      </c>
      <c r="Q94" s="148">
        <v>1.5031000000000001</v>
      </c>
      <c r="R94" s="148">
        <v>1.5258</v>
      </c>
      <c r="S94" s="148">
        <f t="shared" si="10"/>
        <v>1.5004999999999999</v>
      </c>
      <c r="T94" s="78">
        <f>VLOOKUP(C94&amp;D94,Documentation!$J$37:$K$52,2,FALSE)</f>
        <v>7</v>
      </c>
      <c r="X94" s="148">
        <f t="shared" si="14"/>
        <v>1.4741</v>
      </c>
      <c r="Y94" s="148">
        <f t="shared" si="14"/>
        <v>1.4990000000000001</v>
      </c>
      <c r="Z94" s="148">
        <f t="shared" si="14"/>
        <v>1.5031000000000001</v>
      </c>
      <c r="AA94" s="148">
        <f t="shared" si="14"/>
        <v>1.5258</v>
      </c>
    </row>
    <row r="95" spans="1:27" x14ac:dyDescent="0.2">
      <c r="A95" s="78">
        <v>184</v>
      </c>
      <c r="B95" s="78" t="s">
        <v>175</v>
      </c>
      <c r="C95" s="79">
        <v>44562</v>
      </c>
      <c r="D95" s="79">
        <v>44926</v>
      </c>
      <c r="E95" s="147">
        <v>10071865</v>
      </c>
      <c r="F95" s="147">
        <v>1122150</v>
      </c>
      <c r="G95" s="147">
        <v>2359993</v>
      </c>
      <c r="H95" s="147">
        <v>2901705</v>
      </c>
      <c r="I95" s="147">
        <v>24010</v>
      </c>
      <c r="J95" s="147">
        <v>48167</v>
      </c>
      <c r="K95" s="147">
        <v>55480</v>
      </c>
      <c r="L95" s="148">
        <v>1.4461999999999999</v>
      </c>
      <c r="M95" s="148">
        <v>1.4708000000000001</v>
      </c>
      <c r="N95" s="148">
        <v>1.4543999999999999</v>
      </c>
      <c r="O95" s="148">
        <v>1.4656</v>
      </c>
      <c r="P95" s="148">
        <v>1.4762</v>
      </c>
      <c r="Q95" s="148">
        <v>1.5122</v>
      </c>
      <c r="R95" s="148">
        <v>1.5036</v>
      </c>
      <c r="S95" s="148">
        <f t="shared" si="10"/>
        <v>1.4894000000000001</v>
      </c>
      <c r="T95" s="78">
        <f>VLOOKUP(C95&amp;D95,Documentation!$J$37:$K$52,2,FALSE)</f>
        <v>7</v>
      </c>
      <c r="X95" s="148">
        <f t="shared" si="14"/>
        <v>1.4656</v>
      </c>
      <c r="Y95" s="148">
        <f t="shared" si="14"/>
        <v>1.4762</v>
      </c>
      <c r="Z95" s="148">
        <f t="shared" si="14"/>
        <v>1.5122</v>
      </c>
      <c r="AA95" s="148">
        <f t="shared" si="14"/>
        <v>1.5036</v>
      </c>
    </row>
    <row r="96" spans="1:27" x14ac:dyDescent="0.2">
      <c r="A96" s="78">
        <v>186</v>
      </c>
      <c r="B96" s="78" t="s">
        <v>44</v>
      </c>
      <c r="C96" s="79">
        <v>44562</v>
      </c>
      <c r="D96" s="79">
        <v>44926</v>
      </c>
      <c r="E96" s="147">
        <v>11804642</v>
      </c>
      <c r="F96" s="147">
        <v>1054456</v>
      </c>
      <c r="G96" s="147">
        <v>3307155</v>
      </c>
      <c r="H96" s="147">
        <v>3071418</v>
      </c>
      <c r="I96" s="147">
        <v>29505</v>
      </c>
      <c r="J96" s="147">
        <v>45129</v>
      </c>
      <c r="K96" s="147">
        <v>54020</v>
      </c>
      <c r="L96" s="148">
        <v>1.9366000000000001</v>
      </c>
      <c r="M96" s="148">
        <v>1.8827</v>
      </c>
      <c r="N96" s="148">
        <v>1.873</v>
      </c>
      <c r="O96" s="148">
        <v>1.9741</v>
      </c>
      <c r="P96" s="148">
        <v>1.9262999999999999</v>
      </c>
      <c r="Q96" s="148">
        <v>1.8992</v>
      </c>
      <c r="R96" s="148">
        <v>1.8141</v>
      </c>
      <c r="S96" s="148">
        <f t="shared" si="10"/>
        <v>1.9034</v>
      </c>
      <c r="T96" s="78">
        <f>VLOOKUP(C96&amp;D96,Documentation!$J$37:$K$52,2,FALSE)</f>
        <v>7</v>
      </c>
      <c r="X96" s="148">
        <f t="shared" si="14"/>
        <v>1.9741</v>
      </c>
      <c r="Y96" s="148">
        <f t="shared" si="14"/>
        <v>1.9262999999999999</v>
      </c>
      <c r="Z96" s="148">
        <f t="shared" si="14"/>
        <v>1.8992</v>
      </c>
      <c r="AA96" s="148">
        <f t="shared" si="14"/>
        <v>1.8141</v>
      </c>
    </row>
    <row r="97" spans="1:27" x14ac:dyDescent="0.2">
      <c r="A97" s="78">
        <v>190</v>
      </c>
      <c r="B97" s="78" t="s">
        <v>376</v>
      </c>
      <c r="C97" s="79">
        <v>44562</v>
      </c>
      <c r="D97" s="79">
        <v>44926</v>
      </c>
      <c r="E97" s="147">
        <v>7557065</v>
      </c>
      <c r="F97" s="147">
        <v>991492</v>
      </c>
      <c r="G97" s="147">
        <v>2218681</v>
      </c>
      <c r="H97" s="147">
        <v>2604359</v>
      </c>
      <c r="I97" s="147">
        <v>34636</v>
      </c>
      <c r="J97" s="147">
        <v>46753</v>
      </c>
      <c r="K97" s="147">
        <v>51465</v>
      </c>
      <c r="L97" s="148">
        <v>1.3784000000000001</v>
      </c>
      <c r="M97" s="148">
        <v>1.3681000000000001</v>
      </c>
      <c r="N97" s="148">
        <v>1.3707</v>
      </c>
      <c r="O97" s="148">
        <v>1.3989</v>
      </c>
      <c r="P97" s="148">
        <v>1.3783000000000001</v>
      </c>
      <c r="Q97" s="148">
        <v>1.4361999999999999</v>
      </c>
      <c r="R97" s="148">
        <v>1.4510000000000001</v>
      </c>
      <c r="S97" s="148">
        <f t="shared" si="10"/>
        <v>1.4160999999999999</v>
      </c>
      <c r="T97" s="78">
        <f>VLOOKUP(C97&amp;D97,Documentation!$J$37:$K$52,2,FALSE)</f>
        <v>7</v>
      </c>
      <c r="X97" s="148">
        <f t="shared" si="14"/>
        <v>1.3989</v>
      </c>
      <c r="Y97" s="148">
        <f t="shared" si="14"/>
        <v>1.3783000000000001</v>
      </c>
      <c r="Z97" s="148">
        <f t="shared" si="14"/>
        <v>1.4361999999999999</v>
      </c>
      <c r="AA97" s="148">
        <f t="shared" si="14"/>
        <v>1.4510000000000001</v>
      </c>
    </row>
    <row r="98" spans="1:27" x14ac:dyDescent="0.2">
      <c r="A98" s="78">
        <v>192</v>
      </c>
      <c r="B98" s="78" t="s">
        <v>39</v>
      </c>
      <c r="C98" s="79">
        <v>44562</v>
      </c>
      <c r="D98" s="79">
        <v>44926</v>
      </c>
      <c r="E98" s="147">
        <v>12962792</v>
      </c>
      <c r="F98" s="147">
        <v>1344507</v>
      </c>
      <c r="G98" s="147">
        <v>3052837</v>
      </c>
      <c r="H98" s="147">
        <v>3534793</v>
      </c>
      <c r="I98" s="147">
        <v>36053</v>
      </c>
      <c r="J98" s="147">
        <v>54650</v>
      </c>
      <c r="K98" s="147">
        <v>65700</v>
      </c>
      <c r="L98" s="148">
        <v>2.0222000000000002</v>
      </c>
      <c r="M98" s="148">
        <v>2.0206</v>
      </c>
      <c r="N98" s="148">
        <v>2.0566</v>
      </c>
      <c r="O98" s="148">
        <v>2.0266999999999999</v>
      </c>
      <c r="P98" s="148">
        <v>2.0076999999999998</v>
      </c>
      <c r="Q98" s="148">
        <v>1.9579</v>
      </c>
      <c r="R98" s="148">
        <v>1.8841000000000001</v>
      </c>
      <c r="S98" s="148">
        <f t="shared" si="10"/>
        <v>1.9691000000000001</v>
      </c>
      <c r="T98" s="78">
        <f>VLOOKUP(C98&amp;D98,Documentation!$J$37:$K$52,2,FALSE)</f>
        <v>7</v>
      </c>
      <c r="X98" s="148">
        <f t="shared" si="14"/>
        <v>2.0266999999999999</v>
      </c>
      <c r="Y98" s="148">
        <f t="shared" si="14"/>
        <v>2.0076999999999998</v>
      </c>
      <c r="Z98" s="148">
        <f t="shared" si="14"/>
        <v>1.9579</v>
      </c>
      <c r="AA98" s="148">
        <f t="shared" si="14"/>
        <v>1.8841000000000001</v>
      </c>
    </row>
    <row r="99" spans="1:27" x14ac:dyDescent="0.2">
      <c r="A99" s="78">
        <v>194</v>
      </c>
      <c r="B99" s="78" t="s">
        <v>187</v>
      </c>
      <c r="C99" s="79">
        <v>44562</v>
      </c>
      <c r="D99" s="79">
        <v>44926</v>
      </c>
      <c r="E99" s="147">
        <v>6372338</v>
      </c>
      <c r="F99" s="147">
        <v>1034994</v>
      </c>
      <c r="G99" s="147">
        <v>2344910</v>
      </c>
      <c r="H99" s="147">
        <v>2716399</v>
      </c>
      <c r="I99" s="147">
        <v>33765</v>
      </c>
      <c r="J99" s="147">
        <v>42039</v>
      </c>
      <c r="K99" s="147">
        <v>54020</v>
      </c>
      <c r="L99" s="148">
        <v>1.5620000000000001</v>
      </c>
      <c r="M99" s="148">
        <v>1.4459</v>
      </c>
      <c r="N99" s="148">
        <v>1.4227000000000001</v>
      </c>
      <c r="O99" s="148">
        <v>1.4734</v>
      </c>
      <c r="P99" s="148">
        <v>1.4172</v>
      </c>
      <c r="Q99" s="148">
        <v>1.4215</v>
      </c>
      <c r="R99" s="148">
        <v>1.4893000000000001</v>
      </c>
      <c r="S99" s="148">
        <f t="shared" si="10"/>
        <v>1.4503999999999999</v>
      </c>
      <c r="T99" s="78">
        <f>VLOOKUP(C99&amp;D99,Documentation!$J$37:$K$52,2,FALSE)</f>
        <v>7</v>
      </c>
      <c r="X99" s="148">
        <f t="shared" si="14"/>
        <v>1.4734</v>
      </c>
      <c r="Y99" s="148">
        <f t="shared" si="14"/>
        <v>1.4172</v>
      </c>
      <c r="Z99" s="148">
        <f t="shared" si="14"/>
        <v>1.4215</v>
      </c>
      <c r="AA99" s="148">
        <f t="shared" si="14"/>
        <v>1.4893000000000001</v>
      </c>
    </row>
    <row r="100" spans="1:27" x14ac:dyDescent="0.2">
      <c r="A100" s="78">
        <v>198</v>
      </c>
      <c r="B100" s="78" t="s">
        <v>551</v>
      </c>
      <c r="C100" s="79">
        <v>44562</v>
      </c>
      <c r="D100" s="79">
        <v>44926</v>
      </c>
      <c r="E100" s="147">
        <v>6773151</v>
      </c>
      <c r="F100" s="147">
        <v>581156</v>
      </c>
      <c r="G100" s="147">
        <v>1638815</v>
      </c>
      <c r="H100" s="147">
        <v>1970872</v>
      </c>
      <c r="I100" s="147">
        <v>26609</v>
      </c>
      <c r="J100" s="147">
        <v>39732</v>
      </c>
      <c r="K100" s="147">
        <v>45260</v>
      </c>
      <c r="L100" s="148">
        <v>1.381</v>
      </c>
      <c r="M100" s="148">
        <v>1.4184000000000001</v>
      </c>
      <c r="N100" s="148">
        <v>1.3835</v>
      </c>
      <c r="O100" s="148">
        <v>1.5804</v>
      </c>
      <c r="P100" s="148">
        <v>1.5632999999999999</v>
      </c>
      <c r="Q100" s="148">
        <v>1.5282</v>
      </c>
      <c r="R100" s="148">
        <v>1.5626</v>
      </c>
      <c r="S100" s="148">
        <f t="shared" si="10"/>
        <v>1.5586</v>
      </c>
      <c r="T100" s="78">
        <f>VLOOKUP(C100&amp;D100,Documentation!$J$37:$K$52,2,FALSE)</f>
        <v>7</v>
      </c>
      <c r="X100" s="148">
        <f t="shared" si="14"/>
        <v>1.5804</v>
      </c>
      <c r="Y100" s="148">
        <f t="shared" si="14"/>
        <v>1.5632999999999999</v>
      </c>
      <c r="Z100" s="148">
        <f t="shared" si="14"/>
        <v>1.5282</v>
      </c>
      <c r="AA100" s="148">
        <f t="shared" si="14"/>
        <v>1.5626</v>
      </c>
    </row>
    <row r="101" spans="1:27" x14ac:dyDescent="0.2">
      <c r="A101" s="78">
        <v>204</v>
      </c>
      <c r="B101" s="78" t="s">
        <v>181</v>
      </c>
      <c r="C101" s="79">
        <v>44562</v>
      </c>
      <c r="D101" s="79">
        <v>44926</v>
      </c>
      <c r="E101" s="147">
        <v>1726446</v>
      </c>
      <c r="F101" s="147">
        <v>300355</v>
      </c>
      <c r="G101" s="147">
        <v>496520</v>
      </c>
      <c r="H101" s="147">
        <v>477290</v>
      </c>
      <c r="I101" s="147">
        <v>2459</v>
      </c>
      <c r="J101" s="147">
        <v>7247</v>
      </c>
      <c r="K101" s="147">
        <v>11315</v>
      </c>
      <c r="L101" s="148">
        <v>1.4504999999999999</v>
      </c>
      <c r="M101" s="148">
        <v>1.5671999999999999</v>
      </c>
      <c r="N101" s="148">
        <v>1.4842</v>
      </c>
      <c r="O101" s="148">
        <v>1.6505000000000001</v>
      </c>
      <c r="P101" s="148">
        <v>1.5234000000000001</v>
      </c>
      <c r="Q101" s="148">
        <v>1.2814000000000001</v>
      </c>
      <c r="R101" s="148">
        <v>1.3399000000000001</v>
      </c>
      <c r="S101" s="148">
        <f t="shared" si="10"/>
        <v>1.4488000000000001</v>
      </c>
      <c r="T101" s="78">
        <f>VLOOKUP(C101&amp;D101,Documentation!$J$37:$K$52,2,FALSE)</f>
        <v>7</v>
      </c>
      <c r="X101" s="148">
        <f t="shared" si="14"/>
        <v>1.6505000000000001</v>
      </c>
      <c r="Y101" s="148">
        <f t="shared" si="14"/>
        <v>1.5234000000000001</v>
      </c>
      <c r="Z101" s="148">
        <f t="shared" si="14"/>
        <v>1.2814000000000001</v>
      </c>
      <c r="AA101" s="148">
        <f t="shared" si="14"/>
        <v>1.3399000000000001</v>
      </c>
    </row>
    <row r="102" spans="1:27" x14ac:dyDescent="0.2">
      <c r="A102" s="78">
        <v>208</v>
      </c>
      <c r="B102" s="78" t="s">
        <v>367</v>
      </c>
      <c r="C102" s="79">
        <v>44562</v>
      </c>
      <c r="D102" s="79">
        <v>44926</v>
      </c>
      <c r="E102" s="147">
        <v>7839293</v>
      </c>
      <c r="F102" s="147">
        <v>1068147</v>
      </c>
      <c r="G102" s="147">
        <v>2416689</v>
      </c>
      <c r="H102" s="147">
        <v>2597042</v>
      </c>
      <c r="I102" s="147">
        <v>31435</v>
      </c>
      <c r="J102" s="147">
        <v>44823</v>
      </c>
      <c r="K102" s="147">
        <v>53290</v>
      </c>
      <c r="L102" s="148">
        <v>1.3354999999999999</v>
      </c>
      <c r="M102" s="148">
        <v>1.3168</v>
      </c>
      <c r="N102" s="148">
        <v>1.3575999999999999</v>
      </c>
      <c r="O102" s="148">
        <v>1.4558</v>
      </c>
      <c r="P102" s="148">
        <v>1.3677999999999999</v>
      </c>
      <c r="Q102" s="148">
        <v>1.3622000000000001</v>
      </c>
      <c r="R102" s="148">
        <v>1.3686</v>
      </c>
      <c r="S102" s="148">
        <f t="shared" si="10"/>
        <v>1.3886000000000001</v>
      </c>
      <c r="T102" s="78">
        <f>VLOOKUP(C102&amp;D102,Documentation!$J$37:$K$52,2,FALSE)</f>
        <v>7</v>
      </c>
      <c r="X102" s="148">
        <f t="shared" si="14"/>
        <v>1.4558</v>
      </c>
      <c r="Y102" s="148">
        <f t="shared" si="14"/>
        <v>1.3677999999999999</v>
      </c>
      <c r="Z102" s="148">
        <f t="shared" si="14"/>
        <v>1.3622000000000001</v>
      </c>
      <c r="AA102" s="148">
        <f t="shared" si="14"/>
        <v>1.3686</v>
      </c>
    </row>
    <row r="103" spans="1:27" x14ac:dyDescent="0.2">
      <c r="A103" s="78">
        <v>218</v>
      </c>
      <c r="B103" s="78" t="s">
        <v>195</v>
      </c>
      <c r="C103" s="79">
        <v>44562</v>
      </c>
      <c r="D103" s="79">
        <v>44926</v>
      </c>
      <c r="E103" s="147">
        <v>5689818</v>
      </c>
      <c r="F103" s="147">
        <v>662030</v>
      </c>
      <c r="G103" s="147">
        <v>1592599</v>
      </c>
      <c r="H103" s="147">
        <v>2045711</v>
      </c>
      <c r="I103" s="147">
        <v>23595</v>
      </c>
      <c r="J103" s="147">
        <v>36172</v>
      </c>
      <c r="K103" s="147">
        <v>41245</v>
      </c>
      <c r="L103" s="148">
        <v>1.3016000000000001</v>
      </c>
      <c r="M103" s="148">
        <v>1.3277000000000001</v>
      </c>
      <c r="N103" s="148">
        <v>1.3344</v>
      </c>
      <c r="O103" s="148">
        <v>1.3452</v>
      </c>
      <c r="P103" s="148">
        <v>1.3046</v>
      </c>
      <c r="Q103" s="148">
        <v>1.3638999999999999</v>
      </c>
      <c r="R103" s="148">
        <v>1.3703000000000001</v>
      </c>
      <c r="S103" s="148">
        <f t="shared" si="10"/>
        <v>1.3460000000000001</v>
      </c>
      <c r="T103" s="78">
        <f>VLOOKUP(C103&amp;D103,Documentation!$J$37:$K$52,2,FALSE)</f>
        <v>7</v>
      </c>
      <c r="X103" s="148">
        <f t="shared" si="14"/>
        <v>1.3452</v>
      </c>
      <c r="Y103" s="148">
        <f t="shared" si="14"/>
        <v>1.3046</v>
      </c>
      <c r="Z103" s="148">
        <f t="shared" si="14"/>
        <v>1.3638999999999999</v>
      </c>
      <c r="AA103" s="148">
        <f t="shared" si="14"/>
        <v>1.3703000000000001</v>
      </c>
    </row>
    <row r="104" spans="1:27" x14ac:dyDescent="0.2">
      <c r="A104" s="78">
        <v>220</v>
      </c>
      <c r="B104" s="78" t="s">
        <v>198</v>
      </c>
      <c r="C104" s="79">
        <v>44562</v>
      </c>
      <c r="D104" s="79">
        <v>44926</v>
      </c>
      <c r="E104" s="147">
        <v>7239308</v>
      </c>
      <c r="F104" s="147">
        <v>938409</v>
      </c>
      <c r="G104" s="147">
        <v>2352442</v>
      </c>
      <c r="H104" s="147">
        <v>2557890</v>
      </c>
      <c r="I104" s="147">
        <v>31559</v>
      </c>
      <c r="J104" s="147">
        <v>44233</v>
      </c>
      <c r="K104" s="147">
        <v>50005</v>
      </c>
      <c r="L104" s="148">
        <v>1.3948</v>
      </c>
      <c r="M104" s="148">
        <v>1.3996</v>
      </c>
      <c r="N104" s="148">
        <v>1.3979999999999999</v>
      </c>
      <c r="O104" s="148">
        <v>1.5399</v>
      </c>
      <c r="P104" s="148">
        <v>1.3673999999999999</v>
      </c>
      <c r="Q104" s="148">
        <v>1.3613</v>
      </c>
      <c r="R104" s="148">
        <v>1.4799</v>
      </c>
      <c r="S104" s="148">
        <f t="shared" si="10"/>
        <v>1.4371</v>
      </c>
      <c r="T104" s="78">
        <f>VLOOKUP(C104&amp;D104,Documentation!$J$37:$K$52,2,FALSE)</f>
        <v>7</v>
      </c>
      <c r="X104" s="148">
        <f t="shared" si="14"/>
        <v>1.5399</v>
      </c>
      <c r="Y104" s="148">
        <f t="shared" si="14"/>
        <v>1.3673999999999999</v>
      </c>
      <c r="Z104" s="148">
        <f t="shared" si="14"/>
        <v>1.3613</v>
      </c>
      <c r="AA104" s="148">
        <f t="shared" si="14"/>
        <v>1.4799</v>
      </c>
    </row>
    <row r="105" spans="1:27" x14ac:dyDescent="0.2">
      <c r="A105" s="78">
        <v>222</v>
      </c>
      <c r="B105" s="78" t="s">
        <v>680</v>
      </c>
      <c r="C105" s="79">
        <v>44562</v>
      </c>
      <c r="D105" s="79">
        <v>44926</v>
      </c>
      <c r="E105" s="147">
        <v>2554301</v>
      </c>
      <c r="F105" s="147">
        <v>426249</v>
      </c>
      <c r="G105" s="147">
        <v>1079030</v>
      </c>
      <c r="H105" s="147">
        <v>997332</v>
      </c>
      <c r="I105" s="147">
        <v>14956</v>
      </c>
      <c r="J105" s="147">
        <v>21888</v>
      </c>
      <c r="K105" s="147">
        <v>26645</v>
      </c>
      <c r="L105" s="148">
        <v>1.3262</v>
      </c>
      <c r="M105" s="148">
        <v>1.3737999999999999</v>
      </c>
      <c r="N105" s="148">
        <v>1.3387</v>
      </c>
      <c r="O105" s="148">
        <v>1.4486000000000001</v>
      </c>
      <c r="P105" s="148">
        <v>1.6175999999999999</v>
      </c>
      <c r="Q105" s="148">
        <v>1.6451</v>
      </c>
      <c r="R105" s="148">
        <v>1.4458</v>
      </c>
      <c r="S105" s="148">
        <f t="shared" si="10"/>
        <v>1.5392999999999999</v>
      </c>
      <c r="T105" s="78">
        <f>VLOOKUP(C105&amp;D105,Documentation!$J$37:$K$52,2,FALSE)</f>
        <v>7</v>
      </c>
      <c r="X105" s="148">
        <f t="shared" si="14"/>
        <v>1.4486000000000001</v>
      </c>
      <c r="Y105" s="148">
        <f t="shared" si="14"/>
        <v>1.6175999999999999</v>
      </c>
      <c r="Z105" s="148">
        <f t="shared" si="14"/>
        <v>1.6451</v>
      </c>
      <c r="AA105" s="148">
        <f t="shared" si="14"/>
        <v>1.4458</v>
      </c>
    </row>
    <row r="106" spans="1:27" x14ac:dyDescent="0.2">
      <c r="A106" s="78">
        <v>224</v>
      </c>
      <c r="B106" s="78" t="s">
        <v>466</v>
      </c>
      <c r="C106" s="79">
        <v>44562</v>
      </c>
      <c r="D106" s="79">
        <v>44926</v>
      </c>
      <c r="E106" s="147">
        <v>4202051</v>
      </c>
      <c r="F106" s="147">
        <v>382866</v>
      </c>
      <c r="G106" s="147">
        <v>1221152</v>
      </c>
      <c r="H106" s="147">
        <v>1275831</v>
      </c>
      <c r="I106" s="147">
        <v>19134</v>
      </c>
      <c r="J106" s="147">
        <v>26803</v>
      </c>
      <c r="K106" s="147">
        <v>29930</v>
      </c>
      <c r="L106" s="148">
        <v>1.5436000000000001</v>
      </c>
      <c r="M106" s="148">
        <v>1.4932000000000001</v>
      </c>
      <c r="N106" s="148">
        <v>1.5286999999999999</v>
      </c>
      <c r="O106" s="148">
        <v>1.7052</v>
      </c>
      <c r="P106" s="148">
        <v>1.5037</v>
      </c>
      <c r="Q106" s="148">
        <v>1.4933000000000001</v>
      </c>
      <c r="R106" s="148">
        <v>1.5517000000000001</v>
      </c>
      <c r="S106" s="148">
        <f t="shared" si="10"/>
        <v>1.5634999999999999</v>
      </c>
      <c r="T106" s="78">
        <f>VLOOKUP(C106&amp;D106,Documentation!$J$37:$K$52,2,FALSE)</f>
        <v>7</v>
      </c>
      <c r="X106" s="148">
        <f t="shared" si="14"/>
        <v>1.7052</v>
      </c>
      <c r="Y106" s="148">
        <f t="shared" si="14"/>
        <v>1.5037</v>
      </c>
      <c r="Z106" s="148">
        <f t="shared" si="14"/>
        <v>1.4933000000000001</v>
      </c>
      <c r="AA106" s="148">
        <f t="shared" si="14"/>
        <v>1.5517000000000001</v>
      </c>
    </row>
    <row r="107" spans="1:27" x14ac:dyDescent="0.2">
      <c r="A107" s="78">
        <v>226</v>
      </c>
      <c r="B107" s="78" t="s">
        <v>496</v>
      </c>
      <c r="C107" s="79">
        <v>44562</v>
      </c>
      <c r="D107" s="79">
        <v>44926</v>
      </c>
      <c r="E107" s="147">
        <v>6678664</v>
      </c>
      <c r="F107" s="147">
        <v>756392</v>
      </c>
      <c r="G107" s="147">
        <v>1972416</v>
      </c>
      <c r="H107" s="147">
        <v>1671156</v>
      </c>
      <c r="I107" s="147">
        <v>20817</v>
      </c>
      <c r="J107" s="147">
        <v>54810</v>
      </c>
      <c r="K107" s="147">
        <v>58400</v>
      </c>
      <c r="L107" s="148">
        <v>1.3545</v>
      </c>
      <c r="M107" s="148">
        <v>1.3362000000000001</v>
      </c>
      <c r="N107" s="148">
        <v>1.3617999999999999</v>
      </c>
      <c r="O107" s="148">
        <v>1.3808</v>
      </c>
      <c r="P107" s="148">
        <v>1.3566</v>
      </c>
      <c r="Q107" s="148">
        <v>1.397</v>
      </c>
      <c r="R107" s="148">
        <v>1.4852000000000001</v>
      </c>
      <c r="S107" s="148">
        <f t="shared" si="10"/>
        <v>1.4049</v>
      </c>
      <c r="T107" s="78">
        <f>VLOOKUP(C107&amp;D107,Documentation!$J$37:$K$52,2,FALSE)</f>
        <v>7</v>
      </c>
      <c r="X107" s="148">
        <f t="shared" si="14"/>
        <v>1.3808</v>
      </c>
      <c r="Y107" s="148">
        <f t="shared" si="14"/>
        <v>1.3566</v>
      </c>
      <c r="Z107" s="148">
        <f t="shared" si="14"/>
        <v>1.397</v>
      </c>
      <c r="AA107" s="148">
        <f t="shared" si="14"/>
        <v>1.4852000000000001</v>
      </c>
    </row>
    <row r="108" spans="1:27" x14ac:dyDescent="0.2">
      <c r="A108" s="78">
        <v>228</v>
      </c>
      <c r="B108" s="78" t="s">
        <v>495</v>
      </c>
      <c r="C108" s="79">
        <v>44562</v>
      </c>
      <c r="D108" s="79">
        <v>44926</v>
      </c>
      <c r="E108" s="147">
        <v>7272192</v>
      </c>
      <c r="F108" s="147">
        <v>714801</v>
      </c>
      <c r="G108" s="147">
        <v>2081715</v>
      </c>
      <c r="H108" s="147">
        <v>1492254</v>
      </c>
      <c r="I108" s="147">
        <v>22273</v>
      </c>
      <c r="J108" s="147">
        <v>58606</v>
      </c>
      <c r="K108" s="147">
        <v>62050</v>
      </c>
      <c r="L108" s="148">
        <v>1.3447</v>
      </c>
      <c r="M108" s="148">
        <v>1.2728999999999999</v>
      </c>
      <c r="N108" s="148">
        <v>1.2617</v>
      </c>
      <c r="O108" s="148">
        <v>1.2898000000000001</v>
      </c>
      <c r="P108" s="148">
        <v>1.3227</v>
      </c>
      <c r="Q108" s="148">
        <v>1.3568</v>
      </c>
      <c r="R108" s="148">
        <v>1.3664000000000001</v>
      </c>
      <c r="S108" s="148">
        <f t="shared" si="10"/>
        <v>1.3339000000000001</v>
      </c>
      <c r="T108" s="78">
        <f>VLOOKUP(C108&amp;D108,Documentation!$J$37:$K$52,2,FALSE)</f>
        <v>7</v>
      </c>
      <c r="X108" s="148">
        <f t="shared" si="14"/>
        <v>1.2898000000000001</v>
      </c>
      <c r="Y108" s="148">
        <f t="shared" si="14"/>
        <v>1.3227</v>
      </c>
      <c r="Z108" s="148">
        <f t="shared" si="14"/>
        <v>1.3568</v>
      </c>
      <c r="AA108" s="148">
        <f t="shared" si="14"/>
        <v>1.3664000000000001</v>
      </c>
    </row>
    <row r="109" spans="1:27" x14ac:dyDescent="0.2">
      <c r="A109" s="78">
        <v>230</v>
      </c>
      <c r="B109" s="78" t="s">
        <v>183</v>
      </c>
      <c r="C109" s="79">
        <v>44562</v>
      </c>
      <c r="D109" s="79">
        <v>44926</v>
      </c>
      <c r="E109" s="147">
        <v>24531314</v>
      </c>
      <c r="F109" s="147">
        <v>3649336</v>
      </c>
      <c r="G109" s="147">
        <v>10971050</v>
      </c>
      <c r="H109" s="147">
        <v>11450869</v>
      </c>
      <c r="I109" s="147">
        <v>92415</v>
      </c>
      <c r="J109" s="147">
        <v>135428</v>
      </c>
      <c r="K109" s="147">
        <v>202940</v>
      </c>
      <c r="L109" s="148">
        <v>1.3089999999999999</v>
      </c>
      <c r="M109" s="148">
        <v>1.3182</v>
      </c>
      <c r="N109" s="148">
        <v>1.3160000000000001</v>
      </c>
      <c r="O109" s="148">
        <v>1.3912</v>
      </c>
      <c r="P109" s="148">
        <v>1.3896999999999999</v>
      </c>
      <c r="Q109" s="148">
        <v>1.37</v>
      </c>
      <c r="R109" s="148">
        <v>1.3763000000000001</v>
      </c>
      <c r="S109" s="148">
        <f t="shared" si="10"/>
        <v>1.3817999999999999</v>
      </c>
      <c r="T109" s="78">
        <f>VLOOKUP(C109&amp;D109,Documentation!$J$37:$K$52,2,FALSE)</f>
        <v>7</v>
      </c>
      <c r="X109" s="148">
        <f t="shared" si="14"/>
        <v>1.3912</v>
      </c>
      <c r="Y109" s="148">
        <f t="shared" si="14"/>
        <v>1.3896999999999999</v>
      </c>
      <c r="Z109" s="148">
        <f t="shared" si="14"/>
        <v>1.37</v>
      </c>
      <c r="AA109" s="148">
        <f t="shared" si="14"/>
        <v>1.3763000000000001</v>
      </c>
    </row>
    <row r="110" spans="1:27" x14ac:dyDescent="0.2">
      <c r="A110" s="78">
        <v>232</v>
      </c>
      <c r="B110" s="78" t="s">
        <v>600</v>
      </c>
      <c r="C110" s="79">
        <v>44562</v>
      </c>
      <c r="D110" s="79">
        <v>44926</v>
      </c>
      <c r="E110" s="147">
        <v>8295113</v>
      </c>
      <c r="F110" s="147">
        <v>802108</v>
      </c>
      <c r="G110" s="147">
        <v>1995895</v>
      </c>
      <c r="H110" s="147">
        <v>2047833</v>
      </c>
      <c r="I110" s="147">
        <v>36950</v>
      </c>
      <c r="J110" s="147">
        <v>54189</v>
      </c>
      <c r="K110" s="147">
        <v>64605</v>
      </c>
      <c r="L110" s="148">
        <v>1.3513999999999999</v>
      </c>
      <c r="M110" s="148">
        <v>1.393</v>
      </c>
      <c r="N110" s="148">
        <v>1.4588000000000001</v>
      </c>
      <c r="O110" s="148">
        <v>1.5524</v>
      </c>
      <c r="P110" s="148">
        <v>1.474</v>
      </c>
      <c r="Q110" s="148">
        <v>1.5812999999999999</v>
      </c>
      <c r="R110" s="148">
        <v>1.5955999999999999</v>
      </c>
      <c r="S110" s="148">
        <f t="shared" si="10"/>
        <v>1.5508</v>
      </c>
      <c r="T110" s="78">
        <f>VLOOKUP(C110&amp;D110,Documentation!$J$37:$K$52,2,FALSE)</f>
        <v>7</v>
      </c>
      <c r="X110" s="148">
        <f t="shared" si="14"/>
        <v>1.5524</v>
      </c>
      <c r="Y110" s="148">
        <f t="shared" si="14"/>
        <v>1.474</v>
      </c>
      <c r="Z110" s="148">
        <f t="shared" si="14"/>
        <v>1.5812999999999999</v>
      </c>
      <c r="AA110" s="148">
        <f t="shared" si="14"/>
        <v>1.5955999999999999</v>
      </c>
    </row>
    <row r="111" spans="1:27" x14ac:dyDescent="0.2">
      <c r="A111" s="78">
        <v>236</v>
      </c>
      <c r="B111" s="78" t="s">
        <v>689</v>
      </c>
      <c r="C111" s="79">
        <v>44562</v>
      </c>
      <c r="D111" s="79">
        <v>44926</v>
      </c>
      <c r="E111" s="147">
        <v>3128434</v>
      </c>
      <c r="F111" s="147">
        <v>592873</v>
      </c>
      <c r="G111" s="147">
        <v>692116</v>
      </c>
      <c r="H111" s="147">
        <v>1787490</v>
      </c>
      <c r="I111" s="147">
        <v>8282</v>
      </c>
      <c r="J111" s="147">
        <v>20984</v>
      </c>
      <c r="K111" s="147">
        <v>24090</v>
      </c>
      <c r="L111" s="148">
        <v>1.4607000000000001</v>
      </c>
      <c r="M111" s="148">
        <v>1.4154</v>
      </c>
      <c r="N111" s="148">
        <v>1.4200999999999999</v>
      </c>
      <c r="O111" s="148">
        <v>1.5966</v>
      </c>
      <c r="P111" s="148">
        <v>1.5133000000000001</v>
      </c>
      <c r="Q111" s="148">
        <v>1.4063000000000001</v>
      </c>
      <c r="R111" s="148">
        <v>1.4029</v>
      </c>
      <c r="S111" s="148">
        <f t="shared" si="10"/>
        <v>1.4798</v>
      </c>
      <c r="T111" s="78">
        <f>VLOOKUP(C111&amp;D111,Documentation!$J$37:$K$52,2,FALSE)</f>
        <v>7</v>
      </c>
      <c r="X111" s="148">
        <f t="shared" si="14"/>
        <v>1.5966</v>
      </c>
      <c r="Y111" s="148">
        <f t="shared" si="14"/>
        <v>1.5133000000000001</v>
      </c>
      <c r="Z111" s="148">
        <f t="shared" si="14"/>
        <v>1.4063000000000001</v>
      </c>
      <c r="AA111" s="148">
        <f t="shared" si="14"/>
        <v>1.4029</v>
      </c>
    </row>
    <row r="112" spans="1:27" x14ac:dyDescent="0.2">
      <c r="A112" s="78">
        <v>242</v>
      </c>
      <c r="B112" s="78" t="s">
        <v>200</v>
      </c>
      <c r="C112" s="79">
        <v>44562</v>
      </c>
      <c r="D112" s="79">
        <v>44926</v>
      </c>
      <c r="E112" s="147">
        <v>6957861</v>
      </c>
      <c r="F112" s="147">
        <v>1365268</v>
      </c>
      <c r="G112" s="147">
        <v>2390059</v>
      </c>
      <c r="H112" s="147">
        <v>2244297</v>
      </c>
      <c r="I112" s="147">
        <v>6917</v>
      </c>
      <c r="J112" s="147">
        <v>30953</v>
      </c>
      <c r="K112" s="147">
        <v>43800</v>
      </c>
      <c r="L112" s="148">
        <v>1.2314000000000001</v>
      </c>
      <c r="M112" s="148">
        <v>1.2077</v>
      </c>
      <c r="N112" s="148">
        <v>1.1756</v>
      </c>
      <c r="O112" s="148">
        <v>1.2318</v>
      </c>
      <c r="P112" s="148">
        <v>1.1886000000000001</v>
      </c>
      <c r="Q112" s="148">
        <v>1.1889000000000001</v>
      </c>
      <c r="R112" s="148">
        <v>1.1910000000000001</v>
      </c>
      <c r="S112" s="148">
        <f t="shared" si="10"/>
        <v>1.2000999999999999</v>
      </c>
      <c r="T112" s="78">
        <f>VLOOKUP(C112&amp;D112,Documentation!$J$37:$K$52,2,FALSE)</f>
        <v>7</v>
      </c>
      <c r="X112" s="148">
        <f t="shared" si="14"/>
        <v>1.2318</v>
      </c>
      <c r="Y112" s="148">
        <f t="shared" si="14"/>
        <v>1.1886000000000001</v>
      </c>
      <c r="Z112" s="148">
        <f t="shared" si="14"/>
        <v>1.1889000000000001</v>
      </c>
      <c r="AA112" s="148">
        <f t="shared" si="14"/>
        <v>1.1910000000000001</v>
      </c>
    </row>
    <row r="113" spans="1:27" x14ac:dyDescent="0.2">
      <c r="A113" s="78">
        <v>244</v>
      </c>
      <c r="B113" s="78" t="s">
        <v>186</v>
      </c>
      <c r="C113" s="79">
        <v>44562</v>
      </c>
      <c r="D113" s="79">
        <v>44926</v>
      </c>
      <c r="E113" s="147">
        <v>4631698</v>
      </c>
      <c r="F113" s="147">
        <v>888189</v>
      </c>
      <c r="G113" s="147">
        <v>1481434</v>
      </c>
      <c r="H113" s="147">
        <v>1443718</v>
      </c>
      <c r="I113" s="147">
        <v>6799</v>
      </c>
      <c r="J113" s="147">
        <v>23626</v>
      </c>
      <c r="K113" s="147">
        <v>29930</v>
      </c>
      <c r="L113" s="148">
        <v>1.306</v>
      </c>
      <c r="M113" s="148">
        <v>1.2216</v>
      </c>
      <c r="N113" s="148">
        <v>1.1667000000000001</v>
      </c>
      <c r="O113" s="148">
        <v>1.2595000000000001</v>
      </c>
      <c r="P113" s="148">
        <v>1.2045999999999999</v>
      </c>
      <c r="Q113" s="148">
        <v>1.1953</v>
      </c>
      <c r="R113" s="148">
        <v>1.1948000000000001</v>
      </c>
      <c r="S113" s="148">
        <f t="shared" si="10"/>
        <v>1.2136</v>
      </c>
      <c r="T113" s="78">
        <f>VLOOKUP(C113&amp;D113,Documentation!$J$37:$K$52,2,FALSE)</f>
        <v>7</v>
      </c>
      <c r="X113" s="148">
        <f t="shared" si="14"/>
        <v>1.2595000000000001</v>
      </c>
      <c r="Y113" s="148">
        <f t="shared" si="14"/>
        <v>1.2045999999999999</v>
      </c>
      <c r="Z113" s="148">
        <f t="shared" si="14"/>
        <v>1.1953</v>
      </c>
      <c r="AA113" s="148">
        <f t="shared" si="14"/>
        <v>1.1948000000000001</v>
      </c>
    </row>
    <row r="114" spans="1:27" x14ac:dyDescent="0.2">
      <c r="A114" s="78">
        <v>246</v>
      </c>
      <c r="B114" s="78" t="s">
        <v>553</v>
      </c>
      <c r="C114" s="79">
        <v>44562</v>
      </c>
      <c r="D114" s="79">
        <v>44926</v>
      </c>
      <c r="E114" s="147">
        <v>4554393</v>
      </c>
      <c r="F114" s="147">
        <v>486547</v>
      </c>
      <c r="G114" s="147">
        <v>1435448</v>
      </c>
      <c r="H114" s="147">
        <v>1677176</v>
      </c>
      <c r="I114" s="147">
        <v>21232</v>
      </c>
      <c r="J114" s="147">
        <v>29930</v>
      </c>
      <c r="K114" s="147">
        <v>40880</v>
      </c>
      <c r="L114" s="148">
        <v>1.4539</v>
      </c>
      <c r="M114" s="148">
        <v>1.4356</v>
      </c>
      <c r="N114" s="148">
        <v>1.4396</v>
      </c>
      <c r="O114" s="148">
        <v>1.4052</v>
      </c>
      <c r="P114" s="148">
        <v>1.4111</v>
      </c>
      <c r="Q114" s="148">
        <v>1.4542999999999999</v>
      </c>
      <c r="R114" s="148">
        <v>1.3779999999999999</v>
      </c>
      <c r="S114" s="148">
        <f t="shared" si="10"/>
        <v>1.4121999999999999</v>
      </c>
      <c r="T114" s="78">
        <f>VLOOKUP(C114&amp;D114,Documentation!$J$37:$K$52,2,FALSE)</f>
        <v>7</v>
      </c>
      <c r="X114" s="148">
        <f t="shared" si="14"/>
        <v>1.4052</v>
      </c>
      <c r="Y114" s="148">
        <f t="shared" si="14"/>
        <v>1.4111</v>
      </c>
      <c r="Z114" s="148">
        <f t="shared" si="14"/>
        <v>1.4542999999999999</v>
      </c>
      <c r="AA114" s="148">
        <f t="shared" si="14"/>
        <v>1.3779999999999999</v>
      </c>
    </row>
    <row r="115" spans="1:27" x14ac:dyDescent="0.2">
      <c r="A115" s="78">
        <v>250</v>
      </c>
      <c r="B115" s="78" t="s">
        <v>319</v>
      </c>
      <c r="C115" s="79">
        <v>44562</v>
      </c>
      <c r="D115" s="79">
        <v>44926</v>
      </c>
      <c r="E115" s="147">
        <v>7961173</v>
      </c>
      <c r="F115" s="147">
        <v>1153142</v>
      </c>
      <c r="G115" s="147">
        <v>2134720</v>
      </c>
      <c r="H115" s="147">
        <v>2531821</v>
      </c>
      <c r="I115" s="147">
        <v>35794</v>
      </c>
      <c r="J115" s="147">
        <v>48262</v>
      </c>
      <c r="K115" s="147">
        <v>55115</v>
      </c>
      <c r="L115" s="148">
        <v>1.4123000000000001</v>
      </c>
      <c r="M115" s="148">
        <v>1.3791</v>
      </c>
      <c r="N115" s="148">
        <v>1.4004000000000001</v>
      </c>
      <c r="O115" s="148">
        <v>1.5167999999999999</v>
      </c>
      <c r="P115" s="148">
        <v>1.4073</v>
      </c>
      <c r="Q115" s="148">
        <v>1.4462999999999999</v>
      </c>
      <c r="R115" s="148">
        <v>1.4126000000000001</v>
      </c>
      <c r="S115" s="148">
        <f t="shared" si="10"/>
        <v>1.4458</v>
      </c>
      <c r="T115" s="78">
        <f>VLOOKUP(C115&amp;D115,Documentation!$J$37:$K$52,2,FALSE)</f>
        <v>7</v>
      </c>
      <c r="X115" s="148">
        <f t="shared" si="14"/>
        <v>1.5167999999999999</v>
      </c>
      <c r="Y115" s="148">
        <f t="shared" si="14"/>
        <v>1.4073</v>
      </c>
      <c r="Z115" s="148">
        <f t="shared" si="14"/>
        <v>1.4462999999999999</v>
      </c>
      <c r="AA115" s="148">
        <f t="shared" si="14"/>
        <v>1.4126000000000001</v>
      </c>
    </row>
    <row r="116" spans="1:27" x14ac:dyDescent="0.2">
      <c r="A116" s="78">
        <v>254</v>
      </c>
      <c r="B116" s="78" t="s">
        <v>378</v>
      </c>
      <c r="C116" s="79">
        <v>44562</v>
      </c>
      <c r="D116" s="79">
        <v>44926</v>
      </c>
      <c r="E116" s="147">
        <v>4343678</v>
      </c>
      <c r="F116" s="147">
        <v>489810</v>
      </c>
      <c r="G116" s="147">
        <v>1283904</v>
      </c>
      <c r="H116" s="147">
        <v>1208408</v>
      </c>
      <c r="I116" s="147">
        <v>26238</v>
      </c>
      <c r="J116" s="147">
        <v>32906</v>
      </c>
      <c r="K116" s="147">
        <v>47815</v>
      </c>
      <c r="L116" s="148">
        <v>1.466</v>
      </c>
      <c r="M116" s="148">
        <v>1.4408000000000001</v>
      </c>
      <c r="N116" s="148">
        <v>1.4147000000000001</v>
      </c>
      <c r="O116" s="148">
        <v>1.4779</v>
      </c>
      <c r="P116" s="148">
        <v>1.5001</v>
      </c>
      <c r="Q116" s="148">
        <v>1.4822</v>
      </c>
      <c r="R116" s="148">
        <v>1.7216</v>
      </c>
      <c r="S116" s="148">
        <f t="shared" si="10"/>
        <v>1.5455000000000001</v>
      </c>
      <c r="T116" s="78">
        <f>VLOOKUP(C116&amp;D116,Documentation!$J$37:$K$52,2,FALSE)</f>
        <v>7</v>
      </c>
      <c r="X116" s="148">
        <f t="shared" si="14"/>
        <v>1.4779</v>
      </c>
      <c r="Y116" s="148">
        <f t="shared" si="14"/>
        <v>1.5001</v>
      </c>
      <c r="Z116" s="148">
        <f t="shared" si="14"/>
        <v>1.4822</v>
      </c>
      <c r="AA116" s="148">
        <f t="shared" si="14"/>
        <v>1.7216</v>
      </c>
    </row>
    <row r="117" spans="1:27" x14ac:dyDescent="0.2">
      <c r="A117" s="78">
        <v>260</v>
      </c>
      <c r="B117" s="78" t="s">
        <v>562</v>
      </c>
      <c r="C117" s="79">
        <v>44562</v>
      </c>
      <c r="D117" s="79">
        <v>44926</v>
      </c>
      <c r="E117" s="147">
        <v>7907422</v>
      </c>
      <c r="F117" s="147">
        <v>672265</v>
      </c>
      <c r="G117" s="147">
        <v>1955626</v>
      </c>
      <c r="H117" s="147">
        <v>2228768</v>
      </c>
      <c r="I117" s="147">
        <v>11839</v>
      </c>
      <c r="J117" s="147">
        <v>35381</v>
      </c>
      <c r="K117" s="147">
        <v>40150</v>
      </c>
      <c r="L117" s="148">
        <v>1.7107000000000001</v>
      </c>
      <c r="M117" s="148">
        <v>1.5984</v>
      </c>
      <c r="N117" s="148">
        <v>1.589</v>
      </c>
      <c r="O117" s="148">
        <v>1.7967</v>
      </c>
      <c r="P117" s="148">
        <v>1.7427999999999999</v>
      </c>
      <c r="Q117" s="148">
        <v>1.8048</v>
      </c>
      <c r="R117" s="148">
        <v>1.7554000000000001</v>
      </c>
      <c r="S117" s="148">
        <f t="shared" si="10"/>
        <v>1.7748999999999999</v>
      </c>
      <c r="T117" s="78">
        <f>VLOOKUP(C117&amp;D117,Documentation!$J$37:$K$52,2,FALSE)</f>
        <v>7</v>
      </c>
      <c r="X117" s="148">
        <f t="shared" si="14"/>
        <v>1.7967</v>
      </c>
      <c r="Y117" s="148">
        <f t="shared" si="14"/>
        <v>1.7427999999999999</v>
      </c>
      <c r="Z117" s="148">
        <f t="shared" si="14"/>
        <v>1.8048</v>
      </c>
      <c r="AA117" s="148">
        <f t="shared" si="14"/>
        <v>1.7554000000000001</v>
      </c>
    </row>
    <row r="118" spans="1:27" x14ac:dyDescent="0.2">
      <c r="A118" s="78">
        <v>262</v>
      </c>
      <c r="B118" s="78" t="s">
        <v>601</v>
      </c>
      <c r="C118" s="79">
        <v>44562</v>
      </c>
      <c r="D118" s="79">
        <v>44926</v>
      </c>
      <c r="E118" s="147">
        <v>6616243</v>
      </c>
      <c r="F118" s="147">
        <v>542133</v>
      </c>
      <c r="G118" s="147">
        <v>1699174</v>
      </c>
      <c r="H118" s="147">
        <v>1804274</v>
      </c>
      <c r="I118" s="147">
        <v>35092</v>
      </c>
      <c r="J118" s="147">
        <v>46741</v>
      </c>
      <c r="K118" s="147">
        <v>51830</v>
      </c>
      <c r="L118" s="148">
        <v>1.3615999999999999</v>
      </c>
      <c r="M118" s="148">
        <v>1.4721</v>
      </c>
      <c r="N118" s="148">
        <v>1.5265</v>
      </c>
      <c r="O118" s="148">
        <v>1.4370000000000001</v>
      </c>
      <c r="P118" s="148">
        <v>1.3926000000000001</v>
      </c>
      <c r="Q118" s="148">
        <v>1.472</v>
      </c>
      <c r="R118" s="148">
        <v>1.4429000000000001</v>
      </c>
      <c r="S118" s="148">
        <f>ROUND(AVERAGE(O118:R118),4)</f>
        <v>1.4360999999999999</v>
      </c>
      <c r="T118" s="78">
        <f>VLOOKUP(C118&amp;D118,Documentation!$J$37:$K$52,2,FALSE)</f>
        <v>7</v>
      </c>
      <c r="X118" s="148">
        <f t="shared" si="14"/>
        <v>1.4370000000000001</v>
      </c>
      <c r="Y118" s="148">
        <f t="shared" si="14"/>
        <v>1.3926000000000001</v>
      </c>
      <c r="Z118" s="148">
        <f t="shared" si="14"/>
        <v>1.472</v>
      </c>
      <c r="AA118" s="148">
        <f t="shared" si="14"/>
        <v>1.4429000000000001</v>
      </c>
    </row>
    <row r="119" spans="1:27" x14ac:dyDescent="0.2">
      <c r="A119" s="78">
        <v>264</v>
      </c>
      <c r="B119" s="78" t="s">
        <v>400</v>
      </c>
      <c r="C119" s="79">
        <v>44562</v>
      </c>
      <c r="D119" s="79">
        <v>44926</v>
      </c>
      <c r="E119" s="147">
        <v>2986976</v>
      </c>
      <c r="F119" s="147">
        <v>293648</v>
      </c>
      <c r="G119" s="147">
        <v>1050922</v>
      </c>
      <c r="H119" s="147">
        <v>1370085</v>
      </c>
      <c r="I119" s="147">
        <v>12165</v>
      </c>
      <c r="J119" s="147">
        <v>17995</v>
      </c>
      <c r="K119" s="147">
        <v>19680</v>
      </c>
      <c r="L119" s="148"/>
      <c r="M119" s="148"/>
      <c r="N119" s="148"/>
      <c r="O119" s="148">
        <v>1.4072</v>
      </c>
      <c r="P119" s="148">
        <v>1.4363999999999999</v>
      </c>
      <c r="Q119" s="148">
        <v>0</v>
      </c>
      <c r="R119" s="148">
        <v>0</v>
      </c>
      <c r="S119" s="148">
        <f>ROUND(AVERAGE(O119:P119),4)</f>
        <v>1.4218</v>
      </c>
      <c r="T119" s="78">
        <f>VLOOKUP(C119&amp;D119,Documentation!$J$37:$K$52,2,FALSE)</f>
        <v>7</v>
      </c>
      <c r="X119" s="148">
        <f t="shared" ref="X119" si="15">+O119</f>
        <v>1.4072</v>
      </c>
      <c r="Y119" s="148">
        <f t="shared" ref="Y119" si="16">+P119</f>
        <v>1.4363999999999999</v>
      </c>
      <c r="Z119" s="148">
        <f t="shared" ref="Z119" si="17">+Q119</f>
        <v>0</v>
      </c>
      <c r="AA119" s="148">
        <f t="shared" ref="AA119" si="18">+R119</f>
        <v>0</v>
      </c>
    </row>
    <row r="120" spans="1:27" x14ac:dyDescent="0.2">
      <c r="A120" s="78">
        <v>268</v>
      </c>
      <c r="B120" s="78" t="s">
        <v>452</v>
      </c>
      <c r="C120" s="79">
        <v>44562</v>
      </c>
      <c r="D120" s="79">
        <v>44926</v>
      </c>
      <c r="E120" s="147">
        <v>5668552</v>
      </c>
      <c r="F120" s="147">
        <v>595453</v>
      </c>
      <c r="G120" s="147">
        <v>1941304</v>
      </c>
      <c r="H120" s="147">
        <v>2343247</v>
      </c>
      <c r="I120" s="147">
        <v>25228</v>
      </c>
      <c r="J120" s="147">
        <v>43787</v>
      </c>
      <c r="K120" s="147">
        <v>46720</v>
      </c>
      <c r="L120" s="148">
        <v>1.6093</v>
      </c>
      <c r="M120" s="148">
        <v>1.5739000000000001</v>
      </c>
      <c r="N120" s="148">
        <v>1.5647</v>
      </c>
      <c r="O120" s="148">
        <v>1.8454999999999999</v>
      </c>
      <c r="P120" s="148">
        <v>1.6048</v>
      </c>
      <c r="Q120" s="148">
        <v>1.5569</v>
      </c>
      <c r="R120" s="148">
        <v>1.6264000000000001</v>
      </c>
      <c r="S120" s="148">
        <f t="shared" ref="S120:S182" si="19">ROUND(AVERAGE(O120:R120),4)</f>
        <v>1.6584000000000001</v>
      </c>
      <c r="T120" s="78">
        <f>VLOOKUP(C120&amp;D120,Documentation!$J$37:$K$52,2,FALSE)</f>
        <v>7</v>
      </c>
      <c r="X120" s="148">
        <f t="shared" si="14"/>
        <v>1.8454999999999999</v>
      </c>
      <c r="Y120" s="148">
        <f t="shared" si="14"/>
        <v>1.6048</v>
      </c>
      <c r="Z120" s="148">
        <f t="shared" si="14"/>
        <v>1.5569</v>
      </c>
      <c r="AA120" s="148">
        <f t="shared" si="14"/>
        <v>1.6264000000000001</v>
      </c>
    </row>
    <row r="121" spans="1:27" x14ac:dyDescent="0.2">
      <c r="A121" s="78">
        <v>274</v>
      </c>
      <c r="B121" s="78" t="s">
        <v>597</v>
      </c>
      <c r="C121" s="79">
        <v>44562</v>
      </c>
      <c r="D121" s="79">
        <v>44926</v>
      </c>
      <c r="E121" s="147">
        <v>4031655</v>
      </c>
      <c r="F121" s="147">
        <v>746836</v>
      </c>
      <c r="G121" s="147">
        <v>1442068</v>
      </c>
      <c r="H121" s="147">
        <v>1521441</v>
      </c>
      <c r="I121" s="147">
        <v>16964</v>
      </c>
      <c r="J121" s="147">
        <v>28465</v>
      </c>
      <c r="K121" s="147">
        <v>36865</v>
      </c>
      <c r="L121" s="148">
        <v>1.2743</v>
      </c>
      <c r="M121" s="148">
        <v>1.2388999999999999</v>
      </c>
      <c r="N121" s="148">
        <v>1.2298</v>
      </c>
      <c r="O121" s="148">
        <v>1.3279000000000001</v>
      </c>
      <c r="P121" s="148">
        <v>1.3492999999999999</v>
      </c>
      <c r="Q121" s="148">
        <v>1.3692</v>
      </c>
      <c r="R121" s="148">
        <v>1.2988</v>
      </c>
      <c r="S121" s="148">
        <f t="shared" si="19"/>
        <v>1.3363</v>
      </c>
      <c r="T121" s="78">
        <f>VLOOKUP(C121&amp;D121,Documentation!$J$37:$K$52,2,FALSE)</f>
        <v>7</v>
      </c>
      <c r="X121" s="148">
        <f t="shared" si="14"/>
        <v>1.3279000000000001</v>
      </c>
      <c r="Y121" s="148">
        <f t="shared" si="14"/>
        <v>1.3492999999999999</v>
      </c>
      <c r="Z121" s="148">
        <f t="shared" si="14"/>
        <v>1.3692</v>
      </c>
      <c r="AA121" s="148">
        <f t="shared" si="14"/>
        <v>1.2988</v>
      </c>
    </row>
    <row r="122" spans="1:27" x14ac:dyDescent="0.2">
      <c r="A122" s="78">
        <v>276</v>
      </c>
      <c r="B122" s="78" t="s">
        <v>180</v>
      </c>
      <c r="C122" s="79">
        <v>44562</v>
      </c>
      <c r="D122" s="79">
        <v>44926</v>
      </c>
      <c r="E122" s="147">
        <v>2130392</v>
      </c>
      <c r="F122" s="147">
        <v>320523</v>
      </c>
      <c r="G122" s="147">
        <v>1137659</v>
      </c>
      <c r="H122" s="147">
        <v>720141</v>
      </c>
      <c r="I122" s="147">
        <v>5681</v>
      </c>
      <c r="J122" s="147">
        <v>6812</v>
      </c>
      <c r="K122" s="147">
        <v>10666</v>
      </c>
      <c r="L122" s="148">
        <v>1.2995000000000001</v>
      </c>
      <c r="M122" s="148">
        <v>1.3426</v>
      </c>
      <c r="N122" s="148">
        <v>1.4345000000000001</v>
      </c>
      <c r="O122" s="148">
        <v>1.4464999999999999</v>
      </c>
      <c r="P122" s="148">
        <v>1.4245000000000001</v>
      </c>
      <c r="Q122" s="148">
        <v>1.4355</v>
      </c>
      <c r="R122" s="148">
        <v>1.4613</v>
      </c>
      <c r="S122" s="148">
        <f t="shared" si="19"/>
        <v>1.4419999999999999</v>
      </c>
      <c r="T122" s="78">
        <f>VLOOKUP(C122&amp;D122,Documentation!$J$37:$K$52,2,FALSE)</f>
        <v>7</v>
      </c>
      <c r="X122" s="148">
        <f t="shared" si="14"/>
        <v>1.4464999999999999</v>
      </c>
      <c r="Y122" s="148">
        <f t="shared" si="14"/>
        <v>1.4245000000000001</v>
      </c>
      <c r="Z122" s="148">
        <f t="shared" si="14"/>
        <v>1.4355</v>
      </c>
      <c r="AA122" s="148">
        <f t="shared" si="14"/>
        <v>1.4613</v>
      </c>
    </row>
    <row r="123" spans="1:27" x14ac:dyDescent="0.2">
      <c r="A123" s="78">
        <v>278</v>
      </c>
      <c r="B123" s="78" t="s">
        <v>583</v>
      </c>
      <c r="C123" s="79">
        <v>44562</v>
      </c>
      <c r="D123" s="79">
        <v>44926</v>
      </c>
      <c r="E123" s="147">
        <v>4718183</v>
      </c>
      <c r="F123" s="147">
        <v>415761</v>
      </c>
      <c r="G123" s="147">
        <v>1270246</v>
      </c>
      <c r="H123" s="147">
        <v>1482172</v>
      </c>
      <c r="I123" s="147">
        <v>18752</v>
      </c>
      <c r="J123" s="147">
        <v>28842</v>
      </c>
      <c r="K123" s="147">
        <v>41245</v>
      </c>
      <c r="L123" s="148">
        <v>1.3681000000000001</v>
      </c>
      <c r="M123" s="148">
        <v>1.4201999999999999</v>
      </c>
      <c r="N123" s="148">
        <v>1.3319000000000001</v>
      </c>
      <c r="O123" s="148">
        <v>1.4850000000000001</v>
      </c>
      <c r="P123" s="148">
        <v>1.5181</v>
      </c>
      <c r="Q123" s="148">
        <v>1.6489</v>
      </c>
      <c r="R123" s="148">
        <v>1.6846000000000001</v>
      </c>
      <c r="S123" s="148">
        <f t="shared" si="19"/>
        <v>1.5842000000000001</v>
      </c>
      <c r="T123" s="78">
        <f>VLOOKUP(C123&amp;D123,Documentation!$J$37:$K$52,2,FALSE)</f>
        <v>7</v>
      </c>
      <c r="X123" s="148">
        <f t="shared" si="14"/>
        <v>1.4850000000000001</v>
      </c>
      <c r="Y123" s="148">
        <f t="shared" si="14"/>
        <v>1.5181</v>
      </c>
      <c r="Z123" s="148">
        <f t="shared" si="14"/>
        <v>1.6489</v>
      </c>
      <c r="AA123" s="148">
        <f t="shared" si="14"/>
        <v>1.6846000000000001</v>
      </c>
    </row>
    <row r="124" spans="1:27" x14ac:dyDescent="0.2">
      <c r="A124" s="78">
        <v>282</v>
      </c>
      <c r="B124" s="78" t="s">
        <v>555</v>
      </c>
      <c r="C124" s="79">
        <v>44562</v>
      </c>
      <c r="D124" s="79">
        <v>44926</v>
      </c>
      <c r="E124" s="147">
        <v>6455605</v>
      </c>
      <c r="F124" s="147">
        <v>534280</v>
      </c>
      <c r="G124" s="147">
        <v>1773932</v>
      </c>
      <c r="H124" s="147">
        <v>1802138</v>
      </c>
      <c r="I124" s="147">
        <v>29382</v>
      </c>
      <c r="J124" s="147">
        <v>38323</v>
      </c>
      <c r="K124" s="147">
        <v>49275</v>
      </c>
      <c r="L124" s="148">
        <v>1.2774000000000001</v>
      </c>
      <c r="M124" s="148">
        <v>1.3725000000000001</v>
      </c>
      <c r="N124" s="148">
        <v>1.4376</v>
      </c>
      <c r="O124" s="148">
        <v>1.7884</v>
      </c>
      <c r="P124" s="148">
        <v>1.5175000000000001</v>
      </c>
      <c r="Q124" s="148">
        <v>1.4903999999999999</v>
      </c>
      <c r="R124" s="148">
        <v>1.4881</v>
      </c>
      <c r="S124" s="148">
        <f t="shared" si="19"/>
        <v>1.5710999999999999</v>
      </c>
      <c r="T124" s="78">
        <f>VLOOKUP(C124&amp;D124,Documentation!$J$37:$K$52,2,FALSE)</f>
        <v>7</v>
      </c>
      <c r="X124" s="148">
        <f t="shared" si="14"/>
        <v>1.7884</v>
      </c>
      <c r="Y124" s="148">
        <f t="shared" si="14"/>
        <v>1.5175000000000001</v>
      </c>
      <c r="Z124" s="148">
        <f t="shared" si="14"/>
        <v>1.4903999999999999</v>
      </c>
      <c r="AA124" s="148">
        <f t="shared" si="14"/>
        <v>1.4881</v>
      </c>
    </row>
    <row r="125" spans="1:27" x14ac:dyDescent="0.2">
      <c r="A125" s="78">
        <v>288</v>
      </c>
      <c r="B125" s="78" t="s">
        <v>479</v>
      </c>
      <c r="C125" s="79">
        <v>44562</v>
      </c>
      <c r="D125" s="79">
        <v>44926</v>
      </c>
      <c r="E125" s="147">
        <v>6188340</v>
      </c>
      <c r="F125" s="147">
        <v>644665</v>
      </c>
      <c r="G125" s="147">
        <v>1744924</v>
      </c>
      <c r="H125" s="147">
        <v>1508920</v>
      </c>
      <c r="I125" s="147">
        <v>21236</v>
      </c>
      <c r="J125" s="147">
        <v>39591</v>
      </c>
      <c r="K125" s="147">
        <v>46355</v>
      </c>
      <c r="L125" s="148">
        <v>1.4430000000000001</v>
      </c>
      <c r="M125" s="148">
        <v>1.4542999999999999</v>
      </c>
      <c r="N125" s="148">
        <v>1.4562999999999999</v>
      </c>
      <c r="O125" s="148">
        <v>1.4251</v>
      </c>
      <c r="P125" s="148">
        <v>1.3872</v>
      </c>
      <c r="Q125" s="148">
        <v>1.3774</v>
      </c>
      <c r="R125" s="148">
        <v>1.4029</v>
      </c>
      <c r="S125" s="148">
        <f t="shared" si="19"/>
        <v>1.3982000000000001</v>
      </c>
      <c r="T125" s="78">
        <f>VLOOKUP(C125&amp;D125,Documentation!$J$37:$K$52,2,FALSE)</f>
        <v>7</v>
      </c>
      <c r="X125" s="148">
        <f t="shared" si="14"/>
        <v>1.4251</v>
      </c>
      <c r="Y125" s="148">
        <f t="shared" si="14"/>
        <v>1.3872</v>
      </c>
      <c r="Z125" s="148">
        <f t="shared" si="14"/>
        <v>1.3774</v>
      </c>
      <c r="AA125" s="148">
        <f t="shared" si="14"/>
        <v>1.4029</v>
      </c>
    </row>
    <row r="126" spans="1:27" x14ac:dyDescent="0.2">
      <c r="A126" s="78">
        <v>290</v>
      </c>
      <c r="B126" s="78" t="s">
        <v>40</v>
      </c>
      <c r="C126" s="79">
        <v>44562</v>
      </c>
      <c r="D126" s="79">
        <v>44926</v>
      </c>
      <c r="E126" s="147">
        <v>5167222</v>
      </c>
      <c r="F126" s="147">
        <v>657458</v>
      </c>
      <c r="G126" s="147">
        <v>1016988</v>
      </c>
      <c r="H126" s="147">
        <v>1596444</v>
      </c>
      <c r="I126" s="147">
        <v>10869</v>
      </c>
      <c r="J126" s="147">
        <v>19656</v>
      </c>
      <c r="K126" s="147">
        <v>22630</v>
      </c>
      <c r="L126" s="148">
        <v>1.8777999999999999</v>
      </c>
      <c r="M126" s="148">
        <v>1.8178000000000001</v>
      </c>
      <c r="N126" s="148">
        <v>1.7295</v>
      </c>
      <c r="O126" s="148">
        <v>1.806</v>
      </c>
      <c r="P126" s="148">
        <v>1.7931999999999999</v>
      </c>
      <c r="Q126" s="148">
        <v>1.7757000000000001</v>
      </c>
      <c r="R126" s="148">
        <v>1.8312999999999999</v>
      </c>
      <c r="S126" s="148">
        <f t="shared" si="19"/>
        <v>1.8016000000000001</v>
      </c>
      <c r="T126" s="78">
        <f>VLOOKUP(C126&amp;D126,Documentation!$J$37:$K$52,2,FALSE)</f>
        <v>7</v>
      </c>
      <c r="X126" s="148">
        <f t="shared" si="14"/>
        <v>1.806</v>
      </c>
      <c r="Y126" s="148">
        <f t="shared" si="14"/>
        <v>1.7931999999999999</v>
      </c>
      <c r="Z126" s="148">
        <f t="shared" si="14"/>
        <v>1.7757000000000001</v>
      </c>
      <c r="AA126" s="148">
        <f t="shared" si="14"/>
        <v>1.8312999999999999</v>
      </c>
    </row>
    <row r="127" spans="1:27" x14ac:dyDescent="0.2">
      <c r="A127" s="78">
        <v>292</v>
      </c>
      <c r="B127" s="78" t="s">
        <v>191</v>
      </c>
      <c r="C127" s="79">
        <v>44562</v>
      </c>
      <c r="D127" s="79">
        <v>44926</v>
      </c>
      <c r="E127" s="147">
        <v>5680522</v>
      </c>
      <c r="F127" s="147">
        <v>835300</v>
      </c>
      <c r="G127" s="147">
        <v>1272652</v>
      </c>
      <c r="H127" s="147">
        <v>2129315</v>
      </c>
      <c r="I127" s="147">
        <v>16433</v>
      </c>
      <c r="J127" s="147">
        <v>30324</v>
      </c>
      <c r="K127" s="147">
        <v>42705</v>
      </c>
      <c r="L127" s="148">
        <v>1.4172</v>
      </c>
      <c r="M127" s="148">
        <v>1.4402999999999999</v>
      </c>
      <c r="N127" s="148">
        <v>1.3926000000000001</v>
      </c>
      <c r="O127" s="148">
        <v>1.4049</v>
      </c>
      <c r="P127" s="148">
        <v>1.371</v>
      </c>
      <c r="Q127" s="148">
        <v>1.3845000000000001</v>
      </c>
      <c r="R127" s="148">
        <v>1.3715999999999999</v>
      </c>
      <c r="S127" s="148">
        <f t="shared" si="19"/>
        <v>1.383</v>
      </c>
      <c r="T127" s="78">
        <f>VLOOKUP(C127&amp;D127,Documentation!$J$37:$K$52,2,FALSE)</f>
        <v>7</v>
      </c>
      <c r="X127" s="148">
        <f t="shared" si="14"/>
        <v>1.4049</v>
      </c>
      <c r="Y127" s="148">
        <f t="shared" si="14"/>
        <v>1.371</v>
      </c>
      <c r="Z127" s="148">
        <f t="shared" si="14"/>
        <v>1.3845000000000001</v>
      </c>
      <c r="AA127" s="148">
        <f t="shared" si="14"/>
        <v>1.3715999999999999</v>
      </c>
    </row>
    <row r="128" spans="1:27" x14ac:dyDescent="0.2">
      <c r="A128" s="78">
        <v>294</v>
      </c>
      <c r="B128" s="78" t="s">
        <v>468</v>
      </c>
      <c r="C128" s="79">
        <v>44562</v>
      </c>
      <c r="D128" s="79">
        <v>44926</v>
      </c>
      <c r="E128" s="147">
        <v>14418698</v>
      </c>
      <c r="F128" s="147">
        <v>1283275</v>
      </c>
      <c r="G128" s="147">
        <v>3857947</v>
      </c>
      <c r="H128" s="147">
        <v>2570516</v>
      </c>
      <c r="I128" s="147">
        <v>56625</v>
      </c>
      <c r="J128" s="147">
        <v>75794</v>
      </c>
      <c r="K128" s="147">
        <v>82125</v>
      </c>
      <c r="L128" s="148">
        <v>1.7172000000000001</v>
      </c>
      <c r="M128" s="148">
        <v>1.7062999999999999</v>
      </c>
      <c r="N128" s="148">
        <v>1.7297</v>
      </c>
      <c r="O128" s="148">
        <v>1.7968999999999999</v>
      </c>
      <c r="P128" s="148">
        <v>1.7784</v>
      </c>
      <c r="Q128" s="148">
        <v>1.7668999999999999</v>
      </c>
      <c r="R128" s="148">
        <v>1.7501</v>
      </c>
      <c r="S128" s="148">
        <f t="shared" si="19"/>
        <v>1.7730999999999999</v>
      </c>
      <c r="T128" s="78">
        <f>VLOOKUP(C128&amp;D128,Documentation!$J$37:$K$52,2,FALSE)</f>
        <v>7</v>
      </c>
      <c r="X128" s="148">
        <f t="shared" si="14"/>
        <v>1.7968999999999999</v>
      </c>
      <c r="Y128" s="148">
        <f t="shared" si="14"/>
        <v>1.7784</v>
      </c>
      <c r="Z128" s="148">
        <f t="shared" si="14"/>
        <v>1.7668999999999999</v>
      </c>
      <c r="AA128" s="148">
        <f t="shared" si="14"/>
        <v>1.7501</v>
      </c>
    </row>
    <row r="129" spans="1:27" x14ac:dyDescent="0.2">
      <c r="A129" s="78">
        <v>296</v>
      </c>
      <c r="B129" s="78" t="s">
        <v>189</v>
      </c>
      <c r="C129" s="79">
        <v>44562</v>
      </c>
      <c r="D129" s="79">
        <v>44926</v>
      </c>
      <c r="E129" s="147">
        <v>3680514</v>
      </c>
      <c r="F129" s="147">
        <v>550816</v>
      </c>
      <c r="G129" s="147">
        <v>1111012</v>
      </c>
      <c r="H129" s="147">
        <v>1285063</v>
      </c>
      <c r="I129" s="147">
        <v>10363</v>
      </c>
      <c r="J129" s="147">
        <v>19573</v>
      </c>
      <c r="K129" s="147">
        <v>22995</v>
      </c>
      <c r="L129" s="148">
        <v>1.3331</v>
      </c>
      <c r="M129" s="148">
        <v>1.3308</v>
      </c>
      <c r="N129" s="148">
        <v>1.3959999999999999</v>
      </c>
      <c r="O129" s="148">
        <v>1.4396</v>
      </c>
      <c r="P129" s="148">
        <v>1.4330000000000001</v>
      </c>
      <c r="Q129" s="148">
        <v>1.4349000000000001</v>
      </c>
      <c r="R129" s="148">
        <v>1.4691000000000001</v>
      </c>
      <c r="S129" s="148">
        <f t="shared" si="19"/>
        <v>1.4441999999999999</v>
      </c>
      <c r="T129" s="78">
        <f>VLOOKUP(C129&amp;D129,Documentation!$J$37:$K$52,2,FALSE)</f>
        <v>7</v>
      </c>
      <c r="X129" s="148">
        <f t="shared" si="14"/>
        <v>1.4396</v>
      </c>
      <c r="Y129" s="148">
        <f t="shared" si="14"/>
        <v>1.4330000000000001</v>
      </c>
      <c r="Z129" s="148">
        <f t="shared" si="14"/>
        <v>1.4349000000000001</v>
      </c>
      <c r="AA129" s="148">
        <f t="shared" si="14"/>
        <v>1.4691000000000001</v>
      </c>
    </row>
    <row r="130" spans="1:27" x14ac:dyDescent="0.2">
      <c r="A130" s="78">
        <v>312</v>
      </c>
      <c r="B130" s="78" t="s">
        <v>497</v>
      </c>
      <c r="C130" s="79">
        <v>44562</v>
      </c>
      <c r="D130" s="79">
        <v>44926</v>
      </c>
      <c r="E130" s="147">
        <v>5131395</v>
      </c>
      <c r="F130" s="147">
        <v>610048</v>
      </c>
      <c r="G130" s="147">
        <v>1421004</v>
      </c>
      <c r="H130" s="147">
        <v>1586090</v>
      </c>
      <c r="I130" s="147">
        <v>25959</v>
      </c>
      <c r="J130" s="147">
        <v>44743</v>
      </c>
      <c r="K130" s="147">
        <v>47450</v>
      </c>
      <c r="L130" s="148">
        <v>1.3836999999999999</v>
      </c>
      <c r="M130" s="148">
        <v>1.3829</v>
      </c>
      <c r="N130" s="148">
        <v>1.3845000000000001</v>
      </c>
      <c r="O130" s="148">
        <v>1.6029</v>
      </c>
      <c r="P130" s="148">
        <v>1.4256</v>
      </c>
      <c r="Q130" s="148">
        <v>1.4633</v>
      </c>
      <c r="R130" s="148">
        <v>1.5308999999999999</v>
      </c>
      <c r="S130" s="148">
        <f t="shared" si="19"/>
        <v>1.5057</v>
      </c>
      <c r="T130" s="78">
        <f>VLOOKUP(C130&amp;D130,Documentation!$J$37:$K$52,2,FALSE)</f>
        <v>7</v>
      </c>
      <c r="X130" s="148">
        <f t="shared" si="14"/>
        <v>1.6029</v>
      </c>
      <c r="Y130" s="148">
        <f t="shared" si="14"/>
        <v>1.4256</v>
      </c>
      <c r="Z130" s="148">
        <f t="shared" si="14"/>
        <v>1.4633</v>
      </c>
      <c r="AA130" s="148">
        <f t="shared" si="14"/>
        <v>1.5308999999999999</v>
      </c>
    </row>
    <row r="131" spans="1:27" x14ac:dyDescent="0.2">
      <c r="A131" s="78">
        <v>318</v>
      </c>
      <c r="B131" s="78" t="s">
        <v>454</v>
      </c>
      <c r="C131" s="79">
        <v>44562</v>
      </c>
      <c r="D131" s="79">
        <v>44926</v>
      </c>
      <c r="E131" s="147">
        <v>6756006</v>
      </c>
      <c r="F131" s="147">
        <v>978211</v>
      </c>
      <c r="G131" s="147">
        <v>1658932</v>
      </c>
      <c r="H131" s="147">
        <v>2416392</v>
      </c>
      <c r="I131" s="147">
        <v>27709</v>
      </c>
      <c r="J131" s="147">
        <v>41941</v>
      </c>
      <c r="K131" s="147">
        <v>50735</v>
      </c>
      <c r="L131" s="148">
        <v>1.4044000000000001</v>
      </c>
      <c r="M131" s="148">
        <v>1.3925000000000001</v>
      </c>
      <c r="N131" s="148">
        <v>1.3894</v>
      </c>
      <c r="O131" s="148">
        <v>1.4093</v>
      </c>
      <c r="P131" s="148">
        <v>1.4063000000000001</v>
      </c>
      <c r="Q131" s="148">
        <v>1.4887999999999999</v>
      </c>
      <c r="R131" s="148">
        <v>1.5164</v>
      </c>
      <c r="S131" s="148">
        <f t="shared" si="19"/>
        <v>1.4552</v>
      </c>
      <c r="T131" s="78">
        <f>VLOOKUP(C131&amp;D131,Documentation!$J$37:$K$52,2,FALSE)</f>
        <v>7</v>
      </c>
      <c r="X131" s="148">
        <f t="shared" si="14"/>
        <v>1.4093</v>
      </c>
      <c r="Y131" s="148">
        <f t="shared" si="14"/>
        <v>1.4063000000000001</v>
      </c>
      <c r="Z131" s="148">
        <f t="shared" si="14"/>
        <v>1.4887999999999999</v>
      </c>
      <c r="AA131" s="148">
        <f t="shared" si="14"/>
        <v>1.5164</v>
      </c>
    </row>
    <row r="132" spans="1:27" x14ac:dyDescent="0.2">
      <c r="A132" s="78">
        <v>326</v>
      </c>
      <c r="B132" s="78" t="s">
        <v>456</v>
      </c>
      <c r="C132" s="79">
        <v>44562</v>
      </c>
      <c r="D132" s="79">
        <v>44926</v>
      </c>
      <c r="E132" s="147">
        <v>6062032</v>
      </c>
      <c r="F132" s="147">
        <v>1101223</v>
      </c>
      <c r="G132" s="147">
        <v>1578895</v>
      </c>
      <c r="H132" s="147">
        <v>2307123</v>
      </c>
      <c r="I132" s="147">
        <v>23238</v>
      </c>
      <c r="J132" s="147">
        <v>40183</v>
      </c>
      <c r="K132" s="147">
        <v>43800</v>
      </c>
      <c r="L132" s="148">
        <v>1.3897999999999999</v>
      </c>
      <c r="M132" s="148">
        <v>1.3918999999999999</v>
      </c>
      <c r="N132" s="148">
        <v>1.3918999999999999</v>
      </c>
      <c r="O132" s="148">
        <v>1.3824000000000001</v>
      </c>
      <c r="P132" s="148">
        <v>1.4810000000000001</v>
      </c>
      <c r="Q132" s="148">
        <v>1.5365</v>
      </c>
      <c r="R132" s="148">
        <v>1.6071</v>
      </c>
      <c r="S132" s="148">
        <f t="shared" si="19"/>
        <v>1.5018</v>
      </c>
      <c r="T132" s="78">
        <f>VLOOKUP(C132&amp;D132,Documentation!$J$37:$K$52,2,FALSE)</f>
        <v>7</v>
      </c>
      <c r="X132" s="148">
        <f t="shared" si="14"/>
        <v>1.3824000000000001</v>
      </c>
      <c r="Y132" s="148">
        <f t="shared" si="14"/>
        <v>1.4810000000000001</v>
      </c>
      <c r="Z132" s="148">
        <f t="shared" si="14"/>
        <v>1.5365</v>
      </c>
      <c r="AA132" s="148">
        <f t="shared" si="14"/>
        <v>1.6071</v>
      </c>
    </row>
    <row r="133" spans="1:27" x14ac:dyDescent="0.2">
      <c r="A133" s="78">
        <v>336</v>
      </c>
      <c r="B133" s="78" t="s">
        <v>385</v>
      </c>
      <c r="C133" s="79">
        <v>44562</v>
      </c>
      <c r="D133" s="79">
        <v>44926</v>
      </c>
      <c r="E133" s="147">
        <v>4775507</v>
      </c>
      <c r="F133" s="147">
        <v>634734</v>
      </c>
      <c r="G133" s="147">
        <v>1760905</v>
      </c>
      <c r="H133" s="147">
        <v>1710829</v>
      </c>
      <c r="I133" s="147">
        <v>15404</v>
      </c>
      <c r="J133" s="147">
        <v>34308</v>
      </c>
      <c r="K133" s="147">
        <v>36500</v>
      </c>
      <c r="L133" s="148">
        <v>1.6314</v>
      </c>
      <c r="M133" s="148">
        <v>1.6701999999999999</v>
      </c>
      <c r="N133" s="148">
        <v>1.6681999999999999</v>
      </c>
      <c r="O133" s="148">
        <v>1.8031999999999999</v>
      </c>
      <c r="P133" s="148">
        <v>1.6707000000000001</v>
      </c>
      <c r="Q133" s="148">
        <v>1.6789000000000001</v>
      </c>
      <c r="R133" s="148">
        <v>1.7574000000000001</v>
      </c>
      <c r="S133" s="148">
        <f t="shared" si="19"/>
        <v>1.7276</v>
      </c>
      <c r="T133" s="78">
        <f>VLOOKUP(C133&amp;D133,Documentation!$J$37:$K$52,2,FALSE)</f>
        <v>7</v>
      </c>
      <c r="X133" s="148">
        <f t="shared" si="14"/>
        <v>1.8031999999999999</v>
      </c>
      <c r="Y133" s="148">
        <f t="shared" si="14"/>
        <v>1.6707000000000001</v>
      </c>
      <c r="Z133" s="148">
        <f t="shared" si="14"/>
        <v>1.6789000000000001</v>
      </c>
      <c r="AA133" s="148">
        <f t="shared" si="14"/>
        <v>1.7574000000000001</v>
      </c>
    </row>
    <row r="134" spans="1:27" x14ac:dyDescent="0.2">
      <c r="A134" s="78">
        <v>340</v>
      </c>
      <c r="B134" s="78" t="s">
        <v>387</v>
      </c>
      <c r="C134" s="79">
        <v>44562</v>
      </c>
      <c r="D134" s="79">
        <v>44926</v>
      </c>
      <c r="E134" s="147">
        <v>2653896</v>
      </c>
      <c r="F134" s="147">
        <v>402970</v>
      </c>
      <c r="G134" s="147">
        <v>1158315</v>
      </c>
      <c r="H134" s="147">
        <v>922069</v>
      </c>
      <c r="I134" s="147">
        <v>17062</v>
      </c>
      <c r="J134" s="147">
        <v>21207</v>
      </c>
      <c r="K134" s="147">
        <v>43800</v>
      </c>
      <c r="L134" s="148">
        <v>1.3208</v>
      </c>
      <c r="M134" s="148">
        <v>1.2703</v>
      </c>
      <c r="N134" s="148">
        <v>1.2188000000000001</v>
      </c>
      <c r="O134" s="148">
        <v>1.22</v>
      </c>
      <c r="P134" s="148">
        <v>1.1902999999999999</v>
      </c>
      <c r="Q134" s="148">
        <v>1.1629</v>
      </c>
      <c r="R134" s="148">
        <v>1.2602</v>
      </c>
      <c r="S134" s="148">
        <f t="shared" si="19"/>
        <v>1.2083999999999999</v>
      </c>
      <c r="T134" s="78">
        <f>VLOOKUP(C134&amp;D134,Documentation!$J$37:$K$52,2,FALSE)</f>
        <v>7</v>
      </c>
      <c r="X134" s="148">
        <f t="shared" si="14"/>
        <v>1.22</v>
      </c>
      <c r="Y134" s="148">
        <f t="shared" si="14"/>
        <v>1.1902999999999999</v>
      </c>
      <c r="Z134" s="148">
        <f t="shared" si="14"/>
        <v>1.1629</v>
      </c>
      <c r="AA134" s="148">
        <f t="shared" si="14"/>
        <v>1.2602</v>
      </c>
    </row>
    <row r="135" spans="1:27" x14ac:dyDescent="0.2">
      <c r="A135" s="78">
        <v>342</v>
      </c>
      <c r="B135" s="78" t="s">
        <v>602</v>
      </c>
      <c r="C135" s="79">
        <v>44562</v>
      </c>
      <c r="D135" s="79">
        <v>44926</v>
      </c>
      <c r="E135" s="147">
        <v>7992209</v>
      </c>
      <c r="F135" s="147">
        <v>536717</v>
      </c>
      <c r="G135" s="147">
        <v>1648819</v>
      </c>
      <c r="H135" s="147">
        <v>1871508</v>
      </c>
      <c r="I135" s="147">
        <v>20220</v>
      </c>
      <c r="J135" s="147">
        <v>37659</v>
      </c>
      <c r="K135" s="147">
        <v>43070</v>
      </c>
      <c r="L135" s="148">
        <v>1.7495000000000001</v>
      </c>
      <c r="M135" s="148">
        <v>1.7004999999999999</v>
      </c>
      <c r="N135" s="148">
        <v>1.7282</v>
      </c>
      <c r="O135" s="148">
        <v>1.7606999999999999</v>
      </c>
      <c r="P135" s="148">
        <v>1.7108000000000001</v>
      </c>
      <c r="Q135" s="148">
        <v>1.7657</v>
      </c>
      <c r="R135" s="148">
        <v>1.8010999999999999</v>
      </c>
      <c r="S135" s="148">
        <f t="shared" si="19"/>
        <v>1.7596000000000001</v>
      </c>
      <c r="T135" s="78">
        <f>VLOOKUP(C135&amp;D135,Documentation!$J$37:$K$52,2,FALSE)</f>
        <v>7</v>
      </c>
      <c r="X135" s="148">
        <f t="shared" si="14"/>
        <v>1.7606999999999999</v>
      </c>
      <c r="Y135" s="148">
        <f t="shared" si="14"/>
        <v>1.7108000000000001</v>
      </c>
      <c r="Z135" s="148">
        <f t="shared" si="14"/>
        <v>1.7657</v>
      </c>
      <c r="AA135" s="148">
        <f t="shared" si="14"/>
        <v>1.8010999999999999</v>
      </c>
    </row>
    <row r="136" spans="1:27" x14ac:dyDescent="0.2">
      <c r="A136" s="78">
        <v>344</v>
      </c>
      <c r="B136" s="78" t="s">
        <v>348</v>
      </c>
      <c r="C136" s="79">
        <v>44562</v>
      </c>
      <c r="D136" s="79">
        <v>44926</v>
      </c>
      <c r="E136" s="147">
        <v>8848700</v>
      </c>
      <c r="F136" s="147">
        <v>1341309</v>
      </c>
      <c r="G136" s="147">
        <v>3921255</v>
      </c>
      <c r="H136" s="147">
        <v>3754940</v>
      </c>
      <c r="I136" s="147">
        <v>22821</v>
      </c>
      <c r="J136" s="147">
        <v>46240</v>
      </c>
      <c r="K136" s="147">
        <v>58400</v>
      </c>
      <c r="L136" s="148">
        <v>1.288</v>
      </c>
      <c r="M136" s="148">
        <v>1.2934000000000001</v>
      </c>
      <c r="N136" s="148">
        <v>1.3364</v>
      </c>
      <c r="O136" s="148">
        <v>1.47</v>
      </c>
      <c r="P136" s="148">
        <v>1.4069</v>
      </c>
      <c r="Q136" s="148">
        <v>1.3785000000000001</v>
      </c>
      <c r="R136" s="148">
        <v>1.4632000000000001</v>
      </c>
      <c r="S136" s="148">
        <f t="shared" si="19"/>
        <v>1.4297</v>
      </c>
      <c r="T136" s="78">
        <f>VLOOKUP(C136&amp;D136,Documentation!$J$37:$K$52,2,FALSE)</f>
        <v>7</v>
      </c>
      <c r="X136" s="148">
        <f t="shared" si="14"/>
        <v>1.47</v>
      </c>
      <c r="Y136" s="148">
        <f t="shared" si="14"/>
        <v>1.4069</v>
      </c>
      <c r="Z136" s="148">
        <f t="shared" si="14"/>
        <v>1.3785000000000001</v>
      </c>
      <c r="AA136" s="148">
        <f t="shared" si="14"/>
        <v>1.4632000000000001</v>
      </c>
    </row>
    <row r="137" spans="1:27" x14ac:dyDescent="0.2">
      <c r="A137" s="78">
        <v>348</v>
      </c>
      <c r="B137" s="78" t="s">
        <v>436</v>
      </c>
      <c r="C137" s="79">
        <v>44562</v>
      </c>
      <c r="D137" s="79">
        <v>44926</v>
      </c>
      <c r="E137" s="147">
        <v>4980073</v>
      </c>
      <c r="F137" s="147">
        <v>578373</v>
      </c>
      <c r="G137" s="147">
        <v>1594664</v>
      </c>
      <c r="H137" s="147">
        <v>1290481</v>
      </c>
      <c r="I137" s="147">
        <v>27040</v>
      </c>
      <c r="J137" s="147">
        <v>36944</v>
      </c>
      <c r="K137" s="147">
        <v>71540</v>
      </c>
      <c r="L137" s="148">
        <v>1.1892</v>
      </c>
      <c r="M137" s="148">
        <v>1.2096</v>
      </c>
      <c r="N137" s="148">
        <v>1.1877</v>
      </c>
      <c r="O137" s="148">
        <v>1.2061999999999999</v>
      </c>
      <c r="P137" s="148">
        <v>1.2254</v>
      </c>
      <c r="Q137" s="148">
        <v>1.3409</v>
      </c>
      <c r="R137" s="148">
        <v>1.3053999999999999</v>
      </c>
      <c r="S137" s="148">
        <f t="shared" si="19"/>
        <v>1.2695000000000001</v>
      </c>
      <c r="T137" s="78">
        <f>VLOOKUP(C137&amp;D137,Documentation!$J$37:$K$52,2,FALSE)</f>
        <v>7</v>
      </c>
      <c r="X137" s="148">
        <f t="shared" si="14"/>
        <v>1.2061999999999999</v>
      </c>
      <c r="Y137" s="148">
        <f t="shared" si="14"/>
        <v>1.2254</v>
      </c>
      <c r="Z137" s="148">
        <f t="shared" si="14"/>
        <v>1.3409</v>
      </c>
      <c r="AA137" s="148">
        <f t="shared" si="14"/>
        <v>1.3053999999999999</v>
      </c>
    </row>
    <row r="138" spans="1:27" x14ac:dyDescent="0.2">
      <c r="A138" s="78">
        <v>354</v>
      </c>
      <c r="B138" s="78" t="s">
        <v>222</v>
      </c>
      <c r="C138" s="79">
        <v>44562</v>
      </c>
      <c r="D138" s="79">
        <v>44926</v>
      </c>
      <c r="E138" s="147">
        <v>9411361</v>
      </c>
      <c r="F138" s="147">
        <v>1400157</v>
      </c>
      <c r="G138" s="147">
        <v>3406996</v>
      </c>
      <c r="H138" s="147">
        <v>4244791</v>
      </c>
      <c r="I138" s="147">
        <v>8821</v>
      </c>
      <c r="J138" s="147">
        <v>39895</v>
      </c>
      <c r="K138" s="147">
        <v>58400</v>
      </c>
      <c r="L138" s="148">
        <v>1.2936000000000001</v>
      </c>
      <c r="M138" s="148">
        <v>1.3028999999999999</v>
      </c>
      <c r="N138" s="148">
        <v>1.2887999999999999</v>
      </c>
      <c r="O138" s="148">
        <v>1.361</v>
      </c>
      <c r="P138" s="148">
        <v>1.3335999999999999</v>
      </c>
      <c r="Q138" s="148">
        <v>1.3615999999999999</v>
      </c>
      <c r="R138" s="148">
        <v>1.3355999999999999</v>
      </c>
      <c r="S138" s="148">
        <f t="shared" si="19"/>
        <v>1.3480000000000001</v>
      </c>
      <c r="T138" s="78">
        <f>VLOOKUP(C138&amp;D138,Documentation!$J$37:$K$52,2,FALSE)</f>
        <v>7</v>
      </c>
      <c r="X138" s="148">
        <f t="shared" si="14"/>
        <v>1.361</v>
      </c>
      <c r="Y138" s="148">
        <f t="shared" si="14"/>
        <v>1.3335999999999999</v>
      </c>
      <c r="Z138" s="148">
        <f t="shared" si="14"/>
        <v>1.3615999999999999</v>
      </c>
      <c r="AA138" s="148">
        <f t="shared" si="14"/>
        <v>1.3355999999999999</v>
      </c>
    </row>
    <row r="139" spans="1:27" x14ac:dyDescent="0.2">
      <c r="A139" s="78">
        <v>362</v>
      </c>
      <c r="B139" s="78" t="s">
        <v>558</v>
      </c>
      <c r="C139" s="79">
        <v>44562</v>
      </c>
      <c r="D139" s="79">
        <v>44926</v>
      </c>
      <c r="E139" s="147">
        <v>4733735</v>
      </c>
      <c r="F139" s="147">
        <v>404237</v>
      </c>
      <c r="G139" s="147">
        <v>1602822</v>
      </c>
      <c r="H139" s="147">
        <v>1474013</v>
      </c>
      <c r="I139" s="147">
        <v>19244</v>
      </c>
      <c r="J139" s="147">
        <v>29732</v>
      </c>
      <c r="K139" s="147">
        <v>40150</v>
      </c>
      <c r="L139" s="148">
        <v>1.3672</v>
      </c>
      <c r="M139" s="148">
        <v>1.4581999999999999</v>
      </c>
      <c r="N139" s="148">
        <v>1.5640000000000001</v>
      </c>
      <c r="O139" s="148">
        <v>1.5891999999999999</v>
      </c>
      <c r="P139" s="148">
        <v>1.5650999999999999</v>
      </c>
      <c r="Q139" s="148">
        <v>1.5103</v>
      </c>
      <c r="R139" s="148">
        <v>1.546</v>
      </c>
      <c r="S139" s="148">
        <f t="shared" si="19"/>
        <v>1.5527</v>
      </c>
      <c r="T139" s="78">
        <f>VLOOKUP(C139&amp;D139,Documentation!$J$37:$K$52,2,FALSE)</f>
        <v>7</v>
      </c>
      <c r="X139" s="148">
        <f t="shared" si="14"/>
        <v>1.5891999999999999</v>
      </c>
      <c r="Y139" s="148">
        <f t="shared" si="14"/>
        <v>1.5650999999999999</v>
      </c>
      <c r="Z139" s="148">
        <f t="shared" si="14"/>
        <v>1.5103</v>
      </c>
      <c r="AA139" s="148">
        <f t="shared" si="14"/>
        <v>1.546</v>
      </c>
    </row>
    <row r="140" spans="1:27" x14ac:dyDescent="0.2">
      <c r="A140" s="78">
        <v>364</v>
      </c>
      <c r="B140" s="78" t="s">
        <v>178</v>
      </c>
      <c r="C140" s="79">
        <v>44562</v>
      </c>
      <c r="D140" s="79">
        <v>44926</v>
      </c>
      <c r="E140" s="147">
        <v>2517816</v>
      </c>
      <c r="F140" s="147">
        <v>313107</v>
      </c>
      <c r="G140" s="147">
        <v>887487</v>
      </c>
      <c r="H140" s="147">
        <v>814334</v>
      </c>
      <c r="I140" s="147">
        <v>3000</v>
      </c>
      <c r="J140" s="147">
        <v>12456</v>
      </c>
      <c r="K140" s="147">
        <v>12775</v>
      </c>
      <c r="L140" s="148">
        <v>1.2257</v>
      </c>
      <c r="M140" s="148">
        <v>1.2243999999999999</v>
      </c>
      <c r="N140" s="148">
        <v>1.2159</v>
      </c>
      <c r="O140" s="148">
        <v>1.2437</v>
      </c>
      <c r="P140" s="148">
        <v>1.2736000000000001</v>
      </c>
      <c r="Q140" s="148">
        <v>1.1930000000000001</v>
      </c>
      <c r="R140" s="148">
        <v>1.0854999999999999</v>
      </c>
      <c r="S140" s="148">
        <f t="shared" si="19"/>
        <v>1.1990000000000001</v>
      </c>
      <c r="T140" s="78">
        <f>VLOOKUP(C140&amp;D140,Documentation!$J$37:$K$52,2,FALSE)</f>
        <v>7</v>
      </c>
      <c r="X140" s="148">
        <f t="shared" si="14"/>
        <v>1.2437</v>
      </c>
      <c r="Y140" s="148">
        <f t="shared" si="14"/>
        <v>1.2736000000000001</v>
      </c>
      <c r="Z140" s="148">
        <f t="shared" si="14"/>
        <v>1.1930000000000001</v>
      </c>
      <c r="AA140" s="148">
        <f t="shared" si="14"/>
        <v>1.0854999999999999</v>
      </c>
    </row>
    <row r="141" spans="1:27" x14ac:dyDescent="0.2">
      <c r="A141" s="78">
        <v>368</v>
      </c>
      <c r="B141" s="78" t="s">
        <v>507</v>
      </c>
      <c r="C141" s="79">
        <v>44562</v>
      </c>
      <c r="D141" s="79">
        <v>44926</v>
      </c>
      <c r="E141" s="147">
        <v>7601002</v>
      </c>
      <c r="F141" s="147">
        <v>903146</v>
      </c>
      <c r="G141" s="147">
        <v>2170394</v>
      </c>
      <c r="H141" s="147">
        <v>1987795</v>
      </c>
      <c r="I141" s="147">
        <v>42813</v>
      </c>
      <c r="J141" s="147">
        <v>60612</v>
      </c>
      <c r="K141" s="147">
        <v>63875</v>
      </c>
      <c r="L141" s="148">
        <v>1.3281000000000001</v>
      </c>
      <c r="M141" s="148">
        <v>1.3085</v>
      </c>
      <c r="N141" s="148">
        <v>1.2905</v>
      </c>
      <c r="O141" s="148">
        <v>1.391</v>
      </c>
      <c r="P141" s="148">
        <v>1.3740000000000001</v>
      </c>
      <c r="Q141" s="148">
        <v>1.4167000000000001</v>
      </c>
      <c r="R141" s="148">
        <v>1.5730999999999999</v>
      </c>
      <c r="S141" s="148">
        <f t="shared" si="19"/>
        <v>1.4387000000000001</v>
      </c>
      <c r="T141" s="78">
        <f>VLOOKUP(C141&amp;D141,Documentation!$J$37:$K$52,2,FALSE)</f>
        <v>7</v>
      </c>
      <c r="X141" s="148">
        <f t="shared" si="14"/>
        <v>1.391</v>
      </c>
      <c r="Y141" s="148">
        <f t="shared" si="14"/>
        <v>1.3740000000000001</v>
      </c>
      <c r="Z141" s="148">
        <f t="shared" si="14"/>
        <v>1.4167000000000001</v>
      </c>
      <c r="AA141" s="148">
        <f t="shared" si="14"/>
        <v>1.5730999999999999</v>
      </c>
    </row>
    <row r="142" spans="1:27" x14ac:dyDescent="0.2">
      <c r="A142" s="78">
        <v>370</v>
      </c>
      <c r="B142" s="78" t="s">
        <v>705</v>
      </c>
      <c r="C142" s="79">
        <v>44562</v>
      </c>
      <c r="D142" s="79">
        <v>44926</v>
      </c>
      <c r="E142" s="147">
        <v>6909642</v>
      </c>
      <c r="F142" s="147">
        <v>656894</v>
      </c>
      <c r="G142" s="147">
        <v>1780111</v>
      </c>
      <c r="H142" s="147">
        <v>1773973</v>
      </c>
      <c r="I142" s="147">
        <v>40300</v>
      </c>
      <c r="J142" s="147">
        <v>52362</v>
      </c>
      <c r="K142" s="147">
        <v>58400</v>
      </c>
      <c r="L142" s="148">
        <v>1.2808999999999999</v>
      </c>
      <c r="M142" s="148">
        <v>1.2789999999999999</v>
      </c>
      <c r="N142" s="148">
        <v>1.2906</v>
      </c>
      <c r="O142" s="148">
        <v>1.4435</v>
      </c>
      <c r="P142" s="148">
        <v>1.3878999999999999</v>
      </c>
      <c r="Q142" s="148">
        <v>1.4573</v>
      </c>
      <c r="R142" s="148">
        <v>1.5386</v>
      </c>
      <c r="S142" s="148">
        <f t="shared" si="19"/>
        <v>1.4568000000000001</v>
      </c>
      <c r="T142" s="78">
        <f>VLOOKUP(C142&amp;D142,Documentation!$J$37:$K$52,2,FALSE)</f>
        <v>7</v>
      </c>
      <c r="X142" s="148">
        <f t="shared" si="14"/>
        <v>1.4435</v>
      </c>
      <c r="Y142" s="148">
        <f t="shared" si="14"/>
        <v>1.3878999999999999</v>
      </c>
      <c r="Z142" s="148">
        <f t="shared" si="14"/>
        <v>1.4573</v>
      </c>
      <c r="AA142" s="148">
        <f t="shared" si="14"/>
        <v>1.5386</v>
      </c>
    </row>
    <row r="143" spans="1:27" x14ac:dyDescent="0.2">
      <c r="A143" s="78">
        <v>372</v>
      </c>
      <c r="B143" s="78" t="s">
        <v>653</v>
      </c>
      <c r="C143" s="79">
        <v>44562</v>
      </c>
      <c r="D143" s="79">
        <v>44957</v>
      </c>
      <c r="E143" s="147">
        <v>4885715</v>
      </c>
      <c r="F143" s="147">
        <v>687859</v>
      </c>
      <c r="G143" s="147">
        <v>1484950</v>
      </c>
      <c r="H143" s="147">
        <v>1846031</v>
      </c>
      <c r="I143" s="147">
        <v>27169</v>
      </c>
      <c r="J143" s="147">
        <v>35830</v>
      </c>
      <c r="K143" s="147">
        <v>45936</v>
      </c>
      <c r="L143" s="148">
        <v>1.2841</v>
      </c>
      <c r="M143" s="148">
        <v>1.2977000000000001</v>
      </c>
      <c r="N143" s="148">
        <v>1.3026</v>
      </c>
      <c r="O143" s="148">
        <v>1.5035000000000001</v>
      </c>
      <c r="P143" s="148">
        <v>1.3249</v>
      </c>
      <c r="Q143" s="148">
        <v>1.3355999999999999</v>
      </c>
      <c r="R143" s="148">
        <v>1.2592000000000001</v>
      </c>
      <c r="S143" s="148">
        <f t="shared" si="19"/>
        <v>1.3557999999999999</v>
      </c>
      <c r="T143" s="78">
        <f>VLOOKUP(C143&amp;D143,Documentation!$J$37:$K$52,2,FALSE)</f>
        <v>7</v>
      </c>
      <c r="X143" s="148">
        <f t="shared" ref="X143:AA195" si="20">+O143</f>
        <v>1.5035000000000001</v>
      </c>
      <c r="Y143" s="148">
        <f t="shared" si="20"/>
        <v>1.3249</v>
      </c>
      <c r="Z143" s="148">
        <f t="shared" si="20"/>
        <v>1.3355999999999999</v>
      </c>
      <c r="AA143" s="148">
        <f t="shared" si="20"/>
        <v>1.2592000000000001</v>
      </c>
    </row>
    <row r="144" spans="1:27" x14ac:dyDescent="0.2">
      <c r="A144" s="78">
        <v>378</v>
      </c>
      <c r="B144" s="78" t="s">
        <v>418</v>
      </c>
      <c r="C144" s="79">
        <v>44562</v>
      </c>
      <c r="D144" s="79">
        <v>44926</v>
      </c>
      <c r="E144" s="147">
        <v>5631444</v>
      </c>
      <c r="F144" s="147">
        <v>906457</v>
      </c>
      <c r="G144" s="147">
        <v>1623156</v>
      </c>
      <c r="H144" s="147">
        <v>1549048</v>
      </c>
      <c r="I144" s="147">
        <v>26407</v>
      </c>
      <c r="J144" s="147">
        <v>44142</v>
      </c>
      <c r="K144" s="147">
        <v>54020</v>
      </c>
      <c r="L144" s="148">
        <v>1.4547000000000001</v>
      </c>
      <c r="M144" s="148">
        <v>1.3912</v>
      </c>
      <c r="N144" s="148">
        <v>1.3606</v>
      </c>
      <c r="O144" s="148">
        <v>1.3380000000000001</v>
      </c>
      <c r="P144" s="148">
        <v>1.3523000000000001</v>
      </c>
      <c r="Q144" s="148">
        <v>1.3751</v>
      </c>
      <c r="R144" s="148">
        <v>1.3875999999999999</v>
      </c>
      <c r="S144" s="148">
        <f t="shared" si="19"/>
        <v>1.3633</v>
      </c>
      <c r="T144" s="78">
        <f>VLOOKUP(C144&amp;D144,Documentation!$J$37:$K$52,2,FALSE)</f>
        <v>7</v>
      </c>
      <c r="X144" s="148">
        <f t="shared" si="20"/>
        <v>1.3380000000000001</v>
      </c>
      <c r="Y144" s="148">
        <f t="shared" si="20"/>
        <v>1.3523000000000001</v>
      </c>
      <c r="Z144" s="148">
        <f t="shared" si="20"/>
        <v>1.3751</v>
      </c>
      <c r="AA144" s="148">
        <f t="shared" si="20"/>
        <v>1.3875999999999999</v>
      </c>
    </row>
    <row r="145" spans="1:27" x14ac:dyDescent="0.2">
      <c r="A145" s="78">
        <v>380</v>
      </c>
      <c r="B145" s="78" t="s">
        <v>226</v>
      </c>
      <c r="C145" s="79">
        <v>44562</v>
      </c>
      <c r="D145" s="79">
        <v>44926</v>
      </c>
      <c r="E145" s="147">
        <v>6786033</v>
      </c>
      <c r="F145" s="147">
        <v>740104</v>
      </c>
      <c r="G145" s="147">
        <v>2813683</v>
      </c>
      <c r="H145" s="147">
        <v>2898707</v>
      </c>
      <c r="I145" s="147">
        <v>4874</v>
      </c>
      <c r="J145" s="147">
        <v>25621</v>
      </c>
      <c r="K145" s="147">
        <v>42705</v>
      </c>
      <c r="L145" s="148">
        <v>1.3109</v>
      </c>
      <c r="M145" s="148">
        <v>1.3123</v>
      </c>
      <c r="N145" s="148">
        <v>1.3097000000000001</v>
      </c>
      <c r="O145" s="148">
        <v>1.4535</v>
      </c>
      <c r="P145" s="148">
        <v>1.3773</v>
      </c>
      <c r="Q145" s="148">
        <v>1.5095000000000001</v>
      </c>
      <c r="R145" s="148">
        <v>1.4493</v>
      </c>
      <c r="S145" s="148">
        <f t="shared" si="19"/>
        <v>1.4474</v>
      </c>
      <c r="T145" s="78">
        <f>VLOOKUP(C145&amp;D145,Documentation!$J$37:$K$52,2,FALSE)</f>
        <v>7</v>
      </c>
      <c r="X145" s="148">
        <f t="shared" si="20"/>
        <v>1.4535</v>
      </c>
      <c r="Y145" s="148">
        <f t="shared" si="20"/>
        <v>1.3773</v>
      </c>
      <c r="Z145" s="148">
        <f t="shared" si="20"/>
        <v>1.5095000000000001</v>
      </c>
      <c r="AA145" s="148">
        <f t="shared" si="20"/>
        <v>1.4493</v>
      </c>
    </row>
    <row r="146" spans="1:27" x14ac:dyDescent="0.2">
      <c r="A146" s="78">
        <v>384</v>
      </c>
      <c r="B146" s="78" t="s">
        <v>493</v>
      </c>
      <c r="C146" s="79">
        <v>44562</v>
      </c>
      <c r="D146" s="79">
        <v>44926</v>
      </c>
      <c r="E146" s="147">
        <v>12059687</v>
      </c>
      <c r="F146" s="147">
        <v>1324338</v>
      </c>
      <c r="G146" s="147">
        <v>3429180</v>
      </c>
      <c r="H146" s="147">
        <v>2855804</v>
      </c>
      <c r="I146" s="147">
        <v>50800</v>
      </c>
      <c r="J146" s="147">
        <v>78711</v>
      </c>
      <c r="K146" s="147">
        <v>86870</v>
      </c>
      <c r="L146" s="148">
        <v>1.5136000000000001</v>
      </c>
      <c r="M146" s="148">
        <v>1.4901</v>
      </c>
      <c r="N146" s="148">
        <v>1.4871000000000001</v>
      </c>
      <c r="O146" s="148">
        <v>1.6071</v>
      </c>
      <c r="P146" s="148">
        <v>1.5267999999999999</v>
      </c>
      <c r="Q146" s="148">
        <v>1.4397</v>
      </c>
      <c r="R146" s="148">
        <v>1.4638</v>
      </c>
      <c r="S146" s="148">
        <f t="shared" si="19"/>
        <v>1.5094000000000001</v>
      </c>
      <c r="T146" s="78">
        <f>VLOOKUP(C146&amp;D146,Documentation!$J$37:$K$52,2,FALSE)</f>
        <v>7</v>
      </c>
      <c r="X146" s="148">
        <f t="shared" si="20"/>
        <v>1.6071</v>
      </c>
      <c r="Y146" s="148">
        <f t="shared" si="20"/>
        <v>1.5267999999999999</v>
      </c>
      <c r="Z146" s="148">
        <f t="shared" si="20"/>
        <v>1.4397</v>
      </c>
      <c r="AA146" s="148">
        <f t="shared" si="20"/>
        <v>1.4638</v>
      </c>
    </row>
    <row r="147" spans="1:27" x14ac:dyDescent="0.2">
      <c r="A147" s="78">
        <v>386</v>
      </c>
      <c r="B147" s="78" t="s">
        <v>338</v>
      </c>
      <c r="C147" s="79">
        <v>44562</v>
      </c>
      <c r="D147" s="79">
        <v>44926</v>
      </c>
      <c r="E147" s="147">
        <v>5573769</v>
      </c>
      <c r="F147" s="147">
        <v>1110643</v>
      </c>
      <c r="G147" s="147">
        <v>1741993</v>
      </c>
      <c r="H147" s="147">
        <v>2357963</v>
      </c>
      <c r="I147" s="147">
        <v>29290</v>
      </c>
      <c r="J147" s="147">
        <v>40496</v>
      </c>
      <c r="K147" s="147">
        <v>43800</v>
      </c>
      <c r="L147" s="148">
        <v>1.3745000000000001</v>
      </c>
      <c r="M147" s="148">
        <v>1.3569</v>
      </c>
      <c r="N147" s="148">
        <v>1.4454</v>
      </c>
      <c r="O147" s="148">
        <v>1.4045000000000001</v>
      </c>
      <c r="P147" s="148">
        <v>1.4725999999999999</v>
      </c>
      <c r="Q147" s="148">
        <v>1.5176000000000001</v>
      </c>
      <c r="R147" s="148">
        <v>1.4939</v>
      </c>
      <c r="S147" s="148">
        <f t="shared" si="19"/>
        <v>1.4722</v>
      </c>
      <c r="T147" s="78">
        <f>VLOOKUP(C147&amp;D147,Documentation!$J$37:$K$52,2,FALSE)</f>
        <v>7</v>
      </c>
      <c r="X147" s="148">
        <f t="shared" si="20"/>
        <v>1.4045000000000001</v>
      </c>
      <c r="Y147" s="148">
        <f t="shared" si="20"/>
        <v>1.4725999999999999</v>
      </c>
      <c r="Z147" s="148">
        <f t="shared" si="20"/>
        <v>1.5176000000000001</v>
      </c>
      <c r="AA147" s="148">
        <f t="shared" si="20"/>
        <v>1.4939</v>
      </c>
    </row>
    <row r="148" spans="1:27" x14ac:dyDescent="0.2">
      <c r="A148" s="78">
        <v>388</v>
      </c>
      <c r="B148" s="78" t="s">
        <v>532</v>
      </c>
      <c r="C148" s="79">
        <v>44562</v>
      </c>
      <c r="D148" s="79">
        <v>44926</v>
      </c>
      <c r="E148" s="147">
        <v>3965576</v>
      </c>
      <c r="F148" s="147">
        <v>596789</v>
      </c>
      <c r="G148" s="147">
        <v>1561395</v>
      </c>
      <c r="H148" s="147">
        <v>1278895</v>
      </c>
      <c r="I148" s="147">
        <v>13660</v>
      </c>
      <c r="J148" s="147">
        <v>30094</v>
      </c>
      <c r="K148" s="147">
        <v>36500</v>
      </c>
      <c r="L148" s="148">
        <v>1.3759999999999999</v>
      </c>
      <c r="M148" s="148">
        <v>1.3499000000000001</v>
      </c>
      <c r="N148" s="148">
        <v>1.3476999999999999</v>
      </c>
      <c r="O148" s="148">
        <v>1.3847</v>
      </c>
      <c r="P148" s="148">
        <v>1.3236000000000001</v>
      </c>
      <c r="Q148" s="148">
        <v>1.3859999999999999</v>
      </c>
      <c r="R148" s="148">
        <v>1.4602999999999999</v>
      </c>
      <c r="S148" s="148">
        <f t="shared" si="19"/>
        <v>1.3887</v>
      </c>
      <c r="T148" s="78">
        <f>VLOOKUP(C148&amp;D148,Documentation!$J$37:$K$52,2,FALSE)</f>
        <v>7</v>
      </c>
      <c r="X148" s="148">
        <f t="shared" si="20"/>
        <v>1.3847</v>
      </c>
      <c r="Y148" s="148">
        <f t="shared" si="20"/>
        <v>1.3236000000000001</v>
      </c>
      <c r="Z148" s="148">
        <f t="shared" si="20"/>
        <v>1.3859999999999999</v>
      </c>
      <c r="AA148" s="148">
        <f t="shared" si="20"/>
        <v>1.4602999999999999</v>
      </c>
    </row>
    <row r="149" spans="1:27" x14ac:dyDescent="0.2">
      <c r="A149" s="78">
        <v>390</v>
      </c>
      <c r="B149" s="78" t="s">
        <v>450</v>
      </c>
      <c r="C149" s="79">
        <v>44562</v>
      </c>
      <c r="D149" s="79">
        <v>44926</v>
      </c>
      <c r="E149" s="147">
        <v>7028633</v>
      </c>
      <c r="F149" s="147">
        <v>658998</v>
      </c>
      <c r="G149" s="147">
        <v>1689947</v>
      </c>
      <c r="H149" s="147">
        <v>1814862</v>
      </c>
      <c r="I149" s="147">
        <v>28246</v>
      </c>
      <c r="J149" s="147">
        <v>38957</v>
      </c>
      <c r="K149" s="147">
        <v>51100</v>
      </c>
      <c r="L149" s="148">
        <v>1.5821000000000001</v>
      </c>
      <c r="M149" s="148">
        <v>1.4624999999999999</v>
      </c>
      <c r="N149" s="148">
        <v>1.4452</v>
      </c>
      <c r="O149" s="148">
        <v>1.5682</v>
      </c>
      <c r="P149" s="148">
        <v>1.4249000000000001</v>
      </c>
      <c r="Q149" s="148">
        <v>1.4668000000000001</v>
      </c>
      <c r="R149" s="148">
        <v>1.4508000000000001</v>
      </c>
      <c r="S149" s="148">
        <f t="shared" si="19"/>
        <v>1.4777</v>
      </c>
      <c r="T149" s="78">
        <f>VLOOKUP(C149&amp;D149,Documentation!$J$37:$K$52,2,FALSE)</f>
        <v>7</v>
      </c>
      <c r="X149" s="148">
        <f t="shared" si="20"/>
        <v>1.5682</v>
      </c>
      <c r="Y149" s="148">
        <f t="shared" si="20"/>
        <v>1.4249000000000001</v>
      </c>
      <c r="Z149" s="148">
        <f t="shared" si="20"/>
        <v>1.4668000000000001</v>
      </c>
      <c r="AA149" s="148">
        <f t="shared" si="20"/>
        <v>1.4508000000000001</v>
      </c>
    </row>
    <row r="150" spans="1:27" x14ac:dyDescent="0.2">
      <c r="A150" s="78">
        <v>394</v>
      </c>
      <c r="B150" s="78" t="s">
        <v>184</v>
      </c>
      <c r="C150" s="79">
        <v>44562</v>
      </c>
      <c r="D150" s="79">
        <v>44926</v>
      </c>
      <c r="E150" s="147">
        <v>2093809</v>
      </c>
      <c r="F150" s="147">
        <v>451912</v>
      </c>
      <c r="G150" s="147">
        <v>1412818</v>
      </c>
      <c r="H150" s="147">
        <v>717563</v>
      </c>
      <c r="I150" s="147">
        <v>13525</v>
      </c>
      <c r="J150" s="147">
        <v>16019</v>
      </c>
      <c r="K150" s="147">
        <v>21918</v>
      </c>
      <c r="L150" s="148">
        <v>1.2834000000000001</v>
      </c>
      <c r="M150" s="148">
        <v>1.2098</v>
      </c>
      <c r="N150" s="148">
        <v>1.2145999999999999</v>
      </c>
      <c r="O150" s="148">
        <v>1.2808999999999999</v>
      </c>
      <c r="P150" s="148">
        <v>1.2013</v>
      </c>
      <c r="Q150" s="148">
        <v>1.1731</v>
      </c>
      <c r="R150" s="148">
        <v>1.2468999999999999</v>
      </c>
      <c r="S150" s="148">
        <f t="shared" si="19"/>
        <v>1.2256</v>
      </c>
      <c r="T150" s="78">
        <f>VLOOKUP(C150&amp;D150,Documentation!$J$37:$K$52,2,FALSE)</f>
        <v>7</v>
      </c>
      <c r="X150" s="148">
        <f t="shared" si="20"/>
        <v>1.2808999999999999</v>
      </c>
      <c r="Y150" s="148">
        <f t="shared" si="20"/>
        <v>1.2013</v>
      </c>
      <c r="Z150" s="148">
        <f t="shared" si="20"/>
        <v>1.1731</v>
      </c>
      <c r="AA150" s="148">
        <f t="shared" si="20"/>
        <v>1.2468999999999999</v>
      </c>
    </row>
    <row r="151" spans="1:27" x14ac:dyDescent="0.2">
      <c r="A151" s="78">
        <v>400</v>
      </c>
      <c r="B151" s="78" t="s">
        <v>599</v>
      </c>
      <c r="C151" s="79">
        <v>44562</v>
      </c>
      <c r="D151" s="79">
        <v>44926</v>
      </c>
      <c r="E151" s="147">
        <v>6683556</v>
      </c>
      <c r="F151" s="147">
        <v>662168</v>
      </c>
      <c r="G151" s="147">
        <v>1611772</v>
      </c>
      <c r="H151" s="147">
        <v>1811174</v>
      </c>
      <c r="I151" s="147">
        <v>21576</v>
      </c>
      <c r="J151" s="147">
        <v>38355</v>
      </c>
      <c r="K151" s="147">
        <v>50370</v>
      </c>
      <c r="L151" s="148">
        <v>1.3416999999999999</v>
      </c>
      <c r="M151" s="148">
        <v>1.3915999999999999</v>
      </c>
      <c r="N151" s="148">
        <v>1.4454</v>
      </c>
      <c r="O151" s="148">
        <v>1.4964999999999999</v>
      </c>
      <c r="P151" s="148">
        <v>1.4706999999999999</v>
      </c>
      <c r="Q151" s="148">
        <v>1.5284</v>
      </c>
      <c r="R151" s="148">
        <v>1.6438999999999999</v>
      </c>
      <c r="S151" s="148">
        <f>ROUND(AVERAGE(O151:R151),4)</f>
        <v>1.5348999999999999</v>
      </c>
      <c r="T151" s="78">
        <f>VLOOKUP(C151&amp;D151,Documentation!$J$37:$K$52,2,FALSE)</f>
        <v>7</v>
      </c>
      <c r="X151" s="148">
        <f t="shared" si="20"/>
        <v>1.4964999999999999</v>
      </c>
      <c r="Y151" s="148">
        <f t="shared" si="20"/>
        <v>1.4706999999999999</v>
      </c>
      <c r="Z151" s="148">
        <f t="shared" si="20"/>
        <v>1.5284</v>
      </c>
      <c r="AA151" s="148">
        <f t="shared" si="20"/>
        <v>1.6438999999999999</v>
      </c>
    </row>
    <row r="152" spans="1:27" x14ac:dyDescent="0.2">
      <c r="A152" s="78">
        <v>402</v>
      </c>
      <c r="B152" s="78" t="s">
        <v>458</v>
      </c>
      <c r="C152" s="79">
        <v>44562</v>
      </c>
      <c r="D152" s="79">
        <v>44926</v>
      </c>
      <c r="E152" s="147">
        <v>6194810</v>
      </c>
      <c r="F152" s="147">
        <v>542861</v>
      </c>
      <c r="G152" s="147">
        <v>1806033</v>
      </c>
      <c r="H152" s="147">
        <v>2130558</v>
      </c>
      <c r="I152" s="147">
        <v>30949</v>
      </c>
      <c r="J152" s="147">
        <v>46160</v>
      </c>
      <c r="K152" s="147">
        <v>48910</v>
      </c>
      <c r="L152" s="148">
        <v>1.3466</v>
      </c>
      <c r="M152" s="148">
        <v>1.3693</v>
      </c>
      <c r="N152" s="148">
        <v>1.3572</v>
      </c>
      <c r="O152" s="148">
        <v>1.4394</v>
      </c>
      <c r="P152" s="148">
        <v>1.3725000000000001</v>
      </c>
      <c r="Q152" s="148">
        <v>1.3818999999999999</v>
      </c>
      <c r="R152" s="148">
        <v>1.53</v>
      </c>
      <c r="S152" s="148">
        <f t="shared" si="19"/>
        <v>1.431</v>
      </c>
      <c r="T152" s="78">
        <f>VLOOKUP(C152&amp;D152,Documentation!$J$37:$K$52,2,FALSE)</f>
        <v>7</v>
      </c>
      <c r="X152" s="148">
        <f t="shared" si="20"/>
        <v>1.4394</v>
      </c>
      <c r="Y152" s="148">
        <f t="shared" si="20"/>
        <v>1.3725000000000001</v>
      </c>
      <c r="Z152" s="148">
        <f t="shared" si="20"/>
        <v>1.3818999999999999</v>
      </c>
      <c r="AA152" s="148">
        <f t="shared" si="20"/>
        <v>1.53</v>
      </c>
    </row>
    <row r="153" spans="1:27" x14ac:dyDescent="0.2">
      <c r="A153" s="78">
        <v>406</v>
      </c>
      <c r="B153" s="78" t="s">
        <v>500</v>
      </c>
      <c r="C153" s="79">
        <v>44562</v>
      </c>
      <c r="D153" s="79">
        <v>44926</v>
      </c>
      <c r="E153" s="147">
        <v>4637364</v>
      </c>
      <c r="F153" s="147">
        <v>544761</v>
      </c>
      <c r="G153" s="147">
        <v>1480744</v>
      </c>
      <c r="H153" s="147">
        <v>1080987</v>
      </c>
      <c r="I153" s="147">
        <v>15740</v>
      </c>
      <c r="J153" s="147">
        <v>31549</v>
      </c>
      <c r="K153" s="147">
        <v>34675</v>
      </c>
      <c r="L153" s="148">
        <v>1.5061</v>
      </c>
      <c r="M153" s="148">
        <v>1.3280000000000001</v>
      </c>
      <c r="N153" s="148">
        <v>1.3466</v>
      </c>
      <c r="O153" s="148">
        <v>1.605</v>
      </c>
      <c r="P153" s="148">
        <v>1.4856</v>
      </c>
      <c r="Q153" s="148">
        <v>1.5237000000000001</v>
      </c>
      <c r="R153" s="148">
        <v>1.5428999999999999</v>
      </c>
      <c r="S153" s="148">
        <f t="shared" si="19"/>
        <v>1.5392999999999999</v>
      </c>
      <c r="T153" s="78">
        <f>VLOOKUP(C153&amp;D153,Documentation!$J$37:$K$52,2,FALSE)</f>
        <v>7</v>
      </c>
      <c r="X153" s="148">
        <f t="shared" si="20"/>
        <v>1.605</v>
      </c>
      <c r="Y153" s="148">
        <f t="shared" si="20"/>
        <v>1.4856</v>
      </c>
      <c r="Z153" s="148">
        <f t="shared" si="20"/>
        <v>1.5237000000000001</v>
      </c>
      <c r="AA153" s="148">
        <f t="shared" si="20"/>
        <v>1.5428999999999999</v>
      </c>
    </row>
    <row r="154" spans="1:27" x14ac:dyDescent="0.2">
      <c r="A154" s="78">
        <v>410</v>
      </c>
      <c r="B154" s="78" t="s">
        <v>560</v>
      </c>
      <c r="C154" s="79">
        <v>44562</v>
      </c>
      <c r="D154" s="79">
        <v>44926</v>
      </c>
      <c r="E154" s="147">
        <v>8543371</v>
      </c>
      <c r="F154" s="147">
        <v>695221</v>
      </c>
      <c r="G154" s="147">
        <v>1718843</v>
      </c>
      <c r="H154" s="147">
        <v>2103667</v>
      </c>
      <c r="I154" s="147">
        <v>21249</v>
      </c>
      <c r="J154" s="147">
        <v>43150</v>
      </c>
      <c r="K154" s="147">
        <v>47450</v>
      </c>
      <c r="L154" s="148">
        <v>1.4282999999999999</v>
      </c>
      <c r="M154" s="148">
        <v>1.5612999999999999</v>
      </c>
      <c r="N154" s="148">
        <v>1.5874999999999999</v>
      </c>
      <c r="O154" s="148">
        <v>1.6616</v>
      </c>
      <c r="P154" s="148">
        <v>1.6127</v>
      </c>
      <c r="Q154" s="148">
        <v>1.5503</v>
      </c>
      <c r="R154" s="148">
        <v>1.5967</v>
      </c>
      <c r="S154" s="148">
        <f t="shared" si="19"/>
        <v>1.6052999999999999</v>
      </c>
      <c r="T154" s="78">
        <f>VLOOKUP(C154&amp;D154,Documentation!$J$37:$K$52,2,FALSE)</f>
        <v>7</v>
      </c>
      <c r="X154" s="148">
        <f t="shared" si="20"/>
        <v>1.6616</v>
      </c>
      <c r="Y154" s="148">
        <f t="shared" si="20"/>
        <v>1.6127</v>
      </c>
      <c r="Z154" s="148">
        <f t="shared" si="20"/>
        <v>1.5503</v>
      </c>
      <c r="AA154" s="148">
        <f t="shared" si="20"/>
        <v>1.5967</v>
      </c>
    </row>
    <row r="155" spans="1:27" x14ac:dyDescent="0.2">
      <c r="A155" s="78">
        <v>412</v>
      </c>
      <c r="B155" s="78" t="s">
        <v>651</v>
      </c>
      <c r="C155" s="79">
        <v>44562</v>
      </c>
      <c r="D155" s="79">
        <v>44957</v>
      </c>
      <c r="E155" s="147">
        <v>4212534</v>
      </c>
      <c r="F155" s="147">
        <v>538855</v>
      </c>
      <c r="G155" s="147">
        <v>1613473</v>
      </c>
      <c r="H155" s="147">
        <v>1530707</v>
      </c>
      <c r="I155" s="147">
        <v>21770</v>
      </c>
      <c r="J155" s="147">
        <v>32769</v>
      </c>
      <c r="K155" s="147">
        <v>36828</v>
      </c>
      <c r="L155" s="148">
        <v>1.4893000000000001</v>
      </c>
      <c r="M155" s="148">
        <v>1.5219</v>
      </c>
      <c r="N155" s="148">
        <v>1.5037</v>
      </c>
      <c r="O155" s="148">
        <v>1.4854000000000001</v>
      </c>
      <c r="P155" s="148">
        <v>1.4571000000000001</v>
      </c>
      <c r="Q155" s="148">
        <v>1.3872</v>
      </c>
      <c r="R155" s="148">
        <v>1.3779999999999999</v>
      </c>
      <c r="S155" s="148">
        <f t="shared" si="19"/>
        <v>1.4269000000000001</v>
      </c>
      <c r="T155" s="78">
        <f>VLOOKUP(C155&amp;D155,Documentation!$J$37:$K$52,2,FALSE)</f>
        <v>7</v>
      </c>
      <c r="X155" s="148">
        <f t="shared" si="20"/>
        <v>1.4854000000000001</v>
      </c>
      <c r="Y155" s="148">
        <f t="shared" si="20"/>
        <v>1.4571000000000001</v>
      </c>
      <c r="Z155" s="148">
        <f t="shared" si="20"/>
        <v>1.3872</v>
      </c>
      <c r="AA155" s="148">
        <f t="shared" si="20"/>
        <v>1.3779999999999999</v>
      </c>
    </row>
    <row r="156" spans="1:27" x14ac:dyDescent="0.2">
      <c r="A156" s="78">
        <v>418</v>
      </c>
      <c r="B156" s="78" t="s">
        <v>672</v>
      </c>
      <c r="C156" s="79">
        <v>44562</v>
      </c>
      <c r="D156" s="79">
        <v>44957</v>
      </c>
      <c r="E156" s="147">
        <v>2171048</v>
      </c>
      <c r="F156" s="147">
        <v>380504</v>
      </c>
      <c r="G156" s="147">
        <v>1060961</v>
      </c>
      <c r="H156" s="147">
        <v>420326</v>
      </c>
      <c r="I156" s="147">
        <v>5179</v>
      </c>
      <c r="J156" s="147">
        <v>16711</v>
      </c>
      <c r="K156" s="147">
        <v>17424</v>
      </c>
      <c r="L156" s="148">
        <v>1.2272000000000001</v>
      </c>
      <c r="M156" s="148">
        <v>1.1906000000000001</v>
      </c>
      <c r="N156" s="148">
        <v>1.1943999999999999</v>
      </c>
      <c r="O156" s="148">
        <v>1.2132000000000001</v>
      </c>
      <c r="P156" s="148">
        <v>1.2150000000000001</v>
      </c>
      <c r="Q156" s="148">
        <v>1.2327999999999999</v>
      </c>
      <c r="R156" s="148">
        <v>1.2569999999999999</v>
      </c>
      <c r="S156" s="148">
        <f t="shared" si="19"/>
        <v>1.2295</v>
      </c>
      <c r="T156" s="78">
        <f>VLOOKUP(C156&amp;D156,Documentation!$J$37:$K$52,2,FALSE)</f>
        <v>7</v>
      </c>
      <c r="X156" s="148">
        <f t="shared" si="20"/>
        <v>1.2132000000000001</v>
      </c>
      <c r="Y156" s="148">
        <f t="shared" si="20"/>
        <v>1.2150000000000001</v>
      </c>
      <c r="Z156" s="148">
        <f t="shared" si="20"/>
        <v>1.2327999999999999</v>
      </c>
      <c r="AA156" s="148">
        <f t="shared" si="20"/>
        <v>1.2569999999999999</v>
      </c>
    </row>
    <row r="157" spans="1:27" x14ac:dyDescent="0.2">
      <c r="A157" s="78">
        <v>434</v>
      </c>
      <c r="B157" s="78" t="s">
        <v>464</v>
      </c>
      <c r="C157" s="79">
        <v>44562</v>
      </c>
      <c r="D157" s="79">
        <v>44926</v>
      </c>
      <c r="E157" s="147">
        <v>9099644</v>
      </c>
      <c r="F157" s="147">
        <v>840293</v>
      </c>
      <c r="G157" s="147">
        <v>1953500</v>
      </c>
      <c r="H157" s="147">
        <v>2180846</v>
      </c>
      <c r="I157" s="147">
        <v>36878</v>
      </c>
      <c r="J157" s="147">
        <v>60955</v>
      </c>
      <c r="K157" s="147">
        <v>64605</v>
      </c>
      <c r="L157" s="148">
        <v>1.4108000000000001</v>
      </c>
      <c r="M157" s="148">
        <v>1.3771</v>
      </c>
      <c r="N157" s="148">
        <v>1.4040999999999999</v>
      </c>
      <c r="O157" s="148">
        <v>1.4244000000000001</v>
      </c>
      <c r="P157" s="148">
        <v>1.4527000000000001</v>
      </c>
      <c r="Q157" s="148">
        <v>1.4382999999999999</v>
      </c>
      <c r="R157" s="148">
        <v>1.5627</v>
      </c>
      <c r="S157" s="148">
        <f t="shared" si="19"/>
        <v>1.4695</v>
      </c>
      <c r="T157" s="78">
        <f>VLOOKUP(C157&amp;D157,Documentation!$J$37:$K$52,2,FALSE)</f>
        <v>7</v>
      </c>
      <c r="X157" s="148">
        <f t="shared" si="20"/>
        <v>1.4244000000000001</v>
      </c>
      <c r="Y157" s="148">
        <f t="shared" si="20"/>
        <v>1.4527000000000001</v>
      </c>
      <c r="Z157" s="148">
        <f t="shared" si="20"/>
        <v>1.4382999999999999</v>
      </c>
      <c r="AA157" s="148">
        <f t="shared" si="20"/>
        <v>1.5627</v>
      </c>
    </row>
    <row r="158" spans="1:27" x14ac:dyDescent="0.2">
      <c r="A158" s="78">
        <v>436</v>
      </c>
      <c r="B158" s="78" t="s">
        <v>681</v>
      </c>
      <c r="C158" s="79">
        <v>44562</v>
      </c>
      <c r="D158" s="79">
        <v>44926</v>
      </c>
      <c r="E158" s="147">
        <v>4778299</v>
      </c>
      <c r="F158" s="147">
        <v>382904</v>
      </c>
      <c r="G158" s="147">
        <v>1701868</v>
      </c>
      <c r="H158" s="147">
        <v>1411579</v>
      </c>
      <c r="I158" s="147">
        <v>18494</v>
      </c>
      <c r="J158" s="147">
        <v>33274</v>
      </c>
      <c r="K158" s="147">
        <v>62050</v>
      </c>
      <c r="L158" s="148">
        <v>1.5481</v>
      </c>
      <c r="M158" s="148">
        <v>1.5282</v>
      </c>
      <c r="N158" s="148">
        <v>1.6062000000000001</v>
      </c>
      <c r="O158" s="148">
        <v>1.708</v>
      </c>
      <c r="P158" s="148">
        <v>1.5693999999999999</v>
      </c>
      <c r="Q158" s="148">
        <v>1.5766</v>
      </c>
      <c r="R158" s="148">
        <v>1.4823999999999999</v>
      </c>
      <c r="S158" s="148">
        <f t="shared" si="19"/>
        <v>1.5841000000000001</v>
      </c>
      <c r="T158" s="78">
        <f>VLOOKUP(C158&amp;D158,Documentation!$J$37:$K$52,2,FALSE)</f>
        <v>7</v>
      </c>
      <c r="X158" s="148">
        <f t="shared" si="20"/>
        <v>1.708</v>
      </c>
      <c r="Y158" s="148">
        <f t="shared" si="20"/>
        <v>1.5693999999999999</v>
      </c>
      <c r="Z158" s="148">
        <f t="shared" si="20"/>
        <v>1.5766</v>
      </c>
      <c r="AA158" s="148">
        <f t="shared" si="20"/>
        <v>1.4823999999999999</v>
      </c>
    </row>
    <row r="159" spans="1:27" x14ac:dyDescent="0.2">
      <c r="A159" s="78">
        <v>444</v>
      </c>
      <c r="B159" s="78" t="s">
        <v>391</v>
      </c>
      <c r="C159" s="79">
        <v>44562</v>
      </c>
      <c r="D159" s="79">
        <v>44926</v>
      </c>
      <c r="E159" s="147">
        <v>4031062</v>
      </c>
      <c r="F159" s="147">
        <v>553883</v>
      </c>
      <c r="G159" s="147">
        <v>1657914</v>
      </c>
      <c r="H159" s="147">
        <v>1090498</v>
      </c>
      <c r="I159" s="147">
        <v>19799</v>
      </c>
      <c r="J159" s="147">
        <v>27637</v>
      </c>
      <c r="K159" s="147">
        <v>39055</v>
      </c>
      <c r="L159" s="148">
        <v>1.4286000000000001</v>
      </c>
      <c r="M159" s="148">
        <v>1.4108000000000001</v>
      </c>
      <c r="N159" s="148">
        <v>1.3239000000000001</v>
      </c>
      <c r="O159" s="148">
        <v>1.5141</v>
      </c>
      <c r="P159" s="148">
        <v>1.3785000000000001</v>
      </c>
      <c r="Q159" s="148">
        <v>1.3912</v>
      </c>
      <c r="R159" s="148">
        <v>1.4257</v>
      </c>
      <c r="S159" s="148">
        <f t="shared" si="19"/>
        <v>1.4274</v>
      </c>
      <c r="T159" s="78">
        <f>VLOOKUP(C159&amp;D159,Documentation!$J$37:$K$52,2,FALSE)</f>
        <v>7</v>
      </c>
      <c r="X159" s="148">
        <f t="shared" si="20"/>
        <v>1.5141</v>
      </c>
      <c r="Y159" s="148">
        <f t="shared" si="20"/>
        <v>1.3785000000000001</v>
      </c>
      <c r="Z159" s="148">
        <f t="shared" si="20"/>
        <v>1.3912</v>
      </c>
      <c r="AA159" s="148">
        <f t="shared" si="20"/>
        <v>1.4257</v>
      </c>
    </row>
    <row r="160" spans="1:27" x14ac:dyDescent="0.2">
      <c r="A160" s="78">
        <v>446</v>
      </c>
      <c r="B160" s="78" t="s">
        <v>674</v>
      </c>
      <c r="C160" s="79">
        <v>44562</v>
      </c>
      <c r="D160" s="79">
        <v>44926</v>
      </c>
      <c r="E160" s="147">
        <v>2140309</v>
      </c>
      <c r="F160" s="147">
        <v>320635</v>
      </c>
      <c r="G160" s="147">
        <v>902188</v>
      </c>
      <c r="H160" s="147">
        <v>885161</v>
      </c>
      <c r="I160" s="147">
        <v>9764</v>
      </c>
      <c r="J160" s="147">
        <v>15908</v>
      </c>
      <c r="K160" s="147">
        <v>23725</v>
      </c>
      <c r="L160" s="148">
        <v>1.4063000000000001</v>
      </c>
      <c r="M160" s="148">
        <v>1.3588</v>
      </c>
      <c r="N160" s="148">
        <v>1.3563000000000001</v>
      </c>
      <c r="O160" s="148">
        <v>1.4614</v>
      </c>
      <c r="P160" s="148">
        <v>1.472</v>
      </c>
      <c r="Q160" s="148">
        <v>1.4293</v>
      </c>
      <c r="R160" s="148">
        <v>1.954</v>
      </c>
      <c r="S160" s="148">
        <f t="shared" si="19"/>
        <v>1.5791999999999999</v>
      </c>
      <c r="T160" s="78">
        <f>VLOOKUP(C160&amp;D160,Documentation!$J$37:$K$52,2,FALSE)</f>
        <v>7</v>
      </c>
      <c r="X160" s="148">
        <f t="shared" si="20"/>
        <v>1.4614</v>
      </c>
      <c r="Y160" s="148">
        <f t="shared" si="20"/>
        <v>1.472</v>
      </c>
      <c r="Z160" s="148">
        <f t="shared" si="20"/>
        <v>1.4293</v>
      </c>
      <c r="AA160" s="148">
        <f t="shared" si="20"/>
        <v>1.954</v>
      </c>
    </row>
    <row r="161" spans="1:27" x14ac:dyDescent="0.2">
      <c r="A161" s="78">
        <v>448</v>
      </c>
      <c r="B161" s="78" t="s">
        <v>194</v>
      </c>
      <c r="C161" s="79">
        <v>44562</v>
      </c>
      <c r="D161" s="79">
        <v>44926</v>
      </c>
      <c r="E161" s="147">
        <v>5836731</v>
      </c>
      <c r="F161" s="147">
        <v>523952</v>
      </c>
      <c r="G161" s="147">
        <v>1486717</v>
      </c>
      <c r="H161" s="147">
        <v>1836911</v>
      </c>
      <c r="I161" s="147">
        <v>26256</v>
      </c>
      <c r="J161" s="147">
        <v>39138</v>
      </c>
      <c r="K161" s="147">
        <v>41975</v>
      </c>
      <c r="L161" s="148">
        <v>1.3521000000000001</v>
      </c>
      <c r="M161" s="148">
        <v>1.3672</v>
      </c>
      <c r="N161" s="148">
        <v>1.3757999999999999</v>
      </c>
      <c r="O161" s="148">
        <v>1.4690000000000001</v>
      </c>
      <c r="P161" s="148">
        <v>1.4155</v>
      </c>
      <c r="Q161" s="148">
        <v>1.4220999999999999</v>
      </c>
      <c r="R161" s="148">
        <v>1.4718</v>
      </c>
      <c r="S161" s="148">
        <f t="shared" si="19"/>
        <v>1.4446000000000001</v>
      </c>
      <c r="T161" s="78">
        <f>VLOOKUP(C161&amp;D161,Documentation!$J$37:$K$52,2,FALSE)</f>
        <v>7</v>
      </c>
      <c r="X161" s="148">
        <f t="shared" si="20"/>
        <v>1.4690000000000001</v>
      </c>
      <c r="Y161" s="148">
        <f t="shared" si="20"/>
        <v>1.4155</v>
      </c>
      <c r="Z161" s="148">
        <f t="shared" si="20"/>
        <v>1.4220999999999999</v>
      </c>
      <c r="AA161" s="148">
        <f t="shared" si="20"/>
        <v>1.4718</v>
      </c>
    </row>
    <row r="162" spans="1:27" x14ac:dyDescent="0.2">
      <c r="A162" s="78">
        <v>460</v>
      </c>
      <c r="B162" s="78" t="s">
        <v>182</v>
      </c>
      <c r="C162" s="79">
        <v>44562</v>
      </c>
      <c r="D162" s="79">
        <v>44926</v>
      </c>
      <c r="E162" s="147">
        <v>12809715</v>
      </c>
      <c r="F162" s="147">
        <v>1851488</v>
      </c>
      <c r="G162" s="147">
        <v>4985390</v>
      </c>
      <c r="H162" s="147">
        <v>4990377</v>
      </c>
      <c r="I162" s="147">
        <v>33239</v>
      </c>
      <c r="J162" s="147">
        <v>64088</v>
      </c>
      <c r="K162" s="147">
        <v>104025</v>
      </c>
      <c r="L162" s="148">
        <v>1.3627</v>
      </c>
      <c r="M162" s="148">
        <v>1.3318000000000001</v>
      </c>
      <c r="N162" s="148">
        <v>1.3206</v>
      </c>
      <c r="O162" s="148">
        <v>1.3873</v>
      </c>
      <c r="P162" s="148">
        <v>1.5630999999999999</v>
      </c>
      <c r="Q162" s="148">
        <v>1.5064</v>
      </c>
      <c r="R162" s="148">
        <v>1.4428000000000001</v>
      </c>
      <c r="S162" s="148">
        <f t="shared" si="19"/>
        <v>1.4749000000000001</v>
      </c>
      <c r="T162" s="78">
        <f>VLOOKUP(C162&amp;D162,Documentation!$J$37:$K$52,2,FALSE)</f>
        <v>7</v>
      </c>
      <c r="X162" s="148">
        <f t="shared" si="20"/>
        <v>1.3873</v>
      </c>
      <c r="Y162" s="148">
        <f t="shared" si="20"/>
        <v>1.5630999999999999</v>
      </c>
      <c r="Z162" s="148">
        <f t="shared" si="20"/>
        <v>1.5064</v>
      </c>
      <c r="AA162" s="148">
        <f t="shared" si="20"/>
        <v>1.4428000000000001</v>
      </c>
    </row>
    <row r="163" spans="1:27" x14ac:dyDescent="0.2">
      <c r="A163" s="78">
        <v>462</v>
      </c>
      <c r="B163" s="78" t="s">
        <v>394</v>
      </c>
      <c r="C163" s="79">
        <v>44562</v>
      </c>
      <c r="D163" s="79">
        <v>44926</v>
      </c>
      <c r="E163" s="147">
        <v>3243825</v>
      </c>
      <c r="F163" s="147">
        <v>646366</v>
      </c>
      <c r="G163" s="147">
        <v>1429129</v>
      </c>
      <c r="H163" s="147">
        <v>1388229</v>
      </c>
      <c r="I163" s="147">
        <v>19094</v>
      </c>
      <c r="J163" s="147">
        <v>25151</v>
      </c>
      <c r="K163" s="147">
        <v>33580</v>
      </c>
      <c r="L163" s="148">
        <v>1.3067</v>
      </c>
      <c r="M163" s="148">
        <v>1.2663</v>
      </c>
      <c r="N163" s="148">
        <v>1.2587999999999999</v>
      </c>
      <c r="O163" s="148">
        <v>1.2238</v>
      </c>
      <c r="P163" s="148">
        <v>1.2515000000000001</v>
      </c>
      <c r="Q163" s="148">
        <v>1.3117000000000001</v>
      </c>
      <c r="R163" s="148">
        <v>1.2501</v>
      </c>
      <c r="S163" s="148">
        <f t="shared" si="19"/>
        <v>1.2593000000000001</v>
      </c>
      <c r="T163" s="78">
        <f>VLOOKUP(C163&amp;D163,Documentation!$J$37:$K$52,2,FALSE)</f>
        <v>7</v>
      </c>
      <c r="X163" s="148">
        <f t="shared" si="20"/>
        <v>1.2238</v>
      </c>
      <c r="Y163" s="148">
        <f t="shared" si="20"/>
        <v>1.2515000000000001</v>
      </c>
      <c r="Z163" s="148">
        <f t="shared" si="20"/>
        <v>1.3117000000000001</v>
      </c>
      <c r="AA163" s="148">
        <f t="shared" si="20"/>
        <v>1.2501</v>
      </c>
    </row>
    <row r="164" spans="1:27" x14ac:dyDescent="0.2">
      <c r="A164" s="78">
        <v>665</v>
      </c>
      <c r="B164" s="78" t="s">
        <v>645</v>
      </c>
      <c r="C164" s="79">
        <v>44562</v>
      </c>
      <c r="D164" s="79">
        <v>44957</v>
      </c>
      <c r="E164" s="147">
        <v>5896214</v>
      </c>
      <c r="F164" s="147">
        <v>600836</v>
      </c>
      <c r="G164" s="147">
        <v>1364270</v>
      </c>
      <c r="H164" s="147">
        <v>1972758</v>
      </c>
      <c r="I164" s="147">
        <v>18616</v>
      </c>
      <c r="J164" s="147">
        <v>27584</v>
      </c>
      <c r="K164" s="147">
        <v>38412</v>
      </c>
      <c r="L164" s="148">
        <v>1.6913</v>
      </c>
      <c r="M164" s="148">
        <v>1.8075000000000001</v>
      </c>
      <c r="N164" s="148">
        <v>1.7518</v>
      </c>
      <c r="O164" s="148">
        <v>1.6995</v>
      </c>
      <c r="P164" s="148">
        <v>1.5477000000000001</v>
      </c>
      <c r="Q164" s="148">
        <v>1.544</v>
      </c>
      <c r="R164" s="148">
        <v>1.5107999999999999</v>
      </c>
      <c r="S164" s="148">
        <f t="shared" si="19"/>
        <v>1.5754999999999999</v>
      </c>
      <c r="T164" s="78">
        <f>VLOOKUP(C164&amp;D164,Documentation!$J$37:$K$52,2,FALSE)</f>
        <v>7</v>
      </c>
      <c r="X164" s="148">
        <f t="shared" si="20"/>
        <v>1.6995</v>
      </c>
      <c r="Y164" s="148">
        <f t="shared" si="20"/>
        <v>1.5477000000000001</v>
      </c>
      <c r="Z164" s="148">
        <f t="shared" si="20"/>
        <v>1.544</v>
      </c>
      <c r="AA164" s="148">
        <f t="shared" si="20"/>
        <v>1.5107999999999999</v>
      </c>
    </row>
    <row r="165" spans="1:27" x14ac:dyDescent="0.2">
      <c r="A165" s="78">
        <v>669</v>
      </c>
      <c r="B165" s="78" t="s">
        <v>679</v>
      </c>
      <c r="C165" s="79">
        <v>44562</v>
      </c>
      <c r="D165" s="79">
        <v>44926</v>
      </c>
      <c r="E165" s="147">
        <v>4814784</v>
      </c>
      <c r="F165" s="147">
        <v>490629</v>
      </c>
      <c r="G165" s="147">
        <v>1096841</v>
      </c>
      <c r="H165" s="147">
        <v>1209815</v>
      </c>
      <c r="I165" s="147">
        <v>20062</v>
      </c>
      <c r="J165" s="147">
        <v>30705</v>
      </c>
      <c r="K165" s="147">
        <v>36500</v>
      </c>
      <c r="L165" s="148">
        <v>1.4735</v>
      </c>
      <c r="M165" s="148">
        <v>1.5730999999999999</v>
      </c>
      <c r="N165" s="148">
        <v>1.5564</v>
      </c>
      <c r="O165" s="148">
        <v>1.5539000000000001</v>
      </c>
      <c r="P165" s="148">
        <v>1.4946999999999999</v>
      </c>
      <c r="Q165" s="148">
        <v>1.4786999999999999</v>
      </c>
      <c r="R165" s="148">
        <v>1.4636</v>
      </c>
      <c r="S165" s="148">
        <f t="shared" si="19"/>
        <v>1.4977</v>
      </c>
      <c r="T165" s="78">
        <f>VLOOKUP(C165&amp;D165,Documentation!$J$37:$K$52,2,FALSE)</f>
        <v>7</v>
      </c>
      <c r="X165" s="148">
        <f t="shared" si="20"/>
        <v>1.5539000000000001</v>
      </c>
      <c r="Y165" s="148">
        <f t="shared" si="20"/>
        <v>1.4946999999999999</v>
      </c>
      <c r="Z165" s="148">
        <f t="shared" si="20"/>
        <v>1.4786999999999999</v>
      </c>
      <c r="AA165" s="148">
        <f t="shared" si="20"/>
        <v>1.4636</v>
      </c>
    </row>
    <row r="166" spans="1:27" x14ac:dyDescent="0.2">
      <c r="A166" s="78">
        <v>671</v>
      </c>
      <c r="B166" s="78" t="s">
        <v>606</v>
      </c>
      <c r="C166" s="79">
        <v>44562</v>
      </c>
      <c r="D166" s="79">
        <v>44926</v>
      </c>
      <c r="E166" s="147">
        <v>3870984</v>
      </c>
      <c r="F166" s="147">
        <v>461347</v>
      </c>
      <c r="G166" s="147">
        <v>1286490</v>
      </c>
      <c r="H166" s="147">
        <v>1122644</v>
      </c>
      <c r="I166" s="147">
        <v>10113</v>
      </c>
      <c r="J166" s="147">
        <v>18850</v>
      </c>
      <c r="K166" s="147">
        <v>21900</v>
      </c>
      <c r="L166" s="148">
        <v>1.3307</v>
      </c>
      <c r="M166" s="148">
        <v>1.3723000000000001</v>
      </c>
      <c r="N166" s="148">
        <v>1.3186</v>
      </c>
      <c r="O166" s="148">
        <v>1.3803000000000001</v>
      </c>
      <c r="P166" s="148">
        <v>1.3795999999999999</v>
      </c>
      <c r="Q166" s="148">
        <v>1.3889</v>
      </c>
      <c r="R166" s="148">
        <v>1.4520999999999999</v>
      </c>
      <c r="S166" s="148">
        <f t="shared" si="19"/>
        <v>1.4001999999999999</v>
      </c>
      <c r="T166" s="78">
        <f>VLOOKUP(C166&amp;D166,Documentation!$J$37:$K$52,2,FALSE)</f>
        <v>7</v>
      </c>
      <c r="X166" s="148">
        <f t="shared" si="20"/>
        <v>1.3803000000000001</v>
      </c>
      <c r="Y166" s="148">
        <f t="shared" si="20"/>
        <v>1.3795999999999999</v>
      </c>
      <c r="Z166" s="148">
        <f t="shared" si="20"/>
        <v>1.3889</v>
      </c>
      <c r="AA166" s="148">
        <f t="shared" si="20"/>
        <v>1.4520999999999999</v>
      </c>
    </row>
    <row r="167" spans="1:27" x14ac:dyDescent="0.2">
      <c r="A167" s="78">
        <v>675</v>
      </c>
      <c r="B167" s="78" t="s">
        <v>192</v>
      </c>
      <c r="C167" s="79">
        <v>44562</v>
      </c>
      <c r="D167" s="79">
        <v>44926</v>
      </c>
      <c r="E167" s="147">
        <v>2951800</v>
      </c>
      <c r="F167" s="147">
        <v>335405</v>
      </c>
      <c r="G167" s="147">
        <v>945208</v>
      </c>
      <c r="H167" s="147">
        <v>823793</v>
      </c>
      <c r="I167" s="147">
        <v>14646</v>
      </c>
      <c r="J167" s="147">
        <v>16836</v>
      </c>
      <c r="K167" s="147">
        <v>36500</v>
      </c>
      <c r="L167" s="148">
        <v>1.321</v>
      </c>
      <c r="M167" s="148">
        <v>1.2898000000000001</v>
      </c>
      <c r="N167" s="148">
        <v>1.2261</v>
      </c>
      <c r="O167" s="148">
        <v>1.4879</v>
      </c>
      <c r="P167" s="148">
        <v>1.4839</v>
      </c>
      <c r="Q167" s="148">
        <v>1.266</v>
      </c>
      <c r="R167" s="148">
        <v>1.399</v>
      </c>
      <c r="S167" s="148">
        <f t="shared" si="19"/>
        <v>1.4092</v>
      </c>
      <c r="T167" s="78">
        <f>VLOOKUP(C167&amp;D167,Documentation!$J$37:$K$52,2,FALSE)</f>
        <v>7</v>
      </c>
      <c r="X167" s="148">
        <f t="shared" si="20"/>
        <v>1.4879</v>
      </c>
      <c r="Y167" s="148">
        <f t="shared" si="20"/>
        <v>1.4839</v>
      </c>
      <c r="Z167" s="148">
        <f t="shared" si="20"/>
        <v>1.266</v>
      </c>
      <c r="AA167" s="148">
        <f t="shared" si="20"/>
        <v>1.399</v>
      </c>
    </row>
    <row r="168" spans="1:27" x14ac:dyDescent="0.2">
      <c r="A168" s="78">
        <v>701</v>
      </c>
      <c r="B168" s="78" t="s">
        <v>506</v>
      </c>
      <c r="C168" s="79">
        <v>44562</v>
      </c>
      <c r="D168" s="79">
        <v>44926</v>
      </c>
      <c r="E168" s="147">
        <v>3813107</v>
      </c>
      <c r="F168" s="147">
        <v>530770</v>
      </c>
      <c r="G168" s="147">
        <v>1774710</v>
      </c>
      <c r="H168" s="147">
        <v>1181172</v>
      </c>
      <c r="I168" s="147">
        <v>11664</v>
      </c>
      <c r="J168" s="147">
        <v>20093</v>
      </c>
      <c r="K168" s="147">
        <v>36135</v>
      </c>
      <c r="L168" s="148">
        <v>1.2675000000000001</v>
      </c>
      <c r="M168" s="148">
        <v>1.2261</v>
      </c>
      <c r="N168" s="148">
        <v>1.262</v>
      </c>
      <c r="O168" s="148">
        <v>1.2748999999999999</v>
      </c>
      <c r="P168" s="148">
        <v>1.2813000000000001</v>
      </c>
      <c r="Q168" s="148">
        <v>1.5496000000000001</v>
      </c>
      <c r="R168" s="148">
        <v>1.2927</v>
      </c>
      <c r="S168" s="148">
        <f t="shared" si="19"/>
        <v>1.3495999999999999</v>
      </c>
      <c r="T168" s="78">
        <f>VLOOKUP(C168&amp;D168,Documentation!$J$37:$K$52,2,FALSE)</f>
        <v>7</v>
      </c>
      <c r="X168" s="148">
        <f t="shared" si="20"/>
        <v>1.2748999999999999</v>
      </c>
      <c r="Y168" s="148">
        <f t="shared" si="20"/>
        <v>1.2813000000000001</v>
      </c>
      <c r="Z168" s="148">
        <f t="shared" si="20"/>
        <v>1.5496000000000001</v>
      </c>
      <c r="AA168" s="148">
        <f t="shared" si="20"/>
        <v>1.2927</v>
      </c>
    </row>
    <row r="169" spans="1:27" x14ac:dyDescent="0.2">
      <c r="A169" s="78">
        <v>703</v>
      </c>
      <c r="B169" s="78" t="s">
        <v>677</v>
      </c>
      <c r="C169" s="79">
        <v>44562</v>
      </c>
      <c r="D169" s="79">
        <v>44926</v>
      </c>
      <c r="E169" s="147">
        <v>1800355</v>
      </c>
      <c r="F169" s="147">
        <v>330420</v>
      </c>
      <c r="G169" s="147">
        <v>799382</v>
      </c>
      <c r="H169" s="147">
        <v>1118592</v>
      </c>
      <c r="I169" s="147">
        <v>947</v>
      </c>
      <c r="J169" s="147">
        <v>11205</v>
      </c>
      <c r="K169" s="147">
        <v>14235</v>
      </c>
      <c r="L169" s="148">
        <v>1.3924000000000001</v>
      </c>
      <c r="M169" s="148">
        <v>1.3984000000000001</v>
      </c>
      <c r="N169" s="148">
        <v>1.4238999999999999</v>
      </c>
      <c r="O169" s="148">
        <v>1.3917999999999999</v>
      </c>
      <c r="P169" s="148">
        <v>1.5717000000000001</v>
      </c>
      <c r="Q169" s="148">
        <v>1.4794</v>
      </c>
      <c r="R169" s="148">
        <v>1.4470000000000001</v>
      </c>
      <c r="S169" s="148">
        <f t="shared" si="19"/>
        <v>1.4724999999999999</v>
      </c>
      <c r="T169" s="78">
        <f>VLOOKUP(C169&amp;D169,Documentation!$J$37:$K$52,2,FALSE)</f>
        <v>7</v>
      </c>
      <c r="X169" s="148">
        <f t="shared" si="20"/>
        <v>1.3917999999999999</v>
      </c>
      <c r="Y169" s="148">
        <f t="shared" si="20"/>
        <v>1.5717000000000001</v>
      </c>
      <c r="Z169" s="148">
        <f t="shared" si="20"/>
        <v>1.4794</v>
      </c>
      <c r="AA169" s="148">
        <f t="shared" si="20"/>
        <v>1.4470000000000001</v>
      </c>
    </row>
    <row r="170" spans="1:27" x14ac:dyDescent="0.2">
      <c r="A170" s="78">
        <v>709</v>
      </c>
      <c r="B170" s="78" t="s">
        <v>225</v>
      </c>
      <c r="C170" s="79">
        <v>44562</v>
      </c>
      <c r="D170" s="79">
        <v>44926</v>
      </c>
      <c r="E170" s="147">
        <v>2926233</v>
      </c>
      <c r="F170" s="147">
        <v>589078</v>
      </c>
      <c r="G170" s="147">
        <v>793545</v>
      </c>
      <c r="H170" s="147">
        <v>1461318</v>
      </c>
      <c r="I170" s="147">
        <v>11481</v>
      </c>
      <c r="J170" s="147">
        <v>20358</v>
      </c>
      <c r="K170" s="147">
        <v>25185</v>
      </c>
      <c r="L170" s="148">
        <v>1.4168000000000001</v>
      </c>
      <c r="M170" s="148">
        <v>1.3853</v>
      </c>
      <c r="N170" s="148">
        <v>1.3478000000000001</v>
      </c>
      <c r="O170" s="148">
        <v>1.3847</v>
      </c>
      <c r="P170" s="148">
        <v>1.2887</v>
      </c>
      <c r="Q170" s="148">
        <v>1.3731</v>
      </c>
      <c r="R170" s="148">
        <v>1.4025000000000001</v>
      </c>
      <c r="S170" s="148">
        <f t="shared" si="19"/>
        <v>1.3623000000000001</v>
      </c>
      <c r="T170" s="78">
        <f>VLOOKUP(C170&amp;D170,Documentation!$J$37:$K$52,2,FALSE)</f>
        <v>7</v>
      </c>
      <c r="X170" s="148">
        <f t="shared" si="20"/>
        <v>1.3847</v>
      </c>
      <c r="Y170" s="148">
        <f t="shared" si="20"/>
        <v>1.2887</v>
      </c>
      <c r="Z170" s="148">
        <f t="shared" si="20"/>
        <v>1.3731</v>
      </c>
      <c r="AA170" s="148">
        <f t="shared" si="20"/>
        <v>1.4025000000000001</v>
      </c>
    </row>
    <row r="171" spans="1:27" x14ac:dyDescent="0.2">
      <c r="A171" s="78">
        <v>713</v>
      </c>
      <c r="B171" s="78" t="s">
        <v>41</v>
      </c>
      <c r="C171" s="79">
        <v>44562</v>
      </c>
      <c r="D171" s="79">
        <v>44926</v>
      </c>
      <c r="E171" s="147">
        <v>13879710</v>
      </c>
      <c r="F171" s="147">
        <v>1446518</v>
      </c>
      <c r="G171" s="147">
        <v>3478785</v>
      </c>
      <c r="H171" s="147">
        <v>3370243</v>
      </c>
      <c r="I171" s="147">
        <v>46028</v>
      </c>
      <c r="J171" s="147">
        <v>62057</v>
      </c>
      <c r="K171" s="147">
        <v>73000</v>
      </c>
      <c r="L171" s="148">
        <v>1.9891000000000001</v>
      </c>
      <c r="M171" s="148">
        <v>1.9888999999999999</v>
      </c>
      <c r="N171" s="148">
        <v>1.915</v>
      </c>
      <c r="O171" s="148">
        <v>2.0688</v>
      </c>
      <c r="P171" s="148">
        <v>1.9964999999999999</v>
      </c>
      <c r="Q171" s="148">
        <v>1.8912</v>
      </c>
      <c r="R171" s="148">
        <v>1.9156</v>
      </c>
      <c r="S171" s="148">
        <f t="shared" si="19"/>
        <v>1.968</v>
      </c>
      <c r="T171" s="78">
        <f>VLOOKUP(C171&amp;D171,Documentation!$J$37:$K$52,2,FALSE)</f>
        <v>7</v>
      </c>
      <c r="X171" s="148">
        <f t="shared" si="20"/>
        <v>2.0688</v>
      </c>
      <c r="Y171" s="148">
        <f t="shared" si="20"/>
        <v>1.9964999999999999</v>
      </c>
      <c r="Z171" s="148">
        <f t="shared" si="20"/>
        <v>1.8912</v>
      </c>
      <c r="AA171" s="148">
        <f t="shared" si="20"/>
        <v>1.9156</v>
      </c>
    </row>
    <row r="172" spans="1:27" x14ac:dyDescent="0.2">
      <c r="A172" s="78">
        <v>717</v>
      </c>
      <c r="B172" s="78" t="s">
        <v>190</v>
      </c>
      <c r="C172" s="79">
        <v>44562</v>
      </c>
      <c r="D172" s="79">
        <v>44926</v>
      </c>
      <c r="E172" s="147">
        <v>11750835</v>
      </c>
      <c r="F172" s="147">
        <v>1442568</v>
      </c>
      <c r="G172" s="147">
        <v>3397565</v>
      </c>
      <c r="H172" s="147">
        <v>3347910</v>
      </c>
      <c r="I172" s="147">
        <v>52805</v>
      </c>
      <c r="J172" s="147">
        <v>68235</v>
      </c>
      <c r="K172" s="147">
        <v>73000</v>
      </c>
      <c r="L172" s="148">
        <v>1.4071</v>
      </c>
      <c r="M172" s="148">
        <v>1.4052</v>
      </c>
      <c r="N172" s="148">
        <v>1.4193</v>
      </c>
      <c r="O172" s="148">
        <v>1.4790000000000001</v>
      </c>
      <c r="P172" s="148">
        <v>1.4048</v>
      </c>
      <c r="Q172" s="148">
        <v>1.4198</v>
      </c>
      <c r="R172" s="148">
        <v>1.4394</v>
      </c>
      <c r="S172" s="148">
        <f t="shared" si="19"/>
        <v>1.4358</v>
      </c>
      <c r="T172" s="78">
        <f>VLOOKUP(C172&amp;D172,Documentation!$J$37:$K$52,2,FALSE)</f>
        <v>7</v>
      </c>
      <c r="X172" s="148">
        <f t="shared" si="20"/>
        <v>1.4790000000000001</v>
      </c>
      <c r="Y172" s="148">
        <f t="shared" si="20"/>
        <v>1.4048</v>
      </c>
      <c r="Z172" s="148">
        <f t="shared" si="20"/>
        <v>1.4198</v>
      </c>
      <c r="AA172" s="148">
        <f t="shared" si="20"/>
        <v>1.4394</v>
      </c>
    </row>
    <row r="173" spans="1:27" x14ac:dyDescent="0.2">
      <c r="A173" s="78">
        <v>723</v>
      </c>
      <c r="B173" s="78" t="s">
        <v>188</v>
      </c>
      <c r="C173" s="79">
        <v>44562</v>
      </c>
      <c r="D173" s="79">
        <v>44926</v>
      </c>
      <c r="E173" s="147">
        <v>5387412</v>
      </c>
      <c r="F173" s="147">
        <v>746523</v>
      </c>
      <c r="G173" s="147">
        <v>2028615</v>
      </c>
      <c r="H173" s="147">
        <v>1839408</v>
      </c>
      <c r="I173" s="147">
        <v>26286</v>
      </c>
      <c r="J173" s="147">
        <v>33443</v>
      </c>
      <c r="K173" s="147">
        <v>39785</v>
      </c>
      <c r="L173" s="148">
        <v>1.3684000000000001</v>
      </c>
      <c r="M173" s="148">
        <v>1.36</v>
      </c>
      <c r="N173" s="148">
        <v>1.4020999999999999</v>
      </c>
      <c r="O173" s="148">
        <v>1.4856</v>
      </c>
      <c r="P173" s="148">
        <v>1.4556</v>
      </c>
      <c r="Q173" s="148">
        <v>1.4864999999999999</v>
      </c>
      <c r="R173" s="148">
        <v>1.3838999999999999</v>
      </c>
      <c r="S173" s="148">
        <f t="shared" si="19"/>
        <v>1.4529000000000001</v>
      </c>
      <c r="T173" s="78">
        <f>VLOOKUP(C173&amp;D173,Documentation!$J$37:$K$52,2,FALSE)</f>
        <v>7</v>
      </c>
      <c r="X173" s="148">
        <f t="shared" si="20"/>
        <v>1.4856</v>
      </c>
      <c r="Y173" s="148">
        <f t="shared" si="20"/>
        <v>1.4556</v>
      </c>
      <c r="Z173" s="148">
        <f t="shared" si="20"/>
        <v>1.4864999999999999</v>
      </c>
      <c r="AA173" s="148">
        <f t="shared" si="20"/>
        <v>1.3838999999999999</v>
      </c>
    </row>
    <row r="174" spans="1:27" x14ac:dyDescent="0.2">
      <c r="A174" s="78">
        <v>735</v>
      </c>
      <c r="B174" s="78" t="s">
        <v>649</v>
      </c>
      <c r="C174" s="79">
        <v>44562</v>
      </c>
      <c r="D174" s="79">
        <v>44957</v>
      </c>
      <c r="E174" s="147">
        <v>17568224</v>
      </c>
      <c r="F174" s="147">
        <v>1686181</v>
      </c>
      <c r="G174" s="147">
        <v>3961691</v>
      </c>
      <c r="H174" s="147">
        <v>4787482</v>
      </c>
      <c r="I174" s="147">
        <v>47901</v>
      </c>
      <c r="J174" s="147">
        <v>100057</v>
      </c>
      <c r="K174" s="147">
        <v>110880</v>
      </c>
      <c r="L174" s="148">
        <v>1.7532000000000001</v>
      </c>
      <c r="M174" s="148">
        <v>1.8347</v>
      </c>
      <c r="N174" s="148">
        <v>1.8021</v>
      </c>
      <c r="O174" s="148">
        <v>1.8649</v>
      </c>
      <c r="P174" s="148">
        <v>1.7552000000000001</v>
      </c>
      <c r="Q174" s="148">
        <v>1.7477</v>
      </c>
      <c r="R174" s="148">
        <v>1.6232</v>
      </c>
      <c r="S174" s="148">
        <f t="shared" si="19"/>
        <v>1.7478</v>
      </c>
      <c r="T174" s="78">
        <f>VLOOKUP(C174&amp;D174,Documentation!$J$37:$K$52,2,FALSE)</f>
        <v>7</v>
      </c>
      <c r="X174" s="148">
        <f t="shared" si="20"/>
        <v>1.8649</v>
      </c>
      <c r="Y174" s="148">
        <f t="shared" si="20"/>
        <v>1.7552000000000001</v>
      </c>
      <c r="Z174" s="148">
        <f t="shared" si="20"/>
        <v>1.7477</v>
      </c>
      <c r="AA174" s="148">
        <f t="shared" si="20"/>
        <v>1.6232</v>
      </c>
    </row>
    <row r="175" spans="1:27" x14ac:dyDescent="0.2">
      <c r="A175" s="78">
        <v>741</v>
      </c>
      <c r="B175" s="78" t="s">
        <v>435</v>
      </c>
      <c r="C175" s="79">
        <v>44562</v>
      </c>
      <c r="D175" s="79">
        <v>44926</v>
      </c>
      <c r="E175" s="147">
        <v>7616122</v>
      </c>
      <c r="F175" s="147">
        <v>527673</v>
      </c>
      <c r="G175" s="147">
        <v>1608991</v>
      </c>
      <c r="H175" s="147">
        <v>1739317</v>
      </c>
      <c r="I175" s="147">
        <v>25258</v>
      </c>
      <c r="J175" s="147">
        <v>32043</v>
      </c>
      <c r="K175" s="147">
        <v>36135</v>
      </c>
      <c r="L175" s="148">
        <v>1.9411</v>
      </c>
      <c r="M175" s="148">
        <v>1.9579</v>
      </c>
      <c r="N175" s="148">
        <v>2.1002999999999998</v>
      </c>
      <c r="O175" s="148">
        <v>2.1436999999999999</v>
      </c>
      <c r="P175" s="148">
        <v>1.9622999999999999</v>
      </c>
      <c r="Q175" s="148">
        <v>1.9842</v>
      </c>
      <c r="R175" s="148">
        <v>1.9911000000000001</v>
      </c>
      <c r="S175" s="148">
        <f t="shared" si="19"/>
        <v>2.0203000000000002</v>
      </c>
      <c r="T175" s="78">
        <f>VLOOKUP(C175&amp;D175,Documentation!$J$37:$K$52,2,FALSE)</f>
        <v>7</v>
      </c>
      <c r="X175" s="148">
        <f t="shared" si="20"/>
        <v>2.1436999999999999</v>
      </c>
      <c r="Y175" s="148">
        <f t="shared" si="20"/>
        <v>1.9622999999999999</v>
      </c>
      <c r="Z175" s="148">
        <f t="shared" si="20"/>
        <v>1.9842</v>
      </c>
      <c r="AA175" s="148">
        <f t="shared" si="20"/>
        <v>1.9911000000000001</v>
      </c>
    </row>
    <row r="176" spans="1:27" x14ac:dyDescent="0.2">
      <c r="A176" s="78">
        <v>785</v>
      </c>
      <c r="B176" s="78" t="s">
        <v>504</v>
      </c>
      <c r="C176" s="79">
        <v>44562</v>
      </c>
      <c r="D176" s="79">
        <v>44926</v>
      </c>
      <c r="E176" s="147">
        <v>2411215</v>
      </c>
      <c r="F176" s="147">
        <v>276206</v>
      </c>
      <c r="G176" s="147">
        <v>723740</v>
      </c>
      <c r="H176" s="147">
        <v>619289</v>
      </c>
      <c r="I176" s="147">
        <v>496</v>
      </c>
      <c r="J176" s="147">
        <v>8648</v>
      </c>
      <c r="K176" s="147">
        <v>15330</v>
      </c>
      <c r="L176" s="148">
        <v>1.4636</v>
      </c>
      <c r="M176" s="148">
        <v>1.4058999999999999</v>
      </c>
      <c r="N176" s="148">
        <v>1.3382000000000001</v>
      </c>
      <c r="O176" s="148">
        <v>1.3465</v>
      </c>
      <c r="P176" s="148">
        <v>1.2750999999999999</v>
      </c>
      <c r="Q176" s="148">
        <v>1.36</v>
      </c>
      <c r="R176" s="148">
        <v>1.415</v>
      </c>
      <c r="S176" s="148">
        <f t="shared" si="19"/>
        <v>1.3492</v>
      </c>
      <c r="T176" s="78">
        <f>VLOOKUP(C176&amp;D176,Documentation!$J$37:$K$52,2,FALSE)</f>
        <v>7</v>
      </c>
      <c r="X176" s="148">
        <f t="shared" si="20"/>
        <v>1.3465</v>
      </c>
      <c r="Y176" s="148">
        <f t="shared" si="20"/>
        <v>1.2750999999999999</v>
      </c>
      <c r="Z176" s="148">
        <f t="shared" si="20"/>
        <v>1.36</v>
      </c>
      <c r="AA176" s="148">
        <f t="shared" si="20"/>
        <v>1.415</v>
      </c>
    </row>
    <row r="177" spans="1:27" x14ac:dyDescent="0.2">
      <c r="A177" s="78">
        <v>940</v>
      </c>
      <c r="B177" s="147" t="s">
        <v>43</v>
      </c>
      <c r="C177" s="79">
        <v>44562</v>
      </c>
      <c r="D177" s="79">
        <v>44926</v>
      </c>
      <c r="E177" s="147">
        <v>4635030</v>
      </c>
      <c r="F177" s="147">
        <v>760245</v>
      </c>
      <c r="G177" s="147">
        <v>1724403</v>
      </c>
      <c r="H177" s="147">
        <v>1918282</v>
      </c>
      <c r="I177" s="147">
        <v>22256</v>
      </c>
      <c r="J177" s="147">
        <v>29150</v>
      </c>
      <c r="K177" s="147">
        <v>33945</v>
      </c>
      <c r="L177" s="148">
        <v>1.3862000000000001</v>
      </c>
      <c r="M177" s="148">
        <v>1.3644000000000001</v>
      </c>
      <c r="N177" s="148">
        <v>1.3194999999999999</v>
      </c>
      <c r="O177" s="148">
        <v>1.3658999999999999</v>
      </c>
      <c r="P177" s="148">
        <v>1.3568</v>
      </c>
      <c r="Q177" s="148">
        <v>1.3564000000000001</v>
      </c>
      <c r="R177" s="148">
        <v>1.3348</v>
      </c>
      <c r="S177" s="148">
        <f t="shared" si="19"/>
        <v>1.3534999999999999</v>
      </c>
      <c r="T177" s="78">
        <f>VLOOKUP(C177&amp;D177,Documentation!$J$37:$K$52,2,FALSE)</f>
        <v>7</v>
      </c>
      <c r="X177" s="148">
        <f t="shared" si="20"/>
        <v>1.3658999999999999</v>
      </c>
      <c r="Y177" s="148">
        <f t="shared" si="20"/>
        <v>1.3568</v>
      </c>
      <c r="Z177" s="148">
        <f t="shared" si="20"/>
        <v>1.3564000000000001</v>
      </c>
      <c r="AA177" s="148">
        <f t="shared" si="20"/>
        <v>1.3348</v>
      </c>
    </row>
    <row r="178" spans="1:27" x14ac:dyDescent="0.2">
      <c r="A178" s="78">
        <v>1132</v>
      </c>
      <c r="B178" s="78" t="s">
        <v>196</v>
      </c>
      <c r="C178" s="79">
        <v>44562</v>
      </c>
      <c r="D178" s="79">
        <v>44926</v>
      </c>
      <c r="E178" s="147">
        <v>5035635</v>
      </c>
      <c r="F178" s="147">
        <v>740378</v>
      </c>
      <c r="G178" s="147">
        <v>1710697</v>
      </c>
      <c r="H178" s="147">
        <v>1989177</v>
      </c>
      <c r="I178" s="147">
        <v>15356</v>
      </c>
      <c r="J178" s="147">
        <v>26667</v>
      </c>
      <c r="K178" s="147">
        <v>33215</v>
      </c>
      <c r="L178" s="148">
        <v>1.5331999999999999</v>
      </c>
      <c r="M178" s="148">
        <v>1.5128999999999999</v>
      </c>
      <c r="N178" s="148">
        <v>1.4757</v>
      </c>
      <c r="O178" s="148">
        <v>1.5672999999999999</v>
      </c>
      <c r="P178" s="148">
        <v>1.5589</v>
      </c>
      <c r="Q178" s="148">
        <v>1.6008</v>
      </c>
      <c r="R178" s="148">
        <v>1.6616</v>
      </c>
      <c r="S178" s="148">
        <f t="shared" si="19"/>
        <v>1.5972</v>
      </c>
      <c r="T178" s="78">
        <f>VLOOKUP(C178&amp;D178,Documentation!$J$37:$K$52,2,FALSE)</f>
        <v>7</v>
      </c>
      <c r="X178" s="148">
        <f t="shared" si="20"/>
        <v>1.5672999999999999</v>
      </c>
      <c r="Y178" s="148">
        <f t="shared" si="20"/>
        <v>1.5589</v>
      </c>
      <c r="Z178" s="148">
        <f t="shared" si="20"/>
        <v>1.6008</v>
      </c>
      <c r="AA178" s="148">
        <f t="shared" si="20"/>
        <v>1.6616</v>
      </c>
    </row>
    <row r="179" spans="1:27" x14ac:dyDescent="0.2">
      <c r="A179" s="78">
        <v>1194</v>
      </c>
      <c r="B179" s="78" t="s">
        <v>237</v>
      </c>
      <c r="C179" s="79">
        <v>44562</v>
      </c>
      <c r="D179" s="79">
        <v>44926</v>
      </c>
      <c r="E179" s="147">
        <v>2416438</v>
      </c>
      <c r="F179" s="147">
        <v>285308</v>
      </c>
      <c r="G179" s="147">
        <v>498442</v>
      </c>
      <c r="H179" s="147">
        <v>821678</v>
      </c>
      <c r="I179" s="147">
        <v>365</v>
      </c>
      <c r="J179" s="147">
        <v>8856</v>
      </c>
      <c r="K179" s="147">
        <v>16425</v>
      </c>
      <c r="L179" s="148">
        <v>1.2873000000000001</v>
      </c>
      <c r="M179" s="148">
        <v>1.2523</v>
      </c>
      <c r="N179" s="148">
        <v>1.2779</v>
      </c>
      <c r="O179" s="148">
        <v>1.224</v>
      </c>
      <c r="P179" s="148">
        <v>1.1488</v>
      </c>
      <c r="Q179" s="148">
        <v>1.113</v>
      </c>
      <c r="R179" s="148">
        <v>1.1309</v>
      </c>
      <c r="S179" s="148">
        <f t="shared" si="19"/>
        <v>1.1541999999999999</v>
      </c>
      <c r="T179" s="78">
        <f>VLOOKUP(C179&amp;D179,Documentation!$J$37:$K$52,2,FALSE)</f>
        <v>7</v>
      </c>
      <c r="X179" s="148">
        <f t="shared" si="20"/>
        <v>1.224</v>
      </c>
      <c r="Y179" s="148">
        <f t="shared" si="20"/>
        <v>1.1488</v>
      </c>
      <c r="Z179" s="148">
        <f t="shared" si="20"/>
        <v>1.113</v>
      </c>
      <c r="AA179" s="148">
        <f t="shared" si="20"/>
        <v>1.1309</v>
      </c>
    </row>
    <row r="180" spans="1:27" x14ac:dyDescent="0.2">
      <c r="A180" s="78">
        <v>1203</v>
      </c>
      <c r="B180" s="78" t="s">
        <v>407</v>
      </c>
      <c r="C180" s="79">
        <v>44562</v>
      </c>
      <c r="D180" s="79">
        <v>44926</v>
      </c>
      <c r="E180" s="147">
        <v>2533838</v>
      </c>
      <c r="F180" s="147">
        <v>295486</v>
      </c>
      <c r="G180" s="147">
        <v>945602</v>
      </c>
      <c r="H180" s="147">
        <v>1030211</v>
      </c>
      <c r="I180" s="147">
        <v>9773</v>
      </c>
      <c r="J180" s="147">
        <v>17553</v>
      </c>
      <c r="K180" s="147">
        <v>19345</v>
      </c>
      <c r="L180" s="148">
        <v>1.3741000000000001</v>
      </c>
      <c r="M180" s="148">
        <v>1.3232999999999999</v>
      </c>
      <c r="N180" s="148">
        <v>1.4681999999999999</v>
      </c>
      <c r="O180" s="148">
        <v>1.6443000000000001</v>
      </c>
      <c r="P180" s="148">
        <v>1.575</v>
      </c>
      <c r="Q180" s="148">
        <v>1.5287999999999999</v>
      </c>
      <c r="R180" s="148">
        <v>1.6122000000000001</v>
      </c>
      <c r="S180" s="148">
        <f t="shared" si="19"/>
        <v>1.5901000000000001</v>
      </c>
      <c r="T180" s="78">
        <f>VLOOKUP(C180&amp;D180,Documentation!$J$37:$K$52,2,FALSE)</f>
        <v>7</v>
      </c>
      <c r="X180" s="148">
        <f t="shared" si="20"/>
        <v>1.6443000000000001</v>
      </c>
      <c r="Y180" s="148">
        <f t="shared" si="20"/>
        <v>1.575</v>
      </c>
      <c r="Z180" s="148">
        <f t="shared" si="20"/>
        <v>1.5287999999999999</v>
      </c>
      <c r="AA180" s="148">
        <f t="shared" si="20"/>
        <v>1.6122000000000001</v>
      </c>
    </row>
    <row r="181" spans="1:27" x14ac:dyDescent="0.2">
      <c r="A181" s="78">
        <v>1209</v>
      </c>
      <c r="B181" s="78" t="s">
        <v>217</v>
      </c>
      <c r="C181" s="79">
        <v>44562</v>
      </c>
      <c r="D181" s="79">
        <v>44926</v>
      </c>
      <c r="E181" s="147">
        <v>3198946</v>
      </c>
      <c r="F181" s="147">
        <v>555669</v>
      </c>
      <c r="G181" s="147">
        <v>1240818</v>
      </c>
      <c r="H181" s="147">
        <v>1490178</v>
      </c>
      <c r="I181" s="147">
        <v>11702</v>
      </c>
      <c r="J181" s="147">
        <v>22218</v>
      </c>
      <c r="K181" s="147">
        <v>25550</v>
      </c>
      <c r="L181" s="148">
        <v>1.5672999999999999</v>
      </c>
      <c r="M181" s="148">
        <v>1.5504</v>
      </c>
      <c r="N181" s="148">
        <v>1.532</v>
      </c>
      <c r="O181" s="148">
        <v>1.5305</v>
      </c>
      <c r="P181" s="148">
        <v>1.4799</v>
      </c>
      <c r="Q181" s="148">
        <v>1.5623</v>
      </c>
      <c r="R181" s="148">
        <v>1.4758</v>
      </c>
      <c r="S181" s="148">
        <f t="shared" si="19"/>
        <v>1.5121</v>
      </c>
      <c r="T181" s="78">
        <f>VLOOKUP(C181&amp;D181,Documentation!$J$37:$K$52,2,FALSE)</f>
        <v>7</v>
      </c>
      <c r="X181" s="148">
        <f t="shared" si="20"/>
        <v>1.5305</v>
      </c>
      <c r="Y181" s="148">
        <f t="shared" si="20"/>
        <v>1.4799</v>
      </c>
      <c r="Z181" s="148">
        <f t="shared" si="20"/>
        <v>1.5623</v>
      </c>
      <c r="AA181" s="148">
        <f t="shared" si="20"/>
        <v>1.4758</v>
      </c>
    </row>
    <row r="182" spans="1:27" x14ac:dyDescent="0.2">
      <c r="A182" s="78">
        <v>1232</v>
      </c>
      <c r="B182" s="78" t="s">
        <v>255</v>
      </c>
      <c r="C182" s="79">
        <v>44562</v>
      </c>
      <c r="D182" s="79">
        <v>44926</v>
      </c>
      <c r="E182" s="147">
        <v>3581288</v>
      </c>
      <c r="F182" s="147">
        <v>578329</v>
      </c>
      <c r="G182" s="147">
        <v>1386347</v>
      </c>
      <c r="H182" s="147">
        <v>1643306</v>
      </c>
      <c r="I182" s="147">
        <v>9715</v>
      </c>
      <c r="J182" s="147">
        <v>18281</v>
      </c>
      <c r="K182" s="147">
        <v>28470</v>
      </c>
      <c r="L182" s="148">
        <v>1.5495000000000001</v>
      </c>
      <c r="M182" s="148">
        <v>1.4410000000000001</v>
      </c>
      <c r="N182" s="148">
        <v>1.4823999999999999</v>
      </c>
      <c r="O182" s="148">
        <v>1.5064</v>
      </c>
      <c r="P182" s="148">
        <v>1.5686</v>
      </c>
      <c r="Q182" s="148">
        <v>1.6305000000000001</v>
      </c>
      <c r="R182" s="148">
        <v>1.5529999999999999</v>
      </c>
      <c r="S182" s="148">
        <f t="shared" si="19"/>
        <v>1.5646</v>
      </c>
      <c r="T182" s="78">
        <f>VLOOKUP(C182&amp;D182,Documentation!$J$37:$K$52,2,FALSE)</f>
        <v>7</v>
      </c>
      <c r="X182" s="148">
        <f t="shared" si="20"/>
        <v>1.5064</v>
      </c>
      <c r="Y182" s="148">
        <f t="shared" si="20"/>
        <v>1.5686</v>
      </c>
      <c r="Z182" s="148">
        <f t="shared" si="20"/>
        <v>1.6305000000000001</v>
      </c>
      <c r="AA182" s="148">
        <f t="shared" si="20"/>
        <v>1.5529999999999999</v>
      </c>
    </row>
    <row r="183" spans="1:27" x14ac:dyDescent="0.2">
      <c r="A183" s="78">
        <v>1282</v>
      </c>
      <c r="B183" s="78" t="s">
        <v>328</v>
      </c>
      <c r="C183" s="79">
        <v>44562</v>
      </c>
      <c r="D183" s="79">
        <v>44926</v>
      </c>
      <c r="E183" s="147">
        <v>2908296</v>
      </c>
      <c r="F183" s="147">
        <v>374531</v>
      </c>
      <c r="G183" s="147">
        <v>894199</v>
      </c>
      <c r="H183" s="147">
        <v>948257</v>
      </c>
      <c r="I183" s="147">
        <v>10226</v>
      </c>
      <c r="J183" s="147">
        <v>20772</v>
      </c>
      <c r="K183" s="147">
        <v>29200</v>
      </c>
      <c r="L183" s="148">
        <v>1.4185000000000001</v>
      </c>
      <c r="M183" s="148">
        <v>1.4067000000000001</v>
      </c>
      <c r="N183" s="148">
        <v>1.383</v>
      </c>
      <c r="O183" s="148">
        <v>1.3804000000000001</v>
      </c>
      <c r="P183" s="148">
        <v>1.3977999999999999</v>
      </c>
      <c r="Q183" s="148">
        <v>1.3749</v>
      </c>
      <c r="R183" s="148">
        <v>1.4296</v>
      </c>
      <c r="S183" s="148">
        <f t="shared" ref="S183:S186" si="21">ROUND(AVERAGE(O183:R183),4)</f>
        <v>1.3956999999999999</v>
      </c>
      <c r="T183" s="78">
        <f>VLOOKUP(C183&amp;D183,Documentation!$J$37:$K$52,2,FALSE)</f>
        <v>7</v>
      </c>
      <c r="X183" s="148">
        <f t="shared" si="20"/>
        <v>1.3804000000000001</v>
      </c>
      <c r="Y183" s="148">
        <f t="shared" si="20"/>
        <v>1.3977999999999999</v>
      </c>
      <c r="Z183" s="148">
        <f t="shared" si="20"/>
        <v>1.3749</v>
      </c>
      <c r="AA183" s="148">
        <f t="shared" si="20"/>
        <v>1.4296</v>
      </c>
    </row>
    <row r="184" spans="1:27" x14ac:dyDescent="0.2">
      <c r="A184" s="78">
        <v>1324</v>
      </c>
      <c r="B184" s="78" t="s">
        <v>477</v>
      </c>
      <c r="C184" s="79">
        <v>44562</v>
      </c>
      <c r="D184" s="79">
        <v>44926</v>
      </c>
      <c r="E184" s="147">
        <v>3724084</v>
      </c>
      <c r="F184" s="147">
        <v>607009</v>
      </c>
      <c r="G184" s="147">
        <v>1427123</v>
      </c>
      <c r="H184" s="147">
        <v>1019519</v>
      </c>
      <c r="I184" s="147">
        <v>3164</v>
      </c>
      <c r="J184" s="147">
        <v>16757</v>
      </c>
      <c r="K184" s="147">
        <v>28835</v>
      </c>
      <c r="L184" s="148">
        <v>1.2201</v>
      </c>
      <c r="M184" s="148">
        <v>1.2174</v>
      </c>
      <c r="N184" s="148">
        <v>1.2433000000000001</v>
      </c>
      <c r="O184" s="148">
        <v>1.2293000000000001</v>
      </c>
      <c r="P184" s="148">
        <v>1.2477</v>
      </c>
      <c r="Q184" s="148">
        <v>1.1946000000000001</v>
      </c>
      <c r="R184" s="148">
        <v>1.1909000000000001</v>
      </c>
      <c r="S184" s="148">
        <f t="shared" si="21"/>
        <v>1.2156</v>
      </c>
      <c r="T184" s="78">
        <f>VLOOKUP(C184&amp;D184,Documentation!$J$37:$K$52,2,FALSE)</f>
        <v>7</v>
      </c>
      <c r="X184" s="148">
        <f t="shared" si="20"/>
        <v>1.2293000000000001</v>
      </c>
      <c r="Y184" s="148">
        <f t="shared" si="20"/>
        <v>1.2477</v>
      </c>
      <c r="Z184" s="148">
        <f t="shared" si="20"/>
        <v>1.1946000000000001</v>
      </c>
      <c r="AA184" s="148">
        <f t="shared" si="20"/>
        <v>1.1909000000000001</v>
      </c>
    </row>
    <row r="185" spans="1:27" x14ac:dyDescent="0.2">
      <c r="A185" s="78">
        <v>1326</v>
      </c>
      <c r="B185" s="78" t="s">
        <v>675</v>
      </c>
      <c r="C185" s="79">
        <v>44562</v>
      </c>
      <c r="D185" s="79">
        <v>44926</v>
      </c>
      <c r="E185" s="147">
        <v>5503167</v>
      </c>
      <c r="F185" s="147">
        <v>544902</v>
      </c>
      <c r="G185" s="147">
        <v>2455171</v>
      </c>
      <c r="H185" s="147">
        <v>1717304</v>
      </c>
      <c r="I185" s="147">
        <v>7526</v>
      </c>
      <c r="J185" s="147">
        <v>23954</v>
      </c>
      <c r="K185" s="147">
        <v>32120</v>
      </c>
      <c r="L185" s="148">
        <v>1.3532999999999999</v>
      </c>
      <c r="M185" s="148">
        <v>1.3322000000000001</v>
      </c>
      <c r="N185" s="148">
        <v>1.331</v>
      </c>
      <c r="O185" s="148">
        <v>1.4621999999999999</v>
      </c>
      <c r="P185" s="148">
        <v>1.4317</v>
      </c>
      <c r="Q185" s="148">
        <v>1.4966999999999999</v>
      </c>
      <c r="R185" s="148">
        <v>1.3282</v>
      </c>
      <c r="S185" s="148">
        <f t="shared" si="21"/>
        <v>1.4297</v>
      </c>
      <c r="T185" s="78">
        <f>VLOOKUP(C185&amp;D185,Documentation!$J$37:$K$52,2,FALSE)</f>
        <v>7</v>
      </c>
      <c r="X185" s="148">
        <f t="shared" si="20"/>
        <v>1.4621999999999999</v>
      </c>
      <c r="Y185" s="148">
        <f t="shared" si="20"/>
        <v>1.4317</v>
      </c>
      <c r="Z185" s="148">
        <f t="shared" si="20"/>
        <v>1.4966999999999999</v>
      </c>
      <c r="AA185" s="148">
        <f t="shared" si="20"/>
        <v>1.3282</v>
      </c>
    </row>
    <row r="186" spans="1:27" x14ac:dyDescent="0.2">
      <c r="A186" s="78">
        <v>1366</v>
      </c>
      <c r="B186" s="147" t="s">
        <v>438</v>
      </c>
      <c r="C186" s="79">
        <v>44562</v>
      </c>
      <c r="D186" s="79">
        <v>44926</v>
      </c>
      <c r="E186" s="147">
        <v>12550476</v>
      </c>
      <c r="F186" s="147">
        <v>1328149</v>
      </c>
      <c r="G186" s="147">
        <v>2828416</v>
      </c>
      <c r="H186" s="147">
        <v>3342182</v>
      </c>
      <c r="I186" s="147">
        <v>22211</v>
      </c>
      <c r="J186" s="147">
        <v>48624</v>
      </c>
      <c r="K186" s="147">
        <v>54750</v>
      </c>
      <c r="L186" s="148">
        <v>2.0331999999999999</v>
      </c>
      <c r="M186" s="148">
        <v>2.0169999999999999</v>
      </c>
      <c r="N186" s="148">
        <v>2.0264000000000002</v>
      </c>
      <c r="O186" s="148">
        <v>2.1236999999999999</v>
      </c>
      <c r="P186" s="148">
        <v>1.9941</v>
      </c>
      <c r="Q186" s="148">
        <v>1.8987000000000001</v>
      </c>
      <c r="R186" s="148">
        <v>1.8885000000000001</v>
      </c>
      <c r="S186" s="148">
        <f t="shared" si="21"/>
        <v>1.9762999999999999</v>
      </c>
      <c r="T186" s="78">
        <f>VLOOKUP(C186&amp;D186,Documentation!$J$37:$K$52,2,FALSE)</f>
        <v>7</v>
      </c>
      <c r="X186" s="148">
        <f t="shared" si="20"/>
        <v>2.1236999999999999</v>
      </c>
      <c r="Y186" s="148">
        <f t="shared" si="20"/>
        <v>1.9941</v>
      </c>
      <c r="Z186" s="148">
        <f t="shared" si="20"/>
        <v>1.8987000000000001</v>
      </c>
      <c r="AA186" s="148">
        <f t="shared" si="20"/>
        <v>1.8885000000000001</v>
      </c>
    </row>
    <row r="187" spans="1:27" x14ac:dyDescent="0.2">
      <c r="A187" s="78">
        <v>685</v>
      </c>
      <c r="B187" s="78" t="s">
        <v>607</v>
      </c>
      <c r="C187" s="79">
        <v>44621</v>
      </c>
      <c r="D187" s="79">
        <v>44926</v>
      </c>
      <c r="E187" s="147">
        <v>5309144</v>
      </c>
      <c r="F187" s="147">
        <v>603975</v>
      </c>
      <c r="G187" s="147">
        <v>1599655</v>
      </c>
      <c r="H187" s="147">
        <v>1305840</v>
      </c>
      <c r="I187" s="147">
        <v>21238</v>
      </c>
      <c r="J187" s="147">
        <v>37759</v>
      </c>
      <c r="K187" s="147">
        <v>44982</v>
      </c>
      <c r="L187" s="148">
        <v>1.3761000000000001</v>
      </c>
      <c r="M187" s="148">
        <v>1.3645</v>
      </c>
      <c r="N187" s="148">
        <v>1.3512999999999999</v>
      </c>
      <c r="O187" s="148">
        <v>1.5809</v>
      </c>
      <c r="P187" s="148">
        <v>1.3795999999999999</v>
      </c>
      <c r="Q187" s="148">
        <v>1.4712000000000001</v>
      </c>
      <c r="R187" s="148">
        <v>1.7507999999999999</v>
      </c>
      <c r="S187" s="148">
        <f>ROUND(AVERAGE(P187:R187),4)</f>
        <v>1.5339</v>
      </c>
      <c r="T187" s="78">
        <f>VLOOKUP(C187&amp;D187,Documentation!$J$37:$K$52,2,FALSE)</f>
        <v>8</v>
      </c>
      <c r="X187" s="148"/>
      <c r="Y187" s="148">
        <f t="shared" si="20"/>
        <v>1.3795999999999999</v>
      </c>
      <c r="Z187" s="148">
        <f t="shared" si="20"/>
        <v>1.4712000000000001</v>
      </c>
      <c r="AA187" s="148">
        <f t="shared" si="20"/>
        <v>1.7507999999999999</v>
      </c>
    </row>
    <row r="188" spans="1:27" x14ac:dyDescent="0.2">
      <c r="A188" s="78">
        <v>1421</v>
      </c>
      <c r="B188" s="78" t="s">
        <v>713</v>
      </c>
      <c r="C188" s="79">
        <v>44713</v>
      </c>
      <c r="D188" s="79">
        <v>44926</v>
      </c>
      <c r="E188" s="147">
        <v>2207303</v>
      </c>
      <c r="F188" s="147">
        <v>308570</v>
      </c>
      <c r="G188" s="147">
        <v>846384</v>
      </c>
      <c r="H188" s="147">
        <v>848107</v>
      </c>
      <c r="I188" s="147">
        <v>1694</v>
      </c>
      <c r="J188" s="147">
        <v>13429</v>
      </c>
      <c r="K188" s="147">
        <v>23112</v>
      </c>
      <c r="L188" s="148">
        <v>1.3318000000000001</v>
      </c>
      <c r="M188" s="148">
        <v>1.3696999999999999</v>
      </c>
      <c r="N188" s="148">
        <v>1.4739</v>
      </c>
      <c r="O188" s="148">
        <v>1.6281000000000001</v>
      </c>
      <c r="P188" s="148">
        <v>1.4744999999999999</v>
      </c>
      <c r="Q188" s="148">
        <v>1.6153999999999999</v>
      </c>
      <c r="R188" s="148">
        <v>1.4857</v>
      </c>
      <c r="S188" s="148">
        <f>ROUND(AVERAGE(Q188:R188),4)</f>
        <v>1.5506</v>
      </c>
      <c r="T188" s="78">
        <f>VLOOKUP(C188&amp;D188,Documentation!$J$37:$K$52,2,FALSE)</f>
        <v>9</v>
      </c>
      <c r="X188" s="148"/>
      <c r="Y188" s="148">
        <f t="shared" si="20"/>
        <v>1.4744999999999999</v>
      </c>
      <c r="Z188" s="148">
        <f t="shared" si="20"/>
        <v>1.6153999999999999</v>
      </c>
      <c r="AA188" s="148">
        <f t="shared" si="20"/>
        <v>1.4857</v>
      </c>
    </row>
    <row r="189" spans="1:27" x14ac:dyDescent="0.2">
      <c r="A189" s="78">
        <v>54</v>
      </c>
      <c r="B189" s="78" t="s">
        <v>603</v>
      </c>
      <c r="C189" s="79">
        <v>44713</v>
      </c>
      <c r="D189" s="79">
        <v>44926</v>
      </c>
      <c r="E189" s="147">
        <v>4874906</v>
      </c>
      <c r="F189" s="147">
        <v>390766</v>
      </c>
      <c r="G189" s="147">
        <v>1024266</v>
      </c>
      <c r="H189" s="147">
        <v>1030864</v>
      </c>
      <c r="I189" s="147">
        <v>17464</v>
      </c>
      <c r="J189" s="147">
        <v>27984</v>
      </c>
      <c r="K189" s="147">
        <v>33170</v>
      </c>
      <c r="L189" s="148">
        <v>1.341</v>
      </c>
      <c r="M189" s="148">
        <v>1.3283</v>
      </c>
      <c r="N189" s="148">
        <v>1.3362000000000001</v>
      </c>
      <c r="O189" s="148">
        <v>1.4408000000000001</v>
      </c>
      <c r="P189" s="148">
        <v>1.3443000000000001</v>
      </c>
      <c r="Q189" s="148">
        <v>1.38</v>
      </c>
      <c r="R189" s="148">
        <v>1.3456999999999999</v>
      </c>
      <c r="S189" s="148">
        <f>ROUND(AVERAGE(Q189:R189),4)</f>
        <v>1.3629</v>
      </c>
      <c r="T189" s="78">
        <f>VLOOKUP(C189&amp;D189,Documentation!$J$37:$K$52,2,FALSE)</f>
        <v>9</v>
      </c>
      <c r="X189" s="148"/>
      <c r="Y189" s="148"/>
      <c r="Z189" s="148">
        <f t="shared" si="20"/>
        <v>1.38</v>
      </c>
      <c r="AA189" s="148">
        <f t="shared" si="20"/>
        <v>1.3456999999999999</v>
      </c>
    </row>
    <row r="190" spans="1:27" x14ac:dyDescent="0.2">
      <c r="A190" s="78">
        <v>60</v>
      </c>
      <c r="B190" s="78" t="s">
        <v>618</v>
      </c>
      <c r="C190" s="79">
        <v>44713</v>
      </c>
      <c r="D190" s="79">
        <v>44926</v>
      </c>
      <c r="E190" s="147">
        <v>4942308</v>
      </c>
      <c r="F190" s="147">
        <v>576315</v>
      </c>
      <c r="G190" s="147">
        <v>1621886</v>
      </c>
      <c r="H190" s="147">
        <v>1213719</v>
      </c>
      <c r="I190" s="147">
        <v>17989</v>
      </c>
      <c r="J190" s="147">
        <v>35031</v>
      </c>
      <c r="K190" s="147">
        <v>41730</v>
      </c>
      <c r="L190" s="148">
        <v>1.1671</v>
      </c>
      <c r="M190" s="148">
        <v>1.1536999999999999</v>
      </c>
      <c r="N190" s="148">
        <v>1.1860999999999999</v>
      </c>
      <c r="O190" s="148">
        <v>1.2312000000000001</v>
      </c>
      <c r="P190" s="148">
        <v>1.2075</v>
      </c>
      <c r="Q190" s="148">
        <v>1.1974</v>
      </c>
      <c r="R190" s="148">
        <v>1.2246999999999999</v>
      </c>
      <c r="S190" s="148">
        <f t="shared" ref="S190:S205" si="22">ROUND(AVERAGE(Q190:R190),4)</f>
        <v>1.2111000000000001</v>
      </c>
      <c r="T190" s="78">
        <f>VLOOKUP(C190&amp;D190,Documentation!$J$37:$K$52,2,FALSE)</f>
        <v>9</v>
      </c>
      <c r="X190" s="148"/>
      <c r="Y190" s="148"/>
      <c r="Z190" s="148">
        <f t="shared" si="20"/>
        <v>1.1974</v>
      </c>
      <c r="AA190" s="148">
        <f t="shared" si="20"/>
        <v>1.2246999999999999</v>
      </c>
    </row>
    <row r="191" spans="1:27" x14ac:dyDescent="0.2">
      <c r="A191" s="78">
        <v>78</v>
      </c>
      <c r="B191" s="78" t="s">
        <v>636</v>
      </c>
      <c r="C191" s="79">
        <v>44774</v>
      </c>
      <c r="D191" s="79">
        <v>44926</v>
      </c>
      <c r="E191" s="147">
        <v>3545350</v>
      </c>
      <c r="F191" s="147">
        <v>319284</v>
      </c>
      <c r="G191" s="147">
        <v>793110</v>
      </c>
      <c r="H191" s="147">
        <v>710102</v>
      </c>
      <c r="I191" s="147">
        <v>10510</v>
      </c>
      <c r="J191" s="147">
        <v>20492</v>
      </c>
      <c r="K191" s="147">
        <v>22032</v>
      </c>
      <c r="L191" s="148">
        <v>1.4117999999999999</v>
      </c>
      <c r="M191" s="148">
        <v>1.3938999999999999</v>
      </c>
      <c r="N191" s="148">
        <v>1.3968</v>
      </c>
      <c r="O191" s="148">
        <v>1.4322999999999999</v>
      </c>
      <c r="P191" s="148">
        <v>1.4137</v>
      </c>
      <c r="Q191" s="148">
        <v>1.5428999999999999</v>
      </c>
      <c r="R191" s="148">
        <v>1.5861000000000001</v>
      </c>
      <c r="S191" s="148">
        <f t="shared" si="22"/>
        <v>1.5645</v>
      </c>
      <c r="T191" s="78">
        <f>VLOOKUP(C191&amp;D191,Documentation!$J$37:$K$52,2,FALSE)</f>
        <v>9</v>
      </c>
      <c r="X191" s="148"/>
      <c r="Y191" s="148"/>
      <c r="Z191" s="148">
        <f t="shared" si="20"/>
        <v>1.5428999999999999</v>
      </c>
      <c r="AA191" s="148">
        <f t="shared" si="20"/>
        <v>1.5861000000000001</v>
      </c>
    </row>
    <row r="192" spans="1:27" x14ac:dyDescent="0.2">
      <c r="A192" s="78">
        <v>82</v>
      </c>
      <c r="B192" s="78" t="s">
        <v>638</v>
      </c>
      <c r="C192" s="79">
        <v>44774</v>
      </c>
      <c r="D192" s="79">
        <v>44926</v>
      </c>
      <c r="E192" s="147">
        <v>1793167</v>
      </c>
      <c r="F192" s="147">
        <v>190731</v>
      </c>
      <c r="G192" s="147">
        <v>594280</v>
      </c>
      <c r="H192" s="147">
        <v>401963</v>
      </c>
      <c r="I192" s="147">
        <v>6803</v>
      </c>
      <c r="J192" s="147">
        <v>12083</v>
      </c>
      <c r="K192" s="147">
        <v>14229</v>
      </c>
      <c r="L192" s="148">
        <v>1.3580000000000001</v>
      </c>
      <c r="M192" s="148">
        <v>1.2565999999999999</v>
      </c>
      <c r="N192" s="148">
        <v>1.2703</v>
      </c>
      <c r="O192" s="148">
        <v>1.331</v>
      </c>
      <c r="P192" s="148">
        <v>1.3362000000000001</v>
      </c>
      <c r="Q192" s="148">
        <v>1.4019999999999999</v>
      </c>
      <c r="R192" s="148">
        <v>1.4074</v>
      </c>
      <c r="S192" s="148">
        <f t="shared" si="22"/>
        <v>1.4047000000000001</v>
      </c>
      <c r="T192" s="78">
        <f>VLOOKUP(C192&amp;D192,Documentation!$J$37:$K$52,2,FALSE)</f>
        <v>9</v>
      </c>
      <c r="X192" s="148"/>
      <c r="Y192" s="148"/>
      <c r="Z192" s="148">
        <f t="shared" si="20"/>
        <v>1.4019999999999999</v>
      </c>
      <c r="AA192" s="148">
        <f t="shared" si="20"/>
        <v>1.4074</v>
      </c>
    </row>
    <row r="193" spans="1:27" x14ac:dyDescent="0.2">
      <c r="A193" s="78">
        <v>122</v>
      </c>
      <c r="B193" s="78" t="s">
        <v>634</v>
      </c>
      <c r="C193" s="79">
        <v>44774</v>
      </c>
      <c r="D193" s="79">
        <v>44926</v>
      </c>
      <c r="E193" s="147">
        <v>2666584</v>
      </c>
      <c r="F193" s="147">
        <v>264674</v>
      </c>
      <c r="G193" s="147">
        <v>803994</v>
      </c>
      <c r="H193" s="147">
        <v>703593</v>
      </c>
      <c r="I193" s="147">
        <v>11184</v>
      </c>
      <c r="J193" s="147">
        <v>14710</v>
      </c>
      <c r="K193" s="147">
        <v>18054</v>
      </c>
      <c r="L193" s="148">
        <v>1.4167000000000001</v>
      </c>
      <c r="M193" s="148">
        <v>1.4543999999999999</v>
      </c>
      <c r="N193" s="148">
        <v>1.4470000000000001</v>
      </c>
      <c r="O193" s="148">
        <v>1.5019</v>
      </c>
      <c r="P193" s="148">
        <v>1.4705999999999999</v>
      </c>
      <c r="Q193" s="148">
        <v>1.4833000000000001</v>
      </c>
      <c r="R193" s="148">
        <v>1.4948999999999999</v>
      </c>
      <c r="S193" s="148">
        <f t="shared" si="22"/>
        <v>1.4891000000000001</v>
      </c>
      <c r="T193" s="78">
        <f>VLOOKUP(C193&amp;D193,Documentation!$J$37:$K$52,2,FALSE)</f>
        <v>9</v>
      </c>
      <c r="X193" s="148"/>
      <c r="Y193" s="148"/>
      <c r="Z193" s="148">
        <f t="shared" si="20"/>
        <v>1.4833000000000001</v>
      </c>
      <c r="AA193" s="148">
        <f t="shared" si="20"/>
        <v>1.4948999999999999</v>
      </c>
    </row>
    <row r="194" spans="1:27" x14ac:dyDescent="0.2">
      <c r="A194" s="78">
        <v>140</v>
      </c>
      <c r="B194" s="78" t="s">
        <v>659</v>
      </c>
      <c r="C194" s="79">
        <v>44774</v>
      </c>
      <c r="D194" s="79">
        <v>44926</v>
      </c>
      <c r="E194" s="147">
        <v>2331457</v>
      </c>
      <c r="F194" s="147">
        <v>358475</v>
      </c>
      <c r="G194" s="147">
        <v>630474</v>
      </c>
      <c r="H194" s="147">
        <v>465308</v>
      </c>
      <c r="I194" s="147">
        <v>8960</v>
      </c>
      <c r="J194" s="147">
        <v>13172</v>
      </c>
      <c r="K194" s="147">
        <v>15147</v>
      </c>
      <c r="L194" s="148">
        <v>1.325</v>
      </c>
      <c r="M194" s="148">
        <v>1.3520000000000001</v>
      </c>
      <c r="N194" s="148">
        <v>1.2746999999999999</v>
      </c>
      <c r="O194" s="148">
        <v>1.3156000000000001</v>
      </c>
      <c r="P194" s="148">
        <v>1.3221000000000001</v>
      </c>
      <c r="Q194" s="148">
        <v>1.3006</v>
      </c>
      <c r="R194" s="148">
        <v>1.4119999999999999</v>
      </c>
      <c r="S194" s="148">
        <f t="shared" si="22"/>
        <v>1.3563000000000001</v>
      </c>
      <c r="T194" s="78">
        <f>VLOOKUP(C194&amp;D194,Documentation!$J$37:$K$52,2,FALSE)</f>
        <v>9</v>
      </c>
      <c r="X194" s="148"/>
      <c r="Y194" s="148"/>
      <c r="Z194" s="148">
        <f t="shared" si="20"/>
        <v>1.3006</v>
      </c>
      <c r="AA194" s="148">
        <f t="shared" si="20"/>
        <v>1.4119999999999999</v>
      </c>
    </row>
    <row r="195" spans="1:27" x14ac:dyDescent="0.2">
      <c r="A195" s="78">
        <v>240</v>
      </c>
      <c r="B195" s="78" t="s">
        <v>641</v>
      </c>
      <c r="C195" s="79">
        <v>44774</v>
      </c>
      <c r="D195" s="79">
        <v>44926</v>
      </c>
      <c r="E195" s="147">
        <v>3580284</v>
      </c>
      <c r="F195" s="147">
        <v>315468</v>
      </c>
      <c r="G195" s="147">
        <v>1034765</v>
      </c>
      <c r="H195" s="147">
        <v>834940</v>
      </c>
      <c r="I195" s="147">
        <v>9659</v>
      </c>
      <c r="J195" s="147">
        <v>18569</v>
      </c>
      <c r="K195" s="147">
        <v>22950</v>
      </c>
      <c r="L195" s="148">
        <v>1.4946999999999999</v>
      </c>
      <c r="M195" s="148">
        <v>1.4961</v>
      </c>
      <c r="N195" s="148">
        <v>1.4784999999999999</v>
      </c>
      <c r="O195" s="148">
        <v>1.5208999999999999</v>
      </c>
      <c r="P195" s="148">
        <v>1.4440999999999999</v>
      </c>
      <c r="Q195" s="148">
        <v>1.4861</v>
      </c>
      <c r="R195" s="148">
        <v>1.5052000000000001</v>
      </c>
      <c r="S195" s="148">
        <f t="shared" si="22"/>
        <v>1.4957</v>
      </c>
      <c r="T195" s="78">
        <f>VLOOKUP(C195&amp;D195,Documentation!$J$37:$K$52,2,FALSE)</f>
        <v>9</v>
      </c>
      <c r="X195" s="148"/>
      <c r="Y195" s="148"/>
      <c r="Z195" s="148">
        <f t="shared" si="20"/>
        <v>1.4861</v>
      </c>
      <c r="AA195" s="148">
        <f t="shared" si="20"/>
        <v>1.5052000000000001</v>
      </c>
    </row>
    <row r="196" spans="1:27" x14ac:dyDescent="0.2">
      <c r="A196" s="78">
        <v>284</v>
      </c>
      <c r="B196" s="78" t="s">
        <v>639</v>
      </c>
      <c r="C196" s="79">
        <v>44774</v>
      </c>
      <c r="D196" s="79">
        <v>44926</v>
      </c>
      <c r="E196" s="147">
        <v>2968549</v>
      </c>
      <c r="F196" s="147">
        <v>281078</v>
      </c>
      <c r="G196" s="147">
        <v>731156</v>
      </c>
      <c r="H196" s="147">
        <v>692344</v>
      </c>
      <c r="I196" s="147">
        <v>7538</v>
      </c>
      <c r="J196" s="147">
        <v>15146</v>
      </c>
      <c r="K196" s="147">
        <v>16524</v>
      </c>
      <c r="L196" s="148">
        <v>1.3667</v>
      </c>
      <c r="M196" s="148">
        <v>1.3469</v>
      </c>
      <c r="N196" s="148">
        <v>1.3418000000000001</v>
      </c>
      <c r="O196" s="148">
        <v>1.3744000000000001</v>
      </c>
      <c r="P196" s="148">
        <v>1.4496</v>
      </c>
      <c r="Q196" s="148">
        <v>1.4691000000000001</v>
      </c>
      <c r="R196" s="148">
        <v>1.4798</v>
      </c>
      <c r="S196" s="148">
        <f t="shared" si="22"/>
        <v>1.4744999999999999</v>
      </c>
      <c r="T196" s="78">
        <f>VLOOKUP(C196&amp;D196,Documentation!$J$37:$K$52,2,FALSE)</f>
        <v>9</v>
      </c>
      <c r="X196" s="148"/>
      <c r="Y196" s="148"/>
      <c r="Z196" s="148">
        <f t="shared" ref="Z196:AA205" si="23">+Q196</f>
        <v>1.4691000000000001</v>
      </c>
      <c r="AA196" s="148">
        <f t="shared" si="23"/>
        <v>1.4798</v>
      </c>
    </row>
    <row r="197" spans="1:27" x14ac:dyDescent="0.2">
      <c r="A197" s="78">
        <v>302</v>
      </c>
      <c r="B197" s="78" t="s">
        <v>662</v>
      </c>
      <c r="C197" s="79">
        <v>44774</v>
      </c>
      <c r="D197" s="79">
        <v>44926</v>
      </c>
      <c r="E197" s="147">
        <v>2298381</v>
      </c>
      <c r="F197" s="147">
        <v>267612</v>
      </c>
      <c r="G197" s="147">
        <v>737604</v>
      </c>
      <c r="H197" s="147">
        <v>670343</v>
      </c>
      <c r="I197" s="147">
        <v>13842</v>
      </c>
      <c r="J197" s="147">
        <v>18775</v>
      </c>
      <c r="K197" s="147">
        <v>20655</v>
      </c>
      <c r="L197" s="148">
        <v>1.4164000000000001</v>
      </c>
      <c r="M197" s="148">
        <v>1.4254</v>
      </c>
      <c r="N197" s="148">
        <v>1.4155</v>
      </c>
      <c r="O197" s="148">
        <v>1.3473999999999999</v>
      </c>
      <c r="P197" s="148">
        <v>1.3015000000000001</v>
      </c>
      <c r="Q197" s="148">
        <v>1.3138000000000001</v>
      </c>
      <c r="R197" s="148">
        <v>1.3383</v>
      </c>
      <c r="S197" s="148">
        <f t="shared" si="22"/>
        <v>1.3261000000000001</v>
      </c>
      <c r="T197" s="78">
        <f>VLOOKUP(C197&amp;D197,Documentation!$J$37:$K$52,2,FALSE)</f>
        <v>9</v>
      </c>
      <c r="X197" s="148"/>
      <c r="Y197" s="148"/>
      <c r="Z197" s="148">
        <f t="shared" si="23"/>
        <v>1.3138000000000001</v>
      </c>
      <c r="AA197" s="148">
        <f t="shared" si="23"/>
        <v>1.3383</v>
      </c>
    </row>
    <row r="198" spans="1:27" x14ac:dyDescent="0.2">
      <c r="A198" s="78">
        <v>358</v>
      </c>
      <c r="B198" s="78" t="s">
        <v>619</v>
      </c>
      <c r="C198" s="79">
        <v>44713</v>
      </c>
      <c r="D198" s="79">
        <v>44926</v>
      </c>
      <c r="E198" s="147">
        <v>3877999</v>
      </c>
      <c r="F198" s="147">
        <v>387133</v>
      </c>
      <c r="G198" s="147">
        <v>1123535</v>
      </c>
      <c r="H198" s="147">
        <v>1124229</v>
      </c>
      <c r="I198" s="147">
        <v>17358</v>
      </c>
      <c r="J198" s="147">
        <v>23313</v>
      </c>
      <c r="K198" s="147">
        <v>32100</v>
      </c>
      <c r="L198" s="148">
        <v>1.3127</v>
      </c>
      <c r="M198" s="148">
        <v>1.3082</v>
      </c>
      <c r="N198" s="148">
        <v>1.2889999999999999</v>
      </c>
      <c r="O198" s="148">
        <v>1.3723000000000001</v>
      </c>
      <c r="P198" s="148">
        <v>1.3161</v>
      </c>
      <c r="Q198" s="148">
        <v>1.5058</v>
      </c>
      <c r="R198" s="148">
        <v>1.5476000000000001</v>
      </c>
      <c r="S198" s="148">
        <f t="shared" si="22"/>
        <v>1.5266999999999999</v>
      </c>
      <c r="T198" s="78">
        <f>VLOOKUP(C198&amp;D198,Documentation!$J$37:$K$52,2,FALSE)</f>
        <v>9</v>
      </c>
      <c r="X198" s="148"/>
      <c r="Y198" s="148"/>
      <c r="Z198" s="148">
        <f t="shared" si="23"/>
        <v>1.5058</v>
      </c>
      <c r="AA198" s="148">
        <f t="shared" si="23"/>
        <v>1.5476000000000001</v>
      </c>
    </row>
    <row r="199" spans="1:27" x14ac:dyDescent="0.2">
      <c r="A199" s="78">
        <v>426</v>
      </c>
      <c r="B199" s="78" t="s">
        <v>664</v>
      </c>
      <c r="C199" s="79">
        <v>44774</v>
      </c>
      <c r="D199" s="79">
        <v>44926</v>
      </c>
      <c r="E199" s="147">
        <v>1864196</v>
      </c>
      <c r="F199" s="147">
        <v>267650</v>
      </c>
      <c r="G199" s="147">
        <v>599467</v>
      </c>
      <c r="H199" s="147">
        <v>569585</v>
      </c>
      <c r="I199" s="147">
        <v>7263</v>
      </c>
      <c r="J199" s="147">
        <v>11498</v>
      </c>
      <c r="K199" s="147">
        <v>13464</v>
      </c>
      <c r="L199" s="148">
        <v>1.345</v>
      </c>
      <c r="M199" s="148">
        <v>1.3068</v>
      </c>
      <c r="N199" s="148">
        <v>1.2784</v>
      </c>
      <c r="O199" s="148">
        <v>1.4257</v>
      </c>
      <c r="P199" s="148">
        <v>1.3097000000000001</v>
      </c>
      <c r="Q199" s="148">
        <v>1.2803</v>
      </c>
      <c r="R199" s="148">
        <v>1.3041</v>
      </c>
      <c r="S199" s="148">
        <f t="shared" si="22"/>
        <v>1.2922</v>
      </c>
      <c r="T199" s="78">
        <f>VLOOKUP(C199&amp;D199,Documentation!$J$37:$K$52,2,FALSE)</f>
        <v>9</v>
      </c>
      <c r="X199" s="148"/>
      <c r="Y199" s="148"/>
      <c r="Z199" s="148">
        <f t="shared" si="23"/>
        <v>1.2803</v>
      </c>
      <c r="AA199" s="148">
        <f t="shared" si="23"/>
        <v>1.3041</v>
      </c>
    </row>
    <row r="200" spans="1:27" x14ac:dyDescent="0.2">
      <c r="A200" s="78">
        <v>663</v>
      </c>
      <c r="B200" s="78" t="s">
        <v>605</v>
      </c>
      <c r="C200" s="79">
        <v>44713</v>
      </c>
      <c r="D200" s="79">
        <v>44926</v>
      </c>
      <c r="E200" s="147">
        <v>4651801</v>
      </c>
      <c r="F200" s="147">
        <v>353461</v>
      </c>
      <c r="G200" s="147">
        <v>1043018</v>
      </c>
      <c r="H200" s="147">
        <v>920984</v>
      </c>
      <c r="I200" s="147">
        <v>15450</v>
      </c>
      <c r="J200" s="147">
        <v>26313</v>
      </c>
      <c r="K200" s="147">
        <v>33384</v>
      </c>
      <c r="L200" s="148">
        <v>1.3045</v>
      </c>
      <c r="M200" s="148">
        <v>1.2723</v>
      </c>
      <c r="N200" s="148">
        <v>1.2835000000000001</v>
      </c>
      <c r="O200" s="148">
        <v>1.2745</v>
      </c>
      <c r="P200" s="148">
        <v>1.2613000000000001</v>
      </c>
      <c r="Q200" s="148">
        <v>1.2379</v>
      </c>
      <c r="R200" s="148">
        <v>1.3016000000000001</v>
      </c>
      <c r="S200" s="148">
        <f t="shared" si="22"/>
        <v>1.2698</v>
      </c>
      <c r="T200" s="78">
        <f>VLOOKUP(C200&amp;D200,Documentation!$J$37:$K$52,2,FALSE)</f>
        <v>9</v>
      </c>
      <c r="X200" s="148"/>
      <c r="Y200" s="149"/>
      <c r="Z200" s="148">
        <f t="shared" si="23"/>
        <v>1.2379</v>
      </c>
      <c r="AA200" s="148">
        <f t="shared" si="23"/>
        <v>1.3016000000000001</v>
      </c>
    </row>
    <row r="201" spans="1:27" x14ac:dyDescent="0.2">
      <c r="A201" s="78">
        <v>679</v>
      </c>
      <c r="B201" s="78" t="s">
        <v>620</v>
      </c>
      <c r="C201" s="79">
        <v>44713</v>
      </c>
      <c r="D201" s="79">
        <v>44926</v>
      </c>
      <c r="E201" s="147">
        <v>3309333</v>
      </c>
      <c r="F201" s="147">
        <v>355733</v>
      </c>
      <c r="G201" s="147">
        <v>1001223</v>
      </c>
      <c r="H201" s="147">
        <v>1111216</v>
      </c>
      <c r="I201" s="147">
        <v>15772</v>
      </c>
      <c r="J201" s="147">
        <v>20713</v>
      </c>
      <c r="K201" s="147">
        <v>28676</v>
      </c>
      <c r="L201" s="148">
        <v>1.3561000000000001</v>
      </c>
      <c r="M201" s="148">
        <v>1.3569</v>
      </c>
      <c r="N201" s="148">
        <v>1.33</v>
      </c>
      <c r="O201" s="148">
        <v>1.3433999999999999</v>
      </c>
      <c r="P201" s="148">
        <v>1.3459000000000001</v>
      </c>
      <c r="Q201" s="148">
        <v>1.3571</v>
      </c>
      <c r="R201" s="148">
        <v>1.4074</v>
      </c>
      <c r="S201" s="148">
        <f t="shared" si="22"/>
        <v>1.3823000000000001</v>
      </c>
      <c r="T201" s="78">
        <f>VLOOKUP(C201&amp;D201,Documentation!$J$37:$K$52,2,FALSE)</f>
        <v>9</v>
      </c>
      <c r="X201" s="148"/>
      <c r="Y201" s="149"/>
      <c r="Z201" s="148">
        <f t="shared" si="23"/>
        <v>1.3571</v>
      </c>
      <c r="AA201" s="148">
        <f t="shared" si="23"/>
        <v>1.4074</v>
      </c>
    </row>
    <row r="202" spans="1:27" x14ac:dyDescent="0.2">
      <c r="A202" s="78">
        <v>687</v>
      </c>
      <c r="B202" s="78" t="s">
        <v>621</v>
      </c>
      <c r="C202" s="79">
        <v>44713</v>
      </c>
      <c r="D202" s="79">
        <v>44926</v>
      </c>
      <c r="E202" s="147">
        <v>4740778</v>
      </c>
      <c r="F202" s="147">
        <v>479617</v>
      </c>
      <c r="G202" s="147">
        <v>1403083</v>
      </c>
      <c r="H202" s="147">
        <v>1299183</v>
      </c>
      <c r="I202" s="147">
        <v>23197</v>
      </c>
      <c r="J202" s="147">
        <v>33335</v>
      </c>
      <c r="K202" s="147">
        <v>40660</v>
      </c>
      <c r="L202" s="148">
        <v>1.3611</v>
      </c>
      <c r="M202" s="148">
        <v>1.3722000000000001</v>
      </c>
      <c r="N202" s="148">
        <v>1.3871</v>
      </c>
      <c r="O202" s="148">
        <v>1.3567</v>
      </c>
      <c r="P202" s="148">
        <v>1.3496999999999999</v>
      </c>
      <c r="Q202" s="148">
        <v>1.4198</v>
      </c>
      <c r="R202" s="148">
        <v>1.3956</v>
      </c>
      <c r="S202" s="148">
        <f t="shared" si="22"/>
        <v>1.4077</v>
      </c>
      <c r="T202" s="78">
        <f>VLOOKUP(C202&amp;D202,Documentation!$J$37:$K$52,2,FALSE)</f>
        <v>9</v>
      </c>
      <c r="X202" s="148"/>
      <c r="Y202" s="149"/>
      <c r="Z202" s="148">
        <f t="shared" si="23"/>
        <v>1.4198</v>
      </c>
      <c r="AA202" s="148">
        <f t="shared" si="23"/>
        <v>1.3956</v>
      </c>
    </row>
    <row r="203" spans="1:27" x14ac:dyDescent="0.2">
      <c r="A203" s="78">
        <v>689</v>
      </c>
      <c r="B203" s="78" t="s">
        <v>622</v>
      </c>
      <c r="C203" s="79">
        <v>44713</v>
      </c>
      <c r="D203" s="79">
        <v>44926</v>
      </c>
      <c r="E203" s="147">
        <v>3823094</v>
      </c>
      <c r="F203" s="147">
        <v>506962</v>
      </c>
      <c r="G203" s="147">
        <v>1177294</v>
      </c>
      <c r="H203" s="147">
        <v>1194745</v>
      </c>
      <c r="I203" s="147">
        <v>16797</v>
      </c>
      <c r="J203" s="147">
        <v>25816</v>
      </c>
      <c r="K203" s="147">
        <v>32314</v>
      </c>
      <c r="L203" s="148">
        <v>1.3756999999999999</v>
      </c>
      <c r="M203" s="148">
        <v>1.2954000000000001</v>
      </c>
      <c r="N203" s="148">
        <v>1.4154</v>
      </c>
      <c r="O203" s="148">
        <v>1.4538</v>
      </c>
      <c r="P203" s="148">
        <v>1.2718</v>
      </c>
      <c r="Q203" s="148">
        <v>1.4413</v>
      </c>
      <c r="R203" s="148">
        <v>1.407</v>
      </c>
      <c r="S203" s="148">
        <f t="shared" si="22"/>
        <v>1.4241999999999999</v>
      </c>
      <c r="T203" s="78">
        <f>VLOOKUP(C203&amp;D203,Documentation!$J$37:$K$52,2,FALSE)</f>
        <v>9</v>
      </c>
      <c r="X203" s="148"/>
      <c r="Y203" s="149"/>
      <c r="Z203" s="148">
        <f t="shared" si="23"/>
        <v>1.4413</v>
      </c>
      <c r="AA203" s="148">
        <f t="shared" si="23"/>
        <v>1.407</v>
      </c>
    </row>
    <row r="204" spans="1:27" x14ac:dyDescent="0.2">
      <c r="A204" s="78">
        <v>695</v>
      </c>
      <c r="B204" s="78" t="s">
        <v>623</v>
      </c>
      <c r="C204" s="79">
        <v>44713</v>
      </c>
      <c r="D204" s="79">
        <v>44926</v>
      </c>
      <c r="E204" s="147">
        <v>4366660</v>
      </c>
      <c r="F204" s="147">
        <v>385859</v>
      </c>
      <c r="G204" s="147">
        <v>1148475</v>
      </c>
      <c r="H204" s="147">
        <v>1177899</v>
      </c>
      <c r="I204" s="147">
        <v>19049</v>
      </c>
      <c r="J204" s="147">
        <v>26905</v>
      </c>
      <c r="K204" s="147">
        <v>32742</v>
      </c>
      <c r="L204" s="148">
        <v>1.5129999999999999</v>
      </c>
      <c r="M204" s="148">
        <v>1.5134000000000001</v>
      </c>
      <c r="N204" s="148">
        <v>1.5142</v>
      </c>
      <c r="O204" s="148">
        <v>1.5324</v>
      </c>
      <c r="P204" s="148">
        <v>1.5731999999999999</v>
      </c>
      <c r="Q204" s="148">
        <v>1.6203000000000001</v>
      </c>
      <c r="R204" s="148">
        <v>1.6432</v>
      </c>
      <c r="S204" s="148">
        <f t="shared" si="22"/>
        <v>1.6317999999999999</v>
      </c>
      <c r="T204" s="78">
        <f>VLOOKUP(C204&amp;D204,Documentation!$J$37:$K$52,2,FALSE)</f>
        <v>9</v>
      </c>
      <c r="X204" s="148"/>
      <c r="Y204" s="149"/>
      <c r="Z204" s="148">
        <f t="shared" si="23"/>
        <v>1.6203000000000001</v>
      </c>
      <c r="AA204" s="148">
        <f t="shared" si="23"/>
        <v>1.6432</v>
      </c>
    </row>
    <row r="205" spans="1:27" x14ac:dyDescent="0.2">
      <c r="A205" s="78">
        <v>725</v>
      </c>
      <c r="B205" s="78" t="s">
        <v>624</v>
      </c>
      <c r="C205" s="79">
        <v>44713</v>
      </c>
      <c r="D205" s="79">
        <v>44926</v>
      </c>
      <c r="E205" s="147">
        <v>2433077</v>
      </c>
      <c r="F205" s="147">
        <v>302889</v>
      </c>
      <c r="G205" s="147">
        <v>846579</v>
      </c>
      <c r="H205" s="147">
        <v>1121980</v>
      </c>
      <c r="I205" s="147">
        <v>11014</v>
      </c>
      <c r="J205" s="147">
        <v>18238</v>
      </c>
      <c r="K205" s="147">
        <v>24824</v>
      </c>
      <c r="L205" s="148">
        <v>1.4862</v>
      </c>
      <c r="M205" s="148">
        <v>1.4480999999999999</v>
      </c>
      <c r="N205" s="148">
        <v>1.4923999999999999</v>
      </c>
      <c r="O205" s="148">
        <v>1.4782999999999999</v>
      </c>
      <c r="P205" s="148">
        <v>1.4341999999999999</v>
      </c>
      <c r="Q205" s="148">
        <v>1.4874000000000001</v>
      </c>
      <c r="R205" s="148">
        <v>1.4239999999999999</v>
      </c>
      <c r="S205" s="148">
        <f t="shared" si="22"/>
        <v>1.4557</v>
      </c>
      <c r="T205" s="78">
        <f>VLOOKUP(C205&amp;D205,Documentation!$J$37:$K$52,2,FALSE)</f>
        <v>9</v>
      </c>
      <c r="X205" s="148"/>
      <c r="Y205" s="149"/>
      <c r="Z205" s="148">
        <f t="shared" si="23"/>
        <v>1.4874000000000001</v>
      </c>
      <c r="AA205" s="148">
        <f t="shared" si="23"/>
        <v>1.4239999999999999</v>
      </c>
    </row>
    <row r="206" spans="1:27" x14ac:dyDescent="0.2">
      <c r="A206" s="78">
        <v>374</v>
      </c>
      <c r="B206" s="78" t="s">
        <v>666</v>
      </c>
      <c r="C206" s="79">
        <v>44835</v>
      </c>
      <c r="D206" s="79">
        <v>44926</v>
      </c>
      <c r="E206" s="147">
        <v>840947</v>
      </c>
      <c r="F206" s="147">
        <v>115115</v>
      </c>
      <c r="G206" s="147">
        <v>443894</v>
      </c>
      <c r="H206" s="147">
        <v>220450</v>
      </c>
      <c r="I206" s="147">
        <v>2829</v>
      </c>
      <c r="J206" s="147">
        <v>6280</v>
      </c>
      <c r="K206" s="147">
        <v>7360</v>
      </c>
      <c r="L206" s="148">
        <v>1.3454999999999999</v>
      </c>
      <c r="M206" s="148">
        <v>1.3169999999999999</v>
      </c>
      <c r="N206" s="148">
        <v>1.3414999999999999</v>
      </c>
      <c r="O206" s="148">
        <v>1.4497</v>
      </c>
      <c r="P206" s="148">
        <v>1.4801</v>
      </c>
      <c r="Q206" s="148">
        <v>1.6872</v>
      </c>
      <c r="R206" s="148">
        <v>1.6573</v>
      </c>
      <c r="S206" s="148">
        <f>ROUND(AVERAGE(R206),4)</f>
        <v>1.6573</v>
      </c>
      <c r="T206" s="78">
        <f>VLOOKUP(C206&amp;D206,Documentation!$J$37:$K$52,2,FALSE)</f>
        <v>10</v>
      </c>
      <c r="X206" s="148"/>
      <c r="Y206" s="149"/>
      <c r="Z206" s="148"/>
      <c r="AA206" s="148">
        <f>+R206</f>
        <v>1.6573</v>
      </c>
    </row>
    <row r="207" spans="1:27" x14ac:dyDescent="0.2">
      <c r="A207" s="78">
        <v>382</v>
      </c>
      <c r="B207" s="78" t="s">
        <v>668</v>
      </c>
      <c r="C207" s="79">
        <v>44866</v>
      </c>
      <c r="D207" s="79">
        <v>44926</v>
      </c>
      <c r="E207" s="147">
        <v>488920</v>
      </c>
      <c r="F207" s="147">
        <v>73434</v>
      </c>
      <c r="G207" s="147">
        <v>220704</v>
      </c>
      <c r="H207" s="147">
        <v>234969</v>
      </c>
      <c r="I207" s="147">
        <v>2120</v>
      </c>
      <c r="J207" s="147">
        <v>3144</v>
      </c>
      <c r="K207" s="147">
        <v>3721</v>
      </c>
      <c r="L207" s="148">
        <v>1.3806</v>
      </c>
      <c r="M207" s="148">
        <v>1.4256</v>
      </c>
      <c r="N207" s="148">
        <v>1.4853000000000001</v>
      </c>
      <c r="O207" s="148">
        <v>1.5623</v>
      </c>
      <c r="P207" s="148">
        <v>1.4117999999999999</v>
      </c>
      <c r="Q207" s="148">
        <v>1.4355</v>
      </c>
      <c r="R207" s="148">
        <v>1.5501</v>
      </c>
      <c r="S207" s="148">
        <f>ROUND(AVERAGE(R207),4)</f>
        <v>1.5501</v>
      </c>
      <c r="T207" s="78">
        <f>VLOOKUP(C207&amp;D207,Documentation!$J$37:$K$52,2,FALSE)</f>
        <v>10</v>
      </c>
      <c r="X207" s="148"/>
      <c r="Y207" s="149"/>
      <c r="Z207" s="148"/>
      <c r="AA207" s="148">
        <f>+R207</f>
        <v>1.5501</v>
      </c>
    </row>
    <row r="208" spans="1:27" x14ac:dyDescent="0.2">
      <c r="T208" s="151"/>
    </row>
    <row r="209" spans="8:19" x14ac:dyDescent="0.2">
      <c r="H209" s="152" t="s">
        <v>519</v>
      </c>
      <c r="J209" s="147">
        <f>SUM(J3:J207)</f>
        <v>7320324</v>
      </c>
      <c r="K209" s="147">
        <f>SUM(K3:K207)</f>
        <v>9147191</v>
      </c>
      <c r="L209" s="153">
        <f>ROUND(J209/K209,4)</f>
        <v>0.80030000000000001</v>
      </c>
      <c r="S209" s="191">
        <f>ROUND(AVERAGE(S3:S207),4)</f>
        <v>1.4432</v>
      </c>
    </row>
    <row r="210" spans="8:19" x14ac:dyDescent="0.2">
      <c r="H210" s="78" t="s">
        <v>520</v>
      </c>
      <c r="L210" s="153">
        <f>ROUND(L209+0.015,4)</f>
        <v>0.81530000000000002</v>
      </c>
    </row>
  </sheetData>
  <sortState xmlns:xlrd2="http://schemas.microsoft.com/office/spreadsheetml/2017/richdata2" ref="A3:D207">
    <sortCondition ref="D3:D207"/>
    <sortCondition ref="C3:C207"/>
  </sortState>
  <phoneticPr fontId="0" type="noConversion"/>
  <printOptions gridLines="1"/>
  <pageMargins left="0.2" right="0.2" top="0.25" bottom="0.42" header="0.3" footer="0"/>
  <pageSetup orientation="landscape" r:id="rId1"/>
  <headerFooter>
    <oddFooter>&amp;L&amp;F, &amp;A&amp;RPrepared by Myers and Stauffer LC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/>
  <dimension ref="A1:I206"/>
  <sheetViews>
    <sheetView topLeftCell="A172" workbookViewId="0">
      <selection activeCell="E193" sqref="E193"/>
    </sheetView>
  </sheetViews>
  <sheetFormatPr baseColWidth="10" defaultColWidth="9.3984375" defaultRowHeight="13" x14ac:dyDescent="0.15"/>
  <cols>
    <col min="1" max="1" width="10" style="76" bestFit="1" customWidth="1"/>
    <col min="2" max="2" width="50.796875" style="76" bestFit="1" customWidth="1"/>
    <col min="3" max="4" width="11.796875" style="126" bestFit="1" customWidth="1"/>
    <col min="5" max="5" width="19.3984375" style="76" bestFit="1" customWidth="1"/>
    <col min="6" max="6" width="17" style="76" customWidth="1"/>
    <col min="7" max="7" width="16.19921875" style="76" customWidth="1"/>
    <col min="8" max="8" width="13" style="76" bestFit="1" customWidth="1"/>
    <col min="9" max="9" width="15.3984375" style="76" bestFit="1" customWidth="1"/>
    <col min="10" max="11" width="9.3984375" style="76"/>
    <col min="12" max="12" width="30.3984375" style="76" customWidth="1"/>
    <col min="13" max="13" width="11.796875" style="76" bestFit="1" customWidth="1"/>
    <col min="14" max="14" width="10.3984375" style="76" bestFit="1" customWidth="1"/>
    <col min="15" max="16384" width="9.3984375" style="76"/>
  </cols>
  <sheetData>
    <row r="1" spans="1:9" ht="56" x14ac:dyDescent="0.15">
      <c r="A1" s="80" t="s">
        <v>145</v>
      </c>
      <c r="B1" s="80" t="s">
        <v>128</v>
      </c>
      <c r="C1" s="224" t="s">
        <v>429</v>
      </c>
      <c r="D1" s="224" t="s">
        <v>430</v>
      </c>
      <c r="E1" s="128" t="s">
        <v>431</v>
      </c>
      <c r="F1" s="81" t="s">
        <v>432</v>
      </c>
      <c r="G1" s="129" t="s">
        <v>433</v>
      </c>
      <c r="H1" s="76" t="s">
        <v>52</v>
      </c>
      <c r="I1" s="76" t="s">
        <v>51</v>
      </c>
    </row>
    <row r="2" spans="1:9" x14ac:dyDescent="0.15">
      <c r="A2" s="90">
        <v>26</v>
      </c>
      <c r="B2" s="76" t="s">
        <v>199</v>
      </c>
      <c r="C2" s="126">
        <v>45292</v>
      </c>
      <c r="D2" s="126">
        <v>45657</v>
      </c>
      <c r="E2" s="145">
        <v>102106</v>
      </c>
      <c r="F2" s="160">
        <v>1</v>
      </c>
      <c r="G2" s="145">
        <f t="shared" ref="G2:G65" si="0">ROUND(E2*F2,2)</f>
        <v>102106</v>
      </c>
      <c r="H2" s="145">
        <v>30581</v>
      </c>
      <c r="I2" s="145">
        <v>33672</v>
      </c>
    </row>
    <row r="3" spans="1:9" x14ac:dyDescent="0.15">
      <c r="A3" s="90">
        <v>28</v>
      </c>
      <c r="B3" s="76" t="s">
        <v>711</v>
      </c>
      <c r="C3" s="126">
        <v>45292</v>
      </c>
      <c r="D3" s="126">
        <v>45657</v>
      </c>
      <c r="E3" s="145">
        <v>114538</v>
      </c>
      <c r="F3" s="160">
        <v>1</v>
      </c>
      <c r="G3" s="145">
        <f t="shared" si="0"/>
        <v>114538</v>
      </c>
      <c r="H3" s="145">
        <v>33753</v>
      </c>
      <c r="I3" s="145">
        <v>37332</v>
      </c>
    </row>
    <row r="4" spans="1:9" x14ac:dyDescent="0.15">
      <c r="A4" s="90">
        <v>30</v>
      </c>
      <c r="B4" s="76" t="s">
        <v>223</v>
      </c>
      <c r="C4" s="126">
        <v>45108</v>
      </c>
      <c r="D4" s="126">
        <v>45473</v>
      </c>
      <c r="E4" s="145">
        <v>0</v>
      </c>
      <c r="F4" s="160">
        <v>1</v>
      </c>
      <c r="G4" s="145">
        <f t="shared" si="0"/>
        <v>0</v>
      </c>
      <c r="H4" s="145">
        <v>24565</v>
      </c>
      <c r="I4" s="145">
        <v>27816</v>
      </c>
    </row>
    <row r="5" spans="1:9" x14ac:dyDescent="0.15">
      <c r="A5" s="90">
        <v>32</v>
      </c>
      <c r="B5" s="76" t="s">
        <v>349</v>
      </c>
      <c r="C5" s="126">
        <v>45292</v>
      </c>
      <c r="D5" s="126">
        <v>45657</v>
      </c>
      <c r="E5" s="145">
        <v>200694.32</v>
      </c>
      <c r="F5" s="160">
        <v>1</v>
      </c>
      <c r="G5" s="145">
        <f t="shared" si="0"/>
        <v>200694</v>
      </c>
      <c r="H5" s="145">
        <v>34804</v>
      </c>
      <c r="I5" s="145">
        <v>38430</v>
      </c>
    </row>
    <row r="6" spans="1:9" x14ac:dyDescent="0.15">
      <c r="A6" s="90">
        <v>34</v>
      </c>
      <c r="B6" s="76" t="s">
        <v>381</v>
      </c>
      <c r="C6" s="126">
        <v>45292</v>
      </c>
      <c r="D6" s="126">
        <v>45657</v>
      </c>
      <c r="E6" s="145">
        <v>125951</v>
      </c>
      <c r="F6" s="160">
        <v>1</v>
      </c>
      <c r="G6" s="145">
        <f t="shared" si="0"/>
        <v>125951</v>
      </c>
      <c r="H6" s="145">
        <v>40156</v>
      </c>
      <c r="I6" s="145">
        <v>55998</v>
      </c>
    </row>
    <row r="7" spans="1:9" x14ac:dyDescent="0.15">
      <c r="A7" s="90">
        <v>36</v>
      </c>
      <c r="B7" s="76" t="s">
        <v>197</v>
      </c>
      <c r="C7" s="126">
        <v>45292</v>
      </c>
      <c r="D7" s="126">
        <v>45657</v>
      </c>
      <c r="E7" s="145">
        <v>60014</v>
      </c>
      <c r="F7" s="160">
        <v>1</v>
      </c>
      <c r="G7" s="145">
        <f t="shared" si="0"/>
        <v>60014</v>
      </c>
      <c r="H7" s="145">
        <v>16678</v>
      </c>
      <c r="I7" s="145">
        <v>18300</v>
      </c>
    </row>
    <row r="8" spans="1:9" x14ac:dyDescent="0.15">
      <c r="A8" s="90">
        <v>38</v>
      </c>
      <c r="B8" s="76" t="s">
        <v>240</v>
      </c>
      <c r="C8" s="126">
        <v>45108</v>
      </c>
      <c r="D8" s="126">
        <v>45473</v>
      </c>
      <c r="E8" s="145">
        <v>198363.41</v>
      </c>
      <c r="F8" s="160">
        <v>1</v>
      </c>
      <c r="G8" s="145">
        <f t="shared" si="0"/>
        <v>198363</v>
      </c>
      <c r="H8" s="145">
        <v>34223</v>
      </c>
      <c r="I8" s="145">
        <v>46116</v>
      </c>
    </row>
    <row r="9" spans="1:9" x14ac:dyDescent="0.15">
      <c r="A9" s="90">
        <v>44</v>
      </c>
      <c r="B9" s="76" t="s">
        <v>396</v>
      </c>
      <c r="C9" s="126">
        <v>45292</v>
      </c>
      <c r="D9" s="126">
        <v>45657</v>
      </c>
      <c r="E9" s="145">
        <v>0</v>
      </c>
      <c r="F9" s="160">
        <v>1</v>
      </c>
      <c r="G9" s="145">
        <f t="shared" si="0"/>
        <v>0</v>
      </c>
      <c r="H9" s="145">
        <v>13052</v>
      </c>
      <c r="I9" s="145">
        <v>17568</v>
      </c>
    </row>
    <row r="10" spans="1:9" x14ac:dyDescent="0.15">
      <c r="A10" s="90">
        <v>46</v>
      </c>
      <c r="B10" s="76" t="s">
        <v>746</v>
      </c>
      <c r="C10" s="126">
        <v>45292</v>
      </c>
      <c r="D10" s="126">
        <v>45657</v>
      </c>
      <c r="E10" s="145">
        <v>166139</v>
      </c>
      <c r="F10" s="160">
        <v>1</v>
      </c>
      <c r="G10" s="145">
        <f t="shared" si="0"/>
        <v>166139</v>
      </c>
      <c r="H10" s="145">
        <v>38691</v>
      </c>
      <c r="I10" s="145">
        <v>47946</v>
      </c>
    </row>
    <row r="11" spans="1:9" x14ac:dyDescent="0.15">
      <c r="A11" s="90">
        <v>48</v>
      </c>
      <c r="B11" s="76" t="s">
        <v>647</v>
      </c>
      <c r="C11" s="126">
        <v>45292</v>
      </c>
      <c r="D11" s="126">
        <v>45657</v>
      </c>
      <c r="E11" s="145">
        <v>91423</v>
      </c>
      <c r="F11" s="160">
        <v>1</v>
      </c>
      <c r="G11" s="145">
        <f t="shared" si="0"/>
        <v>91423</v>
      </c>
      <c r="H11" s="145">
        <v>30548</v>
      </c>
      <c r="I11" s="145">
        <v>62952</v>
      </c>
    </row>
    <row r="12" spans="1:9" x14ac:dyDescent="0.15">
      <c r="A12" s="90">
        <v>52</v>
      </c>
      <c r="B12" s="76" t="s">
        <v>447</v>
      </c>
      <c r="C12" s="126">
        <v>45292</v>
      </c>
      <c r="D12" s="126">
        <v>45657</v>
      </c>
      <c r="E12" s="145">
        <v>757896</v>
      </c>
      <c r="F12" s="160">
        <v>7.2599999999999998E-2</v>
      </c>
      <c r="G12" s="145">
        <f t="shared" si="0"/>
        <v>55023</v>
      </c>
      <c r="H12" s="145">
        <v>16084</v>
      </c>
      <c r="I12" s="145">
        <v>21960</v>
      </c>
    </row>
    <row r="13" spans="1:9" x14ac:dyDescent="0.15">
      <c r="A13" s="90">
        <v>54</v>
      </c>
      <c r="B13" s="76" t="s">
        <v>603</v>
      </c>
      <c r="C13" s="126">
        <v>45292</v>
      </c>
      <c r="D13" s="126">
        <v>45657</v>
      </c>
      <c r="E13" s="145">
        <v>75719</v>
      </c>
      <c r="F13" s="160">
        <v>1</v>
      </c>
      <c r="G13" s="145">
        <f t="shared" si="0"/>
        <v>75719</v>
      </c>
      <c r="H13" s="145">
        <v>46057</v>
      </c>
      <c r="I13" s="145">
        <v>56730</v>
      </c>
    </row>
    <row r="14" spans="1:9" x14ac:dyDescent="0.15">
      <c r="A14" s="90">
        <v>58</v>
      </c>
      <c r="B14" s="76" t="s">
        <v>42</v>
      </c>
      <c r="C14" s="126">
        <v>45292</v>
      </c>
      <c r="D14" s="126">
        <v>45657</v>
      </c>
      <c r="E14" s="145">
        <v>214114</v>
      </c>
      <c r="F14" s="160">
        <v>1</v>
      </c>
      <c r="G14" s="145">
        <f t="shared" si="0"/>
        <v>214114</v>
      </c>
      <c r="H14" s="145">
        <v>32276</v>
      </c>
      <c r="I14" s="145">
        <v>57462</v>
      </c>
    </row>
    <row r="15" spans="1:9" x14ac:dyDescent="0.15">
      <c r="A15" s="90">
        <v>60</v>
      </c>
      <c r="B15" s="76" t="s">
        <v>618</v>
      </c>
      <c r="C15" s="126">
        <v>45292</v>
      </c>
      <c r="D15" s="126">
        <v>45657</v>
      </c>
      <c r="E15" s="145">
        <v>236859</v>
      </c>
      <c r="F15" s="160">
        <v>1</v>
      </c>
      <c r="G15" s="145">
        <f t="shared" si="0"/>
        <v>236859</v>
      </c>
      <c r="H15" s="145">
        <v>63060</v>
      </c>
      <c r="I15" s="145">
        <v>71370</v>
      </c>
    </row>
    <row r="16" spans="1:9" x14ac:dyDescent="0.15">
      <c r="A16" s="90">
        <v>62</v>
      </c>
      <c r="B16" s="176" t="s">
        <v>816</v>
      </c>
      <c r="C16" s="126">
        <v>45536</v>
      </c>
      <c r="D16" s="126">
        <v>45657</v>
      </c>
      <c r="E16" s="145">
        <v>29818</v>
      </c>
      <c r="F16" s="160">
        <v>1</v>
      </c>
      <c r="G16" s="145">
        <f t="shared" si="0"/>
        <v>29818</v>
      </c>
      <c r="H16" s="145">
        <v>11492</v>
      </c>
      <c r="I16" s="145">
        <v>14640</v>
      </c>
    </row>
    <row r="17" spans="1:9" x14ac:dyDescent="0.15">
      <c r="A17" s="90">
        <v>64</v>
      </c>
      <c r="B17" s="76" t="s">
        <v>398</v>
      </c>
      <c r="C17" s="126">
        <v>45108</v>
      </c>
      <c r="D17" s="126">
        <v>45473</v>
      </c>
      <c r="E17" s="145">
        <v>206911</v>
      </c>
      <c r="F17" s="160">
        <v>1</v>
      </c>
      <c r="G17" s="145">
        <f t="shared" si="0"/>
        <v>206911</v>
      </c>
      <c r="H17" s="145">
        <v>41447</v>
      </c>
      <c r="I17" s="145">
        <v>51240</v>
      </c>
    </row>
    <row r="18" spans="1:9" x14ac:dyDescent="0.15">
      <c r="A18" s="90">
        <v>66</v>
      </c>
      <c r="B18" s="76" t="s">
        <v>588</v>
      </c>
      <c r="C18" s="126">
        <v>45292</v>
      </c>
      <c r="D18" s="126">
        <v>45657</v>
      </c>
      <c r="E18" s="145">
        <v>247678.51</v>
      </c>
      <c r="F18" s="160">
        <v>1</v>
      </c>
      <c r="G18" s="145">
        <f t="shared" si="0"/>
        <v>247679</v>
      </c>
      <c r="H18" s="145">
        <v>61037</v>
      </c>
      <c r="I18" s="145">
        <v>65880</v>
      </c>
    </row>
    <row r="19" spans="1:9" x14ac:dyDescent="0.15">
      <c r="A19" s="90">
        <v>70</v>
      </c>
      <c r="B19" s="76" t="s">
        <v>697</v>
      </c>
      <c r="C19" s="126">
        <v>45292</v>
      </c>
      <c r="D19" s="126">
        <v>45657</v>
      </c>
      <c r="E19" s="145">
        <v>81244</v>
      </c>
      <c r="F19" s="160">
        <v>1</v>
      </c>
      <c r="G19" s="145">
        <f t="shared" si="0"/>
        <v>81244</v>
      </c>
      <c r="H19" s="145">
        <v>29117</v>
      </c>
      <c r="I19" s="145">
        <v>40260</v>
      </c>
    </row>
    <row r="20" spans="1:9" x14ac:dyDescent="0.15">
      <c r="A20" s="90">
        <v>74</v>
      </c>
      <c r="B20" s="76" t="s">
        <v>205</v>
      </c>
      <c r="C20" s="126">
        <v>45108</v>
      </c>
      <c r="D20" s="126">
        <v>45473</v>
      </c>
      <c r="E20" s="145">
        <v>13378</v>
      </c>
      <c r="F20" s="160">
        <v>1</v>
      </c>
      <c r="G20" s="145">
        <f t="shared" si="0"/>
        <v>13378</v>
      </c>
      <c r="H20" s="145">
        <v>60578</v>
      </c>
      <c r="I20" s="145">
        <v>69540</v>
      </c>
    </row>
    <row r="21" spans="1:9" x14ac:dyDescent="0.15">
      <c r="A21" s="90">
        <v>76</v>
      </c>
      <c r="B21" s="76" t="s">
        <v>462</v>
      </c>
      <c r="C21" s="126">
        <v>45292</v>
      </c>
      <c r="D21" s="126">
        <v>45657</v>
      </c>
      <c r="E21" s="145">
        <v>0</v>
      </c>
      <c r="F21" s="160">
        <v>1</v>
      </c>
      <c r="G21" s="145">
        <f t="shared" si="0"/>
        <v>0</v>
      </c>
      <c r="H21" s="145">
        <v>40161</v>
      </c>
      <c r="I21" s="145">
        <v>54534</v>
      </c>
    </row>
    <row r="22" spans="1:9" x14ac:dyDescent="0.15">
      <c r="A22" s="90">
        <v>78</v>
      </c>
      <c r="B22" s="76" t="s">
        <v>636</v>
      </c>
      <c r="C22" s="126">
        <v>45292</v>
      </c>
      <c r="D22" s="126">
        <v>45657</v>
      </c>
      <c r="E22" s="145">
        <v>144420</v>
      </c>
      <c r="F22" s="160">
        <v>1</v>
      </c>
      <c r="G22" s="145">
        <f t="shared" si="0"/>
        <v>144420</v>
      </c>
      <c r="H22" s="145">
        <v>50032</v>
      </c>
      <c r="I22" s="145">
        <v>52704</v>
      </c>
    </row>
    <row r="23" spans="1:9" x14ac:dyDescent="0.15">
      <c r="A23" s="90">
        <v>82</v>
      </c>
      <c r="B23" s="76" t="s">
        <v>638</v>
      </c>
      <c r="C23" s="126">
        <v>45292</v>
      </c>
      <c r="D23" s="126">
        <v>45657</v>
      </c>
      <c r="E23" s="145">
        <v>109620</v>
      </c>
      <c r="F23" s="160">
        <v>1</v>
      </c>
      <c r="G23" s="145">
        <f t="shared" si="0"/>
        <v>109620</v>
      </c>
      <c r="H23" s="145">
        <v>27025</v>
      </c>
      <c r="I23" s="145">
        <v>34038</v>
      </c>
    </row>
    <row r="24" spans="1:9" x14ac:dyDescent="0.15">
      <c r="A24" s="90">
        <v>84</v>
      </c>
      <c r="B24" s="76" t="s">
        <v>201</v>
      </c>
      <c r="C24" s="126">
        <v>45108</v>
      </c>
      <c r="D24" s="126">
        <v>45473</v>
      </c>
      <c r="E24" s="145">
        <v>0</v>
      </c>
      <c r="F24" s="160">
        <v>1</v>
      </c>
      <c r="G24" s="145">
        <f t="shared" si="0"/>
        <v>0</v>
      </c>
      <c r="H24" s="145">
        <v>19778</v>
      </c>
      <c r="I24" s="145">
        <v>33578</v>
      </c>
    </row>
    <row r="25" spans="1:9" x14ac:dyDescent="0.15">
      <c r="A25" s="90">
        <v>86</v>
      </c>
      <c r="B25" s="76" t="s">
        <v>707</v>
      </c>
      <c r="C25" s="126">
        <v>45292</v>
      </c>
      <c r="D25" s="126">
        <v>45657</v>
      </c>
      <c r="E25" s="145">
        <v>422356</v>
      </c>
      <c r="F25" s="160">
        <v>1</v>
      </c>
      <c r="G25" s="145">
        <f t="shared" si="0"/>
        <v>422356</v>
      </c>
      <c r="H25" s="145">
        <v>31683</v>
      </c>
      <c r="I25" s="145">
        <v>51240</v>
      </c>
    </row>
    <row r="26" spans="1:9" x14ac:dyDescent="0.15">
      <c r="A26" s="90">
        <v>88</v>
      </c>
      <c r="B26" s="76" t="s">
        <v>544</v>
      </c>
      <c r="C26" s="126">
        <v>45292</v>
      </c>
      <c r="D26" s="126">
        <v>45657</v>
      </c>
      <c r="E26" s="145">
        <v>60456</v>
      </c>
      <c r="F26" s="160">
        <v>1</v>
      </c>
      <c r="G26" s="145">
        <f t="shared" si="0"/>
        <v>60456</v>
      </c>
      <c r="H26" s="145">
        <v>43450</v>
      </c>
      <c r="I26" s="145">
        <v>49776</v>
      </c>
    </row>
    <row r="27" spans="1:9" x14ac:dyDescent="0.15">
      <c r="A27" s="90">
        <v>90</v>
      </c>
      <c r="B27" s="76" t="s">
        <v>379</v>
      </c>
      <c r="C27" s="126">
        <v>45292</v>
      </c>
      <c r="D27" s="126">
        <v>45657</v>
      </c>
      <c r="E27" s="145">
        <v>54407</v>
      </c>
      <c r="F27" s="160">
        <v>1</v>
      </c>
      <c r="G27" s="145">
        <f t="shared" si="0"/>
        <v>54407</v>
      </c>
      <c r="H27" s="145">
        <v>19287</v>
      </c>
      <c r="I27" s="145">
        <v>23058</v>
      </c>
    </row>
    <row r="28" spans="1:9" x14ac:dyDescent="0.15">
      <c r="A28" s="90">
        <v>92</v>
      </c>
      <c r="B28" s="76" t="s">
        <v>739</v>
      </c>
      <c r="C28" s="126">
        <v>45383</v>
      </c>
      <c r="D28" s="126">
        <v>45657</v>
      </c>
      <c r="E28" s="145">
        <v>0</v>
      </c>
      <c r="F28" s="160">
        <v>1</v>
      </c>
      <c r="G28" s="145">
        <f t="shared" si="0"/>
        <v>0</v>
      </c>
      <c r="H28" s="145">
        <v>38009</v>
      </c>
      <c r="I28" s="145">
        <v>46750</v>
      </c>
    </row>
    <row r="29" spans="1:9" x14ac:dyDescent="0.15">
      <c r="A29" s="90">
        <v>94</v>
      </c>
      <c r="B29" s="76" t="s">
        <v>220</v>
      </c>
      <c r="C29" s="126">
        <v>45292</v>
      </c>
      <c r="D29" s="126">
        <v>45657</v>
      </c>
      <c r="E29" s="145">
        <v>12595</v>
      </c>
      <c r="F29" s="160">
        <v>1</v>
      </c>
      <c r="G29" s="145">
        <f t="shared" si="0"/>
        <v>12595</v>
      </c>
      <c r="H29" s="145">
        <v>30719</v>
      </c>
      <c r="I29" s="145">
        <v>37698</v>
      </c>
    </row>
    <row r="30" spans="1:9" x14ac:dyDescent="0.15">
      <c r="A30" s="90">
        <v>98</v>
      </c>
      <c r="B30" s="76" t="s">
        <v>494</v>
      </c>
      <c r="C30" s="126">
        <v>45292</v>
      </c>
      <c r="D30" s="126">
        <v>45657</v>
      </c>
      <c r="E30" s="145">
        <v>206747.53</v>
      </c>
      <c r="F30" s="160">
        <v>1</v>
      </c>
      <c r="G30" s="145">
        <f t="shared" si="0"/>
        <v>206748</v>
      </c>
      <c r="H30" s="145">
        <v>54197</v>
      </c>
      <c r="I30" s="145">
        <v>56730</v>
      </c>
    </row>
    <row r="31" spans="1:9" x14ac:dyDescent="0.15">
      <c r="A31" s="90">
        <v>100</v>
      </c>
      <c r="B31" s="76" t="s">
        <v>546</v>
      </c>
      <c r="C31" s="126">
        <v>45292</v>
      </c>
      <c r="D31" s="126">
        <v>45657</v>
      </c>
      <c r="E31" s="145">
        <v>67211</v>
      </c>
      <c r="F31" s="160">
        <v>1</v>
      </c>
      <c r="G31" s="145">
        <f t="shared" si="0"/>
        <v>67211</v>
      </c>
      <c r="H31" s="145">
        <v>32871</v>
      </c>
      <c r="I31" s="145">
        <v>35868</v>
      </c>
    </row>
    <row r="32" spans="1:9" x14ac:dyDescent="0.15">
      <c r="A32" s="90">
        <v>102</v>
      </c>
      <c r="B32" s="76" t="s">
        <v>445</v>
      </c>
      <c r="C32" s="126">
        <v>45292</v>
      </c>
      <c r="D32" s="126">
        <v>45657</v>
      </c>
      <c r="E32" s="145">
        <v>36115</v>
      </c>
      <c r="F32" s="160">
        <v>1</v>
      </c>
      <c r="G32" s="145">
        <f t="shared" si="0"/>
        <v>36115</v>
      </c>
      <c r="H32" s="145">
        <v>34268</v>
      </c>
      <c r="I32" s="145">
        <v>35868</v>
      </c>
    </row>
    <row r="33" spans="1:9" x14ac:dyDescent="0.15">
      <c r="A33" s="90">
        <v>104</v>
      </c>
      <c r="B33" s="76" t="s">
        <v>678</v>
      </c>
      <c r="C33" s="126">
        <v>45292</v>
      </c>
      <c r="D33" s="126">
        <v>45657</v>
      </c>
      <c r="E33" s="145">
        <v>71837</v>
      </c>
      <c r="F33" s="160">
        <v>1</v>
      </c>
      <c r="G33" s="145">
        <f t="shared" si="0"/>
        <v>71837</v>
      </c>
      <c r="H33" s="145">
        <v>29911</v>
      </c>
      <c r="I33" s="145">
        <v>33672</v>
      </c>
    </row>
    <row r="34" spans="1:9" x14ac:dyDescent="0.15">
      <c r="A34" s="90">
        <v>106</v>
      </c>
      <c r="B34" s="76" t="s">
        <v>203</v>
      </c>
      <c r="C34" s="126">
        <v>45108</v>
      </c>
      <c r="D34" s="126">
        <v>45473</v>
      </c>
      <c r="E34" s="145">
        <v>0</v>
      </c>
      <c r="F34" s="160">
        <v>0.97599999999999998</v>
      </c>
      <c r="G34" s="145">
        <f t="shared" si="0"/>
        <v>0</v>
      </c>
      <c r="H34" s="145">
        <v>41419</v>
      </c>
      <c r="I34" s="145">
        <v>67344</v>
      </c>
    </row>
    <row r="35" spans="1:9" x14ac:dyDescent="0.15">
      <c r="A35" s="90">
        <v>108</v>
      </c>
      <c r="B35" s="76" t="s">
        <v>364</v>
      </c>
      <c r="C35" s="126">
        <v>45108</v>
      </c>
      <c r="D35" s="126">
        <v>45473</v>
      </c>
      <c r="E35" s="145">
        <v>0</v>
      </c>
      <c r="F35" s="160">
        <v>1</v>
      </c>
      <c r="G35" s="145">
        <f t="shared" si="0"/>
        <v>0</v>
      </c>
      <c r="H35" s="145">
        <v>59270</v>
      </c>
      <c r="I35" s="145">
        <v>62952</v>
      </c>
    </row>
    <row r="36" spans="1:9" x14ac:dyDescent="0.15">
      <c r="A36" s="90">
        <v>112</v>
      </c>
      <c r="B36" s="76" t="s">
        <v>227</v>
      </c>
      <c r="C36" s="126">
        <v>45108</v>
      </c>
      <c r="D36" s="126">
        <v>45473</v>
      </c>
      <c r="E36" s="145">
        <v>302622</v>
      </c>
      <c r="F36" s="160">
        <v>0.94089999999999996</v>
      </c>
      <c r="G36" s="145">
        <f t="shared" si="0"/>
        <v>284737</v>
      </c>
      <c r="H36" s="145">
        <v>83693</v>
      </c>
      <c r="I36" s="145">
        <v>97722</v>
      </c>
    </row>
    <row r="37" spans="1:9" x14ac:dyDescent="0.15">
      <c r="A37" s="90">
        <v>114</v>
      </c>
      <c r="B37" s="76" t="s">
        <v>657</v>
      </c>
      <c r="C37" s="126">
        <v>45292</v>
      </c>
      <c r="D37" s="126">
        <v>45657</v>
      </c>
      <c r="E37" s="145">
        <v>0</v>
      </c>
      <c r="F37" s="160">
        <v>1</v>
      </c>
      <c r="G37" s="145">
        <f t="shared" si="0"/>
        <v>0</v>
      </c>
      <c r="H37" s="145">
        <v>17475</v>
      </c>
      <c r="I37" s="145">
        <v>21803</v>
      </c>
    </row>
    <row r="38" spans="1:9" x14ac:dyDescent="0.15">
      <c r="A38" s="90">
        <v>116</v>
      </c>
      <c r="B38" s="76" t="s">
        <v>586</v>
      </c>
      <c r="C38" s="126">
        <v>45292</v>
      </c>
      <c r="D38" s="126">
        <v>45657</v>
      </c>
      <c r="E38" s="145">
        <v>211675.04</v>
      </c>
      <c r="F38" s="160">
        <v>1</v>
      </c>
      <c r="G38" s="145">
        <f t="shared" si="0"/>
        <v>211675</v>
      </c>
      <c r="H38" s="145">
        <v>43178</v>
      </c>
      <c r="I38" s="145">
        <v>47580</v>
      </c>
    </row>
    <row r="39" spans="1:9" x14ac:dyDescent="0.15">
      <c r="A39" s="90">
        <v>118</v>
      </c>
      <c r="B39" s="76" t="s">
        <v>470</v>
      </c>
      <c r="C39" s="126">
        <v>45292</v>
      </c>
      <c r="D39" s="126">
        <v>45657</v>
      </c>
      <c r="E39" s="145">
        <v>218567</v>
      </c>
      <c r="F39" s="160">
        <v>0.97419999999999995</v>
      </c>
      <c r="G39" s="145">
        <f t="shared" si="0"/>
        <v>212928</v>
      </c>
      <c r="H39" s="145">
        <v>55568</v>
      </c>
      <c r="I39" s="145">
        <v>58560</v>
      </c>
    </row>
    <row r="40" spans="1:9" x14ac:dyDescent="0.15">
      <c r="A40" s="90">
        <v>122</v>
      </c>
      <c r="B40" s="76" t="s">
        <v>634</v>
      </c>
      <c r="C40" s="126">
        <v>45292</v>
      </c>
      <c r="D40" s="126">
        <v>45657</v>
      </c>
      <c r="E40" s="145">
        <v>74767</v>
      </c>
      <c r="F40" s="160">
        <v>1</v>
      </c>
      <c r="G40" s="145">
        <f t="shared" si="0"/>
        <v>74767</v>
      </c>
      <c r="H40" s="145">
        <v>38772</v>
      </c>
      <c r="I40" s="145">
        <v>43188</v>
      </c>
    </row>
    <row r="41" spans="1:9" x14ac:dyDescent="0.15">
      <c r="A41" s="90">
        <v>124</v>
      </c>
      <c r="B41" s="76" t="s">
        <v>764</v>
      </c>
      <c r="C41" s="126">
        <v>45352</v>
      </c>
      <c r="D41" s="126">
        <v>45657</v>
      </c>
      <c r="E41" s="145">
        <v>119838</v>
      </c>
      <c r="F41" s="160">
        <v>0.51019999999999999</v>
      </c>
      <c r="G41" s="145">
        <f t="shared" si="0"/>
        <v>61141</v>
      </c>
      <c r="H41" s="145">
        <v>19455</v>
      </c>
      <c r="I41" s="145">
        <v>22032</v>
      </c>
    </row>
    <row r="42" spans="1:9" x14ac:dyDescent="0.15">
      <c r="A42" s="90">
        <v>126</v>
      </c>
      <c r="B42" s="76" t="s">
        <v>548</v>
      </c>
      <c r="C42" s="126">
        <v>45292</v>
      </c>
      <c r="D42" s="126">
        <v>45657</v>
      </c>
      <c r="E42" s="145">
        <v>72879</v>
      </c>
      <c r="F42" s="160">
        <v>1</v>
      </c>
      <c r="G42" s="145">
        <f t="shared" si="0"/>
        <v>72879</v>
      </c>
      <c r="H42" s="145">
        <v>39215</v>
      </c>
      <c r="I42" s="145">
        <v>43920</v>
      </c>
    </row>
    <row r="43" spans="1:9" x14ac:dyDescent="0.15">
      <c r="A43" s="90">
        <v>130</v>
      </c>
      <c r="B43" s="76" t="s">
        <v>472</v>
      </c>
      <c r="C43" s="126">
        <v>45292</v>
      </c>
      <c r="D43" s="126">
        <v>45657</v>
      </c>
      <c r="E43" s="145">
        <v>281993</v>
      </c>
      <c r="F43" s="160">
        <v>1</v>
      </c>
      <c r="G43" s="145">
        <f t="shared" si="0"/>
        <v>281993</v>
      </c>
      <c r="H43" s="145">
        <v>56292</v>
      </c>
      <c r="I43" s="145">
        <v>57828</v>
      </c>
    </row>
    <row r="44" spans="1:9" x14ac:dyDescent="0.15">
      <c r="A44" s="90">
        <v>132</v>
      </c>
      <c r="B44" s="76" t="s">
        <v>589</v>
      </c>
      <c r="C44" s="126">
        <v>45292</v>
      </c>
      <c r="D44" s="126">
        <v>45657</v>
      </c>
      <c r="E44" s="145">
        <v>125724</v>
      </c>
      <c r="F44" s="160">
        <v>1</v>
      </c>
      <c r="G44" s="145">
        <f t="shared" si="0"/>
        <v>125724</v>
      </c>
      <c r="H44" s="145">
        <v>58980</v>
      </c>
      <c r="I44" s="145">
        <v>65880</v>
      </c>
    </row>
    <row r="45" spans="1:9" x14ac:dyDescent="0.15">
      <c r="A45" s="90">
        <v>134</v>
      </c>
      <c r="B45" s="76" t="s">
        <v>581</v>
      </c>
      <c r="C45" s="126">
        <v>45292</v>
      </c>
      <c r="D45" s="126">
        <v>45657</v>
      </c>
      <c r="E45" s="145">
        <v>88796</v>
      </c>
      <c r="F45" s="160">
        <v>1</v>
      </c>
      <c r="G45" s="145">
        <f t="shared" si="0"/>
        <v>88796</v>
      </c>
      <c r="H45" s="145">
        <v>44381</v>
      </c>
      <c r="I45" s="145">
        <v>49410</v>
      </c>
    </row>
    <row r="46" spans="1:9" x14ac:dyDescent="0.15">
      <c r="A46" s="90">
        <v>136</v>
      </c>
      <c r="B46" s="76" t="s">
        <v>397</v>
      </c>
      <c r="C46" s="126">
        <v>45108</v>
      </c>
      <c r="D46" s="126">
        <v>45473</v>
      </c>
      <c r="E46" s="145">
        <v>64167</v>
      </c>
      <c r="F46" s="160">
        <v>1</v>
      </c>
      <c r="G46" s="145">
        <f t="shared" si="0"/>
        <v>64167</v>
      </c>
      <c r="H46" s="145">
        <v>35060</v>
      </c>
      <c r="I46" s="145">
        <v>49044</v>
      </c>
    </row>
    <row r="47" spans="1:9" x14ac:dyDescent="0.15">
      <c r="A47" s="90">
        <v>140</v>
      </c>
      <c r="B47" s="76" t="s">
        <v>817</v>
      </c>
      <c r="C47" s="126">
        <v>45566</v>
      </c>
      <c r="D47" s="126">
        <v>45657</v>
      </c>
      <c r="E47" s="145">
        <v>24690</v>
      </c>
      <c r="F47" s="160">
        <v>1</v>
      </c>
      <c r="G47" s="145">
        <f t="shared" si="0"/>
        <v>24690</v>
      </c>
      <c r="H47" s="145">
        <v>6889</v>
      </c>
      <c r="I47" s="145">
        <v>9108</v>
      </c>
    </row>
    <row r="48" spans="1:9" x14ac:dyDescent="0.15">
      <c r="A48" s="90">
        <v>142</v>
      </c>
      <c r="B48" s="76" t="s">
        <v>374</v>
      </c>
      <c r="C48" s="126">
        <v>45292</v>
      </c>
      <c r="D48" s="126">
        <v>45657</v>
      </c>
      <c r="E48" s="145">
        <v>157856</v>
      </c>
      <c r="F48" s="160">
        <v>1</v>
      </c>
      <c r="G48" s="145">
        <f t="shared" si="0"/>
        <v>157856</v>
      </c>
      <c r="H48" s="145">
        <v>32527</v>
      </c>
      <c r="I48" s="145">
        <v>45384</v>
      </c>
    </row>
    <row r="49" spans="1:9" x14ac:dyDescent="0.15">
      <c r="A49" s="90">
        <v>144</v>
      </c>
      <c r="B49" s="76" t="s">
        <v>193</v>
      </c>
      <c r="C49" s="126">
        <v>45292</v>
      </c>
      <c r="D49" s="126">
        <v>45657</v>
      </c>
      <c r="E49" s="145">
        <v>51261</v>
      </c>
      <c r="F49" s="160">
        <v>0.98309999999999997</v>
      </c>
      <c r="G49" s="145">
        <f t="shared" si="0"/>
        <v>50395</v>
      </c>
      <c r="H49" s="145">
        <v>50989</v>
      </c>
      <c r="I49" s="145">
        <v>56730</v>
      </c>
    </row>
    <row r="50" spans="1:9" x14ac:dyDescent="0.15">
      <c r="A50" s="90">
        <v>146</v>
      </c>
      <c r="B50" s="76" t="s">
        <v>176</v>
      </c>
      <c r="C50" s="126">
        <v>45292</v>
      </c>
      <c r="D50" s="126">
        <v>45657</v>
      </c>
      <c r="E50" s="145">
        <v>60694</v>
      </c>
      <c r="F50" s="160">
        <v>0.62170000000000003</v>
      </c>
      <c r="G50" s="145">
        <f t="shared" si="0"/>
        <v>37733</v>
      </c>
      <c r="H50" s="145">
        <v>23471</v>
      </c>
      <c r="I50" s="145">
        <v>24156</v>
      </c>
    </row>
    <row r="51" spans="1:9" x14ac:dyDescent="0.15">
      <c r="A51" s="90">
        <v>150</v>
      </c>
      <c r="B51" s="76" t="s">
        <v>224</v>
      </c>
      <c r="C51" s="126">
        <v>45292</v>
      </c>
      <c r="D51" s="126">
        <v>45657</v>
      </c>
      <c r="E51" s="145">
        <v>0</v>
      </c>
      <c r="F51" s="160">
        <v>0.40839999999999999</v>
      </c>
      <c r="G51" s="145">
        <f t="shared" si="0"/>
        <v>0</v>
      </c>
      <c r="H51" s="145">
        <v>31194</v>
      </c>
      <c r="I51" s="145">
        <v>36966</v>
      </c>
    </row>
    <row r="52" spans="1:9" x14ac:dyDescent="0.15">
      <c r="A52" s="90">
        <v>152</v>
      </c>
      <c r="B52" s="76" t="s">
        <v>383</v>
      </c>
      <c r="C52" s="126">
        <v>45292</v>
      </c>
      <c r="D52" s="126">
        <v>45657</v>
      </c>
      <c r="E52" s="145">
        <v>88005</v>
      </c>
      <c r="F52" s="160">
        <v>1</v>
      </c>
      <c r="G52" s="145">
        <f t="shared" si="0"/>
        <v>88005</v>
      </c>
      <c r="H52" s="145">
        <v>26782</v>
      </c>
      <c r="I52" s="145">
        <v>35136</v>
      </c>
    </row>
    <row r="53" spans="1:9" x14ac:dyDescent="0.15">
      <c r="A53" s="90">
        <v>154</v>
      </c>
      <c r="B53" s="76" t="s">
        <v>491</v>
      </c>
      <c r="C53" s="126">
        <v>45292</v>
      </c>
      <c r="D53" s="126">
        <v>45657</v>
      </c>
      <c r="E53" s="145">
        <v>120816</v>
      </c>
      <c r="F53" s="160">
        <v>1</v>
      </c>
      <c r="G53" s="145">
        <f t="shared" si="0"/>
        <v>120816</v>
      </c>
      <c r="H53" s="145">
        <v>42962</v>
      </c>
      <c r="I53" s="145">
        <v>50508</v>
      </c>
    </row>
    <row r="54" spans="1:9" x14ac:dyDescent="0.15">
      <c r="A54" s="90">
        <v>156</v>
      </c>
      <c r="B54" s="76" t="s">
        <v>413</v>
      </c>
      <c r="C54" s="126">
        <v>45292</v>
      </c>
      <c r="D54" s="126">
        <v>45657</v>
      </c>
      <c r="E54" s="145">
        <v>43134</v>
      </c>
      <c r="F54" s="160">
        <v>1</v>
      </c>
      <c r="G54" s="145">
        <f t="shared" si="0"/>
        <v>43134</v>
      </c>
      <c r="H54" s="145">
        <v>48148</v>
      </c>
      <c r="I54" s="145">
        <v>61122</v>
      </c>
    </row>
    <row r="55" spans="1:9" x14ac:dyDescent="0.15">
      <c r="A55" s="90">
        <v>164</v>
      </c>
      <c r="B55" s="76" t="s">
        <v>712</v>
      </c>
      <c r="C55" s="126">
        <v>45292</v>
      </c>
      <c r="D55" s="126">
        <v>45657</v>
      </c>
      <c r="E55" s="145">
        <v>71799</v>
      </c>
      <c r="F55" s="160">
        <v>1</v>
      </c>
      <c r="G55" s="145">
        <f t="shared" si="0"/>
        <v>71799</v>
      </c>
      <c r="H55" s="145">
        <v>24804</v>
      </c>
      <c r="I55" s="145">
        <v>27084</v>
      </c>
    </row>
    <row r="56" spans="1:9" x14ac:dyDescent="0.15">
      <c r="A56" s="90">
        <v>168</v>
      </c>
      <c r="B56" s="76" t="s">
        <v>177</v>
      </c>
      <c r="C56" s="126">
        <v>45292</v>
      </c>
      <c r="D56" s="126">
        <v>45657</v>
      </c>
      <c r="E56" s="145">
        <v>73457</v>
      </c>
      <c r="F56" s="160">
        <v>1</v>
      </c>
      <c r="G56" s="145">
        <f t="shared" si="0"/>
        <v>73457</v>
      </c>
      <c r="H56" s="145">
        <v>39345</v>
      </c>
      <c r="I56" s="145">
        <v>42822</v>
      </c>
    </row>
    <row r="57" spans="1:9" x14ac:dyDescent="0.15">
      <c r="A57" s="90">
        <v>172</v>
      </c>
      <c r="B57" s="76" t="s">
        <v>709</v>
      </c>
      <c r="C57" s="126">
        <v>45292</v>
      </c>
      <c r="D57" s="126">
        <v>45657</v>
      </c>
      <c r="E57" s="145">
        <v>51552</v>
      </c>
      <c r="F57" s="160">
        <v>1</v>
      </c>
      <c r="G57" s="145">
        <f t="shared" si="0"/>
        <v>51552</v>
      </c>
      <c r="H57" s="145">
        <v>39630</v>
      </c>
      <c r="I57" s="145">
        <v>45750</v>
      </c>
    </row>
    <row r="58" spans="1:9" x14ac:dyDescent="0.15">
      <c r="A58" s="90">
        <v>174</v>
      </c>
      <c r="B58" s="76" t="s">
        <v>221</v>
      </c>
      <c r="C58" s="126">
        <v>45108</v>
      </c>
      <c r="D58" s="126">
        <v>45473</v>
      </c>
      <c r="E58" s="145">
        <v>28780</v>
      </c>
      <c r="F58" s="160">
        <v>0.72099999999999997</v>
      </c>
      <c r="G58" s="145">
        <f t="shared" si="0"/>
        <v>20750</v>
      </c>
      <c r="H58" s="145">
        <v>23917</v>
      </c>
      <c r="I58" s="145">
        <v>30012</v>
      </c>
    </row>
    <row r="59" spans="1:9" x14ac:dyDescent="0.15">
      <c r="A59" s="90">
        <v>176</v>
      </c>
      <c r="B59" s="76" t="s">
        <v>415</v>
      </c>
      <c r="C59" s="126">
        <v>45292</v>
      </c>
      <c r="D59" s="126">
        <v>45657</v>
      </c>
      <c r="E59" s="145">
        <v>134463</v>
      </c>
      <c r="F59" s="160">
        <v>0.80759999999999998</v>
      </c>
      <c r="G59" s="145">
        <f t="shared" si="0"/>
        <v>108592</v>
      </c>
      <c r="H59" s="145">
        <v>39179</v>
      </c>
      <c r="I59" s="145">
        <v>48312</v>
      </c>
    </row>
    <row r="60" spans="1:9" x14ac:dyDescent="0.15">
      <c r="A60" s="90">
        <v>178</v>
      </c>
      <c r="B60" s="76" t="s">
        <v>185</v>
      </c>
      <c r="C60" s="126">
        <v>45292</v>
      </c>
      <c r="D60" s="126">
        <v>45657</v>
      </c>
      <c r="E60" s="145">
        <v>185154</v>
      </c>
      <c r="F60" s="160">
        <v>1</v>
      </c>
      <c r="G60" s="145">
        <f t="shared" si="0"/>
        <v>185154</v>
      </c>
      <c r="H60" s="145">
        <v>55429</v>
      </c>
      <c r="I60" s="145">
        <v>58560</v>
      </c>
    </row>
    <row r="61" spans="1:9" x14ac:dyDescent="0.15">
      <c r="A61" s="90">
        <v>182</v>
      </c>
      <c r="B61" s="76" t="s">
        <v>219</v>
      </c>
      <c r="C61" s="126">
        <v>45292</v>
      </c>
      <c r="D61" s="126">
        <v>45657</v>
      </c>
      <c r="E61" s="145">
        <v>76413</v>
      </c>
      <c r="F61" s="160">
        <v>1</v>
      </c>
      <c r="G61" s="145">
        <f t="shared" si="0"/>
        <v>76413</v>
      </c>
      <c r="H61" s="145">
        <v>56156</v>
      </c>
      <c r="I61" s="145">
        <v>61122</v>
      </c>
    </row>
    <row r="62" spans="1:9" x14ac:dyDescent="0.15">
      <c r="A62" s="90">
        <v>184</v>
      </c>
      <c r="B62" s="76" t="s">
        <v>175</v>
      </c>
      <c r="C62" s="126">
        <v>45292</v>
      </c>
      <c r="D62" s="126">
        <v>45657</v>
      </c>
      <c r="E62" s="145">
        <v>96788.62</v>
      </c>
      <c r="F62" s="160">
        <v>0.97609999999999997</v>
      </c>
      <c r="G62" s="145">
        <f t="shared" si="0"/>
        <v>94475</v>
      </c>
      <c r="H62" s="145">
        <v>39712</v>
      </c>
      <c r="I62" s="145">
        <v>55632</v>
      </c>
    </row>
    <row r="63" spans="1:9" x14ac:dyDescent="0.15">
      <c r="A63" s="90">
        <v>186</v>
      </c>
      <c r="B63" s="76" t="s">
        <v>44</v>
      </c>
      <c r="C63" s="126">
        <v>45292</v>
      </c>
      <c r="D63" s="126">
        <v>45657</v>
      </c>
      <c r="E63" s="145">
        <v>149998</v>
      </c>
      <c r="F63" s="160">
        <v>1</v>
      </c>
      <c r="G63" s="145">
        <f t="shared" si="0"/>
        <v>149998</v>
      </c>
      <c r="H63" s="145">
        <v>48223</v>
      </c>
      <c r="I63" s="145">
        <v>54168</v>
      </c>
    </row>
    <row r="64" spans="1:9" x14ac:dyDescent="0.15">
      <c r="A64" s="90">
        <v>190</v>
      </c>
      <c r="B64" s="76" t="s">
        <v>376</v>
      </c>
      <c r="C64" s="126">
        <v>45292</v>
      </c>
      <c r="D64" s="126">
        <v>45657</v>
      </c>
      <c r="E64" s="145">
        <v>78959</v>
      </c>
      <c r="F64" s="160">
        <v>1</v>
      </c>
      <c r="G64" s="145">
        <f t="shared" si="0"/>
        <v>78959</v>
      </c>
      <c r="H64" s="145">
        <v>48478</v>
      </c>
      <c r="I64" s="145">
        <v>51606</v>
      </c>
    </row>
    <row r="65" spans="1:9" x14ac:dyDescent="0.15">
      <c r="A65" s="90">
        <v>192</v>
      </c>
      <c r="B65" s="76" t="s">
        <v>39</v>
      </c>
      <c r="C65" s="126">
        <v>45292</v>
      </c>
      <c r="D65" s="126">
        <v>45657</v>
      </c>
      <c r="E65" s="145">
        <v>241566</v>
      </c>
      <c r="F65" s="160">
        <v>0.97470000000000001</v>
      </c>
      <c r="G65" s="145">
        <f t="shared" si="0"/>
        <v>235454</v>
      </c>
      <c r="H65" s="145">
        <v>61713</v>
      </c>
      <c r="I65" s="145">
        <v>65880</v>
      </c>
    </row>
    <row r="66" spans="1:9" x14ac:dyDescent="0.15">
      <c r="A66" s="90">
        <v>194</v>
      </c>
      <c r="B66" s="176" t="s">
        <v>187</v>
      </c>
      <c r="C66" s="126">
        <v>45292</v>
      </c>
      <c r="D66" s="126">
        <v>45657</v>
      </c>
      <c r="E66" s="145">
        <v>50882</v>
      </c>
      <c r="F66" s="160">
        <v>1</v>
      </c>
      <c r="G66" s="145">
        <f t="shared" ref="G66:G130" si="1">ROUND(E66*F66,2)</f>
        <v>50882</v>
      </c>
      <c r="H66" s="145">
        <v>48213</v>
      </c>
      <c r="I66" s="145">
        <v>54168</v>
      </c>
    </row>
    <row r="67" spans="1:9" x14ac:dyDescent="0.15">
      <c r="A67" s="90">
        <v>198</v>
      </c>
      <c r="B67" s="76" t="s">
        <v>551</v>
      </c>
      <c r="C67" s="126">
        <v>45292</v>
      </c>
      <c r="D67" s="126">
        <v>45657</v>
      </c>
      <c r="E67" s="145">
        <v>139023</v>
      </c>
      <c r="F67" s="160">
        <v>1</v>
      </c>
      <c r="G67" s="145">
        <f t="shared" si="1"/>
        <v>139023</v>
      </c>
      <c r="H67" s="145">
        <v>41116</v>
      </c>
      <c r="I67" s="145">
        <v>45384</v>
      </c>
    </row>
    <row r="68" spans="1:9" x14ac:dyDescent="0.15">
      <c r="A68" s="90">
        <v>204</v>
      </c>
      <c r="B68" s="76" t="s">
        <v>181</v>
      </c>
      <c r="C68" s="126">
        <v>45292</v>
      </c>
      <c r="D68" s="126">
        <v>45657</v>
      </c>
      <c r="E68" s="145">
        <v>0</v>
      </c>
      <c r="F68" s="160">
        <v>1</v>
      </c>
      <c r="G68" s="145">
        <f t="shared" si="1"/>
        <v>0</v>
      </c>
      <c r="H68" s="145">
        <v>9344</v>
      </c>
      <c r="I68" s="145">
        <v>11346</v>
      </c>
    </row>
    <row r="69" spans="1:9" x14ac:dyDescent="0.15">
      <c r="A69" s="90">
        <v>208</v>
      </c>
      <c r="B69" s="76" t="s">
        <v>367</v>
      </c>
      <c r="C69" s="126">
        <v>45292</v>
      </c>
      <c r="D69" s="126">
        <v>45657</v>
      </c>
      <c r="E69" s="145">
        <v>222666</v>
      </c>
      <c r="F69" s="160">
        <v>1</v>
      </c>
      <c r="G69" s="145">
        <f t="shared" si="1"/>
        <v>222666</v>
      </c>
      <c r="H69" s="145">
        <v>49356</v>
      </c>
      <c r="I69" s="145">
        <v>53436</v>
      </c>
    </row>
    <row r="70" spans="1:9" x14ac:dyDescent="0.15">
      <c r="A70" s="90">
        <v>210</v>
      </c>
      <c r="B70" s="76" t="s">
        <v>173</v>
      </c>
      <c r="C70" s="126">
        <v>45017</v>
      </c>
      <c r="D70" s="126">
        <v>45382</v>
      </c>
      <c r="E70" s="145">
        <v>0</v>
      </c>
      <c r="F70" s="160">
        <v>1</v>
      </c>
      <c r="G70" s="145">
        <f t="shared" si="1"/>
        <v>0</v>
      </c>
      <c r="H70" s="145">
        <v>38260</v>
      </c>
      <c r="I70" s="145">
        <v>39528</v>
      </c>
    </row>
    <row r="71" spans="1:9" x14ac:dyDescent="0.15">
      <c r="A71" s="90">
        <v>218</v>
      </c>
      <c r="B71" s="76" t="s">
        <v>195</v>
      </c>
      <c r="C71" s="126">
        <v>45292</v>
      </c>
      <c r="D71" s="126">
        <v>45657</v>
      </c>
      <c r="E71" s="145">
        <v>97230</v>
      </c>
      <c r="F71" s="160">
        <v>1</v>
      </c>
      <c r="G71" s="145">
        <f t="shared" si="1"/>
        <v>97230</v>
      </c>
      <c r="H71" s="145">
        <v>37091</v>
      </c>
      <c r="I71" s="145">
        <v>41358</v>
      </c>
    </row>
    <row r="72" spans="1:9" x14ac:dyDescent="0.15">
      <c r="A72" s="90">
        <v>220</v>
      </c>
      <c r="B72" s="76" t="s">
        <v>198</v>
      </c>
      <c r="C72" s="126">
        <v>45292</v>
      </c>
      <c r="D72" s="126">
        <v>45657</v>
      </c>
      <c r="E72" s="145">
        <v>145164.57</v>
      </c>
      <c r="F72" s="160">
        <v>0.98780000000000001</v>
      </c>
      <c r="G72" s="145">
        <f t="shared" si="1"/>
        <v>143394</v>
      </c>
      <c r="H72" s="145">
        <v>46302</v>
      </c>
      <c r="I72" s="145">
        <v>50142</v>
      </c>
    </row>
    <row r="73" spans="1:9" x14ac:dyDescent="0.15">
      <c r="A73" s="90">
        <v>222</v>
      </c>
      <c r="B73" s="76" t="s">
        <v>680</v>
      </c>
      <c r="C73" s="126">
        <v>45292</v>
      </c>
      <c r="D73" s="126">
        <v>45657</v>
      </c>
      <c r="E73" s="145">
        <v>48624</v>
      </c>
      <c r="F73" s="160">
        <v>1</v>
      </c>
      <c r="G73" s="145">
        <f t="shared" si="1"/>
        <v>48624</v>
      </c>
      <c r="H73" s="145">
        <v>24611</v>
      </c>
      <c r="I73" s="145">
        <v>26718</v>
      </c>
    </row>
    <row r="74" spans="1:9" x14ac:dyDescent="0.15">
      <c r="A74" s="90">
        <v>224</v>
      </c>
      <c r="B74" s="76" t="s">
        <v>466</v>
      </c>
      <c r="C74" s="126">
        <v>45292</v>
      </c>
      <c r="D74" s="126">
        <v>45657</v>
      </c>
      <c r="E74" s="145">
        <v>141088</v>
      </c>
      <c r="F74" s="160">
        <v>1</v>
      </c>
      <c r="G74" s="145">
        <f t="shared" si="1"/>
        <v>141088</v>
      </c>
      <c r="H74" s="145">
        <v>27847</v>
      </c>
      <c r="I74" s="145">
        <v>30012</v>
      </c>
    </row>
    <row r="75" spans="1:9" x14ac:dyDescent="0.15">
      <c r="A75" s="90">
        <v>226</v>
      </c>
      <c r="B75" s="76" t="s">
        <v>496</v>
      </c>
      <c r="C75" s="126">
        <v>45292</v>
      </c>
      <c r="D75" s="126">
        <v>45657</v>
      </c>
      <c r="E75" s="145">
        <v>122181</v>
      </c>
      <c r="F75" s="160">
        <v>1</v>
      </c>
      <c r="G75" s="145">
        <f t="shared" si="1"/>
        <v>122181</v>
      </c>
      <c r="H75" s="145">
        <v>57760</v>
      </c>
      <c r="I75" s="145">
        <v>58560</v>
      </c>
    </row>
    <row r="76" spans="1:9" x14ac:dyDescent="0.15">
      <c r="A76" s="90">
        <v>228</v>
      </c>
      <c r="B76" s="76" t="s">
        <v>495</v>
      </c>
      <c r="C76" s="126">
        <v>45292</v>
      </c>
      <c r="D76" s="126">
        <v>45657</v>
      </c>
      <c r="E76" s="145">
        <v>141398</v>
      </c>
      <c r="F76" s="160">
        <v>1</v>
      </c>
      <c r="G76" s="145">
        <f t="shared" si="1"/>
        <v>141398</v>
      </c>
      <c r="H76" s="145">
        <v>59362</v>
      </c>
      <c r="I76" s="145">
        <v>62220</v>
      </c>
    </row>
    <row r="77" spans="1:9" x14ac:dyDescent="0.15">
      <c r="A77" s="90">
        <v>230</v>
      </c>
      <c r="B77" s="76" t="s">
        <v>183</v>
      </c>
      <c r="C77" s="126">
        <v>45292</v>
      </c>
      <c r="D77" s="126">
        <v>45657</v>
      </c>
      <c r="E77" s="145">
        <v>0</v>
      </c>
      <c r="F77" s="160">
        <v>0.99560000000000004</v>
      </c>
      <c r="G77" s="145">
        <f t="shared" si="1"/>
        <v>0</v>
      </c>
      <c r="H77" s="145">
        <v>142181</v>
      </c>
      <c r="I77" s="145">
        <v>203496</v>
      </c>
    </row>
    <row r="78" spans="1:9" x14ac:dyDescent="0.15">
      <c r="A78" s="90">
        <v>232</v>
      </c>
      <c r="B78" s="76" t="s">
        <v>600</v>
      </c>
      <c r="C78" s="126">
        <v>45292</v>
      </c>
      <c r="D78" s="126">
        <v>45657</v>
      </c>
      <c r="E78" s="145">
        <v>56927</v>
      </c>
      <c r="F78" s="160">
        <v>1</v>
      </c>
      <c r="G78" s="145">
        <f t="shared" si="1"/>
        <v>56927</v>
      </c>
      <c r="H78" s="145">
        <v>53933</v>
      </c>
      <c r="I78" s="145">
        <v>64782</v>
      </c>
    </row>
    <row r="79" spans="1:9" x14ac:dyDescent="0.15">
      <c r="A79" s="90">
        <v>236</v>
      </c>
      <c r="B79" s="76" t="s">
        <v>689</v>
      </c>
      <c r="C79" s="126">
        <v>45292</v>
      </c>
      <c r="D79" s="126">
        <v>45657</v>
      </c>
      <c r="E79" s="145">
        <v>159166</v>
      </c>
      <c r="F79" s="160">
        <v>1</v>
      </c>
      <c r="G79" s="145">
        <f t="shared" si="1"/>
        <v>159166</v>
      </c>
      <c r="H79" s="145">
        <v>21757</v>
      </c>
      <c r="I79" s="145">
        <v>24156</v>
      </c>
    </row>
    <row r="80" spans="1:9" x14ac:dyDescent="0.15">
      <c r="A80" s="90">
        <v>238</v>
      </c>
      <c r="B80" s="76" t="s">
        <v>235</v>
      </c>
      <c r="C80" s="126">
        <v>45108</v>
      </c>
      <c r="D80" s="126">
        <v>45473</v>
      </c>
      <c r="E80" s="145">
        <v>65412</v>
      </c>
      <c r="F80" s="160">
        <v>1</v>
      </c>
      <c r="G80" s="145">
        <f t="shared" si="1"/>
        <v>65412</v>
      </c>
      <c r="H80" s="145">
        <v>25514</v>
      </c>
      <c r="I80" s="145">
        <v>27450</v>
      </c>
    </row>
    <row r="81" spans="1:9" x14ac:dyDescent="0.15">
      <c r="A81" s="90">
        <v>240</v>
      </c>
      <c r="B81" s="76" t="s">
        <v>641</v>
      </c>
      <c r="C81" s="126">
        <v>45292</v>
      </c>
      <c r="D81" s="126">
        <v>45657</v>
      </c>
      <c r="E81" s="145">
        <v>124051</v>
      </c>
      <c r="F81" s="160">
        <v>1</v>
      </c>
      <c r="G81" s="145">
        <f t="shared" si="1"/>
        <v>124051</v>
      </c>
      <c r="H81" s="145">
        <v>47885</v>
      </c>
      <c r="I81" s="145">
        <v>54900</v>
      </c>
    </row>
    <row r="82" spans="1:9" x14ac:dyDescent="0.15">
      <c r="A82" s="90">
        <v>242</v>
      </c>
      <c r="B82" s="76" t="s">
        <v>200</v>
      </c>
      <c r="C82" s="126">
        <v>45292</v>
      </c>
      <c r="D82" s="126">
        <v>45657</v>
      </c>
      <c r="E82" s="145">
        <v>0</v>
      </c>
      <c r="F82" s="160">
        <v>0.16769999999999999</v>
      </c>
      <c r="G82" s="145">
        <f t="shared" si="1"/>
        <v>0</v>
      </c>
      <c r="H82" s="145">
        <v>30242</v>
      </c>
      <c r="I82" s="145">
        <v>43920</v>
      </c>
    </row>
    <row r="83" spans="1:9" x14ac:dyDescent="0.15">
      <c r="A83" s="90">
        <v>244</v>
      </c>
      <c r="B83" s="76" t="s">
        <v>186</v>
      </c>
      <c r="C83" s="126">
        <v>45292</v>
      </c>
      <c r="D83" s="126">
        <v>45657</v>
      </c>
      <c r="E83" s="145">
        <v>0</v>
      </c>
      <c r="F83" s="160">
        <v>0.1956</v>
      </c>
      <c r="G83" s="145">
        <f t="shared" si="1"/>
        <v>0</v>
      </c>
      <c r="H83" s="145">
        <v>25366</v>
      </c>
      <c r="I83" s="145">
        <v>30012</v>
      </c>
    </row>
    <row r="84" spans="1:9" x14ac:dyDescent="0.15">
      <c r="A84" s="90">
        <v>246</v>
      </c>
      <c r="B84" s="76" t="s">
        <v>553</v>
      </c>
      <c r="C84" s="126">
        <v>45292</v>
      </c>
      <c r="D84" s="126">
        <v>45657</v>
      </c>
      <c r="E84" s="145">
        <v>136334</v>
      </c>
      <c r="F84" s="160">
        <v>1</v>
      </c>
      <c r="G84" s="145">
        <f t="shared" si="1"/>
        <v>136334</v>
      </c>
      <c r="H84" s="145">
        <v>35856</v>
      </c>
      <c r="I84" s="145">
        <v>40992</v>
      </c>
    </row>
    <row r="85" spans="1:9" x14ac:dyDescent="0.15">
      <c r="A85" s="90">
        <v>248</v>
      </c>
      <c r="B85" s="76" t="s">
        <v>592</v>
      </c>
      <c r="C85" s="126">
        <v>45108</v>
      </c>
      <c r="D85" s="126">
        <v>45473</v>
      </c>
      <c r="E85" s="145">
        <v>62557</v>
      </c>
      <c r="F85" s="160">
        <v>1</v>
      </c>
      <c r="G85" s="145">
        <f t="shared" si="1"/>
        <v>62557</v>
      </c>
      <c r="H85" s="145">
        <v>41130</v>
      </c>
      <c r="I85" s="145">
        <v>47580</v>
      </c>
    </row>
    <row r="86" spans="1:9" x14ac:dyDescent="0.15">
      <c r="A86" s="90">
        <v>250</v>
      </c>
      <c r="B86" s="76" t="s">
        <v>319</v>
      </c>
      <c r="C86" s="126">
        <v>45292</v>
      </c>
      <c r="D86" s="126">
        <v>45657</v>
      </c>
      <c r="E86" s="145">
        <v>90446</v>
      </c>
      <c r="F86" s="160">
        <v>0.96550000000000002</v>
      </c>
      <c r="G86" s="145">
        <f t="shared" si="1"/>
        <v>87326</v>
      </c>
      <c r="H86" s="145">
        <v>51801</v>
      </c>
      <c r="I86" s="145">
        <v>55266</v>
      </c>
    </row>
    <row r="87" spans="1:9" x14ac:dyDescent="0.15">
      <c r="A87" s="90">
        <v>254</v>
      </c>
      <c r="B87" s="76" t="s">
        <v>378</v>
      </c>
      <c r="C87" s="126">
        <v>45292</v>
      </c>
      <c r="D87" s="126">
        <v>45657</v>
      </c>
      <c r="E87" s="145">
        <v>207110</v>
      </c>
      <c r="F87" s="160">
        <v>1</v>
      </c>
      <c r="G87" s="145">
        <f t="shared" si="1"/>
        <v>207110</v>
      </c>
      <c r="H87" s="145">
        <v>37540</v>
      </c>
      <c r="I87" s="145">
        <v>47946</v>
      </c>
    </row>
    <row r="88" spans="1:9" x14ac:dyDescent="0.15">
      <c r="A88" s="90">
        <v>256</v>
      </c>
      <c r="B88" s="76" t="s">
        <v>228</v>
      </c>
      <c r="C88" s="126">
        <v>45108</v>
      </c>
      <c r="D88" s="126">
        <v>45473</v>
      </c>
      <c r="E88" s="145">
        <v>116279</v>
      </c>
      <c r="F88" s="160">
        <v>1</v>
      </c>
      <c r="G88" s="145">
        <f t="shared" si="1"/>
        <v>116279</v>
      </c>
      <c r="H88" s="145">
        <v>48705</v>
      </c>
      <c r="I88" s="145">
        <v>51240</v>
      </c>
    </row>
    <row r="89" spans="1:9" x14ac:dyDescent="0.15">
      <c r="A89" s="90">
        <v>258</v>
      </c>
      <c r="B89" s="76" t="s">
        <v>204</v>
      </c>
      <c r="C89" s="126">
        <v>45108</v>
      </c>
      <c r="D89" s="126">
        <v>45473</v>
      </c>
      <c r="E89" s="145">
        <v>0</v>
      </c>
      <c r="F89" s="160">
        <v>0.97019999999999995</v>
      </c>
      <c r="G89" s="145">
        <f t="shared" si="1"/>
        <v>0</v>
      </c>
      <c r="H89" s="145">
        <v>58890</v>
      </c>
      <c r="I89" s="145">
        <v>70968</v>
      </c>
    </row>
    <row r="90" spans="1:9" x14ac:dyDescent="0.15">
      <c r="A90" s="90">
        <v>260</v>
      </c>
      <c r="B90" s="76" t="s">
        <v>562</v>
      </c>
      <c r="C90" s="126">
        <v>45292</v>
      </c>
      <c r="D90" s="126">
        <v>45657</v>
      </c>
      <c r="E90" s="145">
        <v>207160</v>
      </c>
      <c r="F90" s="160">
        <v>1</v>
      </c>
      <c r="G90" s="145">
        <f t="shared" si="1"/>
        <v>207160</v>
      </c>
      <c r="H90" s="145">
        <v>37092</v>
      </c>
      <c r="I90" s="145">
        <v>40260</v>
      </c>
    </row>
    <row r="91" spans="1:9" x14ac:dyDescent="0.15">
      <c r="A91" s="90">
        <v>262</v>
      </c>
      <c r="B91" s="76" t="s">
        <v>601</v>
      </c>
      <c r="C91" s="126">
        <v>45292</v>
      </c>
      <c r="D91" s="126">
        <v>45657</v>
      </c>
      <c r="E91" s="145">
        <v>152491</v>
      </c>
      <c r="F91" s="160">
        <v>1</v>
      </c>
      <c r="G91" s="145">
        <f t="shared" si="1"/>
        <v>152491</v>
      </c>
      <c r="H91" s="145">
        <v>48555</v>
      </c>
      <c r="I91" s="145">
        <v>51972</v>
      </c>
    </row>
    <row r="92" spans="1:9" x14ac:dyDescent="0.15">
      <c r="A92" s="130">
        <v>264</v>
      </c>
      <c r="B92" s="37" t="s">
        <v>400</v>
      </c>
      <c r="C92" s="126">
        <v>45292</v>
      </c>
      <c r="D92" s="126">
        <v>45657</v>
      </c>
      <c r="E92" s="145">
        <v>12421</v>
      </c>
      <c r="F92" s="160">
        <v>1</v>
      </c>
      <c r="G92" s="145">
        <f t="shared" si="1"/>
        <v>12421</v>
      </c>
      <c r="H92" s="145">
        <v>24831</v>
      </c>
      <c r="I92" s="145">
        <v>43800</v>
      </c>
    </row>
    <row r="93" spans="1:9" x14ac:dyDescent="0.15">
      <c r="A93" s="90">
        <v>268</v>
      </c>
      <c r="B93" s="76" t="s">
        <v>452</v>
      </c>
      <c r="C93" s="126">
        <v>45292</v>
      </c>
      <c r="D93" s="126">
        <v>45657</v>
      </c>
      <c r="E93" s="145">
        <v>147328</v>
      </c>
      <c r="F93" s="160">
        <v>1</v>
      </c>
      <c r="G93" s="145">
        <f t="shared" si="1"/>
        <v>147328</v>
      </c>
      <c r="H93" s="145">
        <v>47658</v>
      </c>
      <c r="I93" s="145">
        <v>50508</v>
      </c>
    </row>
    <row r="94" spans="1:9" x14ac:dyDescent="0.15">
      <c r="A94" s="90">
        <v>270</v>
      </c>
      <c r="B94" s="76" t="s">
        <v>38</v>
      </c>
      <c r="C94" s="126">
        <v>45108</v>
      </c>
      <c r="D94" s="126">
        <v>45473</v>
      </c>
      <c r="E94" s="145">
        <v>0</v>
      </c>
      <c r="F94" s="160">
        <v>0.7137</v>
      </c>
      <c r="G94" s="145">
        <f t="shared" si="1"/>
        <v>0</v>
      </c>
      <c r="H94" s="145">
        <v>66850</v>
      </c>
      <c r="I94" s="145">
        <v>76860</v>
      </c>
    </row>
    <row r="95" spans="1:9" x14ac:dyDescent="0.15">
      <c r="A95" s="90">
        <v>274</v>
      </c>
      <c r="B95" s="76" t="s">
        <v>818</v>
      </c>
      <c r="C95" s="126">
        <v>45566</v>
      </c>
      <c r="D95" s="126">
        <v>45657</v>
      </c>
      <c r="E95" s="145">
        <v>23280</v>
      </c>
      <c r="F95" s="160">
        <v>1</v>
      </c>
      <c r="G95" s="145">
        <f t="shared" si="1"/>
        <v>23280</v>
      </c>
      <c r="H95" s="145">
        <v>6995</v>
      </c>
      <c r="I95" s="145">
        <v>9292</v>
      </c>
    </row>
    <row r="96" spans="1:9" x14ac:dyDescent="0.15">
      <c r="A96" s="90">
        <v>276</v>
      </c>
      <c r="B96" s="76" t="s">
        <v>180</v>
      </c>
      <c r="C96" s="126">
        <v>45292</v>
      </c>
      <c r="D96" s="126">
        <v>45657</v>
      </c>
      <c r="E96" s="145">
        <v>0</v>
      </c>
      <c r="F96" s="160">
        <v>0.59430000000000005</v>
      </c>
      <c r="G96" s="145">
        <f t="shared" si="1"/>
        <v>0</v>
      </c>
      <c r="H96" s="145">
        <v>6499</v>
      </c>
      <c r="I96" s="145">
        <v>7320</v>
      </c>
    </row>
    <row r="97" spans="1:9" x14ac:dyDescent="0.15">
      <c r="A97" s="90">
        <v>278</v>
      </c>
      <c r="B97" s="76" t="s">
        <v>583</v>
      </c>
      <c r="C97" s="126">
        <v>45292</v>
      </c>
      <c r="D97" s="126">
        <v>45657</v>
      </c>
      <c r="E97" s="145">
        <v>49523</v>
      </c>
      <c r="F97" s="160">
        <v>1</v>
      </c>
      <c r="G97" s="145">
        <f t="shared" si="1"/>
        <v>49523</v>
      </c>
      <c r="H97" s="145">
        <v>38361</v>
      </c>
      <c r="I97" s="145">
        <v>41358</v>
      </c>
    </row>
    <row r="98" spans="1:9" x14ac:dyDescent="0.15">
      <c r="A98" s="90">
        <v>282</v>
      </c>
      <c r="B98" s="76" t="s">
        <v>555</v>
      </c>
      <c r="C98" s="126">
        <v>45292</v>
      </c>
      <c r="D98" s="126">
        <v>45657</v>
      </c>
      <c r="E98" s="145">
        <v>301052</v>
      </c>
      <c r="F98" s="160">
        <v>1</v>
      </c>
      <c r="G98" s="145">
        <f t="shared" si="1"/>
        <v>301052</v>
      </c>
      <c r="H98" s="145">
        <v>40760</v>
      </c>
      <c r="I98" s="145">
        <v>49410</v>
      </c>
    </row>
    <row r="99" spans="1:9" x14ac:dyDescent="0.15">
      <c r="A99" s="90">
        <v>284</v>
      </c>
      <c r="B99" s="76" t="s">
        <v>639</v>
      </c>
      <c r="C99" s="126">
        <v>45292</v>
      </c>
      <c r="D99" s="126">
        <v>45657</v>
      </c>
      <c r="E99" s="145">
        <v>77427</v>
      </c>
      <c r="F99" s="160">
        <v>1</v>
      </c>
      <c r="G99" s="145">
        <f t="shared" si="1"/>
        <v>77427</v>
      </c>
      <c r="H99" s="145">
        <v>35822</v>
      </c>
      <c r="I99" s="145">
        <v>39528</v>
      </c>
    </row>
    <row r="100" spans="1:9" x14ac:dyDescent="0.15">
      <c r="A100" s="90">
        <v>286</v>
      </c>
      <c r="B100" s="76" t="s">
        <v>37</v>
      </c>
      <c r="C100" s="126">
        <v>45108</v>
      </c>
      <c r="D100" s="126">
        <v>45473</v>
      </c>
      <c r="E100" s="145">
        <v>95217</v>
      </c>
      <c r="F100" s="160">
        <v>1</v>
      </c>
      <c r="G100" s="145">
        <f t="shared" si="1"/>
        <v>95217</v>
      </c>
      <c r="H100" s="145">
        <v>68008</v>
      </c>
      <c r="I100" s="145">
        <v>76050</v>
      </c>
    </row>
    <row r="101" spans="1:9" x14ac:dyDescent="0.15">
      <c r="A101" s="90">
        <v>288</v>
      </c>
      <c r="B101" s="76" t="s">
        <v>479</v>
      </c>
      <c r="C101" s="126">
        <v>45292</v>
      </c>
      <c r="D101" s="126">
        <v>45657</v>
      </c>
      <c r="E101" s="145">
        <v>126627</v>
      </c>
      <c r="F101" s="160">
        <v>1</v>
      </c>
      <c r="G101" s="145">
        <f t="shared" si="1"/>
        <v>126627</v>
      </c>
      <c r="H101" s="145">
        <v>39815</v>
      </c>
      <c r="I101" s="145">
        <v>46482</v>
      </c>
    </row>
    <row r="102" spans="1:9" x14ac:dyDescent="0.15">
      <c r="A102" s="90">
        <v>290</v>
      </c>
      <c r="B102" s="76" t="s">
        <v>40</v>
      </c>
      <c r="C102" s="126">
        <v>45292</v>
      </c>
      <c r="D102" s="126">
        <v>45657</v>
      </c>
      <c r="E102" s="145">
        <v>124159</v>
      </c>
      <c r="F102" s="160">
        <v>0.31359999999999999</v>
      </c>
      <c r="G102" s="145">
        <f t="shared" si="1"/>
        <v>38936</v>
      </c>
      <c r="H102" s="145">
        <v>21143</v>
      </c>
      <c r="I102" s="145">
        <v>22692</v>
      </c>
    </row>
    <row r="103" spans="1:9" x14ac:dyDescent="0.15">
      <c r="A103" s="90">
        <v>292</v>
      </c>
      <c r="B103" s="76" t="s">
        <v>191</v>
      </c>
      <c r="C103" s="126">
        <v>45292</v>
      </c>
      <c r="D103" s="126">
        <v>45657</v>
      </c>
      <c r="E103" s="145">
        <v>173609</v>
      </c>
      <c r="F103" s="160">
        <v>0.42970000000000003</v>
      </c>
      <c r="G103" s="145">
        <f t="shared" si="1"/>
        <v>74600</v>
      </c>
      <c r="H103" s="145">
        <v>41447</v>
      </c>
      <c r="I103" s="145">
        <v>43920</v>
      </c>
    </row>
    <row r="104" spans="1:9" x14ac:dyDescent="0.15">
      <c r="A104" s="90">
        <v>294</v>
      </c>
      <c r="B104" s="76" t="s">
        <v>468</v>
      </c>
      <c r="C104" s="126">
        <v>45292</v>
      </c>
      <c r="D104" s="126">
        <v>45657</v>
      </c>
      <c r="E104" s="145">
        <v>464203</v>
      </c>
      <c r="F104" s="160">
        <v>1</v>
      </c>
      <c r="G104" s="145">
        <f t="shared" si="1"/>
        <v>464203</v>
      </c>
      <c r="H104" s="145">
        <v>74714</v>
      </c>
      <c r="I104" s="145">
        <v>82350</v>
      </c>
    </row>
    <row r="105" spans="1:9" x14ac:dyDescent="0.15">
      <c r="A105" s="90">
        <v>296</v>
      </c>
      <c r="B105" s="76" t="s">
        <v>189</v>
      </c>
      <c r="C105" s="126">
        <v>45292</v>
      </c>
      <c r="D105" s="126">
        <v>45657</v>
      </c>
      <c r="E105" s="145">
        <v>124292.61</v>
      </c>
      <c r="F105" s="160">
        <v>0.47049999999999997</v>
      </c>
      <c r="G105" s="145">
        <f t="shared" si="1"/>
        <v>58480</v>
      </c>
      <c r="H105" s="145">
        <v>19929</v>
      </c>
      <c r="I105" s="145">
        <v>23058</v>
      </c>
    </row>
    <row r="106" spans="1:9" x14ac:dyDescent="0.15">
      <c r="A106" s="90">
        <v>298</v>
      </c>
      <c r="B106" s="76" t="s">
        <v>345</v>
      </c>
      <c r="C106" s="126">
        <v>45200</v>
      </c>
      <c r="D106" s="126">
        <v>45565</v>
      </c>
      <c r="E106" s="145">
        <v>301161</v>
      </c>
      <c r="F106" s="160">
        <v>1</v>
      </c>
      <c r="G106" s="145">
        <f t="shared" si="1"/>
        <v>301161</v>
      </c>
      <c r="H106" s="145">
        <v>46519</v>
      </c>
      <c r="I106" s="145">
        <v>47580</v>
      </c>
    </row>
    <row r="107" spans="1:9" x14ac:dyDescent="0.15">
      <c r="A107" s="90">
        <v>302</v>
      </c>
      <c r="B107" s="76" t="s">
        <v>662</v>
      </c>
      <c r="C107" s="126">
        <v>45292</v>
      </c>
      <c r="D107" s="126">
        <v>45657</v>
      </c>
      <c r="E107" s="145">
        <v>91776</v>
      </c>
      <c r="F107" s="160">
        <v>1</v>
      </c>
      <c r="G107" s="145">
        <f t="shared" si="1"/>
        <v>91776</v>
      </c>
      <c r="H107" s="145">
        <v>41632</v>
      </c>
      <c r="I107" s="145">
        <v>49410</v>
      </c>
    </row>
    <row r="108" spans="1:9" x14ac:dyDescent="0.15">
      <c r="A108" s="90">
        <v>304</v>
      </c>
      <c r="B108" s="76" t="s">
        <v>699</v>
      </c>
      <c r="C108" s="126">
        <v>45292</v>
      </c>
      <c r="D108" s="126">
        <v>45657</v>
      </c>
      <c r="E108" s="145">
        <v>108363</v>
      </c>
      <c r="F108" s="160">
        <v>1</v>
      </c>
      <c r="G108" s="145">
        <f t="shared" si="1"/>
        <v>108363</v>
      </c>
      <c r="H108" s="145">
        <v>37044</v>
      </c>
      <c r="I108" s="145">
        <v>40260</v>
      </c>
    </row>
    <row r="109" spans="1:9" x14ac:dyDescent="0.15">
      <c r="A109" s="90">
        <v>306</v>
      </c>
      <c r="B109" s="76" t="s">
        <v>701</v>
      </c>
      <c r="C109" s="126">
        <v>45292</v>
      </c>
      <c r="D109" s="126">
        <v>45657</v>
      </c>
      <c r="E109" s="145">
        <v>276737</v>
      </c>
      <c r="F109" s="160">
        <v>1</v>
      </c>
      <c r="G109" s="145">
        <f t="shared" si="1"/>
        <v>276737</v>
      </c>
      <c r="H109" s="145">
        <v>54595</v>
      </c>
      <c r="I109" s="145">
        <v>57828</v>
      </c>
    </row>
    <row r="110" spans="1:9" x14ac:dyDescent="0.15">
      <c r="A110" s="90">
        <v>308</v>
      </c>
      <c r="B110" s="76" t="s">
        <v>703</v>
      </c>
      <c r="C110" s="126">
        <v>45292</v>
      </c>
      <c r="D110" s="126">
        <v>45657</v>
      </c>
      <c r="E110" s="145">
        <v>86083</v>
      </c>
      <c r="F110" s="160">
        <v>1</v>
      </c>
      <c r="G110" s="145">
        <f t="shared" si="1"/>
        <v>86083</v>
      </c>
      <c r="H110" s="145">
        <v>32613</v>
      </c>
      <c r="I110" s="145">
        <v>34404</v>
      </c>
    </row>
    <row r="111" spans="1:9" x14ac:dyDescent="0.15">
      <c r="A111" s="90">
        <v>310</v>
      </c>
      <c r="B111" s="76" t="s">
        <v>693</v>
      </c>
      <c r="C111" s="126">
        <v>45292</v>
      </c>
      <c r="D111" s="126">
        <v>45657</v>
      </c>
      <c r="E111" s="145">
        <v>182549</v>
      </c>
      <c r="F111" s="160">
        <v>1</v>
      </c>
      <c r="G111" s="145">
        <f t="shared" si="1"/>
        <v>182549</v>
      </c>
      <c r="H111" s="145">
        <v>53214</v>
      </c>
      <c r="I111" s="145">
        <v>62952</v>
      </c>
    </row>
    <row r="112" spans="1:9" x14ac:dyDescent="0.15">
      <c r="A112" s="90">
        <v>312</v>
      </c>
      <c r="B112" s="76" t="s">
        <v>497</v>
      </c>
      <c r="C112" s="126">
        <v>45292</v>
      </c>
      <c r="D112" s="126">
        <v>45657</v>
      </c>
      <c r="E112" s="145">
        <v>150499</v>
      </c>
      <c r="F112" s="160">
        <v>1</v>
      </c>
      <c r="G112" s="145">
        <f t="shared" si="1"/>
        <v>150499</v>
      </c>
      <c r="H112" s="145">
        <v>45675</v>
      </c>
      <c r="I112" s="145">
        <v>47580</v>
      </c>
    </row>
    <row r="113" spans="1:9" x14ac:dyDescent="0.15">
      <c r="A113" s="90">
        <v>314</v>
      </c>
      <c r="B113" s="76" t="s">
        <v>691</v>
      </c>
      <c r="C113" s="126">
        <v>45292</v>
      </c>
      <c r="D113" s="126">
        <v>45657</v>
      </c>
      <c r="E113" s="145">
        <v>85630</v>
      </c>
      <c r="F113" s="160">
        <v>1</v>
      </c>
      <c r="G113" s="145">
        <f t="shared" si="1"/>
        <v>85630</v>
      </c>
      <c r="H113" s="145">
        <v>57474</v>
      </c>
      <c r="I113" s="145">
        <v>65514</v>
      </c>
    </row>
    <row r="114" spans="1:9" x14ac:dyDescent="0.15">
      <c r="A114" s="90">
        <v>316</v>
      </c>
      <c r="B114" s="76" t="s">
        <v>740</v>
      </c>
      <c r="C114" s="126">
        <v>45261</v>
      </c>
      <c r="D114" s="126">
        <v>45657</v>
      </c>
      <c r="E114" s="145">
        <v>78081</v>
      </c>
      <c r="F114" s="160">
        <v>1</v>
      </c>
      <c r="G114" s="145">
        <f t="shared" si="1"/>
        <v>78081</v>
      </c>
      <c r="H114" s="145">
        <v>43725</v>
      </c>
      <c r="I114" s="145">
        <v>49625</v>
      </c>
    </row>
    <row r="115" spans="1:9" x14ac:dyDescent="0.15">
      <c r="A115" s="90">
        <v>318</v>
      </c>
      <c r="B115" s="76" t="s">
        <v>454</v>
      </c>
      <c r="C115" s="126">
        <v>45292</v>
      </c>
      <c r="D115" s="126">
        <v>45657</v>
      </c>
      <c r="E115" s="145">
        <v>92993</v>
      </c>
      <c r="F115" s="160">
        <v>1</v>
      </c>
      <c r="G115" s="145">
        <f t="shared" si="1"/>
        <v>92993</v>
      </c>
      <c r="H115" s="145">
        <v>43826</v>
      </c>
      <c r="I115" s="145">
        <v>50874</v>
      </c>
    </row>
    <row r="116" spans="1:9" x14ac:dyDescent="0.15">
      <c r="A116" s="90">
        <v>320</v>
      </c>
      <c r="B116" s="76" t="s">
        <v>751</v>
      </c>
      <c r="C116" s="126">
        <v>45261</v>
      </c>
      <c r="D116" s="126">
        <v>45657</v>
      </c>
      <c r="E116" s="145">
        <v>184301</v>
      </c>
      <c r="F116" s="160">
        <v>1</v>
      </c>
      <c r="G116" s="145">
        <f t="shared" si="1"/>
        <v>184301</v>
      </c>
      <c r="H116" s="145">
        <v>41206</v>
      </c>
      <c r="I116" s="145">
        <v>47640</v>
      </c>
    </row>
    <row r="117" spans="1:9" x14ac:dyDescent="0.15">
      <c r="A117" s="90">
        <v>322</v>
      </c>
      <c r="B117" s="76" t="s">
        <v>741</v>
      </c>
      <c r="C117" s="126">
        <v>45261</v>
      </c>
      <c r="D117" s="126">
        <v>45657</v>
      </c>
      <c r="E117" s="145">
        <v>63801</v>
      </c>
      <c r="F117" s="160">
        <v>1</v>
      </c>
      <c r="G117" s="145">
        <f t="shared" si="1"/>
        <v>63801</v>
      </c>
      <c r="H117" s="145">
        <v>55500</v>
      </c>
      <c r="I117" s="145">
        <v>68284</v>
      </c>
    </row>
    <row r="118" spans="1:9" x14ac:dyDescent="0.15">
      <c r="A118" s="90">
        <v>324</v>
      </c>
      <c r="B118" s="76" t="s">
        <v>695</v>
      </c>
      <c r="C118" s="126">
        <v>45292</v>
      </c>
      <c r="D118" s="126">
        <v>45657</v>
      </c>
      <c r="E118" s="145">
        <v>187961</v>
      </c>
      <c r="F118" s="160">
        <v>1</v>
      </c>
      <c r="G118" s="145">
        <f t="shared" si="1"/>
        <v>187961</v>
      </c>
      <c r="H118" s="145">
        <v>49611</v>
      </c>
      <c r="I118" s="145">
        <v>54168</v>
      </c>
    </row>
    <row r="119" spans="1:9" x14ac:dyDescent="0.15">
      <c r="A119" s="90">
        <v>326</v>
      </c>
      <c r="B119" s="76" t="s">
        <v>456</v>
      </c>
      <c r="C119" s="126">
        <v>45292</v>
      </c>
      <c r="D119" s="126">
        <v>45657</v>
      </c>
      <c r="E119" s="145">
        <v>115133</v>
      </c>
      <c r="F119" s="160">
        <v>1</v>
      </c>
      <c r="G119" s="145">
        <f t="shared" si="1"/>
        <v>115133</v>
      </c>
      <c r="H119" s="145">
        <v>42339</v>
      </c>
      <c r="I119" s="145">
        <v>43920</v>
      </c>
    </row>
    <row r="120" spans="1:9" x14ac:dyDescent="0.15">
      <c r="A120" s="90">
        <v>332</v>
      </c>
      <c r="B120" s="76" t="s">
        <v>172</v>
      </c>
      <c r="C120" s="126">
        <v>44986</v>
      </c>
      <c r="D120" s="126">
        <v>45351</v>
      </c>
      <c r="E120" s="145">
        <v>0</v>
      </c>
      <c r="F120" s="160">
        <v>1</v>
      </c>
      <c r="G120" s="145">
        <f t="shared" si="1"/>
        <v>0</v>
      </c>
      <c r="H120" s="145">
        <v>9317</v>
      </c>
      <c r="I120" s="145">
        <v>10614</v>
      </c>
    </row>
    <row r="121" spans="1:9" x14ac:dyDescent="0.15">
      <c r="A121" s="90">
        <v>336</v>
      </c>
      <c r="B121" s="76" t="s">
        <v>385</v>
      </c>
      <c r="C121" s="126">
        <v>45292</v>
      </c>
      <c r="D121" s="126">
        <v>45657</v>
      </c>
      <c r="E121" s="145">
        <v>91109</v>
      </c>
      <c r="F121" s="160">
        <v>1</v>
      </c>
      <c r="G121" s="145">
        <f t="shared" si="1"/>
        <v>91109</v>
      </c>
      <c r="H121" s="145">
        <v>36673</v>
      </c>
      <c r="I121" s="145">
        <v>40260</v>
      </c>
    </row>
    <row r="122" spans="1:9" x14ac:dyDescent="0.15">
      <c r="A122" s="90">
        <v>340</v>
      </c>
      <c r="B122" s="76" t="s">
        <v>387</v>
      </c>
      <c r="C122" s="126">
        <v>45292</v>
      </c>
      <c r="D122" s="126">
        <v>45657</v>
      </c>
      <c r="E122" s="145">
        <v>72290</v>
      </c>
      <c r="F122" s="160">
        <v>1</v>
      </c>
      <c r="G122" s="145">
        <f t="shared" si="1"/>
        <v>72290</v>
      </c>
      <c r="H122" s="145">
        <v>25586</v>
      </c>
      <c r="I122" s="145">
        <v>43920</v>
      </c>
    </row>
    <row r="123" spans="1:9" x14ac:dyDescent="0.15">
      <c r="A123" s="90">
        <v>342</v>
      </c>
      <c r="B123" s="76" t="s">
        <v>602</v>
      </c>
      <c r="C123" s="126">
        <v>45292</v>
      </c>
      <c r="D123" s="126">
        <v>45657</v>
      </c>
      <c r="E123" s="145">
        <v>69654</v>
      </c>
      <c r="F123" s="160">
        <v>1</v>
      </c>
      <c r="G123" s="145">
        <f t="shared" si="1"/>
        <v>69654</v>
      </c>
      <c r="H123" s="145">
        <v>40104</v>
      </c>
      <c r="I123" s="145">
        <v>43188</v>
      </c>
    </row>
    <row r="124" spans="1:9" x14ac:dyDescent="0.15">
      <c r="A124" s="90">
        <v>344</v>
      </c>
      <c r="B124" s="76" t="s">
        <v>348</v>
      </c>
      <c r="C124" s="126">
        <v>45292</v>
      </c>
      <c r="D124" s="126">
        <v>45657</v>
      </c>
      <c r="E124" s="145">
        <v>0</v>
      </c>
      <c r="F124" s="160">
        <v>1</v>
      </c>
      <c r="G124" s="145">
        <f t="shared" si="1"/>
        <v>0</v>
      </c>
      <c r="H124" s="145">
        <v>50988</v>
      </c>
      <c r="I124" s="145">
        <v>58560</v>
      </c>
    </row>
    <row r="125" spans="1:9" x14ac:dyDescent="0.15">
      <c r="A125" s="90">
        <v>348</v>
      </c>
      <c r="B125" s="176" t="s">
        <v>436</v>
      </c>
      <c r="C125" s="126">
        <v>45292</v>
      </c>
      <c r="D125" s="126">
        <v>45657</v>
      </c>
      <c r="E125" s="145">
        <v>215173</v>
      </c>
      <c r="F125" s="160">
        <v>1</v>
      </c>
      <c r="G125" s="145">
        <f t="shared" si="1"/>
        <v>215173</v>
      </c>
      <c r="H125" s="145">
        <v>43031</v>
      </c>
      <c r="I125" s="145">
        <v>71736</v>
      </c>
    </row>
    <row r="126" spans="1:9" x14ac:dyDescent="0.15">
      <c r="A126" s="90">
        <v>354</v>
      </c>
      <c r="B126" s="76" t="s">
        <v>222</v>
      </c>
      <c r="C126" s="126">
        <v>45292</v>
      </c>
      <c r="D126" s="126">
        <v>45657</v>
      </c>
      <c r="E126" s="145">
        <v>13559</v>
      </c>
      <c r="F126" s="160">
        <v>1</v>
      </c>
      <c r="G126" s="145">
        <f t="shared" si="1"/>
        <v>13559</v>
      </c>
      <c r="H126" s="145">
        <v>39703</v>
      </c>
      <c r="I126" s="145">
        <v>58560</v>
      </c>
    </row>
    <row r="127" spans="1:9" x14ac:dyDescent="0.15">
      <c r="A127" s="90">
        <v>358</v>
      </c>
      <c r="B127" s="76" t="s">
        <v>619</v>
      </c>
      <c r="C127" s="126">
        <v>45292</v>
      </c>
      <c r="D127" s="126">
        <v>45657</v>
      </c>
      <c r="E127" s="145">
        <v>262546</v>
      </c>
      <c r="F127" s="160">
        <v>1</v>
      </c>
      <c r="G127" s="145">
        <f t="shared" si="1"/>
        <v>262546</v>
      </c>
      <c r="H127" s="145">
        <v>49585</v>
      </c>
      <c r="I127" s="145">
        <v>54900</v>
      </c>
    </row>
    <row r="128" spans="1:9" x14ac:dyDescent="0.15">
      <c r="A128" s="90">
        <v>362</v>
      </c>
      <c r="B128" s="76" t="s">
        <v>558</v>
      </c>
      <c r="C128" s="126">
        <v>45292</v>
      </c>
      <c r="D128" s="126">
        <v>45657</v>
      </c>
      <c r="E128" s="145">
        <v>48944</v>
      </c>
      <c r="F128" s="160">
        <v>1</v>
      </c>
      <c r="G128" s="145">
        <f t="shared" si="1"/>
        <v>48944</v>
      </c>
      <c r="H128" s="145">
        <v>33246</v>
      </c>
      <c r="I128" s="145">
        <v>40260</v>
      </c>
    </row>
    <row r="129" spans="1:9" x14ac:dyDescent="0.15">
      <c r="A129" s="90">
        <v>364</v>
      </c>
      <c r="B129" s="76" t="s">
        <v>178</v>
      </c>
      <c r="C129" s="126">
        <v>45292</v>
      </c>
      <c r="D129" s="126">
        <v>45657</v>
      </c>
      <c r="E129" s="145">
        <v>0</v>
      </c>
      <c r="F129" s="160">
        <v>0.1487</v>
      </c>
      <c r="G129" s="145">
        <f t="shared" si="1"/>
        <v>0</v>
      </c>
      <c r="H129" s="145">
        <v>12441</v>
      </c>
      <c r="I129" s="145">
        <v>12810</v>
      </c>
    </row>
    <row r="130" spans="1:9" x14ac:dyDescent="0.15">
      <c r="A130" s="90">
        <v>366</v>
      </c>
      <c r="B130" s="76" t="s">
        <v>598</v>
      </c>
      <c r="C130" s="126">
        <v>45108</v>
      </c>
      <c r="D130" s="126">
        <v>45473</v>
      </c>
      <c r="E130" s="145">
        <v>82359</v>
      </c>
      <c r="F130" s="160">
        <v>1</v>
      </c>
      <c r="G130" s="145">
        <f t="shared" si="1"/>
        <v>82359</v>
      </c>
      <c r="H130" s="145">
        <v>28330</v>
      </c>
      <c r="I130" s="145">
        <v>38064</v>
      </c>
    </row>
    <row r="131" spans="1:9" x14ac:dyDescent="0.15">
      <c r="A131" s="90">
        <v>368</v>
      </c>
      <c r="B131" s="76" t="s">
        <v>507</v>
      </c>
      <c r="C131" s="126">
        <v>45292</v>
      </c>
      <c r="D131" s="126">
        <v>45657</v>
      </c>
      <c r="E131" s="145">
        <v>283629</v>
      </c>
      <c r="F131" s="160">
        <v>1</v>
      </c>
      <c r="G131" s="145">
        <f t="shared" ref="G131:G194" si="2">ROUND(E131*F131,2)</f>
        <v>283629</v>
      </c>
      <c r="H131" s="145">
        <v>62465</v>
      </c>
      <c r="I131" s="145">
        <v>64050</v>
      </c>
    </row>
    <row r="132" spans="1:9" x14ac:dyDescent="0.15">
      <c r="A132" s="90">
        <v>370</v>
      </c>
      <c r="B132" s="76" t="s">
        <v>705</v>
      </c>
      <c r="C132" s="126">
        <v>45292</v>
      </c>
      <c r="D132" s="126">
        <v>45657</v>
      </c>
      <c r="E132" s="145">
        <v>134698</v>
      </c>
      <c r="F132" s="160">
        <v>1</v>
      </c>
      <c r="G132" s="145">
        <f t="shared" si="2"/>
        <v>134698</v>
      </c>
      <c r="H132" s="145">
        <v>47589</v>
      </c>
      <c r="I132" s="145">
        <v>58560</v>
      </c>
    </row>
    <row r="133" spans="1:9" x14ac:dyDescent="0.15">
      <c r="A133" s="90">
        <v>372</v>
      </c>
      <c r="B133" s="76" t="s">
        <v>653</v>
      </c>
      <c r="C133" s="126">
        <v>45292</v>
      </c>
      <c r="D133" s="126">
        <v>45657</v>
      </c>
      <c r="E133" s="145">
        <v>143545</v>
      </c>
      <c r="F133" s="160">
        <v>1</v>
      </c>
      <c r="G133" s="145">
        <f t="shared" si="2"/>
        <v>143545</v>
      </c>
      <c r="H133" s="145">
        <v>39509</v>
      </c>
      <c r="I133" s="145">
        <v>42456</v>
      </c>
    </row>
    <row r="134" spans="1:9" x14ac:dyDescent="0.15">
      <c r="A134" s="90">
        <v>374</v>
      </c>
      <c r="B134" s="76" t="s">
        <v>666</v>
      </c>
      <c r="C134" s="126">
        <v>45292</v>
      </c>
      <c r="D134" s="126">
        <v>45657</v>
      </c>
      <c r="E134" s="145">
        <v>120762</v>
      </c>
      <c r="F134" s="160">
        <v>1</v>
      </c>
      <c r="G134" s="145">
        <f t="shared" si="2"/>
        <v>120762</v>
      </c>
      <c r="H134" s="145">
        <v>25734</v>
      </c>
      <c r="I134" s="145">
        <v>29280</v>
      </c>
    </row>
    <row r="135" spans="1:9" x14ac:dyDescent="0.15">
      <c r="A135" s="90">
        <v>378</v>
      </c>
      <c r="B135" s="76" t="s">
        <v>418</v>
      </c>
      <c r="C135" s="126">
        <v>45292</v>
      </c>
      <c r="D135" s="126">
        <v>45657</v>
      </c>
      <c r="E135" s="145">
        <v>154509</v>
      </c>
      <c r="F135" s="160">
        <v>1</v>
      </c>
      <c r="G135" s="145">
        <f t="shared" si="2"/>
        <v>154509</v>
      </c>
      <c r="H135" s="145">
        <v>43453</v>
      </c>
      <c r="I135" s="145">
        <v>54168</v>
      </c>
    </row>
    <row r="136" spans="1:9" x14ac:dyDescent="0.15">
      <c r="A136" s="90">
        <v>380</v>
      </c>
      <c r="B136" s="76" t="s">
        <v>226</v>
      </c>
      <c r="C136" s="126">
        <v>45292</v>
      </c>
      <c r="D136" s="126">
        <v>45657</v>
      </c>
      <c r="E136" s="145">
        <v>14858</v>
      </c>
      <c r="F136" s="160">
        <v>1</v>
      </c>
      <c r="G136" s="145">
        <f t="shared" si="2"/>
        <v>14858</v>
      </c>
      <c r="H136" s="145">
        <v>27178</v>
      </c>
      <c r="I136" s="145">
        <v>42822</v>
      </c>
    </row>
    <row r="137" spans="1:9" x14ac:dyDescent="0.15">
      <c r="A137" s="90">
        <v>382</v>
      </c>
      <c r="B137" s="76" t="s">
        <v>820</v>
      </c>
      <c r="C137" s="126">
        <v>45566</v>
      </c>
      <c r="D137" s="126">
        <v>45657</v>
      </c>
      <c r="E137" s="145">
        <v>5076</v>
      </c>
      <c r="F137" s="160">
        <v>1</v>
      </c>
      <c r="G137" s="145">
        <f t="shared" si="2"/>
        <v>5076</v>
      </c>
      <c r="H137" s="145">
        <v>4844</v>
      </c>
      <c r="I137" s="145">
        <v>5612</v>
      </c>
    </row>
    <row r="138" spans="1:9" x14ac:dyDescent="0.15">
      <c r="A138" s="90">
        <v>384</v>
      </c>
      <c r="B138" s="76" t="s">
        <v>493</v>
      </c>
      <c r="C138" s="126">
        <v>45292</v>
      </c>
      <c r="D138" s="126">
        <v>45657</v>
      </c>
      <c r="E138" s="145">
        <v>110837</v>
      </c>
      <c r="F138" s="160">
        <v>1</v>
      </c>
      <c r="G138" s="145">
        <f t="shared" si="2"/>
        <v>110837</v>
      </c>
      <c r="H138" s="145">
        <v>78711</v>
      </c>
      <c r="I138" s="145">
        <v>87108</v>
      </c>
    </row>
    <row r="139" spans="1:9" x14ac:dyDescent="0.15">
      <c r="A139" s="90">
        <v>386</v>
      </c>
      <c r="B139" s="76" t="s">
        <v>338</v>
      </c>
      <c r="C139" s="126">
        <v>45292</v>
      </c>
      <c r="D139" s="126">
        <v>45657</v>
      </c>
      <c r="E139" s="145">
        <v>156821</v>
      </c>
      <c r="F139" s="160">
        <v>1</v>
      </c>
      <c r="G139" s="145">
        <f t="shared" si="2"/>
        <v>156821</v>
      </c>
      <c r="H139" s="145">
        <v>41592</v>
      </c>
      <c r="I139" s="145">
        <v>43920</v>
      </c>
    </row>
    <row r="140" spans="1:9" x14ac:dyDescent="0.15">
      <c r="A140" s="90">
        <v>388</v>
      </c>
      <c r="B140" s="76" t="s">
        <v>532</v>
      </c>
      <c r="C140" s="126">
        <v>45292</v>
      </c>
      <c r="D140" s="126">
        <v>45657</v>
      </c>
      <c r="E140" s="145">
        <v>108675</v>
      </c>
      <c r="F140" s="160">
        <v>1</v>
      </c>
      <c r="G140" s="145">
        <f t="shared" si="2"/>
        <v>108675</v>
      </c>
      <c r="H140" s="145">
        <v>31439</v>
      </c>
      <c r="I140" s="145">
        <v>36600</v>
      </c>
    </row>
    <row r="141" spans="1:9" x14ac:dyDescent="0.15">
      <c r="A141" s="90">
        <v>390</v>
      </c>
      <c r="B141" s="76" t="s">
        <v>450</v>
      </c>
      <c r="C141" s="126">
        <v>45292</v>
      </c>
      <c r="D141" s="126">
        <v>45657</v>
      </c>
      <c r="E141" s="145">
        <v>107893.14</v>
      </c>
      <c r="F141" s="160">
        <v>1</v>
      </c>
      <c r="G141" s="145">
        <f t="shared" si="2"/>
        <v>107893</v>
      </c>
      <c r="H141" s="145">
        <v>42051</v>
      </c>
      <c r="I141" s="145">
        <v>51240</v>
      </c>
    </row>
    <row r="142" spans="1:9" x14ac:dyDescent="0.15">
      <c r="A142" s="90">
        <v>394</v>
      </c>
      <c r="B142" s="76" t="s">
        <v>184</v>
      </c>
      <c r="C142" s="126">
        <v>45292</v>
      </c>
      <c r="D142" s="126">
        <v>45657</v>
      </c>
      <c r="E142" s="145">
        <v>0</v>
      </c>
      <c r="F142" s="160">
        <v>1</v>
      </c>
      <c r="G142" s="145">
        <f t="shared" si="2"/>
        <v>0</v>
      </c>
      <c r="H142" s="145">
        <v>16055</v>
      </c>
      <c r="I142" s="145">
        <v>16104</v>
      </c>
    </row>
    <row r="143" spans="1:9" x14ac:dyDescent="0.15">
      <c r="A143" s="90">
        <v>398</v>
      </c>
      <c r="B143" s="76" t="s">
        <v>766</v>
      </c>
      <c r="C143" s="126">
        <v>45474</v>
      </c>
      <c r="D143" s="126">
        <v>45657</v>
      </c>
      <c r="E143" s="145">
        <v>29174</v>
      </c>
      <c r="F143" s="160">
        <v>1</v>
      </c>
      <c r="G143" s="145">
        <f t="shared" si="2"/>
        <v>29174</v>
      </c>
      <c r="H143" s="145">
        <v>34899</v>
      </c>
      <c r="I143" s="145">
        <v>56120</v>
      </c>
    </row>
    <row r="144" spans="1:9" x14ac:dyDescent="0.15">
      <c r="A144" s="90">
        <v>400</v>
      </c>
      <c r="B144" s="76" t="s">
        <v>599</v>
      </c>
      <c r="C144" s="126">
        <v>45292</v>
      </c>
      <c r="D144" s="126">
        <v>45657</v>
      </c>
      <c r="E144" s="145">
        <v>67874</v>
      </c>
      <c r="F144" s="160">
        <v>1</v>
      </c>
      <c r="G144" s="145">
        <f t="shared" si="2"/>
        <v>67874</v>
      </c>
      <c r="H144" s="145">
        <v>46606</v>
      </c>
      <c r="I144" s="145">
        <v>50508</v>
      </c>
    </row>
    <row r="145" spans="1:9" x14ac:dyDescent="0.15">
      <c r="A145" s="90">
        <v>402</v>
      </c>
      <c r="B145" s="76" t="s">
        <v>458</v>
      </c>
      <c r="C145" s="126">
        <v>45292</v>
      </c>
      <c r="D145" s="126">
        <v>45657</v>
      </c>
      <c r="E145" s="145">
        <v>187883</v>
      </c>
      <c r="F145" s="160">
        <v>1</v>
      </c>
      <c r="G145" s="145">
        <f t="shared" si="2"/>
        <v>187883</v>
      </c>
      <c r="H145" s="145">
        <v>49520</v>
      </c>
      <c r="I145" s="145">
        <v>52704</v>
      </c>
    </row>
    <row r="146" spans="1:9" x14ac:dyDescent="0.15">
      <c r="A146" s="90">
        <v>406</v>
      </c>
      <c r="B146" s="76" t="s">
        <v>500</v>
      </c>
      <c r="C146" s="126">
        <v>45292</v>
      </c>
      <c r="D146" s="126">
        <v>45657</v>
      </c>
      <c r="E146" s="145">
        <v>85085</v>
      </c>
      <c r="F146" s="160">
        <v>1</v>
      </c>
      <c r="G146" s="145">
        <f t="shared" si="2"/>
        <v>85085</v>
      </c>
      <c r="H146" s="145">
        <v>31790</v>
      </c>
      <c r="I146" s="145">
        <v>34770</v>
      </c>
    </row>
    <row r="147" spans="1:9" x14ac:dyDescent="0.15">
      <c r="A147" s="90">
        <v>410</v>
      </c>
      <c r="B147" s="76" t="s">
        <v>560</v>
      </c>
      <c r="C147" s="126">
        <v>45292</v>
      </c>
      <c r="D147" s="126">
        <v>45657</v>
      </c>
      <c r="E147" s="145">
        <v>172380</v>
      </c>
      <c r="F147" s="160">
        <v>1</v>
      </c>
      <c r="G147" s="145">
        <f t="shared" si="2"/>
        <v>172380</v>
      </c>
      <c r="H147" s="145">
        <v>43888</v>
      </c>
      <c r="I147" s="145">
        <v>47580</v>
      </c>
    </row>
    <row r="148" spans="1:9" x14ac:dyDescent="0.15">
      <c r="A148" s="90">
        <v>412</v>
      </c>
      <c r="B148" s="76" t="s">
        <v>651</v>
      </c>
      <c r="C148" s="126">
        <v>45292</v>
      </c>
      <c r="D148" s="126">
        <v>45657</v>
      </c>
      <c r="E148" s="145">
        <v>177881</v>
      </c>
      <c r="F148" s="160">
        <v>1</v>
      </c>
      <c r="G148" s="145">
        <f t="shared" si="2"/>
        <v>177881</v>
      </c>
      <c r="H148" s="145">
        <v>31552</v>
      </c>
      <c r="I148" s="145">
        <v>34038</v>
      </c>
    </row>
    <row r="149" spans="1:9" x14ac:dyDescent="0.15">
      <c r="A149" s="90">
        <v>416</v>
      </c>
      <c r="B149" s="76" t="s">
        <v>208</v>
      </c>
      <c r="C149" s="126">
        <v>45474</v>
      </c>
      <c r="D149" s="126">
        <v>45626</v>
      </c>
      <c r="E149" s="145">
        <v>0</v>
      </c>
      <c r="F149" s="160">
        <v>0.99839999999999995</v>
      </c>
      <c r="G149" s="145">
        <f t="shared" si="2"/>
        <v>0</v>
      </c>
      <c r="H149" s="145">
        <v>19353</v>
      </c>
      <c r="I149" s="145">
        <v>24786</v>
      </c>
    </row>
    <row r="150" spans="1:9" x14ac:dyDescent="0.15">
      <c r="A150" s="90">
        <v>418</v>
      </c>
      <c r="B150" s="76" t="s">
        <v>672</v>
      </c>
      <c r="C150" s="126">
        <v>45292</v>
      </c>
      <c r="D150" s="126">
        <v>45657</v>
      </c>
      <c r="E150" s="145">
        <v>0</v>
      </c>
      <c r="F150" s="160">
        <v>1</v>
      </c>
      <c r="G150" s="145">
        <f t="shared" si="2"/>
        <v>0</v>
      </c>
      <c r="H150" s="145">
        <v>15297</v>
      </c>
      <c r="I150" s="145">
        <v>16104</v>
      </c>
    </row>
    <row r="151" spans="1:9" x14ac:dyDescent="0.15">
      <c r="A151" s="90">
        <v>426</v>
      </c>
      <c r="B151" s="76" t="s">
        <v>819</v>
      </c>
      <c r="C151" s="126">
        <v>45566</v>
      </c>
      <c r="D151" s="126">
        <v>45657</v>
      </c>
      <c r="E151" s="145">
        <v>34829</v>
      </c>
      <c r="F151" s="160">
        <v>1</v>
      </c>
      <c r="G151" s="145">
        <f t="shared" si="2"/>
        <v>34829</v>
      </c>
      <c r="H151" s="145">
        <v>7683</v>
      </c>
      <c r="I151" s="145">
        <v>8096</v>
      </c>
    </row>
    <row r="152" spans="1:9" x14ac:dyDescent="0.15">
      <c r="A152" s="90">
        <v>428</v>
      </c>
      <c r="B152" s="76" t="s">
        <v>241</v>
      </c>
      <c r="C152" s="126">
        <v>45108</v>
      </c>
      <c r="D152" s="126">
        <v>45473</v>
      </c>
      <c r="E152" s="145">
        <v>44448</v>
      </c>
      <c r="F152" s="160">
        <v>0.82789999999999997</v>
      </c>
      <c r="G152" s="145">
        <f t="shared" si="2"/>
        <v>36799</v>
      </c>
      <c r="H152" s="145">
        <v>126628</v>
      </c>
      <c r="I152" s="145">
        <v>142740</v>
      </c>
    </row>
    <row r="153" spans="1:9" x14ac:dyDescent="0.15">
      <c r="A153" s="90">
        <v>434</v>
      </c>
      <c r="B153" s="76" t="s">
        <v>464</v>
      </c>
      <c r="C153" s="126">
        <v>45292</v>
      </c>
      <c r="D153" s="126">
        <v>45657</v>
      </c>
      <c r="E153" s="145">
        <v>226970</v>
      </c>
      <c r="F153" s="160">
        <v>1</v>
      </c>
      <c r="G153" s="145">
        <f t="shared" si="2"/>
        <v>226970</v>
      </c>
      <c r="H153" s="145">
        <v>62465</v>
      </c>
      <c r="I153" s="145">
        <v>64782</v>
      </c>
    </row>
    <row r="154" spans="1:9" x14ac:dyDescent="0.15">
      <c r="A154" s="90">
        <v>436</v>
      </c>
      <c r="B154" s="76" t="s">
        <v>681</v>
      </c>
      <c r="C154" s="126">
        <v>45292</v>
      </c>
      <c r="D154" s="126">
        <v>45657</v>
      </c>
      <c r="E154" s="145">
        <v>65104</v>
      </c>
      <c r="F154" s="160">
        <v>1</v>
      </c>
      <c r="G154" s="145">
        <f t="shared" si="2"/>
        <v>65104</v>
      </c>
      <c r="H154" s="145">
        <v>37335</v>
      </c>
      <c r="I154" s="145">
        <v>62220</v>
      </c>
    </row>
    <row r="155" spans="1:9" x14ac:dyDescent="0.15">
      <c r="A155" s="90">
        <v>444</v>
      </c>
      <c r="B155" s="176" t="s">
        <v>391</v>
      </c>
      <c r="C155" s="126">
        <v>45292</v>
      </c>
      <c r="D155" s="126">
        <v>45657</v>
      </c>
      <c r="E155" s="145">
        <v>654</v>
      </c>
      <c r="F155" s="160">
        <v>1</v>
      </c>
      <c r="G155" s="145">
        <f t="shared" si="2"/>
        <v>654</v>
      </c>
      <c r="H155" s="145">
        <v>31670</v>
      </c>
      <c r="I155" s="145">
        <v>39162</v>
      </c>
    </row>
    <row r="156" spans="1:9" x14ac:dyDescent="0.15">
      <c r="A156" s="90">
        <v>446</v>
      </c>
      <c r="B156" s="76" t="s">
        <v>674</v>
      </c>
      <c r="C156" s="126">
        <v>45292</v>
      </c>
      <c r="D156" s="126">
        <v>45657</v>
      </c>
      <c r="E156" s="145">
        <v>24987</v>
      </c>
      <c r="F156" s="160">
        <v>1</v>
      </c>
      <c r="G156" s="145">
        <f t="shared" si="2"/>
        <v>24987</v>
      </c>
      <c r="H156" s="145">
        <v>19718</v>
      </c>
      <c r="I156" s="145">
        <v>23790</v>
      </c>
    </row>
    <row r="157" spans="1:9" x14ac:dyDescent="0.15">
      <c r="A157" s="90">
        <v>448</v>
      </c>
      <c r="B157" s="76" t="s">
        <v>194</v>
      </c>
      <c r="C157" s="126">
        <v>45292</v>
      </c>
      <c r="D157" s="126">
        <v>45657</v>
      </c>
      <c r="E157" s="145">
        <v>169340</v>
      </c>
      <c r="F157" s="160">
        <v>1</v>
      </c>
      <c r="G157" s="145">
        <f t="shared" si="2"/>
        <v>169340</v>
      </c>
      <c r="H157" s="145">
        <v>40163</v>
      </c>
      <c r="I157" s="145">
        <v>42090</v>
      </c>
    </row>
    <row r="158" spans="1:9" x14ac:dyDescent="0.15">
      <c r="A158" s="90">
        <v>452</v>
      </c>
      <c r="B158" s="76" t="s">
        <v>399</v>
      </c>
      <c r="C158" s="126">
        <v>45108</v>
      </c>
      <c r="D158" s="126">
        <v>45473</v>
      </c>
      <c r="E158" s="145">
        <v>104780</v>
      </c>
      <c r="F158" s="160">
        <v>1</v>
      </c>
      <c r="G158" s="145">
        <f t="shared" si="2"/>
        <v>104780</v>
      </c>
      <c r="H158" s="145">
        <v>40785</v>
      </c>
      <c r="I158" s="145">
        <v>57828</v>
      </c>
    </row>
    <row r="159" spans="1:9" x14ac:dyDescent="0.15">
      <c r="A159" s="90">
        <v>454</v>
      </c>
      <c r="B159" s="76" t="s">
        <v>207</v>
      </c>
      <c r="C159" s="126">
        <v>45108</v>
      </c>
      <c r="D159" s="126">
        <v>45473</v>
      </c>
      <c r="E159" s="145">
        <v>0</v>
      </c>
      <c r="F159" s="160">
        <v>1</v>
      </c>
      <c r="G159" s="145">
        <f t="shared" si="2"/>
        <v>0</v>
      </c>
      <c r="H159" s="145">
        <v>24839</v>
      </c>
      <c r="I159" s="145">
        <v>37332</v>
      </c>
    </row>
    <row r="160" spans="1:9" x14ac:dyDescent="0.15">
      <c r="A160" s="90">
        <v>458</v>
      </c>
      <c r="B160" s="76" t="s">
        <v>821</v>
      </c>
      <c r="C160" s="126">
        <v>45597</v>
      </c>
      <c r="D160" s="126">
        <v>45657</v>
      </c>
      <c r="E160" s="145">
        <v>227</v>
      </c>
      <c r="F160" s="160">
        <v>1</v>
      </c>
      <c r="G160" s="145">
        <f t="shared" si="2"/>
        <v>227</v>
      </c>
      <c r="H160" s="145">
        <v>7398</v>
      </c>
      <c r="I160" s="145">
        <v>7808</v>
      </c>
    </row>
    <row r="161" spans="1:9" x14ac:dyDescent="0.15">
      <c r="A161" s="90">
        <v>460</v>
      </c>
      <c r="B161" s="76" t="s">
        <v>182</v>
      </c>
      <c r="C161" s="126">
        <v>45292</v>
      </c>
      <c r="D161" s="126">
        <v>45657</v>
      </c>
      <c r="E161" s="145">
        <v>0</v>
      </c>
      <c r="F161" s="160">
        <v>0.99060000000000004</v>
      </c>
      <c r="G161" s="145">
        <f t="shared" si="2"/>
        <v>0</v>
      </c>
      <c r="H161" s="145">
        <v>64276</v>
      </c>
      <c r="I161" s="145">
        <v>104310</v>
      </c>
    </row>
    <row r="162" spans="1:9" x14ac:dyDescent="0.15">
      <c r="A162" s="90">
        <v>462</v>
      </c>
      <c r="B162" s="76" t="s">
        <v>394</v>
      </c>
      <c r="C162" s="126">
        <v>45292</v>
      </c>
      <c r="D162" s="126">
        <v>45657</v>
      </c>
      <c r="E162" s="145">
        <v>88110</v>
      </c>
      <c r="F162" s="160">
        <v>1</v>
      </c>
      <c r="G162" s="145">
        <f t="shared" si="2"/>
        <v>88110</v>
      </c>
      <c r="H162" s="145">
        <v>26544</v>
      </c>
      <c r="I162" s="145">
        <v>33672</v>
      </c>
    </row>
    <row r="163" spans="1:9" x14ac:dyDescent="0.15">
      <c r="A163" s="90">
        <v>663</v>
      </c>
      <c r="B163" s="76" t="s">
        <v>605</v>
      </c>
      <c r="C163" s="126">
        <v>45292</v>
      </c>
      <c r="D163" s="126">
        <v>45657</v>
      </c>
      <c r="E163" s="145">
        <v>143095</v>
      </c>
      <c r="F163" s="160">
        <v>1</v>
      </c>
      <c r="G163" s="145">
        <f t="shared" si="2"/>
        <v>143095</v>
      </c>
      <c r="H163" s="145">
        <v>47382</v>
      </c>
      <c r="I163" s="145">
        <v>57096</v>
      </c>
    </row>
    <row r="164" spans="1:9" x14ac:dyDescent="0.15">
      <c r="A164" s="90">
        <v>665</v>
      </c>
      <c r="B164" s="76" t="s">
        <v>645</v>
      </c>
      <c r="C164" s="126">
        <v>45292</v>
      </c>
      <c r="D164" s="126">
        <v>45657</v>
      </c>
      <c r="E164" s="145">
        <v>101060</v>
      </c>
      <c r="F164" s="160">
        <v>1</v>
      </c>
      <c r="G164" s="145">
        <f t="shared" si="2"/>
        <v>101060</v>
      </c>
      <c r="H164" s="145">
        <v>28667</v>
      </c>
      <c r="I164" s="145">
        <v>35502</v>
      </c>
    </row>
    <row r="165" spans="1:9" x14ac:dyDescent="0.15">
      <c r="A165" s="90">
        <v>669</v>
      </c>
      <c r="B165" s="76" t="s">
        <v>679</v>
      </c>
      <c r="C165" s="126">
        <v>45292</v>
      </c>
      <c r="D165" s="126">
        <v>45657</v>
      </c>
      <c r="E165" s="145">
        <v>108166</v>
      </c>
      <c r="F165" s="160">
        <v>1</v>
      </c>
      <c r="G165" s="145">
        <f t="shared" si="2"/>
        <v>108166</v>
      </c>
      <c r="H165" s="145">
        <v>29077</v>
      </c>
      <c r="I165" s="145">
        <v>36600</v>
      </c>
    </row>
    <row r="166" spans="1:9" x14ac:dyDescent="0.15">
      <c r="A166" s="90">
        <v>671</v>
      </c>
      <c r="B166" s="76" t="s">
        <v>606</v>
      </c>
      <c r="C166" s="126">
        <v>45292</v>
      </c>
      <c r="D166" s="126">
        <v>45657</v>
      </c>
      <c r="E166" s="145">
        <v>24639</v>
      </c>
      <c r="F166" s="160">
        <v>1</v>
      </c>
      <c r="G166" s="145">
        <f t="shared" si="2"/>
        <v>24639</v>
      </c>
      <c r="H166" s="145">
        <v>20044</v>
      </c>
      <c r="I166" s="145">
        <v>21960</v>
      </c>
    </row>
    <row r="167" spans="1:9" x14ac:dyDescent="0.15">
      <c r="A167" s="90">
        <v>675</v>
      </c>
      <c r="B167" s="76" t="s">
        <v>192</v>
      </c>
      <c r="C167" s="126">
        <v>45292</v>
      </c>
      <c r="D167" s="126">
        <v>45657</v>
      </c>
      <c r="E167" s="145">
        <v>79953</v>
      </c>
      <c r="F167" s="160">
        <v>1</v>
      </c>
      <c r="G167" s="145">
        <f t="shared" si="2"/>
        <v>79953</v>
      </c>
      <c r="H167" s="145">
        <v>16927</v>
      </c>
      <c r="I167" s="145">
        <v>36600</v>
      </c>
    </row>
    <row r="168" spans="1:9" x14ac:dyDescent="0.15">
      <c r="A168" s="90">
        <v>677</v>
      </c>
      <c r="B168" s="76" t="s">
        <v>655</v>
      </c>
      <c r="C168" s="126">
        <v>45292</v>
      </c>
      <c r="D168" s="126">
        <v>45657</v>
      </c>
      <c r="E168" s="145">
        <v>72892</v>
      </c>
      <c r="F168" s="160">
        <v>1</v>
      </c>
      <c r="G168" s="145">
        <f t="shared" si="2"/>
        <v>72892</v>
      </c>
      <c r="H168" s="145">
        <v>33122</v>
      </c>
      <c r="I168" s="145">
        <v>45750</v>
      </c>
    </row>
    <row r="169" spans="1:9" x14ac:dyDescent="0.15">
      <c r="A169" s="90">
        <v>679</v>
      </c>
      <c r="B169" s="76" t="s">
        <v>620</v>
      </c>
      <c r="C169" s="126">
        <v>45292</v>
      </c>
      <c r="D169" s="126">
        <v>45657</v>
      </c>
      <c r="E169" s="145">
        <v>74410</v>
      </c>
      <c r="F169" s="160">
        <v>1</v>
      </c>
      <c r="G169" s="145">
        <f t="shared" si="2"/>
        <v>74410</v>
      </c>
      <c r="H169" s="145">
        <v>44698</v>
      </c>
      <c r="I169" s="145">
        <v>49044</v>
      </c>
    </row>
    <row r="170" spans="1:9" x14ac:dyDescent="0.15">
      <c r="A170" s="90">
        <v>685</v>
      </c>
      <c r="B170" s="76" t="s">
        <v>607</v>
      </c>
      <c r="C170" s="126">
        <v>45292</v>
      </c>
      <c r="D170" s="126">
        <v>45657</v>
      </c>
      <c r="E170" s="145">
        <v>228006</v>
      </c>
      <c r="F170" s="160">
        <v>1</v>
      </c>
      <c r="G170" s="145">
        <f t="shared" si="2"/>
        <v>228006</v>
      </c>
      <c r="H170" s="145">
        <v>52970</v>
      </c>
      <c r="I170" s="145">
        <v>57462</v>
      </c>
    </row>
    <row r="171" spans="1:9" x14ac:dyDescent="0.15">
      <c r="A171" s="90">
        <v>687</v>
      </c>
      <c r="B171" s="76" t="s">
        <v>621</v>
      </c>
      <c r="C171" s="126">
        <v>45292</v>
      </c>
      <c r="D171" s="126">
        <v>45657</v>
      </c>
      <c r="E171" s="145">
        <v>189323</v>
      </c>
      <c r="F171" s="160">
        <v>1</v>
      </c>
      <c r="G171" s="145">
        <f t="shared" si="2"/>
        <v>189323</v>
      </c>
      <c r="H171" s="145">
        <v>63159</v>
      </c>
      <c r="I171" s="145">
        <v>69540</v>
      </c>
    </row>
    <row r="172" spans="1:9" x14ac:dyDescent="0.15">
      <c r="A172" s="90">
        <v>689</v>
      </c>
      <c r="B172" s="76" t="s">
        <v>622</v>
      </c>
      <c r="C172" s="126">
        <v>45292</v>
      </c>
      <c r="D172" s="126">
        <v>45657</v>
      </c>
      <c r="E172" s="145">
        <v>168053</v>
      </c>
      <c r="F172" s="160">
        <v>1</v>
      </c>
      <c r="G172" s="145">
        <f t="shared" si="2"/>
        <v>168053</v>
      </c>
      <c r="H172" s="145">
        <v>51050</v>
      </c>
      <c r="I172" s="145">
        <v>55266</v>
      </c>
    </row>
    <row r="173" spans="1:9" x14ac:dyDescent="0.15">
      <c r="A173" s="90">
        <v>693</v>
      </c>
      <c r="B173" s="76" t="s">
        <v>670</v>
      </c>
      <c r="C173" s="126">
        <v>45292</v>
      </c>
      <c r="D173" s="126">
        <v>45657</v>
      </c>
      <c r="E173" s="145">
        <v>82689</v>
      </c>
      <c r="F173" s="160">
        <v>1</v>
      </c>
      <c r="G173" s="145">
        <f t="shared" si="2"/>
        <v>82689</v>
      </c>
      <c r="H173" s="145">
        <v>34922</v>
      </c>
      <c r="I173" s="145">
        <v>58560</v>
      </c>
    </row>
    <row r="174" spans="1:9" x14ac:dyDescent="0.15">
      <c r="A174" s="90">
        <v>695</v>
      </c>
      <c r="B174" s="76" t="s">
        <v>623</v>
      </c>
      <c r="C174" s="126">
        <v>45292</v>
      </c>
      <c r="D174" s="126">
        <v>45657</v>
      </c>
      <c r="E174" s="145">
        <v>368512</v>
      </c>
      <c r="F174" s="160">
        <v>1</v>
      </c>
      <c r="G174" s="145">
        <f t="shared" si="2"/>
        <v>368512</v>
      </c>
      <c r="H174" s="145">
        <v>48813</v>
      </c>
      <c r="I174" s="145">
        <v>55998</v>
      </c>
    </row>
    <row r="175" spans="1:9" x14ac:dyDescent="0.15">
      <c r="A175" s="90">
        <v>697</v>
      </c>
      <c r="B175" s="76" t="s">
        <v>215</v>
      </c>
      <c r="C175" s="126">
        <v>45108</v>
      </c>
      <c r="D175" s="126">
        <v>45473</v>
      </c>
      <c r="E175" s="145">
        <v>153152</v>
      </c>
      <c r="F175" s="160">
        <v>1</v>
      </c>
      <c r="G175" s="145">
        <f t="shared" si="2"/>
        <v>153152</v>
      </c>
      <c r="H175" s="145">
        <v>57219</v>
      </c>
      <c r="I175" s="145">
        <v>59292</v>
      </c>
    </row>
    <row r="176" spans="1:9" x14ac:dyDescent="0.15">
      <c r="A176" s="90">
        <v>699</v>
      </c>
      <c r="B176" s="76" t="s">
        <v>239</v>
      </c>
      <c r="C176" s="126">
        <v>45108</v>
      </c>
      <c r="D176" s="126">
        <v>45473</v>
      </c>
      <c r="E176" s="145">
        <v>266009</v>
      </c>
      <c r="F176" s="160">
        <v>1</v>
      </c>
      <c r="G176" s="145">
        <f t="shared" si="2"/>
        <v>266009</v>
      </c>
      <c r="H176" s="145">
        <v>44588</v>
      </c>
      <c r="I176" s="145">
        <v>49410</v>
      </c>
    </row>
    <row r="177" spans="1:9" x14ac:dyDescent="0.15">
      <c r="A177" s="90">
        <v>701</v>
      </c>
      <c r="B177" s="76" t="s">
        <v>506</v>
      </c>
      <c r="C177" s="126">
        <v>45292</v>
      </c>
      <c r="D177" s="126">
        <v>45657</v>
      </c>
      <c r="E177" s="145">
        <v>162130</v>
      </c>
      <c r="F177" s="160">
        <v>0.1638</v>
      </c>
      <c r="G177" s="145">
        <f t="shared" si="2"/>
        <v>26557</v>
      </c>
      <c r="H177" s="145">
        <v>21596</v>
      </c>
      <c r="I177" s="145">
        <v>36234</v>
      </c>
    </row>
    <row r="178" spans="1:9" x14ac:dyDescent="0.15">
      <c r="A178" s="90">
        <v>703</v>
      </c>
      <c r="B178" s="76" t="s">
        <v>677</v>
      </c>
      <c r="C178" s="126">
        <v>45292</v>
      </c>
      <c r="D178" s="126">
        <v>45657</v>
      </c>
      <c r="E178" s="145">
        <v>43485</v>
      </c>
      <c r="F178" s="160">
        <v>1</v>
      </c>
      <c r="G178" s="145">
        <f t="shared" si="2"/>
        <v>43485</v>
      </c>
      <c r="H178" s="145">
        <v>12746</v>
      </c>
      <c r="I178" s="145">
        <v>14274</v>
      </c>
    </row>
    <row r="179" spans="1:9" x14ac:dyDescent="0.15">
      <c r="A179" s="90">
        <v>709</v>
      </c>
      <c r="B179" s="76" t="s">
        <v>225</v>
      </c>
      <c r="C179" s="126">
        <v>45292</v>
      </c>
      <c r="D179" s="126">
        <v>45565</v>
      </c>
      <c r="E179" s="145">
        <v>62024</v>
      </c>
      <c r="F179" s="160">
        <v>1</v>
      </c>
      <c r="G179" s="145">
        <f t="shared" si="2"/>
        <v>62024</v>
      </c>
      <c r="H179" s="145">
        <v>14813</v>
      </c>
      <c r="I179" s="145">
        <v>18906</v>
      </c>
    </row>
    <row r="180" spans="1:9" x14ac:dyDescent="0.15">
      <c r="A180" s="90">
        <v>713</v>
      </c>
      <c r="B180" s="76" t="s">
        <v>41</v>
      </c>
      <c r="C180" s="126">
        <v>45292</v>
      </c>
      <c r="D180" s="126">
        <v>45657</v>
      </c>
      <c r="E180" s="145">
        <v>98575</v>
      </c>
      <c r="F180" s="160">
        <v>0.73170000000000002</v>
      </c>
      <c r="G180" s="145">
        <f t="shared" si="2"/>
        <v>72127</v>
      </c>
      <c r="H180" s="145">
        <v>64744</v>
      </c>
      <c r="I180" s="145">
        <v>73200</v>
      </c>
    </row>
    <row r="181" spans="1:9" x14ac:dyDescent="0.15">
      <c r="A181" s="90">
        <v>715</v>
      </c>
      <c r="B181" s="76" t="s">
        <v>210</v>
      </c>
      <c r="C181" s="126">
        <v>45108</v>
      </c>
      <c r="D181" s="126">
        <v>45473</v>
      </c>
      <c r="E181" s="145">
        <v>52244</v>
      </c>
      <c r="F181" s="160">
        <v>1</v>
      </c>
      <c r="G181" s="145">
        <f t="shared" si="2"/>
        <v>52244</v>
      </c>
      <c r="H181" s="145">
        <v>39054</v>
      </c>
      <c r="I181" s="145">
        <v>40626</v>
      </c>
    </row>
    <row r="182" spans="1:9" x14ac:dyDescent="0.15">
      <c r="A182" s="90">
        <v>717</v>
      </c>
      <c r="B182" s="76" t="s">
        <v>190</v>
      </c>
      <c r="C182" s="126">
        <v>45292</v>
      </c>
      <c r="D182" s="126">
        <v>45657</v>
      </c>
      <c r="E182" s="145">
        <v>103496</v>
      </c>
      <c r="F182" s="160">
        <v>0.94969999999999999</v>
      </c>
      <c r="G182" s="145">
        <f t="shared" si="2"/>
        <v>98290</v>
      </c>
      <c r="H182" s="145">
        <v>70440</v>
      </c>
      <c r="I182" s="145">
        <v>73200</v>
      </c>
    </row>
    <row r="183" spans="1:9" x14ac:dyDescent="0.15">
      <c r="A183" s="90">
        <v>719</v>
      </c>
      <c r="B183" s="76" t="s">
        <v>238</v>
      </c>
      <c r="C183" s="126">
        <v>45108</v>
      </c>
      <c r="D183" s="126">
        <v>45473</v>
      </c>
      <c r="E183" s="145">
        <v>94564</v>
      </c>
      <c r="F183" s="160">
        <v>1</v>
      </c>
      <c r="G183" s="145">
        <f t="shared" si="2"/>
        <v>94564</v>
      </c>
      <c r="H183" s="145">
        <v>28857</v>
      </c>
      <c r="I183" s="145">
        <v>33306</v>
      </c>
    </row>
    <row r="184" spans="1:9" x14ac:dyDescent="0.15">
      <c r="A184" s="90">
        <v>723</v>
      </c>
      <c r="B184" s="76" t="s">
        <v>188</v>
      </c>
      <c r="C184" s="126">
        <v>45292</v>
      </c>
      <c r="D184" s="126">
        <v>45657</v>
      </c>
      <c r="E184" s="145">
        <v>124733</v>
      </c>
      <c r="F184" s="160">
        <v>1</v>
      </c>
      <c r="G184" s="145">
        <f t="shared" si="2"/>
        <v>124733</v>
      </c>
      <c r="H184" s="145">
        <v>36615</v>
      </c>
      <c r="I184" s="145">
        <v>39894</v>
      </c>
    </row>
    <row r="185" spans="1:9" x14ac:dyDescent="0.15">
      <c r="A185" s="90">
        <v>725</v>
      </c>
      <c r="B185" s="76" t="s">
        <v>624</v>
      </c>
      <c r="C185" s="126">
        <v>45292</v>
      </c>
      <c r="D185" s="126">
        <v>45657</v>
      </c>
      <c r="E185" s="145">
        <v>85251</v>
      </c>
      <c r="F185" s="160">
        <v>1</v>
      </c>
      <c r="G185" s="145">
        <f t="shared" si="2"/>
        <v>85251</v>
      </c>
      <c r="H185" s="145">
        <v>37540</v>
      </c>
      <c r="I185" s="145">
        <v>42456</v>
      </c>
    </row>
    <row r="186" spans="1:9" x14ac:dyDescent="0.15">
      <c r="A186" s="90">
        <v>727</v>
      </c>
      <c r="B186" s="76" t="s">
        <v>214</v>
      </c>
      <c r="C186" s="126">
        <v>45108</v>
      </c>
      <c r="D186" s="126">
        <v>45473</v>
      </c>
      <c r="E186" s="145">
        <v>184464</v>
      </c>
      <c r="F186" s="160">
        <v>1</v>
      </c>
      <c r="G186" s="145">
        <f t="shared" si="2"/>
        <v>184464</v>
      </c>
      <c r="H186" s="145">
        <v>52187</v>
      </c>
      <c r="I186" s="145">
        <v>54900</v>
      </c>
    </row>
    <row r="187" spans="1:9" x14ac:dyDescent="0.15">
      <c r="A187" s="90">
        <v>729</v>
      </c>
      <c r="B187" s="76" t="s">
        <v>209</v>
      </c>
      <c r="C187" s="126">
        <v>45108</v>
      </c>
      <c r="D187" s="126">
        <v>45473</v>
      </c>
      <c r="E187" s="145">
        <v>89085.94</v>
      </c>
      <c r="F187" s="160">
        <v>1</v>
      </c>
      <c r="G187" s="145">
        <f t="shared" si="2"/>
        <v>89086</v>
      </c>
      <c r="H187" s="145">
        <v>46892</v>
      </c>
      <c r="I187" s="145">
        <v>57096</v>
      </c>
    </row>
    <row r="188" spans="1:9" x14ac:dyDescent="0.15">
      <c r="A188" s="90">
        <v>733</v>
      </c>
      <c r="B188" s="76" t="s">
        <v>211</v>
      </c>
      <c r="C188" s="126">
        <v>45108</v>
      </c>
      <c r="D188" s="126">
        <v>45473</v>
      </c>
      <c r="E188" s="145">
        <v>192711</v>
      </c>
      <c r="F188" s="160">
        <v>1</v>
      </c>
      <c r="G188" s="145">
        <f t="shared" si="2"/>
        <v>192711</v>
      </c>
      <c r="H188" s="145">
        <v>58374</v>
      </c>
      <c r="I188" s="145">
        <v>66612</v>
      </c>
    </row>
    <row r="189" spans="1:9" x14ac:dyDescent="0.15">
      <c r="A189" s="90">
        <v>735</v>
      </c>
      <c r="B189" s="76" t="s">
        <v>649</v>
      </c>
      <c r="C189" s="126">
        <v>45292</v>
      </c>
      <c r="D189" s="126">
        <v>45657</v>
      </c>
      <c r="E189" s="145">
        <v>409948</v>
      </c>
      <c r="F189" s="160">
        <v>1</v>
      </c>
      <c r="G189" s="145">
        <f t="shared" si="2"/>
        <v>409948</v>
      </c>
      <c r="H189" s="145">
        <v>97188</v>
      </c>
      <c r="I189" s="145">
        <v>102480</v>
      </c>
    </row>
    <row r="190" spans="1:9" x14ac:dyDescent="0.15">
      <c r="A190" s="90">
        <v>737</v>
      </c>
      <c r="B190" s="76" t="s">
        <v>229</v>
      </c>
      <c r="C190" s="126">
        <v>45108</v>
      </c>
      <c r="D190" s="126">
        <v>45473</v>
      </c>
      <c r="E190" s="145">
        <v>102234</v>
      </c>
      <c r="F190" s="160">
        <v>1</v>
      </c>
      <c r="G190" s="145">
        <f t="shared" si="2"/>
        <v>102234</v>
      </c>
      <c r="H190" s="145">
        <v>35104</v>
      </c>
      <c r="I190" s="145">
        <v>40260</v>
      </c>
    </row>
    <row r="191" spans="1:9" x14ac:dyDescent="0.15">
      <c r="A191" s="90">
        <v>739</v>
      </c>
      <c r="B191" s="76" t="s">
        <v>212</v>
      </c>
      <c r="C191" s="126">
        <v>45108</v>
      </c>
      <c r="D191" s="126">
        <v>45473</v>
      </c>
      <c r="E191" s="145">
        <v>87188</v>
      </c>
      <c r="F191" s="160">
        <v>1</v>
      </c>
      <c r="G191" s="145">
        <f t="shared" si="2"/>
        <v>87188</v>
      </c>
      <c r="H191" s="145">
        <v>33432</v>
      </c>
      <c r="I191" s="145">
        <v>34770</v>
      </c>
    </row>
    <row r="192" spans="1:9" x14ac:dyDescent="0.15">
      <c r="A192" s="90">
        <v>741</v>
      </c>
      <c r="B192" s="76" t="s">
        <v>435</v>
      </c>
      <c r="C192" s="126">
        <v>45292</v>
      </c>
      <c r="D192" s="126">
        <v>45657</v>
      </c>
      <c r="E192" s="145">
        <v>129076</v>
      </c>
      <c r="F192" s="160">
        <v>1</v>
      </c>
      <c r="G192" s="145">
        <f t="shared" si="2"/>
        <v>129076</v>
      </c>
      <c r="H192" s="145">
        <v>32015</v>
      </c>
      <c r="I192" s="145">
        <v>36234</v>
      </c>
    </row>
    <row r="193" spans="1:9" x14ac:dyDescent="0.15">
      <c r="A193" s="90">
        <v>743</v>
      </c>
      <c r="B193" s="76" t="s">
        <v>213</v>
      </c>
      <c r="C193" s="126">
        <v>45108</v>
      </c>
      <c r="D193" s="126">
        <v>45473</v>
      </c>
      <c r="E193" s="145">
        <v>336752</v>
      </c>
      <c r="F193" s="160">
        <v>1</v>
      </c>
      <c r="G193" s="145">
        <f t="shared" si="2"/>
        <v>336752</v>
      </c>
      <c r="H193" s="145">
        <v>31564</v>
      </c>
      <c r="I193" s="145">
        <v>33672</v>
      </c>
    </row>
    <row r="194" spans="1:9" x14ac:dyDescent="0.15">
      <c r="A194" s="90">
        <v>767</v>
      </c>
      <c r="B194" s="76" t="s">
        <v>216</v>
      </c>
      <c r="C194" s="126">
        <v>45108</v>
      </c>
      <c r="D194" s="126">
        <v>45473</v>
      </c>
      <c r="E194" s="145">
        <v>0</v>
      </c>
      <c r="F194" s="160">
        <v>1</v>
      </c>
      <c r="G194" s="145">
        <f t="shared" si="2"/>
        <v>0</v>
      </c>
      <c r="H194" s="145">
        <v>39849</v>
      </c>
      <c r="I194" s="145">
        <v>58560</v>
      </c>
    </row>
    <row r="195" spans="1:9" x14ac:dyDescent="0.15">
      <c r="A195" s="90">
        <v>785</v>
      </c>
      <c r="B195" s="76" t="s">
        <v>504</v>
      </c>
      <c r="C195" s="126">
        <v>45292</v>
      </c>
      <c r="D195" s="126">
        <v>45657</v>
      </c>
      <c r="E195" s="145">
        <v>426183</v>
      </c>
      <c r="F195" s="160">
        <v>5.8599999999999999E-2</v>
      </c>
      <c r="G195" s="145">
        <f t="shared" ref="G195:G206" si="3">ROUND(E195*F195,2)</f>
        <v>24974</v>
      </c>
      <c r="H195" s="145">
        <v>8632</v>
      </c>
      <c r="I195" s="145">
        <v>15372</v>
      </c>
    </row>
    <row r="196" spans="1:9" x14ac:dyDescent="0.15">
      <c r="A196" s="90">
        <v>940</v>
      </c>
      <c r="B196" s="76" t="s">
        <v>43</v>
      </c>
      <c r="C196" s="126">
        <v>45292</v>
      </c>
      <c r="D196" s="126">
        <v>45657</v>
      </c>
      <c r="E196" s="145">
        <v>96606</v>
      </c>
      <c r="F196" s="160">
        <v>1</v>
      </c>
      <c r="G196" s="145">
        <f t="shared" si="3"/>
        <v>96606</v>
      </c>
      <c r="H196" s="145">
        <v>31031</v>
      </c>
      <c r="I196" s="145">
        <v>34038</v>
      </c>
    </row>
    <row r="197" spans="1:9" x14ac:dyDescent="0.15">
      <c r="A197" s="90">
        <v>1132</v>
      </c>
      <c r="B197" s="76" t="s">
        <v>196</v>
      </c>
      <c r="C197" s="126">
        <v>45292</v>
      </c>
      <c r="D197" s="126">
        <v>45657</v>
      </c>
      <c r="E197" s="145">
        <v>169977</v>
      </c>
      <c r="F197" s="160">
        <v>0.43290000000000001</v>
      </c>
      <c r="G197" s="145">
        <f t="shared" si="3"/>
        <v>73583</v>
      </c>
      <c r="H197" s="145">
        <v>29965</v>
      </c>
      <c r="I197" s="145">
        <v>33306</v>
      </c>
    </row>
    <row r="198" spans="1:9" x14ac:dyDescent="0.15">
      <c r="A198" s="90">
        <v>1194</v>
      </c>
      <c r="B198" s="76" t="s">
        <v>237</v>
      </c>
      <c r="C198" s="126">
        <v>45292</v>
      </c>
      <c r="D198" s="126">
        <v>45657</v>
      </c>
      <c r="E198" s="145">
        <v>0</v>
      </c>
      <c r="F198" s="160">
        <v>2.18E-2</v>
      </c>
      <c r="G198" s="145">
        <f t="shared" si="3"/>
        <v>0</v>
      </c>
      <c r="H198" s="145">
        <v>12237</v>
      </c>
      <c r="I198" s="145">
        <v>16470</v>
      </c>
    </row>
    <row r="199" spans="1:9" x14ac:dyDescent="0.15">
      <c r="A199" s="90">
        <v>1203</v>
      </c>
      <c r="B199" s="76" t="s">
        <v>407</v>
      </c>
      <c r="C199" s="126">
        <v>45292</v>
      </c>
      <c r="D199" s="126">
        <v>45657</v>
      </c>
      <c r="E199" s="145">
        <v>70715</v>
      </c>
      <c r="F199" s="160">
        <v>1</v>
      </c>
      <c r="G199" s="145">
        <f t="shared" si="3"/>
        <v>70715</v>
      </c>
      <c r="H199" s="145">
        <v>17983</v>
      </c>
      <c r="I199" s="145">
        <v>19398</v>
      </c>
    </row>
    <row r="200" spans="1:9" x14ac:dyDescent="0.15">
      <c r="A200" s="90">
        <v>1209</v>
      </c>
      <c r="B200" s="76" t="s">
        <v>217</v>
      </c>
      <c r="C200" s="126">
        <v>45292</v>
      </c>
      <c r="D200" s="126">
        <v>45657</v>
      </c>
      <c r="E200" s="145">
        <v>165374</v>
      </c>
      <c r="F200" s="160">
        <v>0.54059999999999997</v>
      </c>
      <c r="G200" s="145">
        <f t="shared" si="3"/>
        <v>89401</v>
      </c>
      <c r="H200" s="145">
        <v>23482</v>
      </c>
      <c r="I200" s="145">
        <v>25620</v>
      </c>
    </row>
    <row r="201" spans="1:9" x14ac:dyDescent="0.15">
      <c r="A201" s="90">
        <v>1232</v>
      </c>
      <c r="B201" s="76" t="s">
        <v>255</v>
      </c>
      <c r="C201" s="126">
        <v>45292</v>
      </c>
      <c r="D201" s="126">
        <v>45657</v>
      </c>
      <c r="E201" s="145">
        <v>93385</v>
      </c>
      <c r="F201" s="160">
        <v>1</v>
      </c>
      <c r="G201" s="145">
        <f t="shared" si="3"/>
        <v>93385</v>
      </c>
      <c r="H201" s="145">
        <v>27536</v>
      </c>
      <c r="I201" s="145">
        <v>28548</v>
      </c>
    </row>
    <row r="202" spans="1:9" x14ac:dyDescent="0.15">
      <c r="A202" s="90">
        <v>1282</v>
      </c>
      <c r="B202" s="76" t="s">
        <v>328</v>
      </c>
      <c r="C202" s="126">
        <v>45292</v>
      </c>
      <c r="D202" s="126">
        <v>45657</v>
      </c>
      <c r="E202" s="145">
        <v>132948</v>
      </c>
      <c r="F202" s="160">
        <v>1</v>
      </c>
      <c r="G202" s="145">
        <f t="shared" si="3"/>
        <v>132948</v>
      </c>
      <c r="H202" s="145">
        <v>22910</v>
      </c>
      <c r="I202" s="145">
        <v>29280</v>
      </c>
    </row>
    <row r="203" spans="1:9" x14ac:dyDescent="0.15">
      <c r="A203" s="90">
        <v>1324</v>
      </c>
      <c r="B203" s="76" t="s">
        <v>477</v>
      </c>
      <c r="C203" s="126">
        <v>45292</v>
      </c>
      <c r="D203" s="126">
        <v>45657</v>
      </c>
      <c r="E203" s="145">
        <v>351412.93</v>
      </c>
      <c r="F203" s="160">
        <v>6.54E-2</v>
      </c>
      <c r="G203" s="145">
        <f t="shared" si="3"/>
        <v>22982</v>
      </c>
      <c r="H203" s="145">
        <v>13681</v>
      </c>
      <c r="I203" s="145">
        <v>28914</v>
      </c>
    </row>
    <row r="204" spans="1:9" x14ac:dyDescent="0.15">
      <c r="A204" s="90">
        <v>1326</v>
      </c>
      <c r="B204" s="76" t="s">
        <v>675</v>
      </c>
      <c r="C204" s="126">
        <v>45292</v>
      </c>
      <c r="D204" s="126">
        <v>45657</v>
      </c>
      <c r="E204" s="145">
        <v>73601</v>
      </c>
      <c r="F204" s="160">
        <v>0.37630000000000002</v>
      </c>
      <c r="G204" s="145">
        <f t="shared" si="3"/>
        <v>27696</v>
      </c>
      <c r="H204" s="145">
        <v>24678</v>
      </c>
      <c r="I204" s="145">
        <v>32208</v>
      </c>
    </row>
    <row r="205" spans="1:9" x14ac:dyDescent="0.15">
      <c r="A205" s="90">
        <v>1366</v>
      </c>
      <c r="B205" s="76" t="s">
        <v>438</v>
      </c>
      <c r="C205" s="126">
        <v>45292</v>
      </c>
      <c r="D205" s="126">
        <v>45657</v>
      </c>
      <c r="E205" s="145">
        <v>298520</v>
      </c>
      <c r="F205" s="160">
        <v>0.97489999999999999</v>
      </c>
      <c r="G205" s="145">
        <f t="shared" si="3"/>
        <v>291027</v>
      </c>
      <c r="H205" s="145">
        <v>51757</v>
      </c>
      <c r="I205" s="145">
        <v>54900</v>
      </c>
    </row>
    <row r="206" spans="1:9" x14ac:dyDescent="0.15">
      <c r="A206" s="90">
        <v>1421</v>
      </c>
      <c r="B206" s="76" t="s">
        <v>713</v>
      </c>
      <c r="C206" s="126">
        <v>45292</v>
      </c>
      <c r="D206" s="126">
        <v>45657</v>
      </c>
      <c r="E206" s="145">
        <v>124249</v>
      </c>
      <c r="F206" s="160">
        <v>1</v>
      </c>
      <c r="G206" s="145">
        <f t="shared" si="3"/>
        <v>124249</v>
      </c>
      <c r="H206" s="145">
        <v>34883</v>
      </c>
      <c r="I206" s="145">
        <v>39528</v>
      </c>
    </row>
  </sheetData>
  <sortState xmlns:xlrd2="http://schemas.microsoft.com/office/spreadsheetml/2017/richdata2" ref="A2:I206">
    <sortCondition ref="A2:A206"/>
  </sortState>
  <pageMargins left="0.7" right="0.7" top="0.75" bottom="0.75" header="0.3" footer="0.3"/>
  <pageSetup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/>
  <dimension ref="A1:DD416"/>
  <sheetViews>
    <sheetView topLeftCell="AN1" zoomScaleNormal="100" workbookViewId="0">
      <pane ySplit="2" topLeftCell="A3" activePane="bottomLeft" state="frozen"/>
      <selection activeCell="C1" sqref="C1"/>
      <selection pane="bottomLeft" activeCell="BC3" sqref="BC3"/>
    </sheetView>
  </sheetViews>
  <sheetFormatPr baseColWidth="10" defaultColWidth="9.3984375" defaultRowHeight="13" x14ac:dyDescent="0.15"/>
  <cols>
    <col min="1" max="1" width="9.3984375" style="98" bestFit="1" customWidth="1"/>
    <col min="2" max="2" width="10.19921875" style="98" bestFit="1" customWidth="1"/>
    <col min="3" max="3" width="66.796875" style="98" customWidth="1"/>
    <col min="4" max="4" width="24.19921875" style="98" bestFit="1" customWidth="1"/>
    <col min="5" max="5" width="26.796875" style="98" customWidth="1"/>
    <col min="6" max="6" width="14.59765625" style="98" customWidth="1"/>
    <col min="7" max="7" width="11.3984375" style="98" customWidth="1"/>
    <col min="8" max="8" width="14.796875" style="98" bestFit="1" customWidth="1"/>
    <col min="9" max="9" width="10" style="98" bestFit="1" customWidth="1"/>
    <col min="10" max="10" width="14.59765625" style="98" customWidth="1"/>
    <col min="11" max="11" width="13.3984375" style="98" customWidth="1"/>
    <col min="12" max="12" width="11.3984375" style="98" customWidth="1"/>
    <col min="13" max="13" width="11.19921875" style="98" customWidth="1"/>
    <col min="14" max="15" width="12.3984375" style="98" customWidth="1"/>
    <col min="16" max="16" width="14.59765625" style="98" customWidth="1"/>
    <col min="17" max="18" width="11.796875" style="98" customWidth="1"/>
    <col min="19" max="19" width="15.3984375" style="98" customWidth="1"/>
    <col min="20" max="22" width="14.796875" style="98" customWidth="1"/>
    <col min="23" max="23" width="20.3984375" style="98" customWidth="1"/>
    <col min="24" max="27" width="18.19921875" style="98" customWidth="1"/>
    <col min="28" max="28" width="14.3984375" style="98" customWidth="1"/>
    <col min="29" max="29" width="12.19921875" style="98" customWidth="1"/>
    <col min="30" max="30" width="13.3984375" style="98" customWidth="1"/>
    <col min="31" max="31" width="15.3984375" style="98" customWidth="1"/>
    <col min="32" max="32" width="14.59765625" style="98" customWidth="1"/>
    <col min="33" max="33" width="16.3984375" style="98" customWidth="1"/>
    <col min="34" max="43" width="17.3984375" style="98" customWidth="1"/>
    <col min="44" max="45" width="18.19921875" style="98" customWidth="1"/>
    <col min="46" max="46" width="15.3984375" style="98" customWidth="1"/>
    <col min="47" max="47" width="17" style="98" customWidth="1"/>
    <col min="48" max="48" width="15.3984375" style="98" customWidth="1"/>
    <col min="49" max="49" width="20.19921875" style="98" customWidth="1"/>
    <col min="50" max="50" width="19" style="98" customWidth="1"/>
    <col min="51" max="51" width="19.3984375" style="98" customWidth="1"/>
    <col min="52" max="52" width="15.3984375" style="98" customWidth="1"/>
    <col min="53" max="53" width="15.59765625" style="111" bestFit="1" customWidth="1"/>
    <col min="54" max="55" width="16.3984375" style="98" customWidth="1"/>
    <col min="56" max="56" width="14.59765625" style="98" customWidth="1"/>
    <col min="57" max="61" width="13.59765625" style="98" customWidth="1"/>
    <col min="62" max="63" width="14.19921875" style="98" customWidth="1"/>
    <col min="64" max="64" width="13" style="98" customWidth="1"/>
    <col min="65" max="65" width="20.59765625" style="98" customWidth="1"/>
    <col min="66" max="66" width="13" style="98" customWidth="1"/>
    <col min="67" max="67" width="17" style="98" customWidth="1"/>
    <col min="68" max="69" width="18.19921875" style="98" customWidth="1"/>
    <col min="70" max="70" width="13.796875" style="98" customWidth="1"/>
    <col min="71" max="71" width="13.3984375" style="98" customWidth="1"/>
    <col min="72" max="72" width="14.59765625" style="98" customWidth="1"/>
    <col min="73" max="73" width="15.796875" style="98" customWidth="1"/>
    <col min="74" max="74" width="11.796875" style="98" customWidth="1"/>
    <col min="75" max="75" width="15.3984375" style="98" customWidth="1"/>
    <col min="76" max="76" width="11.796875" style="98" customWidth="1"/>
    <col min="77" max="77" width="19" style="98" customWidth="1"/>
    <col min="78" max="78" width="16.19921875" style="98" customWidth="1"/>
    <col min="79" max="79" width="10.3984375" style="98" bestFit="1" customWidth="1"/>
    <col min="80" max="80" width="18.3984375" style="98" customWidth="1"/>
    <col min="81" max="81" width="14.796875" style="98" customWidth="1"/>
    <col min="82" max="82" width="23.19921875" style="98" customWidth="1"/>
    <col min="83" max="83" width="14.796875" style="98" customWidth="1"/>
    <col min="84" max="84" width="20.796875" style="98" customWidth="1"/>
    <col min="85" max="85" width="14.796875" style="98" customWidth="1"/>
    <col min="86" max="86" width="19.796875" style="98" customWidth="1"/>
    <col min="87" max="87" width="18.19921875" style="98" customWidth="1"/>
    <col min="88" max="88" width="18.3984375" style="98" customWidth="1"/>
    <col min="89" max="89" width="15" style="98" customWidth="1"/>
    <col min="90" max="90" width="18.59765625" style="98" customWidth="1"/>
    <col min="91" max="91" width="17.59765625" style="98" customWidth="1"/>
    <col min="92" max="92" width="11.796875" style="98" customWidth="1"/>
    <col min="93" max="93" width="17.3984375" style="98" customWidth="1"/>
    <col min="94" max="94" width="11.796875" style="98" customWidth="1"/>
    <col min="95" max="95" width="13.59765625" style="98" customWidth="1"/>
    <col min="96" max="96" width="18.19921875" style="98" customWidth="1"/>
    <col min="97" max="97" width="23.3984375" style="98" customWidth="1"/>
    <col min="98" max="98" width="27" style="98" customWidth="1"/>
    <col min="99" max="99" width="18.3984375" style="98" customWidth="1"/>
    <col min="100" max="101" width="14.19921875" style="98" customWidth="1"/>
    <col min="102" max="102" width="13" style="98" customWidth="1"/>
    <col min="103" max="16384" width="9.3984375" style="98"/>
  </cols>
  <sheetData>
    <row r="1" spans="1:83" ht="112" x14ac:dyDescent="0.15">
      <c r="B1" s="354" t="s">
        <v>1865</v>
      </c>
      <c r="C1" s="354"/>
      <c r="D1" s="99" t="s">
        <v>320</v>
      </c>
      <c r="E1" s="99" t="s">
        <v>321</v>
      </c>
      <c r="F1" s="99" t="str">
        <f>VLOOKUP(F2,'Facility Profile'!$A$26:$E$92,2,FALSE)</f>
        <v>Administrative and Routine (Line 18)</v>
      </c>
      <c r="G1" s="99" t="str">
        <f>VLOOKUP(G2,'Facility Profile'!$A$26:$E$92,2,FALSE)</f>
        <v>Other Patient Care (Line 20)</v>
      </c>
      <c r="H1" s="99" t="str">
        <f>VLOOKUP(H2,'Facility Profile'!$A$26:$E$92,2,FALSE)</f>
        <v>Capital (Line 36)</v>
      </c>
      <c r="I1" s="99" t="str">
        <f>VLOOKUP(I2,'Facility Profile'!$A$26:$E$92,2,FALSE)</f>
        <v>Nursing Service (Line 44)</v>
      </c>
      <c r="J1" s="99" t="str">
        <f>VLOOKUP(J2,'Facility Profile'!$A$26:$E$92,2,FALSE)</f>
        <v>Total Kosher Kitchen Add On</v>
      </c>
      <c r="K1" s="99" t="str">
        <f>VLOOKUP(K2,'Facility Profile'!$A$26:$E$92,2,FALSE)</f>
        <v xml:space="preserve">   Total Rate for All Levels (Sum of Lines 1 - 5) </v>
      </c>
      <c r="L1" s="99" t="str">
        <f>VLOOKUP(L2,'Facility Profile'!$A$26:$E$92,2,FALSE)</f>
        <v>Budget Adjustment Factor</v>
      </c>
      <c r="M1" s="99" t="str">
        <f>VLOOKUP(M2,'Facility Profile'!$A$26:$E$92,2,FALSE)</f>
        <v xml:space="preserve">   Final Adjusted Rate  (Line 6 x Line 7)</v>
      </c>
      <c r="N1" s="99" t="str">
        <f>VLOOKUP(N2,'Facility Profile'!$A$26:$E$92,2,FALSE)</f>
        <v>Quality Assessment Add On</v>
      </c>
      <c r="O1" s="99" t="str">
        <f>VLOOKUP(O2,'Facility Profile'!$A$26:$E$92,2,FALSE)</f>
        <v>Cost Report Period CMI (See July 2024 letter)</v>
      </c>
      <c r="P1" s="99" t="str">
        <f>VLOOKUP(P2,'Facility Profile'!$A$26:$E$92,2,FALSE)</f>
        <v>Statewide Average CMI</v>
      </c>
      <c r="Q1" s="99" t="str">
        <f>VLOOKUP(Q2,'Facility Profile'!$A$26:$E$92,2,FALSE)</f>
        <v>Quarter Ending 03/31/2025 Facility Average Medicaid CMI (1)</v>
      </c>
      <c r="R1" s="99" t="str">
        <f>VLOOKUP(R2,'Facility Profile'!$A$26:$E$92,2,FALSE)</f>
        <v>Annualized Available Days for Capital Rate</v>
      </c>
      <c r="S1" s="99" t="str">
        <f>VLOOKUP(S2,'Facility Profile'!$A$26:$E$92,2,FALSE)</f>
        <v>Annualized Days at Occupancy Threshold (Line 13 x .8153)</v>
      </c>
      <c r="T1" s="99" t="str">
        <f>VLOOKUP(T2,'Facility Profile'!$A$26:$E$92,2,FALSE)</f>
        <v>Annualized Actual Days for Capital Rate</v>
      </c>
      <c r="U1" s="99" t="str">
        <f>VLOOKUP(U2,'Facility Profile'!$A$26:$E$92,2,FALSE)</f>
        <v>Index from Midpoint of 2024-2025 to Midpoint of 2025-2026</v>
      </c>
      <c r="V1" s="99" t="str">
        <f>VLOOKUP(V2,'Facility Profile'!$A$26:$E$92,2,FALSE)</f>
        <v>Regional Price (See July 2024 letter)</v>
      </c>
      <c r="W1" s="99" t="str">
        <f>VLOOKUP(W2,'Facility Profile'!$A$26:$E$92,2,FALSE)</f>
        <v>Indexed Regional Price (Line 16 x Line 17)</v>
      </c>
      <c r="X1" s="99" t="str">
        <f>VLOOKUP(X2,'Facility Profile'!$A$26:$E$92,2,FALSE)</f>
        <v>Regional Price (See July 2024 letter)</v>
      </c>
      <c r="Y1" s="99" t="str">
        <f>VLOOKUP(Y2,'Facility Profile'!$A$26:$E$92,2,FALSE)</f>
        <v>Indexed Regional Price (Line 16 x Line 19)</v>
      </c>
      <c r="Z1" s="99" t="str">
        <f>VLOOKUP(Z2,'Facility Profile'!$A$26:$E$92,2,FALSE)</f>
        <v>Appraisal Effective Date</v>
      </c>
      <c r="AA1" s="99" t="str">
        <f>VLOOKUP(AA2,'Facility Profile'!$A$26:$E$92,2,FALSE)</f>
        <v>Cost Report End Date Used for Statistics</v>
      </c>
      <c r="AB1" s="99" t="str">
        <f>VLOOKUP(AB2,'Facility Profile'!$A$26:$E$92,2,FALSE)</f>
        <v>Building</v>
      </c>
      <c r="AC1" s="99" t="str">
        <f>VLOOKUP(AC2,'Facility Profile'!$A$26:$E$92,2,FALSE)</f>
        <v>Equipment</v>
      </c>
      <c r="AD1" s="99" t="str">
        <f>VLOOKUP(AD2,'Facility Profile'!$A$26:$E$92,2,FALSE)</f>
        <v>Land Per Bed</v>
      </c>
      <c r="AE1" s="99" t="str">
        <f>VLOOKUP(AE2,'Facility Profile'!$A$26:$E$92,2,FALSE)</f>
        <v>Ending Comprehensive Beds From Cost Report Covering the Appraisal Effective Date</v>
      </c>
      <c r="AF1" s="99" t="str">
        <f>VLOOKUP(AF2,'Facility Profile'!$A$26:$E$92,2,FALSE)</f>
        <v>Total Appraisal Amount (Line 23 + Line 24 + (Line 25 x Line 26))</v>
      </c>
      <c r="AG1" s="99" t="str">
        <f>VLOOKUP(AG2,'Facility Profile'!$A$26:$E$92,2,FALSE)</f>
        <v>Appraised Value Per Bed (Line 27 ÷ Line 26)</v>
      </c>
      <c r="AH1" s="99" t="str">
        <f>VLOOKUP(AH2,'Facility Profile'!$A$26:$E$92,2,FALSE)</f>
        <v>Maximum Appraised Value Per Bed</v>
      </c>
      <c r="AI1" s="99" t="str">
        <f>VLOOKUP(AI2,'Facility Profile'!$A$26:$E$92,2,FALSE)</f>
        <v>Final Appraised Value Per Bed (Line 28 Capped at Line 29)</v>
      </c>
      <c r="AJ1" s="99" t="str">
        <f>VLOOKUP(AJ2,'Facility Profile'!$A$26:$E$92,2,FALSE)</f>
        <v>Gross Value (Line 26 x Line 30)</v>
      </c>
      <c r="AK1" s="99" t="str">
        <f>VLOOKUP(AK2,'Facility Profile'!$A$26:$E$92,2,FALSE)</f>
        <v>Rental Factor</v>
      </c>
      <c r="AL1" s="99" t="str">
        <f>VLOOKUP(AL2,'Facility Profile'!$A$26:$E$92,2,FALSE)</f>
        <v>Facility Annual Fair Rental Value (Line 26 x Line 30 x Line 32)</v>
      </c>
      <c r="AM1" s="99" t="str">
        <f>VLOOKUP(AM2,'Facility Profile'!$A$26:$E$92,2,FALSE)</f>
        <v>Fair Rental Value Per Diem (Line 33 ÷ Higher of Line 14 or Line 15)</v>
      </c>
      <c r="AN1" s="99" t="str">
        <f>VLOOKUP(AN2,'Facility Profile'!$A$26:$E$92,2,FALSE)</f>
        <v>Real Estate Tax Per Diem</v>
      </c>
      <c r="AO1" s="99" t="str">
        <f>VLOOKUP(AO2,'Facility Profile'!$A$26:$E$92,2,FALSE)</f>
        <v>Capital Cost Center Rate (Line 34 + Line 35)</v>
      </c>
      <c r="AP1" s="99" t="str">
        <f>VLOOKUP(AP2,'Facility Profile'!$A$26:$E$92,2,FALSE)</f>
        <v>Nursing Service Cost Per Diem (See July 2024 letter)</v>
      </c>
      <c r="AQ1" s="99" t="str">
        <f>VLOOKUP(AQ2,'Facility Profile'!$A$26:$E$92,2,FALSE)</f>
        <v>Indexed Nursing Service Cost Per Diem (Line 16 x Line 37)</v>
      </c>
      <c r="AR1" s="99" t="str">
        <f>VLOOKUP(AR2,'Facility Profile'!$A$26:$E$92,2,FALSE)</f>
        <v>Nursing Service Price</v>
      </c>
      <c r="AS1" s="99" t="str">
        <f>VLOOKUP(AS2,'Facility Profile'!$A$26:$E$92,2,FALSE)</f>
        <v>Indexed Regional Price (Line 16 x Line 39)</v>
      </c>
      <c r="AT1" s="99" t="str">
        <f>VLOOKUP(AT2,'Facility Profile'!$A$26:$E$92,2,FALSE)</f>
        <v>Adjusted to Facility Total Facility CMI (Line 40 x Line 10 ÷ Line 11)</v>
      </c>
      <c r="AU1" s="99" t="str">
        <f>VLOOKUP(AU2,'Facility Profile'!$A$26:$E$92,2,FALSE)</f>
        <v>Initial Nursing Service Rate (Line 41 x Line 12 ÷ Line 10)</v>
      </c>
      <c r="AV1" s="99" t="str">
        <f>VLOOKUP(AV2,'Facility Profile'!$A$26:$E$92,2,FALSE)</f>
        <v>Less Positive Difference Between Line 46 and Initial Nursing Service Rate (max(0,Line 47))</v>
      </c>
      <c r="AW1" s="99" t="str">
        <f>VLOOKUP(AW2,'Facility Profile'!$A$26:$E$92,2,FALSE)</f>
        <v>Final Nursing Service Rate Per Day (Line 42 + Line 43)</v>
      </c>
      <c r="AX1" s="99" t="str">
        <f>VLOOKUP(AX2,'Facility Profile'!$A$26:$E$92,2,FALSE)</f>
        <v>Medicaid Adjusted Nursing Service Cost Per Diem (Line 38 x Line 12 ÷ Line 10)</v>
      </c>
      <c r="AY1" s="99" t="str">
        <f>VLOOKUP(AY2,'Facility Profile'!$A$26:$E$92,2,FALSE)</f>
        <v>95% of Initial Nursing Service Rate (Line 42 x .95)</v>
      </c>
      <c r="AZ1" s="99" t="str">
        <f>VLOOKUP(AZ2,'Facility Profile'!$A$26:$E$92,2,FALSE)</f>
        <v>Difference Between Line 46 and Medicaid Adjusted Nursing Service Cost Per Diem (Line 46 - Line 45)</v>
      </c>
      <c r="BA1" s="99" t="str">
        <f>VLOOKUP(BA2,'Facility Profile'!$A$26:$E$92,2,FALSE)</f>
        <v>Administrative Day Rate (Line 1 + Line 2 + Line 3 + (Line 4 x .50) + Line 5)</v>
      </c>
      <c r="BB1" s="99" t="str">
        <f>VLOOKUP(BB2,'Facility Profile'!$A$26:$E$92,2,FALSE)</f>
        <v>Therapeutic Home Leave Rate (Line 1 + Line 2 + Line 3 + Line 5)</v>
      </c>
      <c r="BC1" s="99" t="s">
        <v>322</v>
      </c>
      <c r="BD1" s="99" t="s">
        <v>323</v>
      </c>
      <c r="BE1" s="99" t="s">
        <v>324</v>
      </c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</row>
    <row r="2" spans="1:83" s="101" customFormat="1" x14ac:dyDescent="0.15">
      <c r="A2" s="100" t="s">
        <v>145</v>
      </c>
      <c r="B2" s="101" t="s">
        <v>325</v>
      </c>
      <c r="C2" s="101" t="s">
        <v>265</v>
      </c>
      <c r="E2" s="101" t="s">
        <v>326</v>
      </c>
      <c r="F2" s="101">
        <v>1</v>
      </c>
      <c r="G2" s="101">
        <v>2</v>
      </c>
      <c r="H2" s="101">
        <v>3</v>
      </c>
      <c r="I2" s="101">
        <v>4</v>
      </c>
      <c r="J2" s="101">
        <v>5</v>
      </c>
      <c r="K2" s="101">
        <v>6</v>
      </c>
      <c r="L2" s="101">
        <v>7</v>
      </c>
      <c r="M2" s="101">
        <v>8</v>
      </c>
      <c r="N2" s="101">
        <v>9</v>
      </c>
      <c r="O2" s="101">
        <f t="shared" ref="O2:BB2" si="0">+N2+1</f>
        <v>10</v>
      </c>
      <c r="P2" s="101">
        <f t="shared" si="0"/>
        <v>11</v>
      </c>
      <c r="Q2" s="101">
        <f t="shared" si="0"/>
        <v>12</v>
      </c>
      <c r="R2" s="101">
        <f t="shared" si="0"/>
        <v>13</v>
      </c>
      <c r="S2" s="101">
        <f t="shared" si="0"/>
        <v>14</v>
      </c>
      <c r="T2" s="101">
        <f t="shared" si="0"/>
        <v>15</v>
      </c>
      <c r="U2" s="101">
        <f t="shared" si="0"/>
        <v>16</v>
      </c>
      <c r="V2" s="101">
        <f t="shared" si="0"/>
        <v>17</v>
      </c>
      <c r="W2" s="101">
        <f t="shared" si="0"/>
        <v>18</v>
      </c>
      <c r="X2" s="101">
        <f t="shared" si="0"/>
        <v>19</v>
      </c>
      <c r="Y2" s="101">
        <f t="shared" si="0"/>
        <v>20</v>
      </c>
      <c r="Z2" s="101">
        <f t="shared" si="0"/>
        <v>21</v>
      </c>
      <c r="AA2" s="101">
        <f t="shared" si="0"/>
        <v>22</v>
      </c>
      <c r="AB2" s="101">
        <f t="shared" si="0"/>
        <v>23</v>
      </c>
      <c r="AC2" s="101">
        <f t="shared" si="0"/>
        <v>24</v>
      </c>
      <c r="AD2" s="101">
        <f t="shared" si="0"/>
        <v>25</v>
      </c>
      <c r="AE2" s="101">
        <f t="shared" si="0"/>
        <v>26</v>
      </c>
      <c r="AF2" s="101">
        <f t="shared" si="0"/>
        <v>27</v>
      </c>
      <c r="AG2" s="101">
        <f t="shared" si="0"/>
        <v>28</v>
      </c>
      <c r="AH2" s="101">
        <f t="shared" si="0"/>
        <v>29</v>
      </c>
      <c r="AI2" s="101">
        <f t="shared" si="0"/>
        <v>30</v>
      </c>
      <c r="AJ2" s="101">
        <f t="shared" si="0"/>
        <v>31</v>
      </c>
      <c r="AK2" s="101">
        <f t="shared" si="0"/>
        <v>32</v>
      </c>
      <c r="AL2" s="101">
        <f t="shared" si="0"/>
        <v>33</v>
      </c>
      <c r="AM2" s="101">
        <f t="shared" si="0"/>
        <v>34</v>
      </c>
      <c r="AN2" s="101">
        <f t="shared" si="0"/>
        <v>35</v>
      </c>
      <c r="AO2" s="101">
        <f t="shared" si="0"/>
        <v>36</v>
      </c>
      <c r="AP2" s="101">
        <f t="shared" si="0"/>
        <v>37</v>
      </c>
      <c r="AQ2" s="101">
        <f t="shared" si="0"/>
        <v>38</v>
      </c>
      <c r="AR2" s="101">
        <f t="shared" si="0"/>
        <v>39</v>
      </c>
      <c r="AS2" s="101">
        <f t="shared" si="0"/>
        <v>40</v>
      </c>
      <c r="AT2" s="101">
        <f t="shared" si="0"/>
        <v>41</v>
      </c>
      <c r="AU2" s="101">
        <f t="shared" si="0"/>
        <v>42</v>
      </c>
      <c r="AV2" s="101">
        <f t="shared" si="0"/>
        <v>43</v>
      </c>
      <c r="AW2" s="101">
        <f t="shared" si="0"/>
        <v>44</v>
      </c>
      <c r="AX2" s="101">
        <f t="shared" si="0"/>
        <v>45</v>
      </c>
      <c r="AY2" s="101">
        <f t="shared" si="0"/>
        <v>46</v>
      </c>
      <c r="AZ2" s="101">
        <f t="shared" si="0"/>
        <v>47</v>
      </c>
      <c r="BA2" s="101">
        <f t="shared" si="0"/>
        <v>48</v>
      </c>
      <c r="BB2" s="101">
        <f t="shared" si="0"/>
        <v>49</v>
      </c>
      <c r="BC2" s="101">
        <f t="shared" ref="BC2" si="1">+BB2+1</f>
        <v>50</v>
      </c>
      <c r="BD2" s="101">
        <f t="shared" ref="BD2" si="2">+BC2+1</f>
        <v>51</v>
      </c>
      <c r="BE2" s="101">
        <f t="shared" ref="BE2" si="3">+BD2+1</f>
        <v>52</v>
      </c>
      <c r="BI2" s="102"/>
    </row>
    <row r="3" spans="1:83" x14ac:dyDescent="0.15">
      <c r="A3" s="103">
        <v>228</v>
      </c>
      <c r="B3" s="98" t="str">
        <f>VLOOKUP($A3,'Rate Calculation'!$A$4:$AQ$208,42,FALSE)</f>
        <v>160468600</v>
      </c>
      <c r="C3" s="98" t="str">
        <f>VLOOKUP($A3,'Rate Calculation'!$A$4:$AQ$208,43,FALSE)</f>
        <v>Adelphi Nursing and Rehabilitation Center, LLC</v>
      </c>
      <c r="D3" s="98" t="str">
        <f>VLOOKUP($A3,'Rate Calculation'!$A$4:$F$208,5,FALSE)</f>
        <v>WASHINGTON METRO</v>
      </c>
      <c r="E3" s="98" t="str">
        <f>VLOOKUP($A3,'Rate Calculation'!$A$4:$F$208,6,FALSE)</f>
        <v>WASHINGTON METRO</v>
      </c>
      <c r="F3" s="105">
        <f>+W3</f>
        <v>103.73</v>
      </c>
      <c r="G3" s="105">
        <f>+Y3</f>
        <v>19.829999999999998</v>
      </c>
      <c r="H3" s="105">
        <f>+AO3</f>
        <v>28.27</v>
      </c>
      <c r="I3" s="105">
        <f>+AW3</f>
        <v>154.22</v>
      </c>
      <c r="J3" s="105">
        <f>VLOOKUP($A3,'Rate Calculation'!$A$4:$AZ$208,34,FALSE)</f>
        <v>0</v>
      </c>
      <c r="K3" s="105">
        <f>SUM(F3:J3)</f>
        <v>306.05</v>
      </c>
      <c r="L3" s="164">
        <f t="shared" ref="L3:L67" si="4">+_baf</f>
        <v>0.98772000000000004</v>
      </c>
      <c r="M3" s="105">
        <f>ROUND(K3*L3,2)</f>
        <v>302.29000000000002</v>
      </c>
      <c r="N3" s="105">
        <f>VLOOKUP($A3,'Rate Calculation'!$A$4:$AL$208,38,FALSE)</f>
        <v>28.72</v>
      </c>
      <c r="O3" s="183">
        <f>VLOOKUP($A3,'Rate Calculation'!$A$4:$I$208,9,FALSE)</f>
        <v>1.3339000000000001</v>
      </c>
      <c r="P3" s="183">
        <f t="shared" ref="P3:P66" si="5">+SW_CR_CMI</f>
        <v>1.4432</v>
      </c>
      <c r="Q3" s="183">
        <f>VLOOKUP(A3,'CMI Data'!$A$4:$C$208,3,FALSE)</f>
        <v>1.3796999999999999</v>
      </c>
      <c r="R3" s="246">
        <f>VLOOKUP($A3,FRV!$A$4:$K$208,11,FALSE)</f>
        <v>62050</v>
      </c>
      <c r="S3" s="246">
        <f t="shared" ref="S3:S66" si="6">ROUND(R3*Min_Occ,2)</f>
        <v>50589</v>
      </c>
      <c r="T3" s="246">
        <f>VLOOKUP($A3,FRV!$A$4:$L$208,12,FALSE)</f>
        <v>59639</v>
      </c>
      <c r="U3" s="183">
        <f>Inflation!$G$24</f>
        <v>1.0309999999999999</v>
      </c>
      <c r="V3" s="247">
        <f>VLOOKUP($A3,'Rate Calculation'!A4:X208,24,FALSE)</f>
        <v>100.61</v>
      </c>
      <c r="W3" s="110">
        <f>ROUND(V3*$U3,2)</f>
        <v>103.73</v>
      </c>
      <c r="X3" s="110">
        <f>VLOOKUP($A3,'Rate Calculation'!A4:V208,22,FALSE)</f>
        <v>19.23</v>
      </c>
      <c r="Y3" s="110">
        <f>ROUND(X3*$U3,2)</f>
        <v>19.829999999999998</v>
      </c>
      <c r="Z3" s="212">
        <f>VLOOKUP($A3,FRV!$A$4:$D$208,4,FALSE)</f>
        <v>45108</v>
      </c>
      <c r="AA3" s="212">
        <f>VLOOKUP($A3,FRV!$A$4:$F$208,6,FALSE)</f>
        <v>45291</v>
      </c>
      <c r="AB3" s="248">
        <f>VLOOKUP($A3,FRV!$A$4:$U$208,13,FALSE)</f>
        <v>15167074</v>
      </c>
      <c r="AC3" s="248">
        <f>VLOOKUP($A3,FRV!$A$4:$U$208,15,FALSE)</f>
        <v>394609</v>
      </c>
      <c r="AD3" s="248">
        <f>VLOOKUP($A3,FRV!$A$4:$U$208,14,FALSE)</f>
        <v>22000</v>
      </c>
      <c r="AE3" s="248">
        <f>VLOOKUP($A3,FRV!$A$4:$U$208,7,FALSE)</f>
        <v>170</v>
      </c>
      <c r="AF3" s="107">
        <f>ROUND(AB3+AC3+(AD3*AE3),0)</f>
        <v>19301683</v>
      </c>
      <c r="AG3" s="107">
        <f>ROUND(AF3/AE3,0)</f>
        <v>113539</v>
      </c>
      <c r="AH3" s="107">
        <v>120000</v>
      </c>
      <c r="AI3" s="107">
        <f>IF(AG3=0,120000,MIN(AH3,AG3))</f>
        <v>113539</v>
      </c>
      <c r="AJ3" s="107">
        <f>AE3*AI3</f>
        <v>19301630</v>
      </c>
      <c r="AK3" s="249">
        <f>IF(VLOOKUP($A3,'Rate Calculation'!$A$4:$D$208,4,FALSE)="baltimore city",0.1,0.08)</f>
        <v>0.08</v>
      </c>
      <c r="AL3" s="107">
        <f>ROUND(AE3*AI3*AK3,0)</f>
        <v>1544130</v>
      </c>
      <c r="AM3" s="105">
        <f>IF(ISERROR(MATCH(A3&amp;AA3,'Days Exceptions'!$C$3:$C$16,0)),ROUND(AL3/(MAX(S3,T3)),2),ROUND(AL3/VLOOKUP(A3,'Days Exceptions'!$A$3:$J$16,8,FALSE),2))</f>
        <v>25.89</v>
      </c>
      <c r="AN3" s="213">
        <f>VLOOKUP($A3,'Rate Calculation'!$A$4:$AF$208,32,FALSE)</f>
        <v>2.38</v>
      </c>
      <c r="AO3" s="109">
        <f>+AM3+AN3</f>
        <v>28.27</v>
      </c>
      <c r="AP3" s="247">
        <f>VLOOKUP($A3,'Rate Calculation'!$A$4:$Q$208,17,FALSE)</f>
        <v>136.49</v>
      </c>
      <c r="AQ3" s="247">
        <f t="shared" ref="AQ3:AQ9" si="7">IF(AP3="NA","NA",ROUND(AP3*U3,2))</f>
        <v>140.72</v>
      </c>
      <c r="AR3" s="247">
        <f>VLOOKUP($A3,'Rate Calculation'!$A$4:$K$208,11,FALSE)</f>
        <v>176.01</v>
      </c>
      <c r="AS3" s="247">
        <f>ROUND(AR3*U3,2)</f>
        <v>181.47</v>
      </c>
      <c r="AT3" s="110">
        <f>IF(AP3="NA","NA",ROUND(AS3*(O3/P3),2))</f>
        <v>167.73</v>
      </c>
      <c r="AU3" s="110">
        <f>IF(O3="NA",ROUND(AS3*Q3,2),ROUND(AT3*(Q3/O3),2))</f>
        <v>173.49</v>
      </c>
      <c r="AV3" s="111">
        <f>(MAX(0,AZ3))*-1</f>
        <v>-19.27</v>
      </c>
      <c r="AW3" s="110">
        <f>+AU3+AV3</f>
        <v>154.22</v>
      </c>
      <c r="AX3" s="105">
        <f>IF(AP3="NA","NA",ROUND(AQ3*(Q3/O3),2))</f>
        <v>145.55000000000001</v>
      </c>
      <c r="AY3" s="105">
        <f>ROUND(AU3*0.95,2)</f>
        <v>164.82</v>
      </c>
      <c r="AZ3" s="105">
        <f>IF(AX3="NA",0,AY3-AX3)</f>
        <v>19.27</v>
      </c>
      <c r="BA3" s="105">
        <f>F3+G3+H3+ROUND(I3*0.5,2)+J3</f>
        <v>228.94</v>
      </c>
      <c r="BB3" s="105">
        <f>F3+G3+H3+J3</f>
        <v>151.83000000000001</v>
      </c>
      <c r="BC3" s="110">
        <f>M3+N3</f>
        <v>331.01</v>
      </c>
      <c r="BD3" s="110">
        <f>N3+BA3</f>
        <v>257.66000000000003</v>
      </c>
      <c r="BE3" s="110">
        <f>N3+BB3</f>
        <v>180.55</v>
      </c>
      <c r="BF3" s="105"/>
      <c r="BG3" s="105"/>
      <c r="BH3" s="111"/>
      <c r="BI3" s="105"/>
      <c r="BJ3" s="105"/>
      <c r="BK3" s="109"/>
      <c r="BL3" s="111"/>
      <c r="BM3" s="109"/>
      <c r="BN3" s="109"/>
      <c r="BO3" s="105"/>
      <c r="BP3" s="105"/>
      <c r="BQ3" s="109"/>
      <c r="BR3" s="110"/>
      <c r="BS3" s="110"/>
      <c r="BT3" s="110"/>
      <c r="BU3" s="110"/>
      <c r="BV3" s="110"/>
      <c r="BW3" s="112"/>
      <c r="BX3" s="112"/>
      <c r="BY3" s="110"/>
      <c r="BZ3" s="105"/>
      <c r="CA3" s="105"/>
      <c r="CB3" s="105"/>
      <c r="CC3" s="105"/>
      <c r="CD3" s="105"/>
      <c r="CE3" s="105"/>
    </row>
    <row r="4" spans="1:83" x14ac:dyDescent="0.15">
      <c r="A4" s="103">
        <v>70</v>
      </c>
      <c r="B4" s="98" t="str">
        <f>VLOOKUP($A4,'Rate Calculation'!$A$4:$AQ$208,42,FALSE)</f>
        <v>339068300</v>
      </c>
      <c r="C4" s="98" t="str">
        <f>VLOOKUP($A4,'Rate Calculation'!$A$4:$AQ$208,43,FALSE)</f>
        <v>Advanced Rehab at Autumn Lake Healthcare</v>
      </c>
      <c r="D4" s="98" t="str">
        <f>VLOOKUP($A4,'Rate Calculation'!$A$4:$F$208,5,FALSE)</f>
        <v>BALTIMORE METRO</v>
      </c>
      <c r="E4" s="98" t="str">
        <f>VLOOKUP($A4,'Rate Calculation'!$A$4:$F$208,6,FALSE)</f>
        <v>BALTIMORE METRO</v>
      </c>
      <c r="F4" s="105">
        <f t="shared" ref="F4:F67" si="8">+W4</f>
        <v>105.18</v>
      </c>
      <c r="G4" s="105">
        <f t="shared" ref="G4:G67" si="9">+Y4</f>
        <v>21.5</v>
      </c>
      <c r="H4" s="105">
        <f t="shared" ref="H4:H67" si="10">+AO4</f>
        <v>34.74</v>
      </c>
      <c r="I4" s="105">
        <f t="shared" ref="I4:I67" si="11">+AW4</f>
        <v>214.45</v>
      </c>
      <c r="J4" s="105">
        <f>VLOOKUP($A4,'Rate Calculation'!$A$4:$AZ$208,34,FALSE)</f>
        <v>0</v>
      </c>
      <c r="K4" s="105">
        <f t="shared" ref="K4:K68" si="12">SUM(F4:J4)</f>
        <v>375.87</v>
      </c>
      <c r="L4" s="164">
        <f t="shared" si="4"/>
        <v>0.98772000000000004</v>
      </c>
      <c r="M4" s="105">
        <f t="shared" ref="M4:M68" si="13">ROUND(K4*L4,2)</f>
        <v>371.25</v>
      </c>
      <c r="N4" s="105">
        <f>VLOOKUP($A4,'Rate Calculation'!$A$4:$AL$208,38,FALSE)</f>
        <v>7.6</v>
      </c>
      <c r="O4" s="183">
        <f>VLOOKUP($A4,'Rate Calculation'!$A$4:$I$208,9,FALSE)</f>
        <v>1.4508000000000001</v>
      </c>
      <c r="P4" s="183">
        <f t="shared" si="5"/>
        <v>1.4432</v>
      </c>
      <c r="Q4" s="183">
        <f>VLOOKUP(A4,'CMI Data'!$A$4:$C$208,3,FALSE)</f>
        <v>1.5367999999999999</v>
      </c>
      <c r="R4" s="246">
        <f>VLOOKUP($A4,FRV!$A$4:$K$208,11,FALSE)</f>
        <v>40150</v>
      </c>
      <c r="S4" s="246">
        <f t="shared" si="6"/>
        <v>32734</v>
      </c>
      <c r="T4" s="246">
        <f>VLOOKUP($A4,FRV!$A$4:$L$208,12,FALSE)</f>
        <v>28102</v>
      </c>
      <c r="U4" s="183">
        <f>Inflation!$G$24</f>
        <v>1.0309999999999999</v>
      </c>
      <c r="V4" s="247">
        <f>VLOOKUP($A4,'Rate Calculation'!A5:X209,24,FALSE)</f>
        <v>102.02</v>
      </c>
      <c r="W4" s="110">
        <f t="shared" ref="W4:W67" si="14">ROUND(V4*$U4,2)</f>
        <v>105.18</v>
      </c>
      <c r="X4" s="110">
        <f>VLOOKUP($A4,'Rate Calculation'!A5:V209,22,FALSE)</f>
        <v>20.85</v>
      </c>
      <c r="Y4" s="110">
        <f t="shared" ref="Y4:Y67" si="15">ROUND(X4*$U4,2)</f>
        <v>21.5</v>
      </c>
      <c r="Z4" s="212">
        <f>VLOOKUP($A4,FRV!$A$4:$D$208,4,FALSE)</f>
        <v>44743</v>
      </c>
      <c r="AA4" s="212">
        <f>VLOOKUP($A4,FRV!$A$4:$F$208,6,FALSE)</f>
        <v>44926</v>
      </c>
      <c r="AB4" s="248">
        <f>VLOOKUP($A4,FRV!$A$4:$U$208,13,FALSE)</f>
        <v>16915364</v>
      </c>
      <c r="AC4" s="248">
        <f>VLOOKUP($A4,FRV!$A$4:$U$208,15,FALSE)</f>
        <v>424113</v>
      </c>
      <c r="AD4" s="248">
        <f>VLOOKUP($A4,FRV!$A$4:$U$208,14,FALSE)</f>
        <v>25000</v>
      </c>
      <c r="AE4" s="248">
        <f>VLOOKUP($A4,FRV!$A$4:$U$208,7,FALSE)</f>
        <v>110</v>
      </c>
      <c r="AF4" s="107">
        <f t="shared" ref="AF4:AF67" si="16">ROUND(AB4+AC4+(AD4*AE4),0)</f>
        <v>20089477</v>
      </c>
      <c r="AG4" s="107">
        <f t="shared" ref="AG4:AG67" si="17">ROUND(AF4/AE4,0)</f>
        <v>182632</v>
      </c>
      <c r="AH4" s="107">
        <v>120000</v>
      </c>
      <c r="AI4" s="107">
        <f t="shared" ref="AI4:AI67" si="18">IF(AG4=0,120000,MIN(AH4,AG4))</f>
        <v>120000</v>
      </c>
      <c r="AJ4" s="107">
        <f t="shared" ref="AJ4:AJ67" si="19">AE4*AI4</f>
        <v>13200000</v>
      </c>
      <c r="AK4" s="249">
        <f>IF(VLOOKUP($A4,'Rate Calculation'!$A$4:$D$208,4,FALSE)="baltimore city",0.1,0.08)</f>
        <v>0.08</v>
      </c>
      <c r="AL4" s="107">
        <f t="shared" ref="AL4:AL67" si="20">ROUND(AE4*AI4*AK4,0)</f>
        <v>1056000</v>
      </c>
      <c r="AM4" s="105">
        <f>IF(ISERROR(MATCH(A4&amp;AA4,'Days Exceptions'!$C$3:$C$16,0)),ROUND(AL4/(MAX(S4,T4)),2),ROUND(AL4/VLOOKUP(A4,'Days Exceptions'!$A$3:$J$16,8,FALSE),2))</f>
        <v>32.26</v>
      </c>
      <c r="AN4" s="213">
        <f>VLOOKUP($A4,'Rate Calculation'!$A$4:$AF$208,32,FALSE)</f>
        <v>2.48</v>
      </c>
      <c r="AO4" s="109">
        <f t="shared" ref="AO4:AO67" si="21">+AM4+AN4</f>
        <v>34.74</v>
      </c>
      <c r="AP4" s="247">
        <f>VLOOKUP($A4,'Rate Calculation'!$A$4:$Q$208,17,FALSE)</f>
        <v>308.72000000000003</v>
      </c>
      <c r="AQ4" s="247">
        <f t="shared" si="7"/>
        <v>318.29000000000002</v>
      </c>
      <c r="AR4" s="247">
        <f>VLOOKUP($A4,'Rate Calculation'!$A$4:$K$208,11,FALSE)</f>
        <v>195.33</v>
      </c>
      <c r="AS4" s="247">
        <f t="shared" ref="AS4:AS67" si="22">ROUND(AR4*U4,2)</f>
        <v>201.39</v>
      </c>
      <c r="AT4" s="110">
        <f t="shared" ref="AT4:AT67" si="23">IF(AP4="NA","NA",ROUND(AS4*(O4/P4),2))</f>
        <v>202.45</v>
      </c>
      <c r="AU4" s="110">
        <f t="shared" ref="AU4:AU67" si="24">IF(O4="NA",ROUND(AS4*Q4,2),ROUND(AT4*(Q4/O4),2))</f>
        <v>214.45</v>
      </c>
      <c r="AV4" s="111">
        <f t="shared" ref="AV4:AV67" si="25">(MAX(0,AZ4))*-1</f>
        <v>0</v>
      </c>
      <c r="AW4" s="110">
        <f t="shared" ref="AW4:AW67" si="26">+AU4+AV4</f>
        <v>214.45</v>
      </c>
      <c r="AX4" s="105">
        <f t="shared" ref="AX4:AX67" si="27">IF(AP4="NA","NA",ROUND(AQ4*(Q4/O4),2))</f>
        <v>337.16</v>
      </c>
      <c r="AY4" s="105">
        <f t="shared" ref="AY4:AY67" si="28">ROUND(AU4*0.95,2)</f>
        <v>203.73</v>
      </c>
      <c r="AZ4" s="105">
        <f t="shared" ref="AZ4:AZ67" si="29">IF(AX4="NA",0,AY4-AX4)</f>
        <v>-133.43</v>
      </c>
      <c r="BA4" s="105">
        <f t="shared" ref="BA4:BA67" si="30">F4+G4+H4+ROUND(I4*0.5,2)+J4</f>
        <v>268.64999999999998</v>
      </c>
      <c r="BB4" s="105">
        <f t="shared" ref="BB4:BB67" si="31">F4+G4+H4+J4</f>
        <v>161.41999999999999</v>
      </c>
      <c r="BC4" s="110">
        <f t="shared" ref="BC4:BC67" si="32">M4+N4</f>
        <v>378.85</v>
      </c>
      <c r="BD4" s="110">
        <f t="shared" ref="BD4:BD67" si="33">N4+BA4</f>
        <v>276.25</v>
      </c>
      <c r="BE4" s="110">
        <f t="shared" ref="BE4:BE67" si="34">N4+BB4</f>
        <v>169.02</v>
      </c>
      <c r="BF4" s="105"/>
      <c r="BG4" s="105"/>
      <c r="BH4" s="111"/>
      <c r="BI4" s="105"/>
      <c r="BJ4" s="105"/>
      <c r="BK4" s="109"/>
      <c r="BL4" s="111"/>
      <c r="BM4" s="109"/>
      <c r="BN4" s="109"/>
      <c r="BO4" s="105"/>
      <c r="BP4" s="105"/>
      <c r="BQ4" s="109"/>
      <c r="BR4" s="110"/>
      <c r="BS4" s="110"/>
      <c r="BT4" s="110"/>
      <c r="BU4" s="110"/>
      <c r="BV4" s="110"/>
      <c r="BW4" s="112"/>
      <c r="BX4" s="112"/>
      <c r="BY4" s="110"/>
      <c r="BZ4" s="105"/>
      <c r="CA4" s="105"/>
      <c r="CB4" s="105"/>
      <c r="CC4" s="105"/>
      <c r="CD4" s="105"/>
      <c r="CE4" s="105"/>
    </row>
    <row r="5" spans="1:83" x14ac:dyDescent="0.15">
      <c r="A5" s="103">
        <v>30</v>
      </c>
      <c r="B5" s="98" t="str">
        <f>VLOOKUP($A5,'Rate Calculation'!$A$4:$AQ$208,42,FALSE)</f>
        <v>198407100</v>
      </c>
      <c r="C5" s="98" t="str">
        <f>VLOOKUP($A5,'Rate Calculation'!$A$4:$AQ$208,43,FALSE)</f>
        <v>Alice Byrd Tawes Nursing Home</v>
      </c>
      <c r="D5" s="98" t="str">
        <f>VLOOKUP($A5,'Rate Calculation'!$A$4:$F$208,5,FALSE)</f>
        <v>EASTERN REGION</v>
      </c>
      <c r="E5" s="98" t="str">
        <f>VLOOKUP($A5,'Rate Calculation'!$A$4:$F$208,6,FALSE)</f>
        <v>NON METRO</v>
      </c>
      <c r="F5" s="105">
        <f t="shared" si="8"/>
        <v>92.33</v>
      </c>
      <c r="G5" s="105">
        <f t="shared" si="9"/>
        <v>20.87</v>
      </c>
      <c r="H5" s="105">
        <f t="shared" si="10"/>
        <v>29.7</v>
      </c>
      <c r="I5" s="105">
        <f t="shared" si="11"/>
        <v>164.89</v>
      </c>
      <c r="J5" s="105">
        <f>VLOOKUP($A5,'Rate Calculation'!$A$4:$AZ$208,34,FALSE)</f>
        <v>0</v>
      </c>
      <c r="K5" s="105">
        <f t="shared" si="12"/>
        <v>307.79000000000002</v>
      </c>
      <c r="L5" s="164">
        <f t="shared" si="4"/>
        <v>0.98772000000000004</v>
      </c>
      <c r="M5" s="105">
        <f t="shared" si="13"/>
        <v>304.01</v>
      </c>
      <c r="N5" s="105">
        <f>VLOOKUP($A5,'Rate Calculation'!$A$4:$AL$208,38,FALSE)</f>
        <v>29.23</v>
      </c>
      <c r="O5" s="183">
        <f>VLOOKUP($A5,'Rate Calculation'!$A$4:$I$208,9,FALSE)</f>
        <v>1.2944</v>
      </c>
      <c r="P5" s="183">
        <f t="shared" si="5"/>
        <v>1.4432</v>
      </c>
      <c r="Q5" s="183">
        <f>VLOOKUP(A5,'CMI Data'!$A$4:$C$208,3,FALSE)</f>
        <v>1.2388999999999999</v>
      </c>
      <c r="R5" s="246">
        <f>VLOOKUP($A5,FRV!$A$4:$K$208,11,FALSE)</f>
        <v>27816</v>
      </c>
      <c r="S5" s="246">
        <f t="shared" si="6"/>
        <v>22678</v>
      </c>
      <c r="T5" s="246">
        <f>VLOOKUP($A5,FRV!$A$4:$L$208,12,FALSE)</f>
        <v>24565</v>
      </c>
      <c r="U5" s="183">
        <f>Inflation!$G$24</f>
        <v>1.0309999999999999</v>
      </c>
      <c r="V5" s="247">
        <f>VLOOKUP($A5,'Rate Calculation'!A6:X210,24,FALSE)</f>
        <v>89.55</v>
      </c>
      <c r="W5" s="110">
        <f t="shared" si="14"/>
        <v>92.33</v>
      </c>
      <c r="X5" s="110">
        <f>VLOOKUP($A5,'Rate Calculation'!A6:V210,22,FALSE)</f>
        <v>20.239999999999998</v>
      </c>
      <c r="Y5" s="110">
        <f t="shared" si="15"/>
        <v>20.87</v>
      </c>
      <c r="Z5" s="212">
        <f>VLOOKUP($A5,FRV!$A$4:$D$208,4,FALSE)</f>
        <v>45474</v>
      </c>
      <c r="AA5" s="212">
        <f>VLOOKUP($A5,FRV!$A$4:$F$208,6,FALSE)</f>
        <v>45473</v>
      </c>
      <c r="AB5" s="248">
        <f>VLOOKUP($A5,FRV!$A$4:$U$208,13,FALSE)</f>
        <v>16371571</v>
      </c>
      <c r="AC5" s="248">
        <f>VLOOKUP($A5,FRV!$A$4:$U$208,15,FALSE)</f>
        <v>412327</v>
      </c>
      <c r="AD5" s="248">
        <f>VLOOKUP($A5,FRV!$A$4:$U$208,14,FALSE)</f>
        <v>16000</v>
      </c>
      <c r="AE5" s="248">
        <f>VLOOKUP($A5,FRV!$A$4:$U$208,7,FALSE)</f>
        <v>76</v>
      </c>
      <c r="AF5" s="107">
        <f t="shared" si="16"/>
        <v>17999898</v>
      </c>
      <c r="AG5" s="107">
        <f t="shared" si="17"/>
        <v>236841</v>
      </c>
      <c r="AH5" s="107">
        <v>120000</v>
      </c>
      <c r="AI5" s="107">
        <f t="shared" si="18"/>
        <v>120000</v>
      </c>
      <c r="AJ5" s="107">
        <f t="shared" si="19"/>
        <v>9120000</v>
      </c>
      <c r="AK5" s="249">
        <f>IF(VLOOKUP($A5,'Rate Calculation'!$A$4:$D$208,4,FALSE)="baltimore city",0.1,0.08)</f>
        <v>0.08</v>
      </c>
      <c r="AL5" s="107">
        <f t="shared" si="20"/>
        <v>729600</v>
      </c>
      <c r="AM5" s="105">
        <f>IF(ISERROR(MATCH(A5&amp;AA5,'Days Exceptions'!$C$3:$C$16,0)),ROUND(AL5/(MAX(S5,T5)),2),ROUND(AL5/VLOOKUP(A5,'Days Exceptions'!$A$3:$J$16,8,FALSE),2))</f>
        <v>29.7</v>
      </c>
      <c r="AN5" s="213">
        <f>VLOOKUP($A5,'Rate Calculation'!$A$4:$AF$208,32,FALSE)</f>
        <v>0</v>
      </c>
      <c r="AO5" s="109">
        <f t="shared" si="21"/>
        <v>29.7</v>
      </c>
      <c r="AP5" s="247">
        <f>VLOOKUP($A5,'Rate Calculation'!$A$4:$Q$208,17,FALSE)</f>
        <v>283.08</v>
      </c>
      <c r="AQ5" s="247">
        <f t="shared" si="7"/>
        <v>291.86</v>
      </c>
      <c r="AR5" s="247">
        <f>VLOOKUP($A5,'Rate Calculation'!$A$4:$K$208,11,FALSE)</f>
        <v>186.31</v>
      </c>
      <c r="AS5" s="247">
        <f t="shared" si="22"/>
        <v>192.09</v>
      </c>
      <c r="AT5" s="110">
        <f t="shared" si="23"/>
        <v>172.28</v>
      </c>
      <c r="AU5" s="110">
        <f t="shared" si="24"/>
        <v>164.89</v>
      </c>
      <c r="AV5" s="111">
        <f t="shared" si="25"/>
        <v>0</v>
      </c>
      <c r="AW5" s="110">
        <f t="shared" si="26"/>
        <v>164.89</v>
      </c>
      <c r="AX5" s="105">
        <f t="shared" si="27"/>
        <v>279.35000000000002</v>
      </c>
      <c r="AY5" s="105">
        <f t="shared" si="28"/>
        <v>156.65</v>
      </c>
      <c r="AZ5" s="105">
        <f t="shared" si="29"/>
        <v>-122.7</v>
      </c>
      <c r="BA5" s="105">
        <f t="shared" si="30"/>
        <v>225.35</v>
      </c>
      <c r="BB5" s="105">
        <f t="shared" si="31"/>
        <v>142.9</v>
      </c>
      <c r="BC5" s="110">
        <f t="shared" si="32"/>
        <v>333.24</v>
      </c>
      <c r="BD5" s="110">
        <f t="shared" si="33"/>
        <v>254.58</v>
      </c>
      <c r="BE5" s="110">
        <f t="shared" si="34"/>
        <v>172.13</v>
      </c>
      <c r="BF5" s="105"/>
      <c r="BG5" s="105"/>
      <c r="BH5" s="111"/>
      <c r="BI5" s="105"/>
      <c r="BJ5" s="105"/>
      <c r="BK5" s="109"/>
      <c r="BL5" s="111"/>
      <c r="BM5" s="109"/>
      <c r="BN5" s="109"/>
      <c r="BO5" s="105"/>
      <c r="BP5" s="105"/>
      <c r="BQ5" s="109"/>
      <c r="BR5" s="110"/>
      <c r="BS5" s="110"/>
      <c r="BT5" s="110"/>
      <c r="BU5" s="110"/>
      <c r="BV5" s="110"/>
      <c r="BW5" s="112"/>
      <c r="BX5" s="112"/>
      <c r="BY5" s="110"/>
      <c r="BZ5" s="105"/>
      <c r="CA5" s="105"/>
      <c r="CB5" s="105"/>
      <c r="CC5" s="105"/>
      <c r="CD5" s="105"/>
      <c r="CE5" s="105"/>
    </row>
    <row r="6" spans="1:83" x14ac:dyDescent="0.15">
      <c r="A6" s="103">
        <v>34</v>
      </c>
      <c r="B6" s="98" t="str">
        <f>VLOOKUP($A6,'Rate Calculation'!$A$4:$AQ$208,42,FALSE)</f>
        <v>700095200</v>
      </c>
      <c r="C6" s="98" t="str">
        <f>VLOOKUP($A6,'Rate Calculation'!$A$4:$AQ$208,43,FALSE)</f>
        <v>Allegany Health Nursing and Rehabilitation</v>
      </c>
      <c r="D6" s="98" t="str">
        <f>VLOOKUP($A6,'Rate Calculation'!$A$4:$F$208,5,FALSE)</f>
        <v>WESTERN REGION</v>
      </c>
      <c r="E6" s="98" t="str">
        <f>VLOOKUP($A6,'Rate Calculation'!$A$4:$F$208,6,FALSE)</f>
        <v>NON METRO</v>
      </c>
      <c r="F6" s="105">
        <f t="shared" si="8"/>
        <v>92.33</v>
      </c>
      <c r="G6" s="105">
        <f t="shared" si="9"/>
        <v>20.87</v>
      </c>
      <c r="H6" s="105">
        <f t="shared" si="10"/>
        <v>35.020000000000003</v>
      </c>
      <c r="I6" s="105">
        <f t="shared" si="11"/>
        <v>170.4</v>
      </c>
      <c r="J6" s="105">
        <f>VLOOKUP($A6,'Rate Calculation'!$A$4:$AZ$208,34,FALSE)</f>
        <v>0</v>
      </c>
      <c r="K6" s="105">
        <f t="shared" si="12"/>
        <v>318.62</v>
      </c>
      <c r="L6" s="164">
        <f t="shared" si="4"/>
        <v>0.98772000000000004</v>
      </c>
      <c r="M6" s="105">
        <f t="shared" si="13"/>
        <v>314.70999999999998</v>
      </c>
      <c r="N6" s="105">
        <f>VLOOKUP($A6,'Rate Calculation'!$A$4:$AL$208,38,FALSE)</f>
        <v>26.1</v>
      </c>
      <c r="O6" s="183">
        <f>VLOOKUP($A6,'Rate Calculation'!$A$4:$I$208,9,FALSE)</f>
        <v>1.389</v>
      </c>
      <c r="P6" s="183">
        <f t="shared" si="5"/>
        <v>1.4432</v>
      </c>
      <c r="Q6" s="183">
        <f>VLOOKUP(A6,'CMI Data'!$A$4:$C$208,3,FALSE)</f>
        <v>1.5118</v>
      </c>
      <c r="R6" s="246">
        <f>VLOOKUP($A6,FRV!$A$4:$K$208,11,FALSE)</f>
        <v>55845</v>
      </c>
      <c r="S6" s="246">
        <f t="shared" si="6"/>
        <v>45530</v>
      </c>
      <c r="T6" s="246">
        <f>VLOOKUP($A6,FRV!$A$4:$L$208,12,FALSE)</f>
        <v>35399</v>
      </c>
      <c r="U6" s="183">
        <f>Inflation!$G$24</f>
        <v>1.0309999999999999</v>
      </c>
      <c r="V6" s="247">
        <f>VLOOKUP($A6,'Rate Calculation'!A7:X211,24,FALSE)</f>
        <v>89.55</v>
      </c>
      <c r="W6" s="110">
        <f t="shared" si="14"/>
        <v>92.33</v>
      </c>
      <c r="X6" s="110">
        <f>VLOOKUP($A6,'Rate Calculation'!A7:V211,22,FALSE)</f>
        <v>20.239999999999998</v>
      </c>
      <c r="Y6" s="110">
        <f t="shared" si="15"/>
        <v>20.87</v>
      </c>
      <c r="Z6" s="212">
        <f>VLOOKUP($A6,FRV!$A$4:$D$208,4,FALSE)</f>
        <v>44743</v>
      </c>
      <c r="AA6" s="212">
        <f>VLOOKUP($A6,FRV!$A$4:$F$208,6,FALSE)</f>
        <v>44926</v>
      </c>
      <c r="AB6" s="248">
        <f>VLOOKUP($A6,FRV!$A$4:$U$208,13,FALSE)</f>
        <v>17017786</v>
      </c>
      <c r="AC6" s="248">
        <f>VLOOKUP($A6,FRV!$A$4:$U$208,15,FALSE)</f>
        <v>573466</v>
      </c>
      <c r="AD6" s="248">
        <f>VLOOKUP($A6,FRV!$A$4:$U$208,14,FALSE)</f>
        <v>13000</v>
      </c>
      <c r="AE6" s="248">
        <f>VLOOKUP($A6,FRV!$A$4:$U$208,7,FALSE)</f>
        <v>153</v>
      </c>
      <c r="AF6" s="107">
        <f t="shared" si="16"/>
        <v>19580252</v>
      </c>
      <c r="AG6" s="107">
        <f t="shared" si="17"/>
        <v>127976</v>
      </c>
      <c r="AH6" s="107">
        <v>120000</v>
      </c>
      <c r="AI6" s="107">
        <f t="shared" si="18"/>
        <v>120000</v>
      </c>
      <c r="AJ6" s="107">
        <f t="shared" si="19"/>
        <v>18360000</v>
      </c>
      <c r="AK6" s="249">
        <f>IF(VLOOKUP($A6,'Rate Calculation'!$A$4:$D$208,4,FALSE)="baltimore city",0.1,0.08)</f>
        <v>0.08</v>
      </c>
      <c r="AL6" s="107">
        <f t="shared" si="20"/>
        <v>1468800</v>
      </c>
      <c r="AM6" s="105">
        <f>IF(ISERROR(MATCH(A6&amp;AA6,'Days Exceptions'!$C$3:$C$16,0)),ROUND(AL6/(MAX(S6,T6)),2),ROUND(AL6/VLOOKUP(A6,'Days Exceptions'!$A$3:$J$16,8,FALSE),2))</f>
        <v>32.26</v>
      </c>
      <c r="AN6" s="213">
        <f>VLOOKUP($A6,'Rate Calculation'!$A$4:$AF$208,32,FALSE)</f>
        <v>2.76</v>
      </c>
      <c r="AO6" s="109">
        <f t="shared" si="21"/>
        <v>35.020000000000003</v>
      </c>
      <c r="AP6" s="247">
        <f>VLOOKUP($A6,'Rate Calculation'!$A$4:$Q$208,17,FALSE)</f>
        <v>143.85</v>
      </c>
      <c r="AQ6" s="247">
        <f t="shared" si="7"/>
        <v>148.31</v>
      </c>
      <c r="AR6" s="247">
        <f>VLOOKUP($A6,'Rate Calculation'!$A$4:$K$208,11,FALSE)</f>
        <v>166.26</v>
      </c>
      <c r="AS6" s="247">
        <f t="shared" si="22"/>
        <v>171.41</v>
      </c>
      <c r="AT6" s="110">
        <f t="shared" si="23"/>
        <v>164.97</v>
      </c>
      <c r="AU6" s="110">
        <f t="shared" si="24"/>
        <v>179.55</v>
      </c>
      <c r="AV6" s="111">
        <f t="shared" si="25"/>
        <v>-9.15</v>
      </c>
      <c r="AW6" s="110">
        <f t="shared" si="26"/>
        <v>170.4</v>
      </c>
      <c r="AX6" s="105">
        <f t="shared" si="27"/>
        <v>161.41999999999999</v>
      </c>
      <c r="AY6" s="105">
        <f t="shared" si="28"/>
        <v>170.57</v>
      </c>
      <c r="AZ6" s="105">
        <f t="shared" si="29"/>
        <v>9.15</v>
      </c>
      <c r="BA6" s="105">
        <f t="shared" si="30"/>
        <v>233.42</v>
      </c>
      <c r="BB6" s="105">
        <f t="shared" si="31"/>
        <v>148.22</v>
      </c>
      <c r="BC6" s="110">
        <f t="shared" si="32"/>
        <v>340.81</v>
      </c>
      <c r="BD6" s="110">
        <f t="shared" si="33"/>
        <v>259.52</v>
      </c>
      <c r="BE6" s="110">
        <f t="shared" si="34"/>
        <v>174.32</v>
      </c>
      <c r="BF6" s="105"/>
      <c r="BG6" s="105"/>
      <c r="BH6" s="111"/>
      <c r="BI6" s="105"/>
      <c r="BJ6" s="105"/>
      <c r="BK6" s="109"/>
      <c r="BL6" s="111"/>
      <c r="BM6" s="109"/>
      <c r="BN6" s="109"/>
      <c r="BO6" s="105"/>
      <c r="BP6" s="105"/>
      <c r="BQ6" s="109"/>
      <c r="BR6" s="110"/>
      <c r="BS6" s="110"/>
      <c r="BT6" s="110"/>
      <c r="BU6" s="110"/>
      <c r="BV6" s="110"/>
      <c r="BW6" s="112"/>
      <c r="BX6" s="112"/>
      <c r="BY6" s="110"/>
      <c r="BZ6" s="105"/>
      <c r="CA6" s="105"/>
      <c r="CB6" s="105"/>
      <c r="CC6" s="105"/>
      <c r="CD6" s="105"/>
      <c r="CE6" s="105"/>
    </row>
    <row r="7" spans="1:83" x14ac:dyDescent="0.15">
      <c r="A7" s="103">
        <v>36</v>
      </c>
      <c r="B7" s="98" t="str">
        <f>VLOOKUP($A7,'Rate Calculation'!$A$4:$AQ$208,42,FALSE)</f>
        <v>419276100</v>
      </c>
      <c r="C7" s="98" t="str">
        <f>VLOOKUP($A7,'Rate Calculation'!$A$4:$AQ$208,43,FALSE)</f>
        <v>Althea Woodland Nursing Home</v>
      </c>
      <c r="D7" s="98" t="str">
        <f>VLOOKUP($A7,'Rate Calculation'!$A$4:$F$208,5,FALSE)</f>
        <v>WASHINGTON METRO</v>
      </c>
      <c r="E7" s="98" t="str">
        <f>VLOOKUP($A7,'Rate Calculation'!$A$4:$F$208,6,FALSE)</f>
        <v>WASHINGTON METRO</v>
      </c>
      <c r="F7" s="105">
        <f t="shared" si="8"/>
        <v>103.73</v>
      </c>
      <c r="G7" s="105">
        <f t="shared" si="9"/>
        <v>19.829999999999998</v>
      </c>
      <c r="H7" s="105">
        <f t="shared" si="10"/>
        <v>32.29</v>
      </c>
      <c r="I7" s="105">
        <f t="shared" si="11"/>
        <v>130.43</v>
      </c>
      <c r="J7" s="105">
        <f>VLOOKUP($A7,'Rate Calculation'!$A$4:$AZ$208,34,FALSE)</f>
        <v>0</v>
      </c>
      <c r="K7" s="105">
        <f t="shared" si="12"/>
        <v>286.27999999999997</v>
      </c>
      <c r="L7" s="164">
        <f t="shared" si="4"/>
        <v>0.98772000000000004</v>
      </c>
      <c r="M7" s="105">
        <f t="shared" si="13"/>
        <v>282.76</v>
      </c>
      <c r="N7" s="105">
        <f>VLOOKUP($A7,'Rate Calculation'!$A$4:$AL$208,38,FALSE)</f>
        <v>31.39</v>
      </c>
      <c r="O7" s="183">
        <f>VLOOKUP($A7,'Rate Calculation'!$A$4:$I$208,9,FALSE)</f>
        <v>1.2823</v>
      </c>
      <c r="P7" s="183">
        <f t="shared" si="5"/>
        <v>1.4432</v>
      </c>
      <c r="Q7" s="183">
        <f>VLOOKUP(A7,'CMI Data'!$A$4:$C$208,3,FALSE)</f>
        <v>1.2130000000000001</v>
      </c>
      <c r="R7" s="246">
        <f>VLOOKUP($A7,FRV!$A$4:$K$208,11,FALSE)</f>
        <v>18250</v>
      </c>
      <c r="S7" s="246">
        <f t="shared" si="6"/>
        <v>14879</v>
      </c>
      <c r="T7" s="246">
        <f>VLOOKUP($A7,FRV!$A$4:$L$208,12,FALSE)</f>
        <v>16729</v>
      </c>
      <c r="U7" s="183">
        <f>Inflation!$G$24</f>
        <v>1.0309999999999999</v>
      </c>
      <c r="V7" s="247">
        <f>VLOOKUP($A7,'Rate Calculation'!A8:X212,24,FALSE)</f>
        <v>100.61</v>
      </c>
      <c r="W7" s="110">
        <f t="shared" si="14"/>
        <v>103.73</v>
      </c>
      <c r="X7" s="110">
        <f>VLOOKUP($A7,'Rate Calculation'!A8:V212,22,FALSE)</f>
        <v>19.23</v>
      </c>
      <c r="Y7" s="110">
        <f t="shared" si="15"/>
        <v>19.829999999999998</v>
      </c>
      <c r="Z7" s="212">
        <f>VLOOKUP($A7,FRV!$A$4:$D$208,4,FALSE)</f>
        <v>45108</v>
      </c>
      <c r="AA7" s="212">
        <f>VLOOKUP($A7,FRV!$A$4:$F$208,6,FALSE)</f>
        <v>45291</v>
      </c>
      <c r="AB7" s="248">
        <f>VLOOKUP($A7,FRV!$A$4:$U$208,13,FALSE)</f>
        <v>5324760</v>
      </c>
      <c r="AC7" s="248">
        <f>VLOOKUP($A7,FRV!$A$4:$U$208,15,FALSE)</f>
        <v>109242</v>
      </c>
      <c r="AD7" s="248">
        <f>VLOOKUP($A7,FRV!$A$4:$U$208,14,FALSE)</f>
        <v>32000</v>
      </c>
      <c r="AE7" s="248">
        <f>VLOOKUP($A7,FRV!$A$4:$U$208,7,FALSE)</f>
        <v>50</v>
      </c>
      <c r="AF7" s="107">
        <f t="shared" si="16"/>
        <v>7034002</v>
      </c>
      <c r="AG7" s="107">
        <f t="shared" si="17"/>
        <v>140680</v>
      </c>
      <c r="AH7" s="107">
        <v>120000</v>
      </c>
      <c r="AI7" s="107">
        <f t="shared" si="18"/>
        <v>120000</v>
      </c>
      <c r="AJ7" s="107">
        <f t="shared" si="19"/>
        <v>6000000</v>
      </c>
      <c r="AK7" s="249">
        <f>IF(VLOOKUP($A7,'Rate Calculation'!$A$4:$D$208,4,FALSE)="baltimore city",0.1,0.08)</f>
        <v>0.08</v>
      </c>
      <c r="AL7" s="107">
        <f t="shared" si="20"/>
        <v>480000</v>
      </c>
      <c r="AM7" s="105">
        <f>IF(ISERROR(MATCH(A7&amp;AA7,'Days Exceptions'!$C$3:$C$16,0)),ROUND(AL7/(MAX(S7,T7)),2),ROUND(AL7/VLOOKUP(A7,'Days Exceptions'!$A$3:$J$16,8,FALSE),2))</f>
        <v>28.69</v>
      </c>
      <c r="AN7" s="213">
        <f>VLOOKUP($A7,'Rate Calculation'!$A$4:$AF$208,32,FALSE)</f>
        <v>3.6</v>
      </c>
      <c r="AO7" s="109">
        <f t="shared" si="21"/>
        <v>32.29</v>
      </c>
      <c r="AP7" s="247">
        <f>VLOOKUP($A7,'Rate Calculation'!$A$4:$Q$208,17,FALSE)</f>
        <v>125.92</v>
      </c>
      <c r="AQ7" s="247">
        <f t="shared" si="7"/>
        <v>129.82</v>
      </c>
      <c r="AR7" s="247">
        <f>VLOOKUP($A7,'Rate Calculation'!$A$4:$K$208,11,FALSE)</f>
        <v>176.01</v>
      </c>
      <c r="AS7" s="247">
        <f t="shared" si="22"/>
        <v>181.47</v>
      </c>
      <c r="AT7" s="110">
        <f t="shared" si="23"/>
        <v>161.24</v>
      </c>
      <c r="AU7" s="110">
        <f t="shared" si="24"/>
        <v>152.53</v>
      </c>
      <c r="AV7" s="111">
        <f t="shared" si="25"/>
        <v>-22.1</v>
      </c>
      <c r="AW7" s="110">
        <f t="shared" si="26"/>
        <v>130.43</v>
      </c>
      <c r="AX7" s="105">
        <f t="shared" si="27"/>
        <v>122.8</v>
      </c>
      <c r="AY7" s="105">
        <f t="shared" si="28"/>
        <v>144.9</v>
      </c>
      <c r="AZ7" s="105">
        <f t="shared" si="29"/>
        <v>22.1</v>
      </c>
      <c r="BA7" s="105">
        <f t="shared" si="30"/>
        <v>221.07</v>
      </c>
      <c r="BB7" s="105">
        <f t="shared" si="31"/>
        <v>155.85</v>
      </c>
      <c r="BC7" s="110">
        <f t="shared" si="32"/>
        <v>314.14999999999998</v>
      </c>
      <c r="BD7" s="110">
        <f t="shared" si="33"/>
        <v>252.46</v>
      </c>
      <c r="BE7" s="110">
        <f t="shared" si="34"/>
        <v>187.24</v>
      </c>
      <c r="BF7" s="105"/>
      <c r="BG7" s="105"/>
      <c r="BH7" s="111"/>
      <c r="BI7" s="105"/>
      <c r="BJ7" s="105"/>
      <c r="BK7" s="109"/>
      <c r="BL7" s="111"/>
      <c r="BM7" s="109"/>
      <c r="BN7" s="109"/>
      <c r="BO7" s="105"/>
      <c r="BP7" s="105"/>
      <c r="BQ7" s="109"/>
      <c r="BR7" s="110"/>
      <c r="BS7" s="110"/>
      <c r="BT7" s="110"/>
      <c r="BU7" s="110"/>
      <c r="BV7" s="110"/>
      <c r="BW7" s="112"/>
      <c r="BX7" s="112"/>
      <c r="BY7" s="110"/>
      <c r="BZ7" s="105"/>
      <c r="CA7" s="105"/>
      <c r="CB7" s="105"/>
      <c r="CC7" s="105"/>
      <c r="CD7" s="105"/>
      <c r="CE7" s="105"/>
    </row>
    <row r="8" spans="1:83" x14ac:dyDescent="0.15">
      <c r="A8" s="103">
        <v>38</v>
      </c>
      <c r="B8" s="98" t="str">
        <f>VLOOKUP($A8,'Rate Calculation'!$A$4:$AQ$208,42,FALSE)</f>
        <v>420839100</v>
      </c>
      <c r="C8" s="98" t="str">
        <f>VLOOKUP($A8,'Rate Calculation'!$A$4:$AQ$208,43,FALSE)</f>
        <v>Anchorage Nursing and Rehabilitation Center</v>
      </c>
      <c r="D8" s="98" t="str">
        <f>VLOOKUP($A8,'Rate Calculation'!$A$4:$F$208,5,FALSE)</f>
        <v>EASTERN REGION</v>
      </c>
      <c r="E8" s="98" t="str">
        <f>VLOOKUP($A8,'Rate Calculation'!$A$4:$F$208,6,FALSE)</f>
        <v>NON METRO</v>
      </c>
      <c r="F8" s="105">
        <f t="shared" si="8"/>
        <v>92.33</v>
      </c>
      <c r="G8" s="105">
        <f t="shared" si="9"/>
        <v>20.87</v>
      </c>
      <c r="H8" s="105">
        <f t="shared" si="10"/>
        <v>35.909999999999997</v>
      </c>
      <c r="I8" s="105">
        <f t="shared" si="11"/>
        <v>159.15</v>
      </c>
      <c r="J8" s="105">
        <f>VLOOKUP($A8,'Rate Calculation'!$A$4:$AZ$208,34,FALSE)</f>
        <v>0</v>
      </c>
      <c r="K8" s="105">
        <f t="shared" si="12"/>
        <v>308.26</v>
      </c>
      <c r="L8" s="164">
        <f t="shared" si="4"/>
        <v>0.98772000000000004</v>
      </c>
      <c r="M8" s="105">
        <f t="shared" si="13"/>
        <v>304.47000000000003</v>
      </c>
      <c r="N8" s="105">
        <f>VLOOKUP($A8,'Rate Calculation'!$A$4:$AL$208,38,FALSE)</f>
        <v>31.25</v>
      </c>
      <c r="O8" s="183">
        <f>VLOOKUP($A8,'Rate Calculation'!$A$4:$I$208,9,FALSE)</f>
        <v>1.5242</v>
      </c>
      <c r="P8" s="183">
        <f t="shared" si="5"/>
        <v>1.4432</v>
      </c>
      <c r="Q8" s="183">
        <f>VLOOKUP(A8,'CMI Data'!$A$4:$C$208,3,FALSE)</f>
        <v>1.1957</v>
      </c>
      <c r="R8" s="246">
        <f>VLOOKUP($A8,FRV!$A$4:$K$208,11,FALSE)</f>
        <v>45990</v>
      </c>
      <c r="S8" s="246">
        <f t="shared" si="6"/>
        <v>37496</v>
      </c>
      <c r="T8" s="246">
        <f>VLOOKUP($A8,FRV!$A$4:$L$208,12,FALSE)</f>
        <v>34929</v>
      </c>
      <c r="U8" s="183">
        <f>Inflation!$G$24</f>
        <v>1.0309999999999999</v>
      </c>
      <c r="V8" s="247">
        <f>VLOOKUP($A8,'Rate Calculation'!A9:X213,24,FALSE)</f>
        <v>89.55</v>
      </c>
      <c r="W8" s="110">
        <f t="shared" si="14"/>
        <v>92.33</v>
      </c>
      <c r="X8" s="110">
        <f>VLOOKUP($A8,'Rate Calculation'!A9:V213,22,FALSE)</f>
        <v>20.239999999999998</v>
      </c>
      <c r="Y8" s="110">
        <f t="shared" si="15"/>
        <v>20.87</v>
      </c>
      <c r="Z8" s="212">
        <f>VLOOKUP($A8,FRV!$A$4:$D$208,4,FALSE)</f>
        <v>45108</v>
      </c>
      <c r="AA8" s="212">
        <f>VLOOKUP($A8,FRV!$A$4:$F$208,6,FALSE)</f>
        <v>45107</v>
      </c>
      <c r="AB8" s="248">
        <f>VLOOKUP($A8,FRV!$A$4:$U$208,13,FALSE)</f>
        <v>11854292</v>
      </c>
      <c r="AC8" s="248">
        <f>VLOOKUP($A8,FRV!$A$4:$U$208,15,FALSE)</f>
        <v>298177</v>
      </c>
      <c r="AD8" s="248">
        <f>VLOOKUP($A8,FRV!$A$4:$U$208,14,FALSE)</f>
        <v>17500</v>
      </c>
      <c r="AE8" s="248">
        <f>VLOOKUP($A8,FRV!$A$4:$U$208,7,FALSE)</f>
        <v>126</v>
      </c>
      <c r="AF8" s="107">
        <f t="shared" si="16"/>
        <v>14357469</v>
      </c>
      <c r="AG8" s="107">
        <f t="shared" si="17"/>
        <v>113948</v>
      </c>
      <c r="AH8" s="107">
        <v>120000</v>
      </c>
      <c r="AI8" s="107">
        <f t="shared" si="18"/>
        <v>113948</v>
      </c>
      <c r="AJ8" s="107">
        <f t="shared" si="19"/>
        <v>14357448</v>
      </c>
      <c r="AK8" s="249">
        <f>IF(VLOOKUP($A8,'Rate Calculation'!$A$4:$D$208,4,FALSE)="baltimore city",0.1,0.08)</f>
        <v>0.08</v>
      </c>
      <c r="AL8" s="107">
        <f t="shared" si="20"/>
        <v>1148596</v>
      </c>
      <c r="AM8" s="105">
        <f>IF(ISERROR(MATCH(A8&amp;AA8,'Days Exceptions'!$C$3:$C$16,0)),ROUND(AL8/(MAX(S8,T8)),2),ROUND(AL8/VLOOKUP(A8,'Days Exceptions'!$A$3:$J$16,8,FALSE),2))</f>
        <v>30.63</v>
      </c>
      <c r="AN8" s="213">
        <f>VLOOKUP($A8,'Rate Calculation'!$A$4:$AF$208,32,FALSE)</f>
        <v>5.28</v>
      </c>
      <c r="AO8" s="109">
        <f t="shared" si="21"/>
        <v>35.909999999999997</v>
      </c>
      <c r="AP8" s="247">
        <f>VLOOKUP($A8,'Rate Calculation'!$A$4:$Q$208,17,FALSE)</f>
        <v>191.03</v>
      </c>
      <c r="AQ8" s="247">
        <f t="shared" si="7"/>
        <v>196.95</v>
      </c>
      <c r="AR8" s="247">
        <f>VLOOKUP($A8,'Rate Calculation'!$A$4:$K$208,11,FALSE)</f>
        <v>186.31</v>
      </c>
      <c r="AS8" s="247">
        <f t="shared" si="22"/>
        <v>192.09</v>
      </c>
      <c r="AT8" s="110">
        <f t="shared" si="23"/>
        <v>202.87</v>
      </c>
      <c r="AU8" s="110">
        <f t="shared" si="24"/>
        <v>159.15</v>
      </c>
      <c r="AV8" s="111">
        <f t="shared" si="25"/>
        <v>0</v>
      </c>
      <c r="AW8" s="110">
        <f t="shared" si="26"/>
        <v>159.15</v>
      </c>
      <c r="AX8" s="105">
        <f t="shared" si="27"/>
        <v>154.5</v>
      </c>
      <c r="AY8" s="105">
        <f t="shared" si="28"/>
        <v>151.19</v>
      </c>
      <c r="AZ8" s="105">
        <f t="shared" si="29"/>
        <v>-3.31</v>
      </c>
      <c r="BA8" s="105">
        <f t="shared" si="30"/>
        <v>228.69</v>
      </c>
      <c r="BB8" s="105">
        <f t="shared" si="31"/>
        <v>149.11000000000001</v>
      </c>
      <c r="BC8" s="110">
        <f t="shared" si="32"/>
        <v>335.72</v>
      </c>
      <c r="BD8" s="110">
        <f t="shared" si="33"/>
        <v>259.94</v>
      </c>
      <c r="BE8" s="110">
        <f t="shared" si="34"/>
        <v>180.36</v>
      </c>
      <c r="BF8" s="105"/>
      <c r="BG8" s="105"/>
      <c r="BH8" s="111"/>
      <c r="BI8" s="105"/>
      <c r="BJ8" s="105"/>
      <c r="BK8" s="109"/>
      <c r="BL8" s="111"/>
      <c r="BM8" s="109"/>
      <c r="BN8" s="109"/>
      <c r="BO8" s="105"/>
      <c r="BP8" s="105"/>
      <c r="BQ8" s="109"/>
      <c r="BR8" s="110"/>
      <c r="BS8" s="110"/>
      <c r="BT8" s="110"/>
      <c r="BU8" s="110"/>
      <c r="BV8" s="110"/>
      <c r="BW8" s="112"/>
      <c r="BX8" s="112"/>
      <c r="BY8" s="110"/>
      <c r="BZ8" s="105"/>
      <c r="CA8" s="105"/>
      <c r="CB8" s="105"/>
      <c r="CC8" s="105"/>
      <c r="CD8" s="105"/>
      <c r="CE8" s="105"/>
    </row>
    <row r="9" spans="1:83" x14ac:dyDescent="0.15">
      <c r="A9" s="103">
        <v>224</v>
      </c>
      <c r="B9" s="98" t="str">
        <f>VLOOKUP($A9,'Rate Calculation'!$A$4:$AQ$208,42,FALSE)</f>
        <v>907396500</v>
      </c>
      <c r="C9" s="98" t="str">
        <f>VLOOKUP($A9,'Rate Calculation'!$A$4:$AQ$208,43,FALSE)</f>
        <v>Arlington West Care Center</v>
      </c>
      <c r="D9" s="98" t="str">
        <f>VLOOKUP($A9,'Rate Calculation'!$A$4:$F$208,5,FALSE)</f>
        <v>BALTIMORE METRO</v>
      </c>
      <c r="E9" s="98" t="str">
        <f>VLOOKUP($A9,'Rate Calculation'!$A$4:$F$208,6,FALSE)</f>
        <v>BALTIMORE CITY</v>
      </c>
      <c r="F9" s="105">
        <f t="shared" si="8"/>
        <v>117.69</v>
      </c>
      <c r="G9" s="105">
        <f t="shared" si="9"/>
        <v>25.66</v>
      </c>
      <c r="H9" s="105">
        <f t="shared" si="10"/>
        <v>40.119999999999997</v>
      </c>
      <c r="I9" s="105">
        <f t="shared" si="11"/>
        <v>188.03</v>
      </c>
      <c r="J9" s="105">
        <f>VLOOKUP($A9,'Rate Calculation'!$A$4:$AZ$208,34,FALSE)</f>
        <v>0</v>
      </c>
      <c r="K9" s="105">
        <f t="shared" si="12"/>
        <v>371.5</v>
      </c>
      <c r="L9" s="164">
        <f t="shared" si="4"/>
        <v>0.98772000000000004</v>
      </c>
      <c r="M9" s="105">
        <f t="shared" si="13"/>
        <v>366.94</v>
      </c>
      <c r="N9" s="105">
        <f>VLOOKUP($A9,'Rate Calculation'!$A$4:$AL$208,38,FALSE)</f>
        <v>28.66</v>
      </c>
      <c r="O9" s="183">
        <f>VLOOKUP($A9,'Rate Calculation'!$A$4:$I$208,9,FALSE)</f>
        <v>1.5634999999999999</v>
      </c>
      <c r="P9" s="183">
        <f t="shared" si="5"/>
        <v>1.4432</v>
      </c>
      <c r="Q9" s="183">
        <f>VLOOKUP(A9,'CMI Data'!$A$4:$C$208,3,FALSE)</f>
        <v>1.5579000000000001</v>
      </c>
      <c r="R9" s="246">
        <f>VLOOKUP($A9,FRV!$A$4:$K$208,11,FALSE)</f>
        <v>29930</v>
      </c>
      <c r="S9" s="246">
        <f t="shared" si="6"/>
        <v>24402</v>
      </c>
      <c r="T9" s="246">
        <f>VLOOKUP($A9,FRV!$A$4:$L$208,12,FALSE)</f>
        <v>28074</v>
      </c>
      <c r="U9" s="183">
        <f>Inflation!$G$24</f>
        <v>1.0309999999999999</v>
      </c>
      <c r="V9" s="247">
        <f>VLOOKUP($A9,'Rate Calculation'!A10:X214,24,FALSE)</f>
        <v>114.15</v>
      </c>
      <c r="W9" s="110">
        <f t="shared" si="14"/>
        <v>117.69</v>
      </c>
      <c r="X9" s="110">
        <f>VLOOKUP($A9,'Rate Calculation'!A10:V214,22,FALSE)</f>
        <v>24.89</v>
      </c>
      <c r="Y9" s="110">
        <f t="shared" si="15"/>
        <v>25.66</v>
      </c>
      <c r="Z9" s="212">
        <f>VLOOKUP($A9,FRV!$A$4:$D$208,4,FALSE)</f>
        <v>45108</v>
      </c>
      <c r="AA9" s="212">
        <f>VLOOKUP($A9,FRV!$A$4:$F$208,6,FALSE)</f>
        <v>45291</v>
      </c>
      <c r="AB9" s="248">
        <f>VLOOKUP($A9,FRV!$A$4:$U$208,13,FALSE)</f>
        <v>8329256</v>
      </c>
      <c r="AC9" s="248">
        <f>VLOOKUP($A9,FRV!$A$4:$U$208,15,FALSE)</f>
        <v>185065</v>
      </c>
      <c r="AD9" s="248">
        <f>VLOOKUP($A9,FRV!$A$4:$U$208,14,FALSE)</f>
        <v>21000</v>
      </c>
      <c r="AE9" s="248">
        <f>VLOOKUP($A9,FRV!$A$4:$U$208,7,FALSE)</f>
        <v>82</v>
      </c>
      <c r="AF9" s="107">
        <f t="shared" si="16"/>
        <v>10236321</v>
      </c>
      <c r="AG9" s="107">
        <f t="shared" si="17"/>
        <v>124833</v>
      </c>
      <c r="AH9" s="107">
        <v>120000</v>
      </c>
      <c r="AI9" s="107">
        <f t="shared" si="18"/>
        <v>120000</v>
      </c>
      <c r="AJ9" s="107">
        <f t="shared" si="19"/>
        <v>9840000</v>
      </c>
      <c r="AK9" s="249">
        <f>IF(VLOOKUP($A9,'Rate Calculation'!$A$4:$D$208,4,FALSE)="baltimore city",0.1,0.08)</f>
        <v>0.1</v>
      </c>
      <c r="AL9" s="107">
        <f t="shared" si="20"/>
        <v>984000</v>
      </c>
      <c r="AM9" s="105">
        <f>IF(ISERROR(MATCH(A9&amp;AA9,'Days Exceptions'!$C$3:$C$16,0)),ROUND(AL9/(MAX(S9,T9)),2),ROUND(AL9/VLOOKUP(A9,'Days Exceptions'!$A$3:$J$16,8,FALSE),2))</f>
        <v>35.049999999999997</v>
      </c>
      <c r="AN9" s="213">
        <f>VLOOKUP($A9,'Rate Calculation'!$A$4:$AF$208,32,FALSE)</f>
        <v>5.07</v>
      </c>
      <c r="AO9" s="109">
        <f t="shared" si="21"/>
        <v>40.119999999999997</v>
      </c>
      <c r="AP9" s="247">
        <f>VLOOKUP($A9,'Rate Calculation'!$A$4:$Q$208,17,FALSE)</f>
        <v>172.45</v>
      </c>
      <c r="AQ9" s="247">
        <f t="shared" si="7"/>
        <v>177.8</v>
      </c>
      <c r="AR9" s="247">
        <f>VLOOKUP($A9,'Rate Calculation'!$A$4:$K$208,11,FALSE)</f>
        <v>195.33</v>
      </c>
      <c r="AS9" s="247">
        <f t="shared" si="22"/>
        <v>201.39</v>
      </c>
      <c r="AT9" s="110">
        <f t="shared" si="23"/>
        <v>218.18</v>
      </c>
      <c r="AU9" s="110">
        <f t="shared" si="24"/>
        <v>217.4</v>
      </c>
      <c r="AV9" s="111">
        <f t="shared" si="25"/>
        <v>-29.37</v>
      </c>
      <c r="AW9" s="110">
        <f t="shared" si="26"/>
        <v>188.03</v>
      </c>
      <c r="AX9" s="105">
        <f t="shared" si="27"/>
        <v>177.16</v>
      </c>
      <c r="AY9" s="105">
        <f t="shared" si="28"/>
        <v>206.53</v>
      </c>
      <c r="AZ9" s="105">
        <f t="shared" si="29"/>
        <v>29.37</v>
      </c>
      <c r="BA9" s="105">
        <f t="shared" si="30"/>
        <v>277.49</v>
      </c>
      <c r="BB9" s="105">
        <f t="shared" si="31"/>
        <v>183.47</v>
      </c>
      <c r="BC9" s="110">
        <f t="shared" si="32"/>
        <v>395.6</v>
      </c>
      <c r="BD9" s="110">
        <f t="shared" si="33"/>
        <v>306.14999999999998</v>
      </c>
      <c r="BE9" s="110">
        <f t="shared" si="34"/>
        <v>212.13</v>
      </c>
      <c r="BF9" s="105"/>
      <c r="BG9" s="105"/>
      <c r="BH9" s="111"/>
      <c r="BI9" s="105"/>
      <c r="BJ9" s="105"/>
      <c r="BK9" s="109"/>
      <c r="BL9" s="111"/>
      <c r="BM9" s="109"/>
      <c r="BN9" s="109"/>
      <c r="BO9" s="105"/>
      <c r="BP9" s="105"/>
      <c r="BQ9" s="109"/>
      <c r="BR9" s="110"/>
      <c r="BS9" s="110"/>
      <c r="BT9" s="110"/>
      <c r="BU9" s="110"/>
      <c r="BV9" s="110"/>
      <c r="BW9" s="112"/>
      <c r="BX9" s="112"/>
      <c r="BY9" s="110"/>
      <c r="BZ9" s="105"/>
      <c r="CA9" s="105"/>
      <c r="CB9" s="105"/>
      <c r="CC9" s="105"/>
      <c r="CD9" s="105"/>
      <c r="CE9" s="105"/>
    </row>
    <row r="10" spans="1:83" x14ac:dyDescent="0.15">
      <c r="A10" s="103">
        <v>44</v>
      </c>
      <c r="B10" s="98" t="str">
        <f>VLOOKUP($A10,'Rate Calculation'!$A$4:$AQ$208,42,FALSE)</f>
        <v>300175000</v>
      </c>
      <c r="C10" s="98" t="str">
        <f>VLOOKUP($A10,'Rate Calculation'!$A$4:$AQ$208,43,FALSE)</f>
        <v>Asbury Solomons</v>
      </c>
      <c r="D10" s="98" t="str">
        <f>VLOOKUP($A10,'Rate Calculation'!$A$4:$F$208,5,FALSE)</f>
        <v>WASHINGTON METRO</v>
      </c>
      <c r="E10" s="98" t="str">
        <f>VLOOKUP($A10,'Rate Calculation'!$A$4:$F$208,6,FALSE)</f>
        <v>NON METRO</v>
      </c>
      <c r="F10" s="105">
        <f t="shared" si="8"/>
        <v>92.33</v>
      </c>
      <c r="G10" s="105">
        <f t="shared" si="9"/>
        <v>20.87</v>
      </c>
      <c r="H10" s="105">
        <f t="shared" si="10"/>
        <v>32.17</v>
      </c>
      <c r="I10" s="105">
        <f t="shared" si="11"/>
        <v>167.67</v>
      </c>
      <c r="J10" s="105">
        <f>VLOOKUP($A10,'Rate Calculation'!$A$4:$AZ$208,34,FALSE)</f>
        <v>0</v>
      </c>
      <c r="K10" s="105">
        <f t="shared" si="12"/>
        <v>313.04000000000002</v>
      </c>
      <c r="L10" s="164">
        <f t="shared" si="4"/>
        <v>0.98772000000000004</v>
      </c>
      <c r="M10" s="105">
        <f t="shared" si="13"/>
        <v>309.2</v>
      </c>
      <c r="N10" s="105">
        <f>VLOOKUP($A10,'Rate Calculation'!$A$4:$AL$208,38,FALSE)</f>
        <v>0</v>
      </c>
      <c r="O10" s="183">
        <f>VLOOKUP($A10,'Rate Calculation'!$A$4:$I$208,9,FALSE)</f>
        <v>1.3117000000000001</v>
      </c>
      <c r="P10" s="183">
        <f t="shared" si="5"/>
        <v>1.4432</v>
      </c>
      <c r="Q10" s="183">
        <f>VLOOKUP(A10,'CMI Data'!$A$4:$C$208,3,FALSE)</f>
        <v>1.3333999999999999</v>
      </c>
      <c r="R10" s="246">
        <f>VLOOKUP($A10,FRV!$A$4:$K$208,11,FALSE)</f>
        <v>17568</v>
      </c>
      <c r="S10" s="246">
        <f t="shared" si="6"/>
        <v>14323</v>
      </c>
      <c r="T10" s="246">
        <f>VLOOKUP($A10,FRV!$A$4:$L$208,12,FALSE)</f>
        <v>13052</v>
      </c>
      <c r="U10" s="183">
        <f>Inflation!$G$24</f>
        <v>1.0309999999999999</v>
      </c>
      <c r="V10" s="247">
        <f>VLOOKUP($A10,'Rate Calculation'!A11:X215,24,FALSE)</f>
        <v>89.55</v>
      </c>
      <c r="W10" s="110">
        <f t="shared" si="14"/>
        <v>92.33</v>
      </c>
      <c r="X10" s="110">
        <f>VLOOKUP($A10,'Rate Calculation'!A11:V215,22,FALSE)</f>
        <v>20.239999999999998</v>
      </c>
      <c r="Y10" s="110">
        <f t="shared" si="15"/>
        <v>20.87</v>
      </c>
      <c r="Z10" s="212">
        <f>VLOOKUP($A10,FRV!$A$4:$D$208,4,FALSE)</f>
        <v>45474</v>
      </c>
      <c r="AA10" s="212">
        <f>VLOOKUP($A10,FRV!$A$4:$F$208,6,FALSE)</f>
        <v>45657</v>
      </c>
      <c r="AB10" s="248">
        <f>VLOOKUP($A10,FRV!$A$4:$U$208,13,FALSE)</f>
        <v>10045250</v>
      </c>
      <c r="AC10" s="248">
        <f>VLOOKUP($A10,FRV!$A$4:$U$208,15,FALSE)</f>
        <v>410749</v>
      </c>
      <c r="AD10" s="248">
        <f>VLOOKUP($A10,FRV!$A$4:$U$208,14,FALSE)</f>
        <v>20500</v>
      </c>
      <c r="AE10" s="248">
        <f>VLOOKUP($A10,FRV!$A$4:$U$208,7,FALSE)</f>
        <v>48</v>
      </c>
      <c r="AF10" s="107">
        <f t="shared" si="16"/>
        <v>11439999</v>
      </c>
      <c r="AG10" s="107">
        <f t="shared" si="17"/>
        <v>238333</v>
      </c>
      <c r="AH10" s="107">
        <v>120000</v>
      </c>
      <c r="AI10" s="107">
        <f t="shared" si="18"/>
        <v>120000</v>
      </c>
      <c r="AJ10" s="107">
        <f t="shared" si="19"/>
        <v>5760000</v>
      </c>
      <c r="AK10" s="249">
        <f>IF(VLOOKUP($A10,'Rate Calculation'!$A$4:$D$208,4,FALSE)="baltimore city",0.1,0.08)</f>
        <v>0.08</v>
      </c>
      <c r="AL10" s="107">
        <f t="shared" si="20"/>
        <v>460800</v>
      </c>
      <c r="AM10" s="105">
        <f>IF(ISERROR(MATCH(A10&amp;AA10,'Days Exceptions'!$C$3:$C$16,0)),ROUND(AL10/(MAX(S10,T10)),2),ROUND(AL10/VLOOKUP(A10,'Days Exceptions'!$A$3:$J$16,8,FALSE),2))</f>
        <v>32.17</v>
      </c>
      <c r="AN10" s="213">
        <f>VLOOKUP($A10,'Rate Calculation'!$A$4:$AF$208,32,FALSE)</f>
        <v>0</v>
      </c>
      <c r="AO10" s="109">
        <f t="shared" si="21"/>
        <v>32.17</v>
      </c>
      <c r="AP10" s="247">
        <f>VLOOKUP($A10,'Rate Calculation'!$A$4:$Q$208,17,FALSE)</f>
        <v>174.65</v>
      </c>
      <c r="AQ10" s="247">
        <f t="shared" ref="AQ10:AQ73" si="35">IF(AP10="NA","NA",ROUND(AP10*U10,2))</f>
        <v>180.06</v>
      </c>
      <c r="AR10" s="247">
        <f>VLOOKUP($A10,'Rate Calculation'!$A$4:$K$208,11,FALSE)</f>
        <v>176.01</v>
      </c>
      <c r="AS10" s="247">
        <f t="shared" si="22"/>
        <v>181.47</v>
      </c>
      <c r="AT10" s="110">
        <f t="shared" si="23"/>
        <v>164.94</v>
      </c>
      <c r="AU10" s="110">
        <f t="shared" si="24"/>
        <v>167.67</v>
      </c>
      <c r="AV10" s="111">
        <f t="shared" si="25"/>
        <v>0</v>
      </c>
      <c r="AW10" s="110">
        <f t="shared" si="26"/>
        <v>167.67</v>
      </c>
      <c r="AX10" s="105">
        <f t="shared" si="27"/>
        <v>183.04</v>
      </c>
      <c r="AY10" s="105">
        <f t="shared" si="28"/>
        <v>159.29</v>
      </c>
      <c r="AZ10" s="105">
        <f t="shared" si="29"/>
        <v>-23.75</v>
      </c>
      <c r="BA10" s="105">
        <f t="shared" si="30"/>
        <v>229.21</v>
      </c>
      <c r="BB10" s="105">
        <f t="shared" si="31"/>
        <v>145.37</v>
      </c>
      <c r="BC10" s="110">
        <f t="shared" si="32"/>
        <v>309.2</v>
      </c>
      <c r="BD10" s="110">
        <f t="shared" si="33"/>
        <v>229.21</v>
      </c>
      <c r="BE10" s="110">
        <f t="shared" si="34"/>
        <v>145.37</v>
      </c>
      <c r="BF10" s="105"/>
      <c r="BG10" s="105"/>
      <c r="BH10" s="111"/>
      <c r="BI10" s="105"/>
      <c r="BJ10" s="105"/>
      <c r="BK10" s="109"/>
      <c r="BL10" s="111"/>
      <c r="BM10" s="109"/>
      <c r="BN10" s="109"/>
      <c r="BO10" s="105"/>
      <c r="BP10" s="105"/>
      <c r="BQ10" s="109"/>
      <c r="BR10" s="110"/>
      <c r="BS10" s="110"/>
      <c r="BT10" s="110"/>
      <c r="BU10" s="110"/>
      <c r="BV10" s="110"/>
      <c r="BW10" s="112"/>
      <c r="BX10" s="112"/>
      <c r="BY10" s="110"/>
      <c r="BZ10" s="105"/>
      <c r="CA10" s="105"/>
      <c r="CB10" s="105"/>
      <c r="CC10" s="105"/>
      <c r="CD10" s="105"/>
      <c r="CE10" s="105"/>
    </row>
    <row r="11" spans="1:83" x14ac:dyDescent="0.15">
      <c r="A11" s="103">
        <v>671</v>
      </c>
      <c r="B11" s="98" t="str">
        <f>VLOOKUP($A11,'Rate Calculation'!$A$4:$AQ$208,42,FALSE)</f>
        <v>407404100</v>
      </c>
      <c r="C11" s="98" t="str">
        <f>VLOOKUP($A11,'Rate Calculation'!$A$4:$AQ$208,43,FALSE)</f>
        <v>Atlee Hill Health and Rehabilitation Center</v>
      </c>
      <c r="D11" s="98" t="str">
        <f>VLOOKUP($A11,'Rate Calculation'!$A$4:$F$208,5,FALSE)</f>
        <v>BALTIMORE METRO</v>
      </c>
      <c r="E11" s="98" t="str">
        <f>VLOOKUP($A11,'Rate Calculation'!$A$4:$F$208,6,FALSE)</f>
        <v>BALTIMORE METRO</v>
      </c>
      <c r="F11" s="105">
        <f t="shared" si="8"/>
        <v>105.18</v>
      </c>
      <c r="G11" s="105">
        <f t="shared" si="9"/>
        <v>21.5</v>
      </c>
      <c r="H11" s="105">
        <f t="shared" si="10"/>
        <v>31.79</v>
      </c>
      <c r="I11" s="105">
        <f t="shared" si="11"/>
        <v>194.19</v>
      </c>
      <c r="J11" s="105">
        <f>VLOOKUP($A11,'Rate Calculation'!$A$4:$AZ$208,34,FALSE)</f>
        <v>0</v>
      </c>
      <c r="K11" s="105">
        <f t="shared" si="12"/>
        <v>352.66</v>
      </c>
      <c r="L11" s="164">
        <f t="shared" si="4"/>
        <v>0.98772000000000004</v>
      </c>
      <c r="M11" s="105">
        <f t="shared" si="13"/>
        <v>348.33</v>
      </c>
      <c r="N11" s="105">
        <f>VLOOKUP($A11,'Rate Calculation'!$A$4:$AL$208,38,FALSE)</f>
        <v>17.7</v>
      </c>
      <c r="O11" s="183">
        <f>VLOOKUP($A11,'Rate Calculation'!$A$4:$I$208,9,FALSE)</f>
        <v>1.4001999999999999</v>
      </c>
      <c r="P11" s="183">
        <f t="shared" si="5"/>
        <v>1.4432</v>
      </c>
      <c r="Q11" s="183">
        <f>VLOOKUP(A11,'CMI Data'!$A$4:$C$208,3,FALSE)</f>
        <v>1.3915999999999999</v>
      </c>
      <c r="R11" s="246">
        <f>VLOOKUP($A11,FRV!$A$4:$K$208,11,FALSE)</f>
        <v>21900</v>
      </c>
      <c r="S11" s="246">
        <f t="shared" si="6"/>
        <v>17855</v>
      </c>
      <c r="T11" s="246">
        <f>VLOOKUP($A11,FRV!$A$4:$L$208,12,FALSE)</f>
        <v>18850</v>
      </c>
      <c r="U11" s="183">
        <f>Inflation!$G$24</f>
        <v>1.0309999999999999</v>
      </c>
      <c r="V11" s="247">
        <f>VLOOKUP($A11,'Rate Calculation'!A12:X216,24,FALSE)</f>
        <v>102.02</v>
      </c>
      <c r="W11" s="110">
        <f t="shared" si="14"/>
        <v>105.18</v>
      </c>
      <c r="X11" s="110">
        <f>VLOOKUP($A11,'Rate Calculation'!A12:V216,22,FALSE)</f>
        <v>20.85</v>
      </c>
      <c r="Y11" s="110">
        <f t="shared" si="15"/>
        <v>21.5</v>
      </c>
      <c r="Z11" s="212">
        <f>VLOOKUP($A11,FRV!$A$4:$D$208,4,FALSE)</f>
        <v>44743</v>
      </c>
      <c r="AA11" s="212">
        <f>VLOOKUP($A11,FRV!$A$4:$F$208,6,FALSE)</f>
        <v>44926</v>
      </c>
      <c r="AB11" s="248">
        <f>VLOOKUP($A11,FRV!$A$4:$U$208,13,FALSE)</f>
        <v>17274698</v>
      </c>
      <c r="AC11" s="248">
        <f>VLOOKUP($A11,FRV!$A$4:$U$208,15,FALSE)</f>
        <v>394642</v>
      </c>
      <c r="AD11" s="248">
        <f>VLOOKUP($A11,FRV!$A$4:$U$208,14,FALSE)</f>
        <v>16000</v>
      </c>
      <c r="AE11" s="248">
        <f>VLOOKUP($A11,FRV!$A$4:$U$208,7,FALSE)</f>
        <v>60</v>
      </c>
      <c r="AF11" s="107">
        <f t="shared" si="16"/>
        <v>18629340</v>
      </c>
      <c r="AG11" s="107">
        <f t="shared" si="17"/>
        <v>310489</v>
      </c>
      <c r="AH11" s="107">
        <v>120000</v>
      </c>
      <c r="AI11" s="107">
        <f t="shared" si="18"/>
        <v>120000</v>
      </c>
      <c r="AJ11" s="107">
        <f t="shared" si="19"/>
        <v>7200000</v>
      </c>
      <c r="AK11" s="249">
        <f>IF(VLOOKUP($A11,'Rate Calculation'!$A$4:$D$208,4,FALSE)="baltimore city",0.1,0.08)</f>
        <v>0.08</v>
      </c>
      <c r="AL11" s="107">
        <f t="shared" si="20"/>
        <v>576000</v>
      </c>
      <c r="AM11" s="105">
        <f>IF(ISERROR(MATCH(A11&amp;AA11,'Days Exceptions'!$C$3:$C$16,0)),ROUND(AL11/(MAX(S11,T11)),2),ROUND(AL11/VLOOKUP(A11,'Days Exceptions'!$A$3:$J$16,8,FALSE),2))</f>
        <v>30.56</v>
      </c>
      <c r="AN11" s="213">
        <f>VLOOKUP($A11,'Rate Calculation'!$A$4:$AF$208,32,FALSE)</f>
        <v>1.23</v>
      </c>
      <c r="AO11" s="109">
        <f t="shared" si="21"/>
        <v>31.79</v>
      </c>
      <c r="AP11" s="247">
        <f>VLOOKUP($A11,'Rate Calculation'!$A$4:$Q$208,17,FALSE)</f>
        <v>225.89</v>
      </c>
      <c r="AQ11" s="247">
        <f t="shared" si="35"/>
        <v>232.89</v>
      </c>
      <c r="AR11" s="247">
        <f>VLOOKUP($A11,'Rate Calculation'!$A$4:$K$208,11,FALSE)</f>
        <v>195.33</v>
      </c>
      <c r="AS11" s="247">
        <f t="shared" si="22"/>
        <v>201.39</v>
      </c>
      <c r="AT11" s="110">
        <f t="shared" si="23"/>
        <v>195.39</v>
      </c>
      <c r="AU11" s="110">
        <f t="shared" si="24"/>
        <v>194.19</v>
      </c>
      <c r="AV11" s="111">
        <f t="shared" si="25"/>
        <v>0</v>
      </c>
      <c r="AW11" s="110">
        <f t="shared" si="26"/>
        <v>194.19</v>
      </c>
      <c r="AX11" s="105">
        <f t="shared" si="27"/>
        <v>231.46</v>
      </c>
      <c r="AY11" s="105">
        <f t="shared" si="28"/>
        <v>184.48</v>
      </c>
      <c r="AZ11" s="105">
        <f t="shared" si="29"/>
        <v>-46.98</v>
      </c>
      <c r="BA11" s="105">
        <f t="shared" si="30"/>
        <v>255.57</v>
      </c>
      <c r="BB11" s="105">
        <f t="shared" si="31"/>
        <v>158.47</v>
      </c>
      <c r="BC11" s="110">
        <f t="shared" si="32"/>
        <v>366.03</v>
      </c>
      <c r="BD11" s="110">
        <f t="shared" si="33"/>
        <v>273.27</v>
      </c>
      <c r="BE11" s="110">
        <f t="shared" si="34"/>
        <v>176.17</v>
      </c>
      <c r="BF11" s="105"/>
      <c r="BG11" s="105"/>
      <c r="BH11" s="111"/>
      <c r="BI11" s="105"/>
      <c r="BJ11" s="105"/>
      <c r="BK11" s="109"/>
      <c r="BL11" s="111"/>
      <c r="BM11" s="109"/>
      <c r="BN11" s="109"/>
      <c r="BO11" s="105"/>
      <c r="BP11" s="105"/>
      <c r="BQ11" s="109"/>
      <c r="BR11" s="110"/>
      <c r="BS11" s="110"/>
      <c r="BT11" s="110"/>
      <c r="BU11" s="110"/>
      <c r="BV11" s="110"/>
      <c r="BW11" s="112"/>
      <c r="BX11" s="112"/>
      <c r="BY11" s="110"/>
      <c r="BZ11" s="105"/>
      <c r="CA11" s="105"/>
      <c r="CB11" s="105"/>
      <c r="CC11" s="105"/>
      <c r="CD11" s="105"/>
      <c r="CE11" s="105"/>
    </row>
    <row r="12" spans="1:83" x14ac:dyDescent="0.15">
      <c r="A12" s="103">
        <v>46</v>
      </c>
      <c r="B12" s="98" t="str">
        <f>VLOOKUP($A12,'Rate Calculation'!$A$4:$AQ$208,42,FALSE)</f>
        <v>556124800</v>
      </c>
      <c r="C12" s="98" t="str">
        <f>VLOOKUP($A12,'Rate Calculation'!$A$4:$AQ$208,43,FALSE)</f>
        <v>Resorts of Augsburg Corp</v>
      </c>
      <c r="D12" s="98" t="str">
        <f>VLOOKUP($A12,'Rate Calculation'!$A$4:$F$208,5,FALSE)</f>
        <v>BALTIMORE METRO</v>
      </c>
      <c r="E12" s="98" t="str">
        <f>VLOOKUP($A12,'Rate Calculation'!$A$4:$F$208,6,FALSE)</f>
        <v>BALTIMORE METRO</v>
      </c>
      <c r="F12" s="105">
        <f t="shared" si="8"/>
        <v>105.18</v>
      </c>
      <c r="G12" s="105">
        <f t="shared" si="9"/>
        <v>21.5</v>
      </c>
      <c r="H12" s="105">
        <f t="shared" si="10"/>
        <v>36.42</v>
      </c>
      <c r="I12" s="105">
        <f t="shared" si="11"/>
        <v>195.89</v>
      </c>
      <c r="J12" s="105">
        <f>VLOOKUP($A12,'Rate Calculation'!$A$4:$AZ$208,34,FALSE)</f>
        <v>0</v>
      </c>
      <c r="K12" s="105">
        <f t="shared" si="12"/>
        <v>358.99</v>
      </c>
      <c r="L12" s="164">
        <f t="shared" si="4"/>
        <v>0.98772000000000004</v>
      </c>
      <c r="M12" s="105">
        <f t="shared" si="13"/>
        <v>354.58</v>
      </c>
      <c r="N12" s="105">
        <f>VLOOKUP($A12,'Rate Calculation'!$A$4:$AL$208,38,FALSE)</f>
        <v>0</v>
      </c>
      <c r="O12" s="183">
        <f>VLOOKUP($A12,'Rate Calculation'!$A$4:$I$208,9,FALSE)</f>
        <v>1.3243</v>
      </c>
      <c r="P12" s="183">
        <f t="shared" si="5"/>
        <v>1.4432</v>
      </c>
      <c r="Q12" s="183">
        <f>VLOOKUP(A12,'CMI Data'!$A$4:$C$208,3,FALSE)</f>
        <v>1.4037999999999999</v>
      </c>
      <c r="R12" s="246">
        <f>VLOOKUP($A12,FRV!$A$4:$K$208,11,FALSE)</f>
        <v>47946</v>
      </c>
      <c r="S12" s="246">
        <f t="shared" si="6"/>
        <v>39090</v>
      </c>
      <c r="T12" s="246">
        <f>VLOOKUP($A12,FRV!$A$4:$L$208,12,FALSE)</f>
        <v>38691</v>
      </c>
      <c r="U12" s="183">
        <f>Inflation!$G$24</f>
        <v>1.0309999999999999</v>
      </c>
      <c r="V12" s="247">
        <f>VLOOKUP($A12,'Rate Calculation'!A13:X217,24,FALSE)</f>
        <v>102.02</v>
      </c>
      <c r="W12" s="110">
        <f t="shared" si="14"/>
        <v>105.18</v>
      </c>
      <c r="X12" s="110">
        <f>VLOOKUP($A12,'Rate Calculation'!A13:V217,22,FALSE)</f>
        <v>20.85</v>
      </c>
      <c r="Y12" s="110">
        <f t="shared" si="15"/>
        <v>21.5</v>
      </c>
      <c r="Z12" s="212">
        <f>VLOOKUP($A12,FRV!$A$4:$D$208,4,FALSE)</f>
        <v>45474</v>
      </c>
      <c r="AA12" s="212">
        <f>VLOOKUP($A12,FRV!$A$4:$F$208,6,FALSE)</f>
        <v>45657</v>
      </c>
      <c r="AB12" s="248">
        <f>VLOOKUP($A12,FRV!$A$4:$U$208,13,FALSE)</f>
        <v>24573353</v>
      </c>
      <c r="AC12" s="248">
        <f>VLOOKUP($A12,FRV!$A$4:$U$208,15,FALSE)</f>
        <v>681481</v>
      </c>
      <c r="AD12" s="248">
        <f>VLOOKUP($A12,FRV!$A$4:$U$208,14,FALSE)</f>
        <v>27000</v>
      </c>
      <c r="AE12" s="248">
        <f>VLOOKUP($A12,FRV!$A$4:$U$208,7,FALSE)</f>
        <v>131</v>
      </c>
      <c r="AF12" s="107">
        <f t="shared" si="16"/>
        <v>28791834</v>
      </c>
      <c r="AG12" s="107">
        <f t="shared" si="17"/>
        <v>219785</v>
      </c>
      <c r="AH12" s="107">
        <v>120000</v>
      </c>
      <c r="AI12" s="107">
        <f t="shared" si="18"/>
        <v>120000</v>
      </c>
      <c r="AJ12" s="107">
        <f t="shared" si="19"/>
        <v>15720000</v>
      </c>
      <c r="AK12" s="249">
        <f>IF(VLOOKUP($A12,'Rate Calculation'!$A$4:$D$208,4,FALSE)="baltimore city",0.1,0.08)</f>
        <v>0.08</v>
      </c>
      <c r="AL12" s="107">
        <f t="shared" si="20"/>
        <v>1257600</v>
      </c>
      <c r="AM12" s="105">
        <f>IF(ISERROR(MATCH(A12&amp;AA12,'Days Exceptions'!$C$3:$C$16,0)),ROUND(AL12/(MAX(S12,T12)),2),ROUND(AL12/VLOOKUP(A12,'Days Exceptions'!$A$3:$J$16,8,FALSE),2))</f>
        <v>32.17</v>
      </c>
      <c r="AN12" s="213">
        <f>VLOOKUP($A12,'Rate Calculation'!$A$4:$AF$208,32,FALSE)</f>
        <v>4.25</v>
      </c>
      <c r="AO12" s="109">
        <f t="shared" si="21"/>
        <v>36.42</v>
      </c>
      <c r="AP12" s="247">
        <f>VLOOKUP($A12,'Rate Calculation'!$A$4:$Q$208,17,FALSE)</f>
        <v>184.63</v>
      </c>
      <c r="AQ12" s="247">
        <f t="shared" si="35"/>
        <v>190.35</v>
      </c>
      <c r="AR12" s="247">
        <f>VLOOKUP($A12,'Rate Calculation'!$A$4:$K$208,11,FALSE)</f>
        <v>195.33</v>
      </c>
      <c r="AS12" s="247">
        <f t="shared" si="22"/>
        <v>201.39</v>
      </c>
      <c r="AT12" s="110">
        <f t="shared" si="23"/>
        <v>184.8</v>
      </c>
      <c r="AU12" s="110">
        <f t="shared" si="24"/>
        <v>195.89</v>
      </c>
      <c r="AV12" s="111">
        <f t="shared" si="25"/>
        <v>0</v>
      </c>
      <c r="AW12" s="110">
        <f t="shared" si="26"/>
        <v>195.89</v>
      </c>
      <c r="AX12" s="105">
        <f t="shared" si="27"/>
        <v>201.78</v>
      </c>
      <c r="AY12" s="105">
        <f t="shared" si="28"/>
        <v>186.1</v>
      </c>
      <c r="AZ12" s="105">
        <f t="shared" si="29"/>
        <v>-15.68</v>
      </c>
      <c r="BA12" s="105">
        <f t="shared" si="30"/>
        <v>261.05</v>
      </c>
      <c r="BB12" s="105">
        <f t="shared" si="31"/>
        <v>163.1</v>
      </c>
      <c r="BC12" s="110">
        <f t="shared" si="32"/>
        <v>354.58</v>
      </c>
      <c r="BD12" s="110">
        <f t="shared" si="33"/>
        <v>261.05</v>
      </c>
      <c r="BE12" s="110">
        <f t="shared" si="34"/>
        <v>163.1</v>
      </c>
      <c r="BF12" s="105"/>
      <c r="BG12" s="105"/>
      <c r="BH12" s="111"/>
      <c r="BI12" s="105"/>
      <c r="BJ12" s="105"/>
      <c r="BK12" s="109"/>
      <c r="BL12" s="111"/>
      <c r="BM12" s="109"/>
      <c r="BN12" s="109"/>
      <c r="BO12" s="105"/>
      <c r="BP12" s="105"/>
      <c r="BQ12" s="109"/>
      <c r="BR12" s="110"/>
      <c r="BS12" s="110"/>
      <c r="BT12" s="110"/>
      <c r="BU12" s="110"/>
      <c r="BV12" s="110"/>
      <c r="BW12" s="112"/>
      <c r="BX12" s="112"/>
      <c r="BY12" s="110"/>
      <c r="BZ12" s="105"/>
      <c r="CA12" s="105"/>
      <c r="CB12" s="105"/>
      <c r="CC12" s="105"/>
      <c r="CD12" s="105"/>
      <c r="CE12" s="105"/>
    </row>
    <row r="13" spans="1:83" x14ac:dyDescent="0.15">
      <c r="A13" s="103">
        <v>32</v>
      </c>
      <c r="B13" s="98" t="str">
        <f>VLOOKUP($A13,'Rate Calculation'!$A$4:$AQ$208,42,FALSE)</f>
        <v>422877400</v>
      </c>
      <c r="C13" s="98" t="str">
        <f>VLOOKUP($A13,'Rate Calculation'!$A$4:$AQ$208,43,FALSE)</f>
        <v>Autumn Lake Healthcare at Alice Manor</v>
      </c>
      <c r="D13" s="98" t="str">
        <f>VLOOKUP($A13,'Rate Calculation'!$A$4:$F$208,5,FALSE)</f>
        <v>BALTIMORE METRO</v>
      </c>
      <c r="E13" s="98" t="str">
        <f>VLOOKUP($A13,'Rate Calculation'!$A$4:$F$208,6,FALSE)</f>
        <v>BALTIMORE CITY</v>
      </c>
      <c r="F13" s="105">
        <f t="shared" si="8"/>
        <v>117.69</v>
      </c>
      <c r="G13" s="105">
        <f t="shared" si="9"/>
        <v>25.66</v>
      </c>
      <c r="H13" s="105">
        <f t="shared" si="10"/>
        <v>44.22</v>
      </c>
      <c r="I13" s="105">
        <f t="shared" si="11"/>
        <v>167.29</v>
      </c>
      <c r="J13" s="105">
        <f>VLOOKUP($A13,'Rate Calculation'!$A$4:$AZ$208,34,FALSE)</f>
        <v>0</v>
      </c>
      <c r="K13" s="105">
        <f t="shared" si="12"/>
        <v>354.86</v>
      </c>
      <c r="L13" s="164">
        <f t="shared" si="4"/>
        <v>0.98772000000000004</v>
      </c>
      <c r="M13" s="105">
        <f t="shared" si="13"/>
        <v>350.5</v>
      </c>
      <c r="N13" s="105">
        <f>VLOOKUP($A13,'Rate Calculation'!$A$4:$AL$208,38,FALSE)</f>
        <v>28.32</v>
      </c>
      <c r="O13" s="183">
        <f>VLOOKUP($A13,'Rate Calculation'!$A$4:$I$208,9,FALSE)</f>
        <v>1.5281</v>
      </c>
      <c r="P13" s="183">
        <f t="shared" si="5"/>
        <v>1.4432</v>
      </c>
      <c r="Q13" s="183">
        <f>VLOOKUP(A13,'CMI Data'!$A$4:$C$208,3,FALSE)</f>
        <v>1.3753</v>
      </c>
      <c r="R13" s="246">
        <f>VLOOKUP($A13,FRV!$A$4:$K$208,11,FALSE)</f>
        <v>38325</v>
      </c>
      <c r="S13" s="246">
        <f t="shared" si="6"/>
        <v>31246</v>
      </c>
      <c r="T13" s="246">
        <f>VLOOKUP($A13,FRV!$A$4:$L$208,12,FALSE)</f>
        <v>31298</v>
      </c>
      <c r="U13" s="183">
        <f>Inflation!$G$24</f>
        <v>1.0309999999999999</v>
      </c>
      <c r="V13" s="247">
        <f>VLOOKUP($A13,'Rate Calculation'!A14:X218,24,FALSE)</f>
        <v>114.15</v>
      </c>
      <c r="W13" s="110">
        <f t="shared" si="14"/>
        <v>117.69</v>
      </c>
      <c r="X13" s="110">
        <f>VLOOKUP($A13,'Rate Calculation'!A14:V218,22,FALSE)</f>
        <v>24.89</v>
      </c>
      <c r="Y13" s="110">
        <f t="shared" si="15"/>
        <v>25.66</v>
      </c>
      <c r="Z13" s="212">
        <f>VLOOKUP($A13,FRV!$A$4:$D$208,4,FALSE)</f>
        <v>45108</v>
      </c>
      <c r="AA13" s="212">
        <f>VLOOKUP($A13,FRV!$A$4:$F$208,6,FALSE)</f>
        <v>45291</v>
      </c>
      <c r="AB13" s="248">
        <f>VLOOKUP($A13,FRV!$A$4:$U$208,13,FALSE)</f>
        <v>9811466</v>
      </c>
      <c r="AC13" s="248">
        <f>VLOOKUP($A13,FRV!$A$4:$U$208,15,FALSE)</f>
        <v>121738</v>
      </c>
      <c r="AD13" s="248">
        <f>VLOOKUP($A13,FRV!$A$4:$U$208,14,FALSE)</f>
        <v>20000</v>
      </c>
      <c r="AE13" s="248">
        <f>VLOOKUP($A13,FRV!$A$4:$U$208,7,FALSE)</f>
        <v>105</v>
      </c>
      <c r="AF13" s="107">
        <f t="shared" si="16"/>
        <v>12033204</v>
      </c>
      <c r="AG13" s="107">
        <f t="shared" si="17"/>
        <v>114602</v>
      </c>
      <c r="AH13" s="107">
        <v>120000</v>
      </c>
      <c r="AI13" s="107">
        <f t="shared" si="18"/>
        <v>114602</v>
      </c>
      <c r="AJ13" s="107">
        <f t="shared" si="19"/>
        <v>12033210</v>
      </c>
      <c r="AK13" s="249">
        <f>IF(VLOOKUP($A13,'Rate Calculation'!$A$4:$D$208,4,FALSE)="baltimore city",0.1,0.08)</f>
        <v>0.1</v>
      </c>
      <c r="AL13" s="107">
        <f t="shared" si="20"/>
        <v>1203321</v>
      </c>
      <c r="AM13" s="105">
        <f>IF(ISERROR(MATCH(A13&amp;AA13,'Days Exceptions'!$C$3:$C$16,0)),ROUND(AL13/(MAX(S13,T13)),2),ROUND(AL13/VLOOKUP(A13,'Days Exceptions'!$A$3:$J$16,8,FALSE),2))</f>
        <v>38.450000000000003</v>
      </c>
      <c r="AN13" s="213">
        <f>VLOOKUP($A13,'Rate Calculation'!$A$4:$AF$208,32,FALSE)</f>
        <v>5.77</v>
      </c>
      <c r="AO13" s="109">
        <f t="shared" si="21"/>
        <v>44.22</v>
      </c>
      <c r="AP13" s="247">
        <f>VLOOKUP($A13,'Rate Calculation'!$A$4:$Q$208,17,FALSE)</f>
        <v>169.94</v>
      </c>
      <c r="AQ13" s="247">
        <f t="shared" si="35"/>
        <v>175.21</v>
      </c>
      <c r="AR13" s="247">
        <f>VLOOKUP($A13,'Rate Calculation'!$A$4:$K$208,11,FALSE)</f>
        <v>195.33</v>
      </c>
      <c r="AS13" s="247">
        <f t="shared" si="22"/>
        <v>201.39</v>
      </c>
      <c r="AT13" s="110">
        <f t="shared" si="23"/>
        <v>213.24</v>
      </c>
      <c r="AU13" s="110">
        <f t="shared" si="24"/>
        <v>191.92</v>
      </c>
      <c r="AV13" s="111">
        <f t="shared" si="25"/>
        <v>-24.63</v>
      </c>
      <c r="AW13" s="110">
        <f t="shared" si="26"/>
        <v>167.29</v>
      </c>
      <c r="AX13" s="105">
        <f t="shared" si="27"/>
        <v>157.69</v>
      </c>
      <c r="AY13" s="105">
        <f t="shared" si="28"/>
        <v>182.32</v>
      </c>
      <c r="AZ13" s="105">
        <f t="shared" si="29"/>
        <v>24.63</v>
      </c>
      <c r="BA13" s="105">
        <f t="shared" si="30"/>
        <v>271.22000000000003</v>
      </c>
      <c r="BB13" s="105">
        <f t="shared" si="31"/>
        <v>187.57</v>
      </c>
      <c r="BC13" s="110">
        <f t="shared" si="32"/>
        <v>378.82</v>
      </c>
      <c r="BD13" s="110">
        <f t="shared" si="33"/>
        <v>299.54000000000002</v>
      </c>
      <c r="BE13" s="110">
        <f t="shared" si="34"/>
        <v>215.89</v>
      </c>
      <c r="BF13" s="105"/>
      <c r="BG13" s="105"/>
      <c r="BH13" s="111"/>
      <c r="BI13" s="105"/>
      <c r="BJ13" s="105"/>
      <c r="BK13" s="109"/>
      <c r="BL13" s="111"/>
      <c r="BM13" s="109"/>
      <c r="BN13" s="109"/>
      <c r="BO13" s="105"/>
      <c r="BP13" s="105"/>
      <c r="BQ13" s="109"/>
      <c r="BR13" s="110"/>
      <c r="BS13" s="110"/>
      <c r="BT13" s="110"/>
      <c r="BU13" s="110"/>
      <c r="BV13" s="110"/>
      <c r="BW13" s="112"/>
      <c r="BX13" s="112"/>
      <c r="BY13" s="110"/>
      <c r="BZ13" s="105"/>
      <c r="CA13" s="105"/>
      <c r="CB13" s="105"/>
      <c r="CC13" s="105"/>
      <c r="CD13" s="105"/>
      <c r="CE13" s="105"/>
    </row>
    <row r="14" spans="1:83" x14ac:dyDescent="0.15">
      <c r="A14" s="103">
        <v>689</v>
      </c>
      <c r="B14" s="98" t="str">
        <f>VLOOKUP($A14,'Rate Calculation'!$A$4:$AQ$208,42,FALSE)</f>
        <v>888712800</v>
      </c>
      <c r="C14" s="98" t="str">
        <f>VLOOKUP($A14,'Rate Calculation'!$A$4:$AQ$208,43,FALSE)</f>
        <v>Autumn Lake Healthcare at Arcola</v>
      </c>
      <c r="D14" s="98" t="str">
        <f>VLOOKUP($A14,'Rate Calculation'!$A$4:$F$208,5,FALSE)</f>
        <v>WASHINGTON METRO</v>
      </c>
      <c r="E14" s="98" t="str">
        <f>VLOOKUP($A14,'Rate Calculation'!$A$4:$F$208,6,FALSE)</f>
        <v>WASHINGTON METRO</v>
      </c>
      <c r="F14" s="105">
        <f t="shared" si="8"/>
        <v>103.73</v>
      </c>
      <c r="G14" s="105">
        <f t="shared" si="9"/>
        <v>19.829999999999998</v>
      </c>
      <c r="H14" s="105">
        <f t="shared" si="10"/>
        <v>35.549999999999997</v>
      </c>
      <c r="I14" s="105">
        <f t="shared" si="11"/>
        <v>166.5</v>
      </c>
      <c r="J14" s="105">
        <f>VLOOKUP($A14,'Rate Calculation'!$A$4:$AZ$208,34,FALSE)</f>
        <v>0</v>
      </c>
      <c r="K14" s="105">
        <f t="shared" si="12"/>
        <v>325.61</v>
      </c>
      <c r="L14" s="164">
        <f t="shared" si="4"/>
        <v>0.98772000000000004</v>
      </c>
      <c r="M14" s="105">
        <f t="shared" si="13"/>
        <v>321.61</v>
      </c>
      <c r="N14" s="105">
        <f>VLOOKUP($A14,'Rate Calculation'!$A$4:$AL$208,38,FALSE)</f>
        <v>24.6</v>
      </c>
      <c r="O14" s="183">
        <f>VLOOKUP($A14,'Rate Calculation'!$A$4:$I$208,9,FALSE)</f>
        <v>1.4241999999999999</v>
      </c>
      <c r="P14" s="183">
        <f t="shared" si="5"/>
        <v>1.4432</v>
      </c>
      <c r="Q14" s="183">
        <f>VLOOKUP(A14,'CMI Data'!$A$4:$C$208,3,FALSE)</f>
        <v>1.3580000000000001</v>
      </c>
      <c r="R14" s="246">
        <f>VLOOKUP($A14,FRV!$A$4:$K$208,11,FALSE)</f>
        <v>55115</v>
      </c>
      <c r="S14" s="246">
        <f t="shared" si="6"/>
        <v>44935</v>
      </c>
      <c r="T14" s="246">
        <f>VLOOKUP($A14,FRV!$A$4:$L$208,12,FALSE)</f>
        <v>44032</v>
      </c>
      <c r="U14" s="183">
        <f>Inflation!$G$24</f>
        <v>1.0309999999999999</v>
      </c>
      <c r="V14" s="247">
        <f>VLOOKUP($A14,'Rate Calculation'!A15:X219,24,FALSE)</f>
        <v>100.61</v>
      </c>
      <c r="W14" s="110">
        <f t="shared" si="14"/>
        <v>103.73</v>
      </c>
      <c r="X14" s="110">
        <f>VLOOKUP($A14,'Rate Calculation'!A15:V219,22,FALSE)</f>
        <v>19.23</v>
      </c>
      <c r="Y14" s="110">
        <f t="shared" si="15"/>
        <v>19.829999999999998</v>
      </c>
      <c r="Z14" s="212">
        <f>VLOOKUP($A14,FRV!$A$4:$D$208,4,FALSE)</f>
        <v>44743</v>
      </c>
      <c r="AA14" s="212">
        <f>VLOOKUP($A14,FRV!$A$4:$F$208,6,FALSE)</f>
        <v>44926</v>
      </c>
      <c r="AB14" s="248">
        <f>VLOOKUP($A14,FRV!$A$4:$U$208,13,FALSE)</f>
        <v>15469123</v>
      </c>
      <c r="AC14" s="248">
        <f>VLOOKUP($A14,FRV!$A$4:$U$208,15,FALSE)</f>
        <v>341207</v>
      </c>
      <c r="AD14" s="248">
        <f>VLOOKUP($A14,FRV!$A$4:$U$208,14,FALSE)</f>
        <v>38000</v>
      </c>
      <c r="AE14" s="248">
        <f>VLOOKUP($A14,FRV!$A$4:$U$208,7,FALSE)</f>
        <v>151</v>
      </c>
      <c r="AF14" s="107">
        <f t="shared" si="16"/>
        <v>21548330</v>
      </c>
      <c r="AG14" s="107">
        <f t="shared" si="17"/>
        <v>142704</v>
      </c>
      <c r="AH14" s="107">
        <v>120000</v>
      </c>
      <c r="AI14" s="107">
        <f t="shared" si="18"/>
        <v>120000</v>
      </c>
      <c r="AJ14" s="107">
        <f t="shared" si="19"/>
        <v>18120000</v>
      </c>
      <c r="AK14" s="249">
        <f>IF(VLOOKUP($A14,'Rate Calculation'!$A$4:$D$208,4,FALSE)="baltimore city",0.1,0.08)</f>
        <v>0.08</v>
      </c>
      <c r="AL14" s="107">
        <f t="shared" si="20"/>
        <v>1449600</v>
      </c>
      <c r="AM14" s="105">
        <f>IF(ISERROR(MATCH(A14&amp;AA14,'Days Exceptions'!$C$3:$C$16,0)),ROUND(AL14/(MAX(S14,T14)),2),ROUND(AL14/VLOOKUP(A14,'Days Exceptions'!$A$3:$J$16,8,FALSE),2))</f>
        <v>32.26</v>
      </c>
      <c r="AN14" s="213">
        <f>VLOOKUP($A14,'Rate Calculation'!$A$4:$AF$208,32,FALSE)</f>
        <v>3.29</v>
      </c>
      <c r="AO14" s="109">
        <f t="shared" si="21"/>
        <v>35.549999999999997</v>
      </c>
      <c r="AP14" s="247">
        <f>VLOOKUP($A14,'Rate Calculation'!$A$4:$Q$208,17,FALSE)</f>
        <v>160.68</v>
      </c>
      <c r="AQ14" s="247">
        <f t="shared" si="35"/>
        <v>165.66</v>
      </c>
      <c r="AR14" s="247">
        <f>VLOOKUP($A14,'Rate Calculation'!$A$4:$K$208,11,FALSE)</f>
        <v>176.01</v>
      </c>
      <c r="AS14" s="247">
        <f t="shared" si="22"/>
        <v>181.47</v>
      </c>
      <c r="AT14" s="110">
        <f t="shared" si="23"/>
        <v>179.08</v>
      </c>
      <c r="AU14" s="110">
        <f t="shared" si="24"/>
        <v>170.76</v>
      </c>
      <c r="AV14" s="111">
        <f t="shared" si="25"/>
        <v>-4.26</v>
      </c>
      <c r="AW14" s="110">
        <f t="shared" si="26"/>
        <v>166.5</v>
      </c>
      <c r="AX14" s="105">
        <f t="shared" si="27"/>
        <v>157.96</v>
      </c>
      <c r="AY14" s="105">
        <f t="shared" si="28"/>
        <v>162.22</v>
      </c>
      <c r="AZ14" s="105">
        <f t="shared" si="29"/>
        <v>4.26</v>
      </c>
      <c r="BA14" s="105">
        <f t="shared" si="30"/>
        <v>242.36</v>
      </c>
      <c r="BB14" s="105">
        <f t="shared" si="31"/>
        <v>159.11000000000001</v>
      </c>
      <c r="BC14" s="110">
        <f t="shared" si="32"/>
        <v>346.21</v>
      </c>
      <c r="BD14" s="110">
        <f t="shared" si="33"/>
        <v>266.95999999999998</v>
      </c>
      <c r="BE14" s="110">
        <f t="shared" si="34"/>
        <v>183.71</v>
      </c>
      <c r="BF14" s="105"/>
      <c r="BG14" s="105"/>
      <c r="BH14" s="111"/>
      <c r="BI14" s="105"/>
      <c r="BJ14" s="105"/>
      <c r="BK14" s="109"/>
      <c r="BL14" s="111"/>
      <c r="BM14" s="109"/>
      <c r="BN14" s="109"/>
      <c r="BO14" s="105"/>
      <c r="BP14" s="105"/>
      <c r="BQ14" s="109"/>
      <c r="BR14" s="110"/>
      <c r="BS14" s="110"/>
      <c r="BT14" s="110"/>
      <c r="BU14" s="110"/>
      <c r="BV14" s="110"/>
      <c r="BW14" s="112"/>
      <c r="BX14" s="112"/>
      <c r="BY14" s="110"/>
      <c r="BZ14" s="105"/>
      <c r="CA14" s="105"/>
      <c r="CB14" s="105"/>
      <c r="CC14" s="105"/>
      <c r="CD14" s="105"/>
      <c r="CE14" s="105"/>
    </row>
    <row r="15" spans="1:83" x14ac:dyDescent="0.15">
      <c r="A15" s="103">
        <v>116</v>
      </c>
      <c r="B15" s="98" t="str">
        <f>VLOOKUP($A15,'Rate Calculation'!$A$4:$AQ$208,42,FALSE)</f>
        <v>430065300</v>
      </c>
      <c r="C15" s="98" t="str">
        <f>VLOOKUP($A15,'Rate Calculation'!$A$4:$AQ$208,43,FALSE)</f>
        <v>Autumn Lake Healthcare at Ballenger Creek</v>
      </c>
      <c r="D15" s="98" t="str">
        <f>VLOOKUP($A15,'Rate Calculation'!$A$4:$F$208,5,FALSE)</f>
        <v>WASHINGTON METRO</v>
      </c>
      <c r="E15" s="98" t="str">
        <f>VLOOKUP($A15,'Rate Calculation'!$A$4:$F$208,6,FALSE)</f>
        <v>NON METRO</v>
      </c>
      <c r="F15" s="105">
        <f t="shared" si="8"/>
        <v>92.33</v>
      </c>
      <c r="G15" s="105">
        <f t="shared" si="9"/>
        <v>20.87</v>
      </c>
      <c r="H15" s="105">
        <f t="shared" si="10"/>
        <v>34.97</v>
      </c>
      <c r="I15" s="105">
        <f t="shared" si="11"/>
        <v>197.33</v>
      </c>
      <c r="J15" s="105">
        <f>VLOOKUP($A15,'Rate Calculation'!$A$4:$AZ$208,34,FALSE)</f>
        <v>0</v>
      </c>
      <c r="K15" s="105">
        <f t="shared" si="12"/>
        <v>345.5</v>
      </c>
      <c r="L15" s="164">
        <f t="shared" si="4"/>
        <v>0.98772000000000004</v>
      </c>
      <c r="M15" s="105">
        <f t="shared" si="13"/>
        <v>341.26</v>
      </c>
      <c r="N15" s="105">
        <f>VLOOKUP($A15,'Rate Calculation'!$A$4:$AL$208,38,FALSE)</f>
        <v>20.04</v>
      </c>
      <c r="O15" s="183">
        <f>VLOOKUP($A15,'Rate Calculation'!$A$4:$I$208,9,FALSE)</f>
        <v>1.6815</v>
      </c>
      <c r="P15" s="183">
        <f t="shared" si="5"/>
        <v>1.4432</v>
      </c>
      <c r="Q15" s="183">
        <f>VLOOKUP(A15,'CMI Data'!$A$4:$C$208,3,FALSE)</f>
        <v>1.6404000000000001</v>
      </c>
      <c r="R15" s="246">
        <f>VLOOKUP($A15,FRV!$A$4:$K$208,11,FALSE)</f>
        <v>47450</v>
      </c>
      <c r="S15" s="246">
        <f t="shared" si="6"/>
        <v>38686</v>
      </c>
      <c r="T15" s="246">
        <f>VLOOKUP($A15,FRV!$A$4:$L$208,12,FALSE)</f>
        <v>41510</v>
      </c>
      <c r="U15" s="183">
        <f>Inflation!$G$24</f>
        <v>1.0309999999999999</v>
      </c>
      <c r="V15" s="247">
        <f>VLOOKUP($A15,'Rate Calculation'!A16:X220,24,FALSE)</f>
        <v>89.55</v>
      </c>
      <c r="W15" s="110">
        <f t="shared" si="14"/>
        <v>92.33</v>
      </c>
      <c r="X15" s="110">
        <f>VLOOKUP($A15,'Rate Calculation'!A16:V220,22,FALSE)</f>
        <v>20.239999999999998</v>
      </c>
      <c r="Y15" s="110">
        <f t="shared" si="15"/>
        <v>20.87</v>
      </c>
      <c r="Z15" s="212">
        <f>VLOOKUP($A15,FRV!$A$4:$D$208,4,FALSE)</f>
        <v>45108</v>
      </c>
      <c r="AA15" s="212">
        <f>VLOOKUP($A15,FRV!$A$4:$F$208,6,FALSE)</f>
        <v>45291</v>
      </c>
      <c r="AB15" s="248">
        <f>VLOOKUP($A15,FRV!$A$4:$U$208,13,FALSE)</f>
        <v>20250232</v>
      </c>
      <c r="AC15" s="248">
        <f>VLOOKUP($A15,FRV!$A$4:$U$208,15,FALSE)</f>
        <v>378502</v>
      </c>
      <c r="AD15" s="248">
        <f>VLOOKUP($A15,FRV!$A$4:$U$208,14,FALSE)</f>
        <v>20000</v>
      </c>
      <c r="AE15" s="248">
        <f>VLOOKUP($A15,FRV!$A$4:$U$208,7,FALSE)</f>
        <v>130</v>
      </c>
      <c r="AF15" s="107">
        <f t="shared" si="16"/>
        <v>23228734</v>
      </c>
      <c r="AG15" s="107">
        <f t="shared" si="17"/>
        <v>178683</v>
      </c>
      <c r="AH15" s="107">
        <v>120000</v>
      </c>
      <c r="AI15" s="107">
        <f t="shared" si="18"/>
        <v>120000</v>
      </c>
      <c r="AJ15" s="107">
        <f t="shared" si="19"/>
        <v>15600000</v>
      </c>
      <c r="AK15" s="249">
        <f>IF(VLOOKUP($A15,'Rate Calculation'!$A$4:$D$208,4,FALSE)="baltimore city",0.1,0.08)</f>
        <v>0.08</v>
      </c>
      <c r="AL15" s="107">
        <f t="shared" si="20"/>
        <v>1248000</v>
      </c>
      <c r="AM15" s="105">
        <f>IF(ISERROR(MATCH(A15&amp;AA15,'Days Exceptions'!$C$3:$C$16,0)),ROUND(AL15/(MAX(S15,T15)),2),ROUND(AL15/VLOOKUP(A15,'Days Exceptions'!$A$3:$J$16,8,FALSE),2))</f>
        <v>30.07</v>
      </c>
      <c r="AN15" s="213">
        <f>VLOOKUP($A15,'Rate Calculation'!$A$4:$AF$208,32,FALSE)</f>
        <v>4.9000000000000004</v>
      </c>
      <c r="AO15" s="109">
        <f t="shared" si="21"/>
        <v>34.97</v>
      </c>
      <c r="AP15" s="247">
        <f>VLOOKUP($A15,'Rate Calculation'!$A$4:$Q$208,17,FALSE)</f>
        <v>185.95</v>
      </c>
      <c r="AQ15" s="247">
        <f t="shared" si="35"/>
        <v>191.71</v>
      </c>
      <c r="AR15" s="247">
        <f>VLOOKUP($A15,'Rate Calculation'!$A$4:$K$208,11,FALSE)</f>
        <v>176.01</v>
      </c>
      <c r="AS15" s="247">
        <f t="shared" si="22"/>
        <v>181.47</v>
      </c>
      <c r="AT15" s="110">
        <f t="shared" si="23"/>
        <v>211.43</v>
      </c>
      <c r="AU15" s="110">
        <f t="shared" si="24"/>
        <v>206.26</v>
      </c>
      <c r="AV15" s="111">
        <f t="shared" si="25"/>
        <v>-8.93</v>
      </c>
      <c r="AW15" s="110">
        <f t="shared" si="26"/>
        <v>197.33</v>
      </c>
      <c r="AX15" s="105">
        <f t="shared" si="27"/>
        <v>187.02</v>
      </c>
      <c r="AY15" s="105">
        <f t="shared" si="28"/>
        <v>195.95</v>
      </c>
      <c r="AZ15" s="105">
        <f t="shared" si="29"/>
        <v>8.93</v>
      </c>
      <c r="BA15" s="105">
        <f t="shared" si="30"/>
        <v>246.84</v>
      </c>
      <c r="BB15" s="105">
        <f t="shared" si="31"/>
        <v>148.16999999999999</v>
      </c>
      <c r="BC15" s="110">
        <f t="shared" si="32"/>
        <v>361.3</v>
      </c>
      <c r="BD15" s="110">
        <f t="shared" si="33"/>
        <v>266.88</v>
      </c>
      <c r="BE15" s="110">
        <f t="shared" si="34"/>
        <v>168.21</v>
      </c>
      <c r="BF15" s="105"/>
      <c r="BG15" s="105"/>
      <c r="BH15" s="111"/>
      <c r="BI15" s="105"/>
      <c r="BJ15" s="105"/>
      <c r="BK15" s="109"/>
      <c r="BL15" s="111"/>
      <c r="BM15" s="109"/>
      <c r="BN15" s="109"/>
      <c r="BO15" s="105"/>
      <c r="BP15" s="105"/>
      <c r="BQ15" s="109"/>
      <c r="BR15" s="110"/>
      <c r="BS15" s="110"/>
      <c r="BT15" s="110"/>
      <c r="BU15" s="110"/>
      <c r="BV15" s="110"/>
      <c r="BW15" s="112"/>
      <c r="BX15" s="112"/>
      <c r="BY15" s="110"/>
      <c r="BZ15" s="105"/>
      <c r="CA15" s="105"/>
      <c r="CB15" s="105"/>
      <c r="CC15" s="105"/>
      <c r="CD15" s="105"/>
      <c r="CE15" s="105"/>
    </row>
    <row r="16" spans="1:83" x14ac:dyDescent="0.15">
      <c r="A16" s="103">
        <v>725</v>
      </c>
      <c r="B16" s="98" t="str">
        <f>VLOOKUP($A16,'Rate Calculation'!$A$4:$AQ$208,42,FALSE)</f>
        <v>425052400</v>
      </c>
      <c r="C16" s="98" t="str">
        <f>VLOOKUP($A16,'Rate Calculation'!$A$4:$AQ$208,43,FALSE)</f>
        <v>Autumn Lake Healthcare at Baltimore Washington</v>
      </c>
      <c r="D16" s="98" t="str">
        <f>VLOOKUP($A16,'Rate Calculation'!$A$4:$F$208,5,FALSE)</f>
        <v>BALTIMORE METRO</v>
      </c>
      <c r="E16" s="98" t="str">
        <f>VLOOKUP($A16,'Rate Calculation'!$A$4:$F$208,6,FALSE)</f>
        <v>BALTIMORE METRO</v>
      </c>
      <c r="F16" s="105">
        <f t="shared" si="8"/>
        <v>105.18</v>
      </c>
      <c r="G16" s="105">
        <f t="shared" si="9"/>
        <v>21.5</v>
      </c>
      <c r="H16" s="105">
        <f t="shared" si="10"/>
        <v>28.28</v>
      </c>
      <c r="I16" s="105">
        <f t="shared" si="11"/>
        <v>156.53</v>
      </c>
      <c r="J16" s="105">
        <f>VLOOKUP($A16,'Rate Calculation'!$A$4:$AZ$208,34,FALSE)</f>
        <v>0</v>
      </c>
      <c r="K16" s="105">
        <f t="shared" si="12"/>
        <v>311.49</v>
      </c>
      <c r="L16" s="164">
        <f t="shared" si="4"/>
        <v>0.98772000000000004</v>
      </c>
      <c r="M16" s="105">
        <f t="shared" si="13"/>
        <v>307.66000000000003</v>
      </c>
      <c r="N16" s="105">
        <f>VLOOKUP($A16,'Rate Calculation'!$A$4:$AL$208,38,FALSE)</f>
        <v>22.84</v>
      </c>
      <c r="O16" s="183">
        <f>VLOOKUP($A16,'Rate Calculation'!$A$4:$I$208,9,FALSE)</f>
        <v>1.4557</v>
      </c>
      <c r="P16" s="183">
        <f t="shared" si="5"/>
        <v>1.4432</v>
      </c>
      <c r="Q16" s="183">
        <f>VLOOKUP(A16,'CMI Data'!$A$4:$C$208,3,FALSE)</f>
        <v>1.4296</v>
      </c>
      <c r="R16" s="246">
        <f>VLOOKUP($A16,FRV!$A$4:$K$208,11,FALSE)</f>
        <v>42340</v>
      </c>
      <c r="S16" s="246">
        <f t="shared" si="6"/>
        <v>34520</v>
      </c>
      <c r="T16" s="246">
        <f>VLOOKUP($A16,FRV!$A$4:$L$208,12,FALSE)</f>
        <v>34651</v>
      </c>
      <c r="U16" s="183">
        <f>Inflation!$G$24</f>
        <v>1.0309999999999999</v>
      </c>
      <c r="V16" s="247">
        <f>VLOOKUP($A16,'Rate Calculation'!A17:X221,24,FALSE)</f>
        <v>102.02</v>
      </c>
      <c r="W16" s="110">
        <f t="shared" si="14"/>
        <v>105.18</v>
      </c>
      <c r="X16" s="110">
        <f>VLOOKUP($A16,'Rate Calculation'!A17:V221,22,FALSE)</f>
        <v>20.85</v>
      </c>
      <c r="Y16" s="110">
        <f t="shared" si="15"/>
        <v>21.5</v>
      </c>
      <c r="Z16" s="212">
        <f>VLOOKUP($A16,FRV!$A$4:$D$208,4,FALSE)</f>
        <v>45108</v>
      </c>
      <c r="AA16" s="212">
        <f>VLOOKUP($A16,FRV!$A$4:$F$208,6,FALSE)</f>
        <v>45291</v>
      </c>
      <c r="AB16" s="248">
        <f>VLOOKUP($A16,FRV!$A$4:$U$208,13,FALSE)</f>
        <v>7700526</v>
      </c>
      <c r="AC16" s="248">
        <f>VLOOKUP($A16,FRV!$A$4:$U$208,15,FALSE)</f>
        <v>548183</v>
      </c>
      <c r="AD16" s="248">
        <f>VLOOKUP($A16,FRV!$A$4:$U$208,14,FALSE)</f>
        <v>26000</v>
      </c>
      <c r="AE16" s="248">
        <f>VLOOKUP($A16,FRV!$A$4:$U$208,7,FALSE)</f>
        <v>116</v>
      </c>
      <c r="AF16" s="107">
        <f t="shared" si="16"/>
        <v>11264709</v>
      </c>
      <c r="AG16" s="107">
        <f t="shared" si="17"/>
        <v>97110</v>
      </c>
      <c r="AH16" s="107">
        <v>120000</v>
      </c>
      <c r="AI16" s="107">
        <f t="shared" si="18"/>
        <v>97110</v>
      </c>
      <c r="AJ16" s="107">
        <f t="shared" si="19"/>
        <v>11264760</v>
      </c>
      <c r="AK16" s="249">
        <f>IF(VLOOKUP($A16,'Rate Calculation'!$A$4:$D$208,4,FALSE)="baltimore city",0.1,0.08)</f>
        <v>0.08</v>
      </c>
      <c r="AL16" s="107">
        <f t="shared" si="20"/>
        <v>901181</v>
      </c>
      <c r="AM16" s="105">
        <f>IF(ISERROR(MATCH(A16&amp;AA16,'Days Exceptions'!$C$3:$C$16,0)),ROUND(AL16/(MAX(S16,T16)),2),ROUND(AL16/VLOOKUP(A16,'Days Exceptions'!$A$3:$J$16,8,FALSE),2))</f>
        <v>26.01</v>
      </c>
      <c r="AN16" s="213">
        <f>VLOOKUP($A16,'Rate Calculation'!$A$4:$AF$208,32,FALSE)</f>
        <v>2.27</v>
      </c>
      <c r="AO16" s="109">
        <f t="shared" si="21"/>
        <v>28.28</v>
      </c>
      <c r="AP16" s="247">
        <f>VLOOKUP($A16,'Rate Calculation'!$A$4:$Q$208,17,FALSE)</f>
        <v>144.75</v>
      </c>
      <c r="AQ16" s="247">
        <f t="shared" si="35"/>
        <v>149.24</v>
      </c>
      <c r="AR16" s="247">
        <f>VLOOKUP($A16,'Rate Calculation'!$A$4:$K$208,11,FALSE)</f>
        <v>195.33</v>
      </c>
      <c r="AS16" s="247">
        <f t="shared" si="22"/>
        <v>201.39</v>
      </c>
      <c r="AT16" s="110">
        <f t="shared" si="23"/>
        <v>203.13</v>
      </c>
      <c r="AU16" s="110">
        <f t="shared" si="24"/>
        <v>199.49</v>
      </c>
      <c r="AV16" s="111">
        <f t="shared" si="25"/>
        <v>-42.96</v>
      </c>
      <c r="AW16" s="110">
        <f t="shared" si="26"/>
        <v>156.53</v>
      </c>
      <c r="AX16" s="105">
        <f t="shared" si="27"/>
        <v>146.56</v>
      </c>
      <c r="AY16" s="105">
        <f t="shared" si="28"/>
        <v>189.52</v>
      </c>
      <c r="AZ16" s="105">
        <f t="shared" si="29"/>
        <v>42.96</v>
      </c>
      <c r="BA16" s="105">
        <f t="shared" si="30"/>
        <v>233.23</v>
      </c>
      <c r="BB16" s="105">
        <f t="shared" si="31"/>
        <v>154.96</v>
      </c>
      <c r="BC16" s="110">
        <f t="shared" si="32"/>
        <v>330.5</v>
      </c>
      <c r="BD16" s="110">
        <f t="shared" si="33"/>
        <v>256.07</v>
      </c>
      <c r="BE16" s="110">
        <f t="shared" si="34"/>
        <v>177.8</v>
      </c>
      <c r="BF16" s="105"/>
      <c r="BG16" s="105"/>
      <c r="BH16" s="111"/>
      <c r="BI16" s="105"/>
      <c r="BJ16" s="105"/>
      <c r="BK16" s="109"/>
      <c r="BL16" s="111"/>
      <c r="BM16" s="109"/>
      <c r="BN16" s="109"/>
      <c r="BO16" s="105"/>
      <c r="BP16" s="105"/>
      <c r="BQ16" s="109"/>
      <c r="BR16" s="110"/>
      <c r="BS16" s="110"/>
      <c r="BT16" s="110"/>
      <c r="BU16" s="110"/>
      <c r="BV16" s="110"/>
      <c r="BW16" s="112"/>
      <c r="BX16" s="112"/>
      <c r="BY16" s="110"/>
      <c r="BZ16" s="105"/>
      <c r="CA16" s="105"/>
      <c r="CB16" s="105"/>
      <c r="CC16" s="105"/>
      <c r="CD16" s="105"/>
      <c r="CE16" s="105"/>
    </row>
    <row r="17" spans="1:83" x14ac:dyDescent="0.15">
      <c r="A17" s="103">
        <v>122</v>
      </c>
      <c r="B17" s="98" t="str">
        <f>VLOOKUP($A17,'Rate Calculation'!$A$4:$AQ$208,42,FALSE)</f>
        <v>714262500</v>
      </c>
      <c r="C17" s="98" t="str">
        <f>VLOOKUP($A17,'Rate Calculation'!$A$4:$AQ$208,43,FALSE)</f>
        <v>Autumn Lake Healthcare at Birch Manor</v>
      </c>
      <c r="D17" s="98" t="str">
        <f>VLOOKUP($A17,'Rate Calculation'!$A$4:$F$208,5,FALSE)</f>
        <v>BALTIMORE METRO</v>
      </c>
      <c r="E17" s="98" t="str">
        <f>VLOOKUP($A17,'Rate Calculation'!$A$4:$F$208,6,FALSE)</f>
        <v>BALTIMORE METRO</v>
      </c>
      <c r="F17" s="105">
        <f t="shared" si="8"/>
        <v>105.18</v>
      </c>
      <c r="G17" s="105">
        <f t="shared" si="9"/>
        <v>21.5</v>
      </c>
      <c r="H17" s="105">
        <f t="shared" si="10"/>
        <v>31.62</v>
      </c>
      <c r="I17" s="105">
        <f t="shared" si="11"/>
        <v>180.53</v>
      </c>
      <c r="J17" s="105">
        <f>VLOOKUP($A17,'Rate Calculation'!$A$4:$AZ$208,34,FALSE)</f>
        <v>0</v>
      </c>
      <c r="K17" s="105">
        <f t="shared" si="12"/>
        <v>338.83</v>
      </c>
      <c r="L17" s="164">
        <f t="shared" si="4"/>
        <v>0.98772000000000004</v>
      </c>
      <c r="M17" s="105">
        <f t="shared" si="13"/>
        <v>334.67</v>
      </c>
      <c r="N17" s="105">
        <f>VLOOKUP($A17,'Rate Calculation'!$A$4:$AL$208,38,FALSE)</f>
        <v>27.84</v>
      </c>
      <c r="O17" s="183">
        <f>VLOOKUP($A17,'Rate Calculation'!$A$4:$I$208,9,FALSE)</f>
        <v>1.4891000000000001</v>
      </c>
      <c r="P17" s="183">
        <f t="shared" si="5"/>
        <v>1.4432</v>
      </c>
      <c r="Q17" s="183">
        <f>VLOOKUP(A17,'CMI Data'!$A$4:$C$208,3,FALSE)</f>
        <v>1.2937000000000001</v>
      </c>
      <c r="R17" s="246">
        <f>VLOOKUP($A17,FRV!$A$4:$K$208,11,FALSE)</f>
        <v>43070</v>
      </c>
      <c r="S17" s="246">
        <f t="shared" si="6"/>
        <v>35115</v>
      </c>
      <c r="T17" s="246">
        <f>VLOOKUP($A17,FRV!$A$4:$L$208,12,FALSE)</f>
        <v>37522</v>
      </c>
      <c r="U17" s="183">
        <f>Inflation!$G$24</f>
        <v>1.0309999999999999</v>
      </c>
      <c r="V17" s="247">
        <f>VLOOKUP($A17,'Rate Calculation'!A18:X222,24,FALSE)</f>
        <v>102.02</v>
      </c>
      <c r="W17" s="110">
        <f t="shared" si="14"/>
        <v>105.18</v>
      </c>
      <c r="X17" s="110">
        <f>VLOOKUP($A17,'Rate Calculation'!A18:V222,22,FALSE)</f>
        <v>20.85</v>
      </c>
      <c r="Y17" s="110">
        <f t="shared" si="15"/>
        <v>21.5</v>
      </c>
      <c r="Z17" s="212">
        <f>VLOOKUP($A17,FRV!$A$4:$D$208,4,FALSE)</f>
        <v>45108</v>
      </c>
      <c r="AA17" s="212">
        <f>VLOOKUP($A17,FRV!$A$4:$F$208,6,FALSE)</f>
        <v>45291</v>
      </c>
      <c r="AB17" s="248">
        <f>VLOOKUP($A17,FRV!$A$4:$U$208,13,FALSE)</f>
        <v>11406843</v>
      </c>
      <c r="AC17" s="248">
        <f>VLOOKUP($A17,FRV!$A$4:$U$208,15,FALSE)</f>
        <v>160076</v>
      </c>
      <c r="AD17" s="248">
        <f>VLOOKUP($A17,FRV!$A$4:$U$208,14,FALSE)</f>
        <v>20000</v>
      </c>
      <c r="AE17" s="248">
        <f>VLOOKUP($A17,FRV!$A$4:$U$208,7,FALSE)</f>
        <v>118</v>
      </c>
      <c r="AF17" s="107">
        <f t="shared" si="16"/>
        <v>13926919</v>
      </c>
      <c r="AG17" s="107">
        <f t="shared" si="17"/>
        <v>118025</v>
      </c>
      <c r="AH17" s="107">
        <v>120000</v>
      </c>
      <c r="AI17" s="107">
        <f t="shared" si="18"/>
        <v>118025</v>
      </c>
      <c r="AJ17" s="107">
        <f t="shared" si="19"/>
        <v>13926950</v>
      </c>
      <c r="AK17" s="249">
        <f>IF(VLOOKUP($A17,'Rate Calculation'!$A$4:$D$208,4,FALSE)="baltimore city",0.1,0.08)</f>
        <v>0.08</v>
      </c>
      <c r="AL17" s="107">
        <f t="shared" si="20"/>
        <v>1114156</v>
      </c>
      <c r="AM17" s="105">
        <f>IF(ISERROR(MATCH(A17&amp;AA17,'Days Exceptions'!$C$3:$C$16,0)),ROUND(AL17/(MAX(S17,T17)),2),ROUND(AL17/VLOOKUP(A17,'Days Exceptions'!$A$3:$J$16,8,FALSE),2))</f>
        <v>29.69</v>
      </c>
      <c r="AN17" s="213">
        <f>VLOOKUP($A17,'Rate Calculation'!$A$4:$AF$208,32,FALSE)</f>
        <v>1.93</v>
      </c>
      <c r="AO17" s="109">
        <f t="shared" si="21"/>
        <v>31.62</v>
      </c>
      <c r="AP17" s="247">
        <f>VLOOKUP($A17,'Rate Calculation'!$A$4:$Q$208,17,FALSE)</f>
        <v>195.78</v>
      </c>
      <c r="AQ17" s="247">
        <f t="shared" si="35"/>
        <v>201.85</v>
      </c>
      <c r="AR17" s="247">
        <f>VLOOKUP($A17,'Rate Calculation'!$A$4:$K$208,11,FALSE)</f>
        <v>195.33</v>
      </c>
      <c r="AS17" s="247">
        <f t="shared" si="22"/>
        <v>201.39</v>
      </c>
      <c r="AT17" s="110">
        <f t="shared" si="23"/>
        <v>207.8</v>
      </c>
      <c r="AU17" s="110">
        <f t="shared" si="24"/>
        <v>180.53</v>
      </c>
      <c r="AV17" s="111">
        <f t="shared" si="25"/>
        <v>0</v>
      </c>
      <c r="AW17" s="110">
        <f t="shared" si="26"/>
        <v>180.53</v>
      </c>
      <c r="AX17" s="105">
        <f t="shared" si="27"/>
        <v>175.36</v>
      </c>
      <c r="AY17" s="105">
        <f t="shared" si="28"/>
        <v>171.5</v>
      </c>
      <c r="AZ17" s="105">
        <f t="shared" si="29"/>
        <v>-3.86</v>
      </c>
      <c r="BA17" s="105">
        <f t="shared" si="30"/>
        <v>248.57</v>
      </c>
      <c r="BB17" s="105">
        <f t="shared" si="31"/>
        <v>158.30000000000001</v>
      </c>
      <c r="BC17" s="110">
        <f t="shared" si="32"/>
        <v>362.51</v>
      </c>
      <c r="BD17" s="110">
        <f t="shared" si="33"/>
        <v>276.41000000000003</v>
      </c>
      <c r="BE17" s="110">
        <f t="shared" si="34"/>
        <v>186.14</v>
      </c>
      <c r="BF17" s="105"/>
      <c r="BG17" s="105"/>
      <c r="BH17" s="111"/>
      <c r="BI17" s="105"/>
      <c r="BJ17" s="105"/>
      <c r="BK17" s="109"/>
      <c r="BL17" s="111"/>
      <c r="BM17" s="109"/>
      <c r="BN17" s="109"/>
      <c r="BO17" s="105"/>
      <c r="BP17" s="105"/>
      <c r="BQ17" s="109"/>
      <c r="BR17" s="110"/>
      <c r="BS17" s="110"/>
      <c r="BT17" s="110"/>
      <c r="BU17" s="110"/>
      <c r="BV17" s="110"/>
      <c r="BW17" s="112"/>
      <c r="BX17" s="112"/>
      <c r="BY17" s="110"/>
      <c r="BZ17" s="105"/>
      <c r="CA17" s="105"/>
      <c r="CB17" s="105"/>
      <c r="CC17" s="105"/>
      <c r="CD17" s="105"/>
      <c r="CE17" s="105"/>
    </row>
    <row r="18" spans="1:83" x14ac:dyDescent="0.15">
      <c r="A18" s="103">
        <v>446</v>
      </c>
      <c r="B18" s="98" t="str">
        <f>VLOOKUP($A18,'Rate Calculation'!$A$4:$AQ$208,42,FALSE)</f>
        <v>209655200</v>
      </c>
      <c r="C18" s="98" t="str">
        <f>VLOOKUP($A18,'Rate Calculation'!$A$4:$AQ$208,43,FALSE)</f>
        <v>Autumn Lake Healthcare at Braddock Heights</v>
      </c>
      <c r="D18" s="98" t="str">
        <f>VLOOKUP($A18,'Rate Calculation'!$A$4:$F$208,5,FALSE)</f>
        <v>WASHINGTON METRO</v>
      </c>
      <c r="E18" s="98" t="str">
        <f>VLOOKUP($A18,'Rate Calculation'!$A$4:$F$208,6,FALSE)</f>
        <v>NON METRO</v>
      </c>
      <c r="F18" s="105">
        <f t="shared" si="8"/>
        <v>92.33</v>
      </c>
      <c r="G18" s="105">
        <f t="shared" si="9"/>
        <v>20.87</v>
      </c>
      <c r="H18" s="105">
        <f t="shared" si="10"/>
        <v>25.67</v>
      </c>
      <c r="I18" s="105">
        <f t="shared" si="11"/>
        <v>143.22</v>
      </c>
      <c r="J18" s="105">
        <f>VLOOKUP($A18,'Rate Calculation'!$A$4:$AZ$208,34,FALSE)</f>
        <v>0</v>
      </c>
      <c r="K18" s="105">
        <f t="shared" si="12"/>
        <v>282.08999999999997</v>
      </c>
      <c r="L18" s="164">
        <f t="shared" si="4"/>
        <v>0.98772000000000004</v>
      </c>
      <c r="M18" s="105">
        <f t="shared" si="13"/>
        <v>278.63</v>
      </c>
      <c r="N18" s="105">
        <f>VLOOKUP($A18,'Rate Calculation'!$A$4:$AL$208,38,FALSE)</f>
        <v>24.65</v>
      </c>
      <c r="O18" s="183">
        <f>VLOOKUP($A18,'Rate Calculation'!$A$4:$I$208,9,FALSE)</f>
        <v>1.5791999999999999</v>
      </c>
      <c r="P18" s="183">
        <f t="shared" si="5"/>
        <v>1.4432</v>
      </c>
      <c r="Q18" s="183">
        <f>VLOOKUP(A18,'CMI Data'!$A$4:$C$208,3,FALSE)</f>
        <v>1.3916999999999999</v>
      </c>
      <c r="R18" s="246">
        <f>VLOOKUP($A18,FRV!$A$4:$K$208,11,FALSE)</f>
        <v>23725</v>
      </c>
      <c r="S18" s="246">
        <f t="shared" si="6"/>
        <v>19343</v>
      </c>
      <c r="T18" s="246">
        <f>VLOOKUP($A18,FRV!$A$4:$L$208,12,FALSE)</f>
        <v>17494</v>
      </c>
      <c r="U18" s="183">
        <f>Inflation!$G$24</f>
        <v>1.0309999999999999</v>
      </c>
      <c r="V18" s="247">
        <f>VLOOKUP($A18,'Rate Calculation'!A19:X223,24,FALSE)</f>
        <v>89.55</v>
      </c>
      <c r="W18" s="110">
        <f t="shared" si="14"/>
        <v>92.33</v>
      </c>
      <c r="X18" s="110">
        <f>VLOOKUP($A18,'Rate Calculation'!A19:V223,22,FALSE)</f>
        <v>20.239999999999998</v>
      </c>
      <c r="Y18" s="110">
        <f t="shared" si="15"/>
        <v>20.87</v>
      </c>
      <c r="Z18" s="212">
        <f>VLOOKUP($A18,FRV!$A$4:$D$208,4,FALSE)</f>
        <v>45108</v>
      </c>
      <c r="AA18" s="212">
        <f>VLOOKUP($A18,FRV!$A$4:$F$208,6,FALSE)</f>
        <v>45291</v>
      </c>
      <c r="AB18" s="248">
        <f>VLOOKUP($A18,FRV!$A$4:$U$208,13,FALSE)</f>
        <v>4691623</v>
      </c>
      <c r="AC18" s="248">
        <f>VLOOKUP($A18,FRV!$A$4:$U$208,15,FALSE)</f>
        <v>71280</v>
      </c>
      <c r="AD18" s="248">
        <f>VLOOKUP($A18,FRV!$A$4:$U$208,14,FALSE)</f>
        <v>17500</v>
      </c>
      <c r="AE18" s="248">
        <f>VLOOKUP($A18,FRV!$A$4:$U$208,7,FALSE)</f>
        <v>65</v>
      </c>
      <c r="AF18" s="107">
        <f t="shared" si="16"/>
        <v>5900403</v>
      </c>
      <c r="AG18" s="107">
        <f t="shared" si="17"/>
        <v>90775</v>
      </c>
      <c r="AH18" s="107">
        <v>120000</v>
      </c>
      <c r="AI18" s="107">
        <f t="shared" si="18"/>
        <v>90775</v>
      </c>
      <c r="AJ18" s="107">
        <f t="shared" si="19"/>
        <v>5900375</v>
      </c>
      <c r="AK18" s="249">
        <f>IF(VLOOKUP($A18,'Rate Calculation'!$A$4:$D$208,4,FALSE)="baltimore city",0.1,0.08)</f>
        <v>0.08</v>
      </c>
      <c r="AL18" s="107">
        <f t="shared" si="20"/>
        <v>472030</v>
      </c>
      <c r="AM18" s="105">
        <f>IF(ISERROR(MATCH(A18&amp;AA18,'Days Exceptions'!$C$3:$C$16,0)),ROUND(AL18/(MAX(S18,T18)),2),ROUND(AL18/VLOOKUP(A18,'Days Exceptions'!$A$3:$J$16,8,FALSE),2))</f>
        <v>24.4</v>
      </c>
      <c r="AN18" s="213">
        <f>VLOOKUP($A18,'Rate Calculation'!$A$4:$AF$208,32,FALSE)</f>
        <v>1.27</v>
      </c>
      <c r="AO18" s="109">
        <f t="shared" si="21"/>
        <v>25.67</v>
      </c>
      <c r="AP18" s="247">
        <f>VLOOKUP($A18,'Rate Calculation'!$A$4:$Q$208,17,FALSE)</f>
        <v>148</v>
      </c>
      <c r="AQ18" s="247">
        <f t="shared" si="35"/>
        <v>152.59</v>
      </c>
      <c r="AR18" s="247">
        <f>VLOOKUP($A18,'Rate Calculation'!$A$4:$K$208,11,FALSE)</f>
        <v>176.01</v>
      </c>
      <c r="AS18" s="247">
        <f t="shared" si="22"/>
        <v>181.47</v>
      </c>
      <c r="AT18" s="110">
        <f t="shared" si="23"/>
        <v>198.57</v>
      </c>
      <c r="AU18" s="110">
        <f t="shared" si="24"/>
        <v>174.99</v>
      </c>
      <c r="AV18" s="111">
        <f t="shared" si="25"/>
        <v>-31.77</v>
      </c>
      <c r="AW18" s="110">
        <f t="shared" si="26"/>
        <v>143.22</v>
      </c>
      <c r="AX18" s="105">
        <f t="shared" si="27"/>
        <v>134.47</v>
      </c>
      <c r="AY18" s="105">
        <f t="shared" si="28"/>
        <v>166.24</v>
      </c>
      <c r="AZ18" s="105">
        <f t="shared" si="29"/>
        <v>31.77</v>
      </c>
      <c r="BA18" s="105">
        <f t="shared" si="30"/>
        <v>210.48</v>
      </c>
      <c r="BB18" s="105">
        <f t="shared" si="31"/>
        <v>138.87</v>
      </c>
      <c r="BC18" s="110">
        <f t="shared" si="32"/>
        <v>303.27999999999997</v>
      </c>
      <c r="BD18" s="110">
        <f t="shared" si="33"/>
        <v>235.13</v>
      </c>
      <c r="BE18" s="110">
        <f t="shared" si="34"/>
        <v>163.52000000000001</v>
      </c>
      <c r="BF18" s="105"/>
      <c r="BG18" s="105"/>
      <c r="BH18" s="111"/>
      <c r="BI18" s="105"/>
      <c r="BJ18" s="105"/>
      <c r="BK18" s="109"/>
      <c r="BL18" s="111"/>
      <c r="BM18" s="109"/>
      <c r="BN18" s="109"/>
      <c r="BO18" s="105"/>
      <c r="BP18" s="105"/>
      <c r="BQ18" s="109"/>
      <c r="BR18" s="110"/>
      <c r="BS18" s="110"/>
      <c r="BT18" s="110"/>
      <c r="BU18" s="110"/>
      <c r="BV18" s="110"/>
      <c r="BW18" s="112"/>
      <c r="BX18" s="112"/>
      <c r="BY18" s="110"/>
      <c r="BZ18" s="105"/>
      <c r="CA18" s="105"/>
      <c r="CB18" s="105"/>
      <c r="CC18" s="105"/>
      <c r="CD18" s="105"/>
      <c r="CE18" s="105"/>
    </row>
    <row r="19" spans="1:83" x14ac:dyDescent="0.15">
      <c r="A19" s="103">
        <v>66</v>
      </c>
      <c r="B19" s="98" t="str">
        <f>VLOOKUP($A19,'Rate Calculation'!$A$4:$AQ$208,42,FALSE)</f>
        <v>999361400</v>
      </c>
      <c r="C19" s="98" t="str">
        <f>VLOOKUP($A19,'Rate Calculation'!$A$4:$AQ$208,43,FALSE)</f>
        <v>Autumn Lake Healthcare at Bradford Oaks</v>
      </c>
      <c r="D19" s="98" t="str">
        <f>VLOOKUP($A19,'Rate Calculation'!$A$4:$F$208,5,FALSE)</f>
        <v>WASHINGTON METRO</v>
      </c>
      <c r="E19" s="98" t="str">
        <f>VLOOKUP($A19,'Rate Calculation'!$A$4:$F$208,6,FALSE)</f>
        <v>WASHINGTON METRO</v>
      </c>
      <c r="F19" s="105">
        <f t="shared" si="8"/>
        <v>103.73</v>
      </c>
      <c r="G19" s="105">
        <f t="shared" si="9"/>
        <v>19.829999999999998</v>
      </c>
      <c r="H19" s="105">
        <f t="shared" si="10"/>
        <v>29.26</v>
      </c>
      <c r="I19" s="105">
        <f t="shared" si="11"/>
        <v>148.44999999999999</v>
      </c>
      <c r="J19" s="105">
        <f>VLOOKUP($A19,'Rate Calculation'!$A$4:$AZ$208,34,FALSE)</f>
        <v>0</v>
      </c>
      <c r="K19" s="105">
        <f t="shared" si="12"/>
        <v>301.27</v>
      </c>
      <c r="L19" s="164">
        <f t="shared" si="4"/>
        <v>0.98772000000000004</v>
      </c>
      <c r="M19" s="105">
        <f t="shared" si="13"/>
        <v>297.57</v>
      </c>
      <c r="N19" s="105">
        <f>VLOOKUP($A19,'Rate Calculation'!$A$4:$AL$208,38,FALSE)</f>
        <v>25.01</v>
      </c>
      <c r="O19" s="183">
        <f>VLOOKUP($A19,'Rate Calculation'!$A$4:$I$208,9,FALSE)</f>
        <v>1.5084</v>
      </c>
      <c r="P19" s="183">
        <f t="shared" si="5"/>
        <v>1.4432</v>
      </c>
      <c r="Q19" s="183">
        <f>VLOOKUP(A19,'CMI Data'!$A$4:$C$208,3,FALSE)</f>
        <v>1.3978999999999999</v>
      </c>
      <c r="R19" s="246">
        <f>VLOOKUP($A19,FRV!$A$4:$K$208,11,FALSE)</f>
        <v>65880</v>
      </c>
      <c r="S19" s="246">
        <f t="shared" si="6"/>
        <v>53712</v>
      </c>
      <c r="T19" s="246">
        <f>VLOOKUP($A19,FRV!$A$4:$L$208,12,FALSE)</f>
        <v>61037</v>
      </c>
      <c r="U19" s="183">
        <f>Inflation!$G$24</f>
        <v>1.0309999999999999</v>
      </c>
      <c r="V19" s="247">
        <f>VLOOKUP($A19,'Rate Calculation'!A20:X224,24,FALSE)</f>
        <v>100.61</v>
      </c>
      <c r="W19" s="110">
        <f t="shared" si="14"/>
        <v>103.73</v>
      </c>
      <c r="X19" s="110">
        <f>VLOOKUP($A19,'Rate Calculation'!A20:V224,22,FALSE)</f>
        <v>19.23</v>
      </c>
      <c r="Y19" s="110">
        <f t="shared" si="15"/>
        <v>19.829999999999998</v>
      </c>
      <c r="Z19" s="212">
        <f>VLOOKUP($A19,FRV!$A$4:$D$208,4,FALSE)</f>
        <v>45474</v>
      </c>
      <c r="AA19" s="212">
        <f>VLOOKUP($A19,FRV!$A$4:$F$208,6,FALSE)</f>
        <v>45657</v>
      </c>
      <c r="AB19" s="248">
        <f>VLOOKUP($A19,FRV!$A$4:$U$208,13,FALSE)</f>
        <v>13974667</v>
      </c>
      <c r="AC19" s="248">
        <f>VLOOKUP($A19,FRV!$A$4:$U$208,15,FALSE)</f>
        <v>390285</v>
      </c>
      <c r="AD19" s="248">
        <f>VLOOKUP($A19,FRV!$A$4:$U$208,14,FALSE)</f>
        <v>27000</v>
      </c>
      <c r="AE19" s="248">
        <f>VLOOKUP($A19,FRV!$A$4:$U$208,7,FALSE)</f>
        <v>180</v>
      </c>
      <c r="AF19" s="107">
        <f t="shared" si="16"/>
        <v>19224952</v>
      </c>
      <c r="AG19" s="107">
        <f t="shared" si="17"/>
        <v>106805</v>
      </c>
      <c r="AH19" s="107">
        <v>120000</v>
      </c>
      <c r="AI19" s="107">
        <f t="shared" si="18"/>
        <v>106805</v>
      </c>
      <c r="AJ19" s="107">
        <f t="shared" si="19"/>
        <v>19224900</v>
      </c>
      <c r="AK19" s="249">
        <f>IF(VLOOKUP($A19,'Rate Calculation'!$A$4:$D$208,4,FALSE)="baltimore city",0.1,0.08)</f>
        <v>0.08</v>
      </c>
      <c r="AL19" s="107">
        <f t="shared" si="20"/>
        <v>1537992</v>
      </c>
      <c r="AM19" s="105">
        <f>IF(ISERROR(MATCH(A19&amp;AA19,'Days Exceptions'!$C$3:$C$16,0)),ROUND(AL19/(MAX(S19,T19)),2),ROUND(AL19/VLOOKUP(A19,'Days Exceptions'!$A$3:$J$16,8,FALSE),2))</f>
        <v>25.2</v>
      </c>
      <c r="AN19" s="213">
        <f>VLOOKUP($A19,'Rate Calculation'!$A$4:$AF$208,32,FALSE)</f>
        <v>4.0599999999999996</v>
      </c>
      <c r="AO19" s="109">
        <f t="shared" si="21"/>
        <v>29.26</v>
      </c>
      <c r="AP19" s="247">
        <f>VLOOKUP($A19,'Rate Calculation'!$A$4:$Q$208,17,FALSE)</f>
        <v>146.16999999999999</v>
      </c>
      <c r="AQ19" s="247">
        <f t="shared" si="35"/>
        <v>150.69999999999999</v>
      </c>
      <c r="AR19" s="247">
        <f>VLOOKUP($A19,'Rate Calculation'!$A$4:$K$208,11,FALSE)</f>
        <v>176.01</v>
      </c>
      <c r="AS19" s="247">
        <f t="shared" si="22"/>
        <v>181.47</v>
      </c>
      <c r="AT19" s="110">
        <f t="shared" si="23"/>
        <v>189.67</v>
      </c>
      <c r="AU19" s="110">
        <f t="shared" si="24"/>
        <v>175.78</v>
      </c>
      <c r="AV19" s="111">
        <f t="shared" si="25"/>
        <v>-27.33</v>
      </c>
      <c r="AW19" s="110">
        <f t="shared" si="26"/>
        <v>148.44999999999999</v>
      </c>
      <c r="AX19" s="105">
        <f t="shared" si="27"/>
        <v>139.66</v>
      </c>
      <c r="AY19" s="105">
        <f t="shared" si="28"/>
        <v>166.99</v>
      </c>
      <c r="AZ19" s="105">
        <f t="shared" si="29"/>
        <v>27.33</v>
      </c>
      <c r="BA19" s="105">
        <f t="shared" si="30"/>
        <v>227.05</v>
      </c>
      <c r="BB19" s="105">
        <f t="shared" si="31"/>
        <v>152.82</v>
      </c>
      <c r="BC19" s="110">
        <f t="shared" si="32"/>
        <v>322.58</v>
      </c>
      <c r="BD19" s="110">
        <f t="shared" si="33"/>
        <v>252.06</v>
      </c>
      <c r="BE19" s="110">
        <f t="shared" si="34"/>
        <v>177.83</v>
      </c>
      <c r="BF19" s="105"/>
      <c r="BG19" s="105"/>
      <c r="BH19" s="111"/>
      <c r="BI19" s="105"/>
      <c r="BJ19" s="105"/>
      <c r="BK19" s="109"/>
      <c r="BL19" s="111"/>
      <c r="BM19" s="109"/>
      <c r="BN19" s="109"/>
      <c r="BO19" s="105"/>
      <c r="BP19" s="105"/>
      <c r="BQ19" s="109"/>
      <c r="BR19" s="110"/>
      <c r="BS19" s="110"/>
      <c r="BT19" s="110"/>
      <c r="BU19" s="110"/>
      <c r="BV19" s="110"/>
      <c r="BW19" s="112"/>
      <c r="BX19" s="112"/>
      <c r="BY19" s="110"/>
      <c r="BZ19" s="105"/>
      <c r="CA19" s="105"/>
      <c r="CB19" s="105"/>
      <c r="CC19" s="105"/>
      <c r="CD19" s="105"/>
      <c r="CE19" s="105"/>
    </row>
    <row r="20" spans="1:83" x14ac:dyDescent="0.15">
      <c r="A20" s="103">
        <v>741</v>
      </c>
      <c r="B20" s="98" t="str">
        <f>VLOOKUP($A20,'Rate Calculation'!$A$4:$AQ$208,42,FALSE)</f>
        <v>510643500</v>
      </c>
      <c r="C20" s="98" t="str">
        <f>VLOOKUP($A20,'Rate Calculation'!$A$4:$AQ$208,43,FALSE)</f>
        <v>Autumn Lake Healthcare at Bridgepark</v>
      </c>
      <c r="D20" s="98" t="str">
        <f>VLOOKUP($A20,'Rate Calculation'!$A$4:$F$208,5,FALSE)</f>
        <v>BALTIMORE METRO</v>
      </c>
      <c r="E20" s="98" t="str">
        <f>VLOOKUP($A20,'Rate Calculation'!$A$4:$F$208,6,FALSE)</f>
        <v>BALTIMORE CITY</v>
      </c>
      <c r="F20" s="105">
        <f t="shared" si="8"/>
        <v>117.69</v>
      </c>
      <c r="G20" s="105">
        <f t="shared" si="9"/>
        <v>25.66</v>
      </c>
      <c r="H20" s="105">
        <f t="shared" si="10"/>
        <v>41.14</v>
      </c>
      <c r="I20" s="105">
        <f t="shared" si="11"/>
        <v>223.65</v>
      </c>
      <c r="J20" s="105">
        <f>VLOOKUP($A20,'Rate Calculation'!$A$4:$AZ$208,34,FALSE)</f>
        <v>0</v>
      </c>
      <c r="K20" s="105">
        <f t="shared" si="12"/>
        <v>408.14</v>
      </c>
      <c r="L20" s="164">
        <f t="shared" si="4"/>
        <v>0.98772000000000004</v>
      </c>
      <c r="M20" s="105">
        <f t="shared" si="13"/>
        <v>403.13</v>
      </c>
      <c r="N20" s="105">
        <f>VLOOKUP($A20,'Rate Calculation'!$A$4:$AL$208,38,FALSE)</f>
        <v>26.91</v>
      </c>
      <c r="O20" s="183">
        <f>VLOOKUP($A20,'Rate Calculation'!$A$4:$I$208,9,FALSE)</f>
        <v>2.0203000000000002</v>
      </c>
      <c r="P20" s="183">
        <f t="shared" si="5"/>
        <v>1.4432</v>
      </c>
      <c r="Q20" s="183">
        <f>VLOOKUP(A20,'CMI Data'!$A$4:$C$208,3,FALSE)</f>
        <v>1.6027</v>
      </c>
      <c r="R20" s="246">
        <f>VLOOKUP($A20,FRV!$A$4:$K$208,11,FALSE)</f>
        <v>36234</v>
      </c>
      <c r="S20" s="246">
        <f t="shared" si="6"/>
        <v>29542</v>
      </c>
      <c r="T20" s="246">
        <f>VLOOKUP($A20,FRV!$A$4:$L$208,12,FALSE)</f>
        <v>32015</v>
      </c>
      <c r="U20" s="183">
        <f>Inflation!$G$24</f>
        <v>1.0309999999999999</v>
      </c>
      <c r="V20" s="247">
        <f>VLOOKUP($A20,'Rate Calculation'!A21:X225,24,FALSE)</f>
        <v>114.15</v>
      </c>
      <c r="W20" s="110">
        <f t="shared" si="14"/>
        <v>117.69</v>
      </c>
      <c r="X20" s="110">
        <f>VLOOKUP($A20,'Rate Calculation'!A21:V225,22,FALSE)</f>
        <v>24.89</v>
      </c>
      <c r="Y20" s="110">
        <f t="shared" si="15"/>
        <v>25.66</v>
      </c>
      <c r="Z20" s="212">
        <f>VLOOKUP($A20,FRV!$A$4:$D$208,4,FALSE)</f>
        <v>45474</v>
      </c>
      <c r="AA20" s="212">
        <f>VLOOKUP($A20,FRV!$A$4:$F$208,6,FALSE)</f>
        <v>45657</v>
      </c>
      <c r="AB20" s="248">
        <f>VLOOKUP($A20,FRV!$A$4:$U$208,13,FALSE)</f>
        <v>12302087</v>
      </c>
      <c r="AC20" s="248">
        <f>VLOOKUP($A20,FRV!$A$4:$U$208,15,FALSE)</f>
        <v>219132</v>
      </c>
      <c r="AD20" s="248">
        <f>VLOOKUP($A20,FRV!$A$4:$U$208,14,FALSE)</f>
        <v>16000</v>
      </c>
      <c r="AE20" s="248">
        <f>VLOOKUP($A20,FRV!$A$4:$U$208,7,FALSE)</f>
        <v>99</v>
      </c>
      <c r="AF20" s="107">
        <f t="shared" si="16"/>
        <v>14105219</v>
      </c>
      <c r="AG20" s="107">
        <f t="shared" si="17"/>
        <v>142477</v>
      </c>
      <c r="AH20" s="107">
        <v>120000</v>
      </c>
      <c r="AI20" s="107">
        <f t="shared" si="18"/>
        <v>120000</v>
      </c>
      <c r="AJ20" s="107">
        <f t="shared" si="19"/>
        <v>11880000</v>
      </c>
      <c r="AK20" s="249">
        <f>IF(VLOOKUP($A20,'Rate Calculation'!$A$4:$D$208,4,FALSE)="baltimore city",0.1,0.08)</f>
        <v>0.1</v>
      </c>
      <c r="AL20" s="107">
        <f t="shared" si="20"/>
        <v>1188000</v>
      </c>
      <c r="AM20" s="105">
        <f>IF(ISERROR(MATCH(A20&amp;AA20,'Days Exceptions'!$C$3:$C$16,0)),ROUND(AL20/(MAX(S20,T20)),2),ROUND(AL20/VLOOKUP(A20,'Days Exceptions'!$A$3:$J$16,8,FALSE),2))</f>
        <v>37.11</v>
      </c>
      <c r="AN20" s="213">
        <f>VLOOKUP($A20,'Rate Calculation'!$A$4:$AF$208,32,FALSE)</f>
        <v>4.03</v>
      </c>
      <c r="AO20" s="109">
        <f t="shared" si="21"/>
        <v>41.14</v>
      </c>
      <c r="AP20" s="247">
        <f>VLOOKUP($A20,'Rate Calculation'!$A$4:$Q$208,17,FALSE)</f>
        <v>261.45</v>
      </c>
      <c r="AQ20" s="247">
        <f t="shared" si="35"/>
        <v>269.55</v>
      </c>
      <c r="AR20" s="247">
        <f>VLOOKUP($A20,'Rate Calculation'!$A$4:$K$208,11,FALSE)</f>
        <v>195.33</v>
      </c>
      <c r="AS20" s="247">
        <f t="shared" si="22"/>
        <v>201.39</v>
      </c>
      <c r="AT20" s="110">
        <f t="shared" si="23"/>
        <v>281.92</v>
      </c>
      <c r="AU20" s="110">
        <f t="shared" si="24"/>
        <v>223.65</v>
      </c>
      <c r="AV20" s="111">
        <f t="shared" si="25"/>
        <v>0</v>
      </c>
      <c r="AW20" s="110">
        <f t="shared" si="26"/>
        <v>223.65</v>
      </c>
      <c r="AX20" s="105">
        <f t="shared" si="27"/>
        <v>213.83</v>
      </c>
      <c r="AY20" s="105">
        <f t="shared" si="28"/>
        <v>212.47</v>
      </c>
      <c r="AZ20" s="105">
        <f t="shared" si="29"/>
        <v>-1.36</v>
      </c>
      <c r="BA20" s="105">
        <f t="shared" si="30"/>
        <v>296.32</v>
      </c>
      <c r="BB20" s="105">
        <f t="shared" si="31"/>
        <v>184.49</v>
      </c>
      <c r="BC20" s="110">
        <f t="shared" si="32"/>
        <v>430.04</v>
      </c>
      <c r="BD20" s="110">
        <f t="shared" si="33"/>
        <v>323.23</v>
      </c>
      <c r="BE20" s="110">
        <f t="shared" si="34"/>
        <v>211.4</v>
      </c>
      <c r="BF20" s="105"/>
      <c r="BG20" s="105"/>
      <c r="BH20" s="111"/>
      <c r="BI20" s="105"/>
      <c r="BJ20" s="105"/>
      <c r="BK20" s="109"/>
      <c r="BL20" s="111"/>
      <c r="BM20" s="109"/>
      <c r="BN20" s="109"/>
      <c r="BO20" s="105"/>
      <c r="BP20" s="105"/>
      <c r="BQ20" s="109"/>
      <c r="BR20" s="110"/>
      <c r="BS20" s="110"/>
      <c r="BT20" s="110"/>
      <c r="BU20" s="110"/>
      <c r="BV20" s="110"/>
      <c r="BW20" s="112"/>
      <c r="BX20" s="112"/>
      <c r="BY20" s="110"/>
      <c r="BZ20" s="105"/>
      <c r="CA20" s="105"/>
      <c r="CB20" s="105"/>
      <c r="CC20" s="105"/>
      <c r="CD20" s="105"/>
      <c r="CE20" s="105"/>
    </row>
    <row r="21" spans="1:83" x14ac:dyDescent="0.15">
      <c r="A21" s="103">
        <v>78</v>
      </c>
      <c r="B21" s="98" t="str">
        <f>VLOOKUP($A21,'Rate Calculation'!$A$4:$AQ$208,42,FALSE)</f>
        <v>722036700</v>
      </c>
      <c r="C21" s="98" t="str">
        <f>VLOOKUP($A21,'Rate Calculation'!$A$4:$AQ$208,43,FALSE)</f>
        <v>Autumn Lake Healthcare at Calvert Manor</v>
      </c>
      <c r="D21" s="98" t="str">
        <f>VLOOKUP($A21,'Rate Calculation'!$A$4:$F$208,5,FALSE)</f>
        <v>BALTIMORE METRO</v>
      </c>
      <c r="E21" s="98" t="str">
        <f>VLOOKUP($A21,'Rate Calculation'!$A$4:$F$208,6,FALSE)</f>
        <v>NON METRO</v>
      </c>
      <c r="F21" s="105">
        <f t="shared" si="8"/>
        <v>92.33</v>
      </c>
      <c r="G21" s="105">
        <f t="shared" si="9"/>
        <v>20.87</v>
      </c>
      <c r="H21" s="105">
        <f t="shared" si="10"/>
        <v>28.48</v>
      </c>
      <c r="I21" s="105">
        <f t="shared" si="11"/>
        <v>184.34</v>
      </c>
      <c r="J21" s="105">
        <f>VLOOKUP($A21,'Rate Calculation'!$A$4:$AZ$208,34,FALSE)</f>
        <v>0</v>
      </c>
      <c r="K21" s="105">
        <f t="shared" si="12"/>
        <v>326.02</v>
      </c>
      <c r="L21" s="164">
        <f t="shared" si="4"/>
        <v>0.98772000000000004</v>
      </c>
      <c r="M21" s="105">
        <f t="shared" si="13"/>
        <v>322.02</v>
      </c>
      <c r="N21" s="105">
        <f>VLOOKUP($A21,'Rate Calculation'!$A$4:$AL$208,38,FALSE)</f>
        <v>22.69</v>
      </c>
      <c r="O21" s="183">
        <f>VLOOKUP($A21,'Rate Calculation'!$A$4:$I$208,9,FALSE)</f>
        <v>1.5645</v>
      </c>
      <c r="P21" s="183">
        <f t="shared" si="5"/>
        <v>1.4432</v>
      </c>
      <c r="Q21" s="183">
        <f>VLOOKUP(A21,'CMI Data'!$A$4:$C$208,3,FALSE)</f>
        <v>1.4168000000000001</v>
      </c>
      <c r="R21" s="246">
        <f>VLOOKUP($A21,FRV!$A$4:$K$208,11,FALSE)</f>
        <v>52560</v>
      </c>
      <c r="S21" s="246">
        <f t="shared" si="6"/>
        <v>42852</v>
      </c>
      <c r="T21" s="246">
        <f>VLOOKUP($A21,FRV!$A$4:$L$208,12,FALSE)</f>
        <v>50277</v>
      </c>
      <c r="U21" s="183">
        <f>Inflation!$G$24</f>
        <v>1.0309999999999999</v>
      </c>
      <c r="V21" s="247">
        <f>VLOOKUP($A21,'Rate Calculation'!A22:X226,24,FALSE)</f>
        <v>89.55</v>
      </c>
      <c r="W21" s="110">
        <f t="shared" si="14"/>
        <v>92.33</v>
      </c>
      <c r="X21" s="110">
        <f>VLOOKUP($A21,'Rate Calculation'!A22:V226,22,FALSE)</f>
        <v>20.239999999999998</v>
      </c>
      <c r="Y21" s="110">
        <f t="shared" si="15"/>
        <v>20.87</v>
      </c>
      <c r="Z21" s="212">
        <f>VLOOKUP($A21,FRV!$A$4:$D$208,4,FALSE)</f>
        <v>45108</v>
      </c>
      <c r="AA21" s="212">
        <f>VLOOKUP($A21,FRV!$A$4:$F$208,6,FALSE)</f>
        <v>45291</v>
      </c>
      <c r="AB21" s="248">
        <f>VLOOKUP($A21,FRV!$A$4:$U$208,13,FALSE)</f>
        <v>13467944</v>
      </c>
      <c r="AC21" s="248">
        <f>VLOOKUP($A21,FRV!$A$4:$U$208,15,FALSE)</f>
        <v>92038</v>
      </c>
      <c r="AD21" s="248">
        <f>VLOOKUP($A21,FRV!$A$4:$U$208,14,FALSE)</f>
        <v>17500</v>
      </c>
      <c r="AE21" s="248">
        <f>VLOOKUP($A21,FRV!$A$4:$U$208,7,FALSE)</f>
        <v>144</v>
      </c>
      <c r="AF21" s="107">
        <f t="shared" si="16"/>
        <v>16079982</v>
      </c>
      <c r="AG21" s="107">
        <f t="shared" si="17"/>
        <v>111667</v>
      </c>
      <c r="AH21" s="107">
        <v>120000</v>
      </c>
      <c r="AI21" s="107">
        <f t="shared" si="18"/>
        <v>111667</v>
      </c>
      <c r="AJ21" s="107">
        <f t="shared" si="19"/>
        <v>16080048</v>
      </c>
      <c r="AK21" s="249">
        <f>IF(VLOOKUP($A21,'Rate Calculation'!$A$4:$D$208,4,FALSE)="baltimore city",0.1,0.08)</f>
        <v>0.08</v>
      </c>
      <c r="AL21" s="107">
        <f t="shared" si="20"/>
        <v>1286404</v>
      </c>
      <c r="AM21" s="105">
        <f>IF(ISERROR(MATCH(A21&amp;AA21,'Days Exceptions'!$C$3:$C$16,0)),ROUND(AL21/(MAX(S21,T21)),2),ROUND(AL21/VLOOKUP(A21,'Days Exceptions'!$A$3:$J$16,8,FALSE),2))</f>
        <v>25.59</v>
      </c>
      <c r="AN21" s="213">
        <f>VLOOKUP($A21,'Rate Calculation'!$A$4:$AF$208,32,FALSE)</f>
        <v>2.89</v>
      </c>
      <c r="AO21" s="109">
        <f t="shared" si="21"/>
        <v>28.48</v>
      </c>
      <c r="AP21" s="247">
        <f>VLOOKUP($A21,'Rate Calculation'!$A$4:$Q$208,17,FALSE)</f>
        <v>186.85</v>
      </c>
      <c r="AQ21" s="247">
        <f t="shared" si="35"/>
        <v>192.64</v>
      </c>
      <c r="AR21" s="247">
        <f>VLOOKUP($A21,'Rate Calculation'!$A$4:$K$208,11,FALSE)</f>
        <v>195.33</v>
      </c>
      <c r="AS21" s="247">
        <f t="shared" si="22"/>
        <v>201.39</v>
      </c>
      <c r="AT21" s="110">
        <f t="shared" si="23"/>
        <v>218.32</v>
      </c>
      <c r="AU21" s="110">
        <f t="shared" si="24"/>
        <v>197.71</v>
      </c>
      <c r="AV21" s="111">
        <f t="shared" si="25"/>
        <v>-13.37</v>
      </c>
      <c r="AW21" s="110">
        <f t="shared" si="26"/>
        <v>184.34</v>
      </c>
      <c r="AX21" s="105">
        <f t="shared" si="27"/>
        <v>174.45</v>
      </c>
      <c r="AY21" s="105">
        <f t="shared" si="28"/>
        <v>187.82</v>
      </c>
      <c r="AZ21" s="105">
        <f t="shared" si="29"/>
        <v>13.37</v>
      </c>
      <c r="BA21" s="105">
        <f t="shared" si="30"/>
        <v>233.85</v>
      </c>
      <c r="BB21" s="105">
        <f t="shared" si="31"/>
        <v>141.68</v>
      </c>
      <c r="BC21" s="110">
        <f t="shared" si="32"/>
        <v>344.71</v>
      </c>
      <c r="BD21" s="110">
        <f t="shared" si="33"/>
        <v>256.54000000000002</v>
      </c>
      <c r="BE21" s="110">
        <f t="shared" si="34"/>
        <v>164.37</v>
      </c>
      <c r="BF21" s="105"/>
      <c r="BG21" s="105"/>
      <c r="BH21" s="111"/>
      <c r="BI21" s="105"/>
      <c r="BJ21" s="105"/>
      <c r="BK21" s="109"/>
      <c r="BL21" s="111"/>
      <c r="BM21" s="109"/>
      <c r="BN21" s="109"/>
      <c r="BO21" s="105"/>
      <c r="BP21" s="105"/>
      <c r="BQ21" s="109"/>
      <c r="BR21" s="110"/>
      <c r="BS21" s="110"/>
      <c r="BT21" s="110"/>
      <c r="BU21" s="110"/>
      <c r="BV21" s="110"/>
      <c r="BW21" s="112"/>
      <c r="BX21" s="112"/>
      <c r="BY21" s="110"/>
      <c r="BZ21" s="105"/>
      <c r="CA21" s="105"/>
      <c r="CB21" s="105"/>
      <c r="CC21" s="105"/>
      <c r="CD21" s="105"/>
      <c r="CE21" s="105"/>
    </row>
    <row r="22" spans="1:83" x14ac:dyDescent="0.15">
      <c r="A22" s="103">
        <v>88</v>
      </c>
      <c r="B22" s="98" t="str">
        <f>VLOOKUP($A22,'Rate Calculation'!$A$4:$AQ$208,42,FALSE)</f>
        <v>424952600</v>
      </c>
      <c r="C22" s="98" t="str">
        <f>VLOOKUP($A22,'Rate Calculation'!$A$4:$AQ$208,43,FALSE)</f>
        <v>Autumn Lake Healthcare at Catonsville</v>
      </c>
      <c r="D22" s="98" t="str">
        <f>VLOOKUP($A22,'Rate Calculation'!$A$4:$F$208,5,FALSE)</f>
        <v>BALTIMORE METRO</v>
      </c>
      <c r="E22" s="98" t="str">
        <f>VLOOKUP($A22,'Rate Calculation'!$A$4:$F$208,6,FALSE)</f>
        <v>BALTIMORE METRO</v>
      </c>
      <c r="F22" s="105">
        <f t="shared" si="8"/>
        <v>105.18</v>
      </c>
      <c r="G22" s="105">
        <f t="shared" si="9"/>
        <v>21.5</v>
      </c>
      <c r="H22" s="105">
        <f t="shared" si="10"/>
        <v>27.46</v>
      </c>
      <c r="I22" s="105">
        <f t="shared" si="11"/>
        <v>184.91</v>
      </c>
      <c r="J22" s="105">
        <f>VLOOKUP($A22,'Rate Calculation'!$A$4:$AZ$208,34,FALSE)</f>
        <v>0</v>
      </c>
      <c r="K22" s="105">
        <f t="shared" si="12"/>
        <v>339.05</v>
      </c>
      <c r="L22" s="164">
        <f t="shared" si="4"/>
        <v>0.98772000000000004</v>
      </c>
      <c r="M22" s="105">
        <f t="shared" si="13"/>
        <v>334.89</v>
      </c>
      <c r="N22" s="105">
        <f>VLOOKUP($A22,'Rate Calculation'!$A$4:$AL$208,38,FALSE)</f>
        <v>27.16</v>
      </c>
      <c r="O22" s="183">
        <f>VLOOKUP($A22,'Rate Calculation'!$A$4:$I$208,9,FALSE)</f>
        <v>1.5427999999999999</v>
      </c>
      <c r="P22" s="183">
        <f t="shared" si="5"/>
        <v>1.4432</v>
      </c>
      <c r="Q22" s="183">
        <f>VLOOKUP(A22,'CMI Data'!$A$4:$C$208,3,FALSE)</f>
        <v>1.3972</v>
      </c>
      <c r="R22" s="246">
        <f>VLOOKUP($A22,FRV!$A$4:$K$208,11,FALSE)</f>
        <v>49640</v>
      </c>
      <c r="S22" s="246">
        <f t="shared" si="6"/>
        <v>40471</v>
      </c>
      <c r="T22" s="246">
        <f>VLOOKUP($A22,FRV!$A$4:$L$208,12,FALSE)</f>
        <v>39904</v>
      </c>
      <c r="U22" s="183">
        <f>Inflation!$G$24</f>
        <v>1.0309999999999999</v>
      </c>
      <c r="V22" s="247">
        <f>VLOOKUP($A22,'Rate Calculation'!A23:X227,24,FALSE)</f>
        <v>102.02</v>
      </c>
      <c r="W22" s="110">
        <f t="shared" si="14"/>
        <v>105.18</v>
      </c>
      <c r="X22" s="110">
        <f>VLOOKUP($A22,'Rate Calculation'!A23:V227,22,FALSE)</f>
        <v>20.85</v>
      </c>
      <c r="Y22" s="110">
        <f t="shared" si="15"/>
        <v>21.5</v>
      </c>
      <c r="Z22" s="212">
        <f>VLOOKUP($A22,FRV!$A$4:$D$208,4,FALSE)</f>
        <v>44743</v>
      </c>
      <c r="AA22" s="212">
        <f>VLOOKUP($A22,FRV!$A$4:$F$208,6,FALSE)</f>
        <v>44926</v>
      </c>
      <c r="AB22" s="248">
        <f>VLOOKUP($A22,FRV!$A$4:$U$208,13,FALSE)</f>
        <v>10218029</v>
      </c>
      <c r="AC22" s="248">
        <f>VLOOKUP($A22,FRV!$A$4:$U$208,15,FALSE)</f>
        <v>248211</v>
      </c>
      <c r="AD22" s="248">
        <f>VLOOKUP($A22,FRV!$A$4:$U$208,14,FALSE)</f>
        <v>20000</v>
      </c>
      <c r="AE22" s="248">
        <f>VLOOKUP($A22,FRV!$A$4:$U$208,7,FALSE)</f>
        <v>136</v>
      </c>
      <c r="AF22" s="107">
        <f t="shared" si="16"/>
        <v>13186240</v>
      </c>
      <c r="AG22" s="107">
        <f t="shared" si="17"/>
        <v>96958</v>
      </c>
      <c r="AH22" s="107">
        <v>120000</v>
      </c>
      <c r="AI22" s="107">
        <f t="shared" si="18"/>
        <v>96958</v>
      </c>
      <c r="AJ22" s="107">
        <f t="shared" si="19"/>
        <v>13186288</v>
      </c>
      <c r="AK22" s="249">
        <f>IF(VLOOKUP($A22,'Rate Calculation'!$A$4:$D$208,4,FALSE)="baltimore city",0.1,0.08)</f>
        <v>0.08</v>
      </c>
      <c r="AL22" s="107">
        <f t="shared" si="20"/>
        <v>1054903</v>
      </c>
      <c r="AM22" s="105">
        <f>IF(ISERROR(MATCH(A22&amp;AA22,'Days Exceptions'!$C$3:$C$16,0)),ROUND(AL22/(MAX(S22,T22)),2),ROUND(AL22/VLOOKUP(A22,'Days Exceptions'!$A$3:$J$16,8,FALSE),2))</f>
        <v>26.07</v>
      </c>
      <c r="AN22" s="213">
        <f>VLOOKUP($A22,'Rate Calculation'!$A$4:$AF$208,32,FALSE)</f>
        <v>1.39</v>
      </c>
      <c r="AO22" s="109">
        <f t="shared" si="21"/>
        <v>27.46</v>
      </c>
      <c r="AP22" s="247">
        <f>VLOOKUP($A22,'Rate Calculation'!$A$4:$Q$208,17,FALSE)</f>
        <v>187.59</v>
      </c>
      <c r="AQ22" s="247">
        <f t="shared" si="35"/>
        <v>193.41</v>
      </c>
      <c r="AR22" s="247">
        <f>VLOOKUP($A22,'Rate Calculation'!$A$4:$K$208,11,FALSE)</f>
        <v>195.33</v>
      </c>
      <c r="AS22" s="247">
        <f t="shared" si="22"/>
        <v>201.39</v>
      </c>
      <c r="AT22" s="110">
        <f t="shared" si="23"/>
        <v>215.29</v>
      </c>
      <c r="AU22" s="110">
        <f t="shared" si="24"/>
        <v>194.97</v>
      </c>
      <c r="AV22" s="111">
        <f t="shared" si="25"/>
        <v>-10.06</v>
      </c>
      <c r="AW22" s="110">
        <f t="shared" si="26"/>
        <v>184.91</v>
      </c>
      <c r="AX22" s="105">
        <f t="shared" si="27"/>
        <v>175.16</v>
      </c>
      <c r="AY22" s="105">
        <f t="shared" si="28"/>
        <v>185.22</v>
      </c>
      <c r="AZ22" s="105">
        <f t="shared" si="29"/>
        <v>10.06</v>
      </c>
      <c r="BA22" s="105">
        <f t="shared" si="30"/>
        <v>246.6</v>
      </c>
      <c r="BB22" s="105">
        <f t="shared" si="31"/>
        <v>154.13999999999999</v>
      </c>
      <c r="BC22" s="110">
        <f t="shared" si="32"/>
        <v>362.05</v>
      </c>
      <c r="BD22" s="110">
        <f t="shared" si="33"/>
        <v>273.76</v>
      </c>
      <c r="BE22" s="110">
        <f t="shared" si="34"/>
        <v>181.3</v>
      </c>
      <c r="BF22" s="105"/>
      <c r="BG22" s="105"/>
      <c r="BH22" s="111"/>
      <c r="BI22" s="105"/>
      <c r="BJ22" s="105"/>
      <c r="BK22" s="109"/>
      <c r="BL22" s="111"/>
      <c r="BM22" s="109"/>
      <c r="BN22" s="109"/>
      <c r="BO22" s="105"/>
      <c r="BP22" s="105"/>
      <c r="BQ22" s="109"/>
      <c r="BR22" s="110"/>
      <c r="BS22" s="110"/>
      <c r="BT22" s="110"/>
      <c r="BU22" s="110"/>
      <c r="BV22" s="110"/>
      <c r="BW22" s="112"/>
      <c r="BX22" s="112"/>
      <c r="BY22" s="110"/>
      <c r="BZ22" s="105"/>
      <c r="CA22" s="105"/>
      <c r="CB22" s="105"/>
      <c r="CC22" s="105"/>
      <c r="CD22" s="105"/>
      <c r="CE22" s="105"/>
    </row>
    <row r="23" spans="1:83" x14ac:dyDescent="0.15">
      <c r="A23" s="103">
        <v>98</v>
      </c>
      <c r="B23" s="98" t="str">
        <f>VLOOKUP($A23,'Rate Calculation'!$A$4:$AQ$208,42,FALSE)</f>
        <v>160033800</v>
      </c>
      <c r="C23" s="98" t="str">
        <f>VLOOKUP($A23,'Rate Calculation'!$A$4:$AQ$208,43,FALSE)</f>
        <v>Autumn Lake Healthcare at Cherry Lane</v>
      </c>
      <c r="D23" s="98" t="str">
        <f>VLOOKUP($A23,'Rate Calculation'!$A$4:$F$208,5,FALSE)</f>
        <v>WASHINGTON METRO</v>
      </c>
      <c r="E23" s="98" t="str">
        <f>VLOOKUP($A23,'Rate Calculation'!$A$4:$F$208,6,FALSE)</f>
        <v>WASHINGTON METRO</v>
      </c>
      <c r="F23" s="105">
        <f t="shared" si="8"/>
        <v>103.73</v>
      </c>
      <c r="G23" s="105">
        <f t="shared" si="9"/>
        <v>19.829999999999998</v>
      </c>
      <c r="H23" s="105">
        <f t="shared" si="10"/>
        <v>31.36</v>
      </c>
      <c r="I23" s="105">
        <f t="shared" si="11"/>
        <v>175.03</v>
      </c>
      <c r="J23" s="105">
        <f>VLOOKUP($A23,'Rate Calculation'!$A$4:$AZ$208,34,FALSE)</f>
        <v>0</v>
      </c>
      <c r="K23" s="105">
        <f t="shared" si="12"/>
        <v>329.95</v>
      </c>
      <c r="L23" s="164">
        <f t="shared" si="4"/>
        <v>0.98772000000000004</v>
      </c>
      <c r="M23" s="105">
        <f t="shared" si="13"/>
        <v>325.89999999999998</v>
      </c>
      <c r="N23" s="105">
        <f>VLOOKUP($A23,'Rate Calculation'!$A$4:$AL$208,38,FALSE)</f>
        <v>24.24</v>
      </c>
      <c r="O23" s="183">
        <f>VLOOKUP($A23,'Rate Calculation'!$A$4:$I$208,9,FALSE)</f>
        <v>1.7618</v>
      </c>
      <c r="P23" s="183">
        <f t="shared" si="5"/>
        <v>1.4432</v>
      </c>
      <c r="Q23" s="183">
        <f>VLOOKUP(A23,'CMI Data'!$A$4:$C$208,3,FALSE)</f>
        <v>1.5808</v>
      </c>
      <c r="R23" s="246">
        <f>VLOOKUP($A23,FRV!$A$4:$K$208,11,FALSE)</f>
        <v>56575</v>
      </c>
      <c r="S23" s="246">
        <f t="shared" si="6"/>
        <v>46126</v>
      </c>
      <c r="T23" s="246">
        <f>VLOOKUP($A23,FRV!$A$4:$L$208,12,FALSE)</f>
        <v>54013</v>
      </c>
      <c r="U23" s="183">
        <f>Inflation!$G$24</f>
        <v>1.0309999999999999</v>
      </c>
      <c r="V23" s="247">
        <f>VLOOKUP($A23,'Rate Calculation'!A24:X228,24,FALSE)</f>
        <v>100.61</v>
      </c>
      <c r="W23" s="110">
        <f t="shared" si="14"/>
        <v>103.73</v>
      </c>
      <c r="X23" s="110">
        <f>VLOOKUP($A23,'Rate Calculation'!A24:V228,22,FALSE)</f>
        <v>19.23</v>
      </c>
      <c r="Y23" s="110">
        <f t="shared" si="15"/>
        <v>19.829999999999998</v>
      </c>
      <c r="Z23" s="212">
        <f>VLOOKUP($A23,FRV!$A$4:$D$208,4,FALSE)</f>
        <v>44743</v>
      </c>
      <c r="AA23" s="212">
        <f>VLOOKUP($A23,FRV!$A$4:$F$208,6,FALSE)</f>
        <v>44926</v>
      </c>
      <c r="AB23" s="248">
        <f>VLOOKUP($A23,FRV!$A$4:$U$208,13,FALSE)</f>
        <v>17003017</v>
      </c>
      <c r="AC23" s="248">
        <f>VLOOKUP($A23,FRV!$A$4:$U$208,15,FALSE)</f>
        <v>471700</v>
      </c>
      <c r="AD23" s="248">
        <f>VLOOKUP($A23,FRV!$A$4:$U$208,14,FALSE)</f>
        <v>27000</v>
      </c>
      <c r="AE23" s="248">
        <f>VLOOKUP($A23,FRV!$A$4:$U$208,7,FALSE)</f>
        <v>155</v>
      </c>
      <c r="AF23" s="107">
        <f t="shared" si="16"/>
        <v>21659717</v>
      </c>
      <c r="AG23" s="107">
        <f t="shared" si="17"/>
        <v>139740</v>
      </c>
      <c r="AH23" s="107">
        <v>120000</v>
      </c>
      <c r="AI23" s="107">
        <f t="shared" si="18"/>
        <v>120000</v>
      </c>
      <c r="AJ23" s="107">
        <f t="shared" si="19"/>
        <v>18600000</v>
      </c>
      <c r="AK23" s="249">
        <f>IF(VLOOKUP($A23,'Rate Calculation'!$A$4:$D$208,4,FALSE)="baltimore city",0.1,0.08)</f>
        <v>0.08</v>
      </c>
      <c r="AL23" s="107">
        <f t="shared" si="20"/>
        <v>1488000</v>
      </c>
      <c r="AM23" s="105">
        <f>IF(ISERROR(MATCH(A23&amp;AA23,'Days Exceptions'!$C$3:$C$16,0)),ROUND(AL23/(MAX(S23,T23)),2),ROUND(AL23/VLOOKUP(A23,'Days Exceptions'!$A$3:$J$16,8,FALSE),2))</f>
        <v>27.55</v>
      </c>
      <c r="AN23" s="213">
        <f>VLOOKUP($A23,'Rate Calculation'!$A$4:$AF$208,32,FALSE)</f>
        <v>3.81</v>
      </c>
      <c r="AO23" s="109">
        <f t="shared" si="21"/>
        <v>31.36</v>
      </c>
      <c r="AP23" s="247">
        <f>VLOOKUP($A23,'Rate Calculation'!$A$4:$Q$208,17,FALSE)</f>
        <v>178.46</v>
      </c>
      <c r="AQ23" s="247">
        <f t="shared" si="35"/>
        <v>183.99</v>
      </c>
      <c r="AR23" s="247">
        <f>VLOOKUP($A23,'Rate Calculation'!$A$4:$K$208,11,FALSE)</f>
        <v>176.01</v>
      </c>
      <c r="AS23" s="247">
        <f t="shared" si="22"/>
        <v>181.47</v>
      </c>
      <c r="AT23" s="110">
        <f t="shared" si="23"/>
        <v>221.53</v>
      </c>
      <c r="AU23" s="110">
        <f t="shared" si="24"/>
        <v>198.77</v>
      </c>
      <c r="AV23" s="111">
        <f t="shared" si="25"/>
        <v>-23.74</v>
      </c>
      <c r="AW23" s="110">
        <f t="shared" si="26"/>
        <v>175.03</v>
      </c>
      <c r="AX23" s="105">
        <f t="shared" si="27"/>
        <v>165.09</v>
      </c>
      <c r="AY23" s="105">
        <f t="shared" si="28"/>
        <v>188.83</v>
      </c>
      <c r="AZ23" s="105">
        <f t="shared" si="29"/>
        <v>23.74</v>
      </c>
      <c r="BA23" s="105">
        <f t="shared" si="30"/>
        <v>242.44</v>
      </c>
      <c r="BB23" s="105">
        <f t="shared" si="31"/>
        <v>154.91999999999999</v>
      </c>
      <c r="BC23" s="110">
        <f t="shared" si="32"/>
        <v>350.14</v>
      </c>
      <c r="BD23" s="110">
        <f t="shared" si="33"/>
        <v>266.68</v>
      </c>
      <c r="BE23" s="110">
        <f t="shared" si="34"/>
        <v>179.16</v>
      </c>
      <c r="BF23" s="105"/>
      <c r="BG23" s="105"/>
      <c r="BH23" s="111"/>
      <c r="BI23" s="105"/>
      <c r="BJ23" s="105"/>
      <c r="BK23" s="109"/>
      <c r="BL23" s="111"/>
      <c r="BM23" s="109"/>
      <c r="BN23" s="109"/>
      <c r="BO23" s="105"/>
      <c r="BP23" s="105"/>
      <c r="BQ23" s="109"/>
      <c r="BR23" s="110"/>
      <c r="BS23" s="110"/>
      <c r="BT23" s="110"/>
      <c r="BU23" s="110"/>
      <c r="BV23" s="110"/>
      <c r="BW23" s="112"/>
      <c r="BX23" s="112"/>
      <c r="BY23" s="110"/>
      <c r="BZ23" s="105"/>
      <c r="CA23" s="105"/>
      <c r="CB23" s="105"/>
      <c r="CC23" s="105"/>
      <c r="CD23" s="105"/>
      <c r="CE23" s="105"/>
    </row>
    <row r="24" spans="1:83" x14ac:dyDescent="0.15">
      <c r="A24" s="103">
        <v>100</v>
      </c>
      <c r="B24" s="98" t="str">
        <f>VLOOKUP($A24,'Rate Calculation'!$A$4:$AQ$208,42,FALSE)</f>
        <v>999362200</v>
      </c>
      <c r="C24" s="98" t="str">
        <f>VLOOKUP($A24,'Rate Calculation'!$A$4:$AQ$208,43,FALSE)</f>
        <v>Autumn Lake Healthcare at Chesapeake Woods</v>
      </c>
      <c r="D24" s="98" t="str">
        <f>VLOOKUP($A24,'Rate Calculation'!$A$4:$F$208,5,FALSE)</f>
        <v>EASTERN REGION</v>
      </c>
      <c r="E24" s="98" t="str">
        <f>VLOOKUP($A24,'Rate Calculation'!$A$4:$F$208,6,FALSE)</f>
        <v>NON METRO</v>
      </c>
      <c r="F24" s="105">
        <f t="shared" si="8"/>
        <v>92.33</v>
      </c>
      <c r="G24" s="105">
        <f t="shared" si="9"/>
        <v>20.87</v>
      </c>
      <c r="H24" s="105">
        <f t="shared" si="10"/>
        <v>30.07</v>
      </c>
      <c r="I24" s="105">
        <f t="shared" si="11"/>
        <v>152.34</v>
      </c>
      <c r="J24" s="105">
        <f>VLOOKUP($A24,'Rate Calculation'!$A$4:$AZ$208,34,FALSE)</f>
        <v>0</v>
      </c>
      <c r="K24" s="105">
        <f t="shared" si="12"/>
        <v>295.61</v>
      </c>
      <c r="L24" s="164">
        <f t="shared" si="4"/>
        <v>0.98772000000000004</v>
      </c>
      <c r="M24" s="105">
        <f t="shared" si="13"/>
        <v>291.98</v>
      </c>
      <c r="N24" s="105">
        <f>VLOOKUP($A24,'Rate Calculation'!$A$4:$AL$208,38,FALSE)</f>
        <v>26.54</v>
      </c>
      <c r="O24" s="183">
        <f>VLOOKUP($A24,'Rate Calculation'!$A$4:$I$208,9,FALSE)</f>
        <v>1.4428000000000001</v>
      </c>
      <c r="P24" s="183">
        <f t="shared" si="5"/>
        <v>1.4432</v>
      </c>
      <c r="Q24" s="183">
        <f>VLOOKUP(A24,'CMI Data'!$A$4:$C$208,3,FALSE)</f>
        <v>1.4233</v>
      </c>
      <c r="R24" s="246">
        <f>VLOOKUP($A24,FRV!$A$4:$K$208,11,FALSE)</f>
        <v>35770</v>
      </c>
      <c r="S24" s="246">
        <f t="shared" si="6"/>
        <v>29163</v>
      </c>
      <c r="T24" s="246">
        <f>VLOOKUP($A24,FRV!$A$4:$L$208,12,FALSE)</f>
        <v>32673</v>
      </c>
      <c r="U24" s="183">
        <f>Inflation!$G$24</f>
        <v>1.0309999999999999</v>
      </c>
      <c r="V24" s="247">
        <f>VLOOKUP($A24,'Rate Calculation'!A25:X229,24,FALSE)</f>
        <v>89.55</v>
      </c>
      <c r="W24" s="110">
        <f t="shared" si="14"/>
        <v>92.33</v>
      </c>
      <c r="X24" s="110">
        <f>VLOOKUP($A24,'Rate Calculation'!A25:V229,22,FALSE)</f>
        <v>20.239999999999998</v>
      </c>
      <c r="Y24" s="110">
        <f t="shared" si="15"/>
        <v>20.87</v>
      </c>
      <c r="Z24" s="212">
        <f>VLOOKUP($A24,FRV!$A$4:$D$208,4,FALSE)</f>
        <v>44743</v>
      </c>
      <c r="AA24" s="212">
        <f>VLOOKUP($A24,FRV!$A$4:$F$208,6,FALSE)</f>
        <v>44926</v>
      </c>
      <c r="AB24" s="248">
        <f>VLOOKUP($A24,FRV!$A$4:$U$208,13,FALSE)</f>
        <v>9668293</v>
      </c>
      <c r="AC24" s="248">
        <f>VLOOKUP($A24,FRV!$A$4:$U$208,15,FALSE)</f>
        <v>310409</v>
      </c>
      <c r="AD24" s="248">
        <f>VLOOKUP($A24,FRV!$A$4:$U$208,14,FALSE)</f>
        <v>15000</v>
      </c>
      <c r="AE24" s="248">
        <f>VLOOKUP($A24,FRV!$A$4:$U$208,7,FALSE)</f>
        <v>98</v>
      </c>
      <c r="AF24" s="107">
        <f t="shared" si="16"/>
        <v>11448702</v>
      </c>
      <c r="AG24" s="107">
        <f t="shared" si="17"/>
        <v>116823</v>
      </c>
      <c r="AH24" s="107">
        <v>120000</v>
      </c>
      <c r="AI24" s="107">
        <f t="shared" si="18"/>
        <v>116823</v>
      </c>
      <c r="AJ24" s="107">
        <f t="shared" si="19"/>
        <v>11448654</v>
      </c>
      <c r="AK24" s="249">
        <f>IF(VLOOKUP($A24,'Rate Calculation'!$A$4:$D$208,4,FALSE)="baltimore city",0.1,0.08)</f>
        <v>0.08</v>
      </c>
      <c r="AL24" s="107">
        <f t="shared" si="20"/>
        <v>915892</v>
      </c>
      <c r="AM24" s="105">
        <f>IF(ISERROR(MATCH(A24&amp;AA24,'Days Exceptions'!$C$3:$C$16,0)),ROUND(AL24/(MAX(S24,T24)),2),ROUND(AL24/VLOOKUP(A24,'Days Exceptions'!$A$3:$J$16,8,FALSE),2))</f>
        <v>28.03</v>
      </c>
      <c r="AN24" s="213">
        <f>VLOOKUP($A24,'Rate Calculation'!$A$4:$AF$208,32,FALSE)</f>
        <v>2.04</v>
      </c>
      <c r="AO24" s="109">
        <f t="shared" si="21"/>
        <v>30.07</v>
      </c>
      <c r="AP24" s="247">
        <f>VLOOKUP($A24,'Rate Calculation'!$A$4:$Q$208,17,FALSE)</f>
        <v>140.47999999999999</v>
      </c>
      <c r="AQ24" s="247">
        <f t="shared" si="35"/>
        <v>144.83000000000001</v>
      </c>
      <c r="AR24" s="247">
        <f>VLOOKUP($A24,'Rate Calculation'!$A$4:$K$208,11,FALSE)</f>
        <v>186.31</v>
      </c>
      <c r="AS24" s="247">
        <f t="shared" si="22"/>
        <v>192.09</v>
      </c>
      <c r="AT24" s="110">
        <f t="shared" si="23"/>
        <v>192.04</v>
      </c>
      <c r="AU24" s="110">
        <f t="shared" si="24"/>
        <v>189.44</v>
      </c>
      <c r="AV24" s="111">
        <f t="shared" si="25"/>
        <v>-37.1</v>
      </c>
      <c r="AW24" s="110">
        <f t="shared" si="26"/>
        <v>152.34</v>
      </c>
      <c r="AX24" s="105">
        <f t="shared" si="27"/>
        <v>142.87</v>
      </c>
      <c r="AY24" s="105">
        <f t="shared" si="28"/>
        <v>179.97</v>
      </c>
      <c r="AZ24" s="105">
        <f t="shared" si="29"/>
        <v>37.1</v>
      </c>
      <c r="BA24" s="105">
        <f t="shared" si="30"/>
        <v>219.44</v>
      </c>
      <c r="BB24" s="105">
        <f t="shared" si="31"/>
        <v>143.27000000000001</v>
      </c>
      <c r="BC24" s="110">
        <f t="shared" si="32"/>
        <v>318.52</v>
      </c>
      <c r="BD24" s="110">
        <f t="shared" si="33"/>
        <v>245.98</v>
      </c>
      <c r="BE24" s="110">
        <f t="shared" si="34"/>
        <v>169.81</v>
      </c>
      <c r="BF24" s="105"/>
      <c r="BG24" s="105"/>
      <c r="BH24" s="111"/>
      <c r="BI24" s="105"/>
      <c r="BJ24" s="105"/>
      <c r="BK24" s="109"/>
      <c r="BL24" s="111"/>
      <c r="BM24" s="109"/>
      <c r="BN24" s="109"/>
      <c r="BO24" s="105"/>
      <c r="BP24" s="105"/>
      <c r="BQ24" s="109"/>
      <c r="BR24" s="110"/>
      <c r="BS24" s="110"/>
      <c r="BT24" s="110"/>
      <c r="BU24" s="110"/>
      <c r="BV24" s="110"/>
      <c r="BW24" s="112"/>
      <c r="BX24" s="112"/>
      <c r="BY24" s="110"/>
      <c r="BZ24" s="105"/>
      <c r="CA24" s="105"/>
      <c r="CB24" s="105"/>
      <c r="CC24" s="105"/>
      <c r="CD24" s="105"/>
      <c r="CE24" s="105"/>
    </row>
    <row r="25" spans="1:83" x14ac:dyDescent="0.15">
      <c r="A25" s="103">
        <v>310</v>
      </c>
      <c r="B25" s="98" t="str">
        <f>VLOOKUP($A25,'Rate Calculation'!$A$4:$AQ$208,42,FALSE)</f>
        <v>887667300</v>
      </c>
      <c r="C25" s="98" t="str">
        <f>VLOOKUP($A25,'Rate Calculation'!$A$4:$AQ$208,43,FALSE)</f>
        <v>Autumn Lake Healthcare at Chevy Chase</v>
      </c>
      <c r="D25" s="98" t="str">
        <f>VLOOKUP($A25,'Rate Calculation'!$A$4:$F$208,5,FALSE)</f>
        <v>WASHINGTON METRO</v>
      </c>
      <c r="E25" s="98" t="str">
        <f>VLOOKUP($A25,'Rate Calculation'!$A$4:$F$208,6,FALSE)</f>
        <v>WASHINGTON METRO</v>
      </c>
      <c r="F25" s="105">
        <f t="shared" si="8"/>
        <v>103.73</v>
      </c>
      <c r="G25" s="105">
        <f t="shared" si="9"/>
        <v>19.829999999999998</v>
      </c>
      <c r="H25" s="105">
        <f t="shared" si="10"/>
        <v>35.69</v>
      </c>
      <c r="I25" s="105">
        <f t="shared" si="11"/>
        <v>170.55</v>
      </c>
      <c r="J25" s="105">
        <f>VLOOKUP($A25,'Rate Calculation'!$A$4:$AZ$208,34,FALSE)</f>
        <v>0</v>
      </c>
      <c r="K25" s="105">
        <f t="shared" si="12"/>
        <v>329.8</v>
      </c>
      <c r="L25" s="164">
        <f t="shared" si="4"/>
        <v>0.98772000000000004</v>
      </c>
      <c r="M25" s="105">
        <f t="shared" si="13"/>
        <v>325.75</v>
      </c>
      <c r="N25" s="105">
        <f>VLOOKUP($A25,'Rate Calculation'!$A$4:$AL$208,38,FALSE)</f>
        <v>24</v>
      </c>
      <c r="O25" s="183">
        <f>VLOOKUP($A25,'Rate Calculation'!$A$4:$I$208,9,FALSE)</f>
        <v>1.3846000000000001</v>
      </c>
      <c r="P25" s="183">
        <f t="shared" si="5"/>
        <v>1.4432</v>
      </c>
      <c r="Q25" s="183">
        <f>VLOOKUP(A25,'CMI Data'!$A$4:$C$208,3,FALSE)</f>
        <v>1.3564000000000001</v>
      </c>
      <c r="R25" s="246">
        <f>VLOOKUP($A25,FRV!$A$4:$K$208,11,FALSE)</f>
        <v>62780</v>
      </c>
      <c r="S25" s="246">
        <f t="shared" si="6"/>
        <v>51185</v>
      </c>
      <c r="T25" s="246">
        <f>VLOOKUP($A25,FRV!$A$4:$L$208,12,FALSE)</f>
        <v>50889</v>
      </c>
      <c r="U25" s="183">
        <f>Inflation!$G$24</f>
        <v>1.0309999999999999</v>
      </c>
      <c r="V25" s="247">
        <f>VLOOKUP($A25,'Rate Calculation'!A26:X230,24,FALSE)</f>
        <v>100.61</v>
      </c>
      <c r="W25" s="110">
        <f t="shared" si="14"/>
        <v>103.73</v>
      </c>
      <c r="X25" s="110">
        <f>VLOOKUP($A25,'Rate Calculation'!A26:V230,22,FALSE)</f>
        <v>19.23</v>
      </c>
      <c r="Y25" s="110">
        <f t="shared" si="15"/>
        <v>19.829999999999998</v>
      </c>
      <c r="Z25" s="212">
        <f>VLOOKUP($A25,FRV!$A$4:$D$208,4,FALSE)</f>
        <v>45108</v>
      </c>
      <c r="AA25" s="212">
        <f>VLOOKUP($A25,FRV!$A$4:$F$208,6,FALSE)</f>
        <v>45291</v>
      </c>
      <c r="AB25" s="248">
        <f>VLOOKUP($A25,FRV!$A$4:$U$208,13,FALSE)</f>
        <v>16265171</v>
      </c>
      <c r="AC25" s="248">
        <f>VLOOKUP($A25,FRV!$A$4:$U$208,15,FALSE)</f>
        <v>420611</v>
      </c>
      <c r="AD25" s="248">
        <f>VLOOKUP($A25,FRV!$A$4:$U$208,14,FALSE)</f>
        <v>32500</v>
      </c>
      <c r="AE25" s="248">
        <f>VLOOKUP($A25,FRV!$A$4:$U$208,7,FALSE)</f>
        <v>172</v>
      </c>
      <c r="AF25" s="107">
        <f t="shared" si="16"/>
        <v>22275782</v>
      </c>
      <c r="AG25" s="107">
        <f t="shared" si="17"/>
        <v>129510</v>
      </c>
      <c r="AH25" s="107">
        <v>120000</v>
      </c>
      <c r="AI25" s="107">
        <f t="shared" si="18"/>
        <v>120000</v>
      </c>
      <c r="AJ25" s="107">
        <f t="shared" si="19"/>
        <v>20640000</v>
      </c>
      <c r="AK25" s="249">
        <f>IF(VLOOKUP($A25,'Rate Calculation'!$A$4:$D$208,4,FALSE)="baltimore city",0.1,0.08)</f>
        <v>0.08</v>
      </c>
      <c r="AL25" s="107">
        <f t="shared" si="20"/>
        <v>1651200</v>
      </c>
      <c r="AM25" s="105">
        <f>IF(ISERROR(MATCH(A25&amp;AA25,'Days Exceptions'!$C$3:$C$16,0)),ROUND(AL25/(MAX(S25,T25)),2),ROUND(AL25/VLOOKUP(A25,'Days Exceptions'!$A$3:$J$16,8,FALSE),2))</f>
        <v>32.26</v>
      </c>
      <c r="AN25" s="213">
        <f>VLOOKUP($A25,'Rate Calculation'!$A$4:$AF$208,32,FALSE)</f>
        <v>3.43</v>
      </c>
      <c r="AO25" s="109">
        <f t="shared" si="21"/>
        <v>35.69</v>
      </c>
      <c r="AP25" s="247">
        <f>VLOOKUP($A25,'Rate Calculation'!$A$4:$Q$208,17,FALSE)</f>
        <v>178.65</v>
      </c>
      <c r="AQ25" s="247">
        <f t="shared" si="35"/>
        <v>184.19</v>
      </c>
      <c r="AR25" s="247">
        <f>VLOOKUP($A25,'Rate Calculation'!$A$4:$K$208,11,FALSE)</f>
        <v>176.01</v>
      </c>
      <c r="AS25" s="247">
        <f t="shared" si="22"/>
        <v>181.47</v>
      </c>
      <c r="AT25" s="110">
        <f t="shared" si="23"/>
        <v>174.1</v>
      </c>
      <c r="AU25" s="110">
        <f t="shared" si="24"/>
        <v>170.55</v>
      </c>
      <c r="AV25" s="111">
        <f t="shared" si="25"/>
        <v>0</v>
      </c>
      <c r="AW25" s="110">
        <f t="shared" si="26"/>
        <v>170.55</v>
      </c>
      <c r="AX25" s="105">
        <f t="shared" si="27"/>
        <v>180.44</v>
      </c>
      <c r="AY25" s="105">
        <f t="shared" si="28"/>
        <v>162.02000000000001</v>
      </c>
      <c r="AZ25" s="105">
        <f t="shared" si="29"/>
        <v>-18.420000000000002</v>
      </c>
      <c r="BA25" s="105">
        <f t="shared" si="30"/>
        <v>244.53</v>
      </c>
      <c r="BB25" s="105">
        <f t="shared" si="31"/>
        <v>159.25</v>
      </c>
      <c r="BC25" s="110">
        <f t="shared" si="32"/>
        <v>349.75</v>
      </c>
      <c r="BD25" s="110">
        <f t="shared" si="33"/>
        <v>268.52999999999997</v>
      </c>
      <c r="BE25" s="110">
        <f t="shared" si="34"/>
        <v>183.25</v>
      </c>
      <c r="BF25" s="105"/>
      <c r="BG25" s="105"/>
      <c r="BH25" s="111"/>
      <c r="BI25" s="105"/>
      <c r="BJ25" s="105"/>
      <c r="BK25" s="109"/>
      <c r="BL25" s="111"/>
      <c r="BM25" s="109"/>
      <c r="BN25" s="109"/>
      <c r="BO25" s="105"/>
      <c r="BP25" s="105"/>
      <c r="BQ25" s="109"/>
      <c r="BR25" s="110"/>
      <c r="BS25" s="110"/>
      <c r="BT25" s="110"/>
      <c r="BU25" s="110"/>
      <c r="BV25" s="110"/>
      <c r="BW25" s="112"/>
      <c r="BX25" s="112"/>
      <c r="BY25" s="110"/>
      <c r="BZ25" s="105"/>
      <c r="CA25" s="105"/>
      <c r="CB25" s="105"/>
      <c r="CC25" s="105"/>
      <c r="CD25" s="105"/>
      <c r="CE25" s="105"/>
    </row>
    <row r="26" spans="1:83" x14ac:dyDescent="0.15">
      <c r="A26" s="103">
        <v>132</v>
      </c>
      <c r="B26" s="98" t="str">
        <f>VLOOKUP($A26,'Rate Calculation'!$A$4:$AQ$208,42,FALSE)</f>
        <v>785606700</v>
      </c>
      <c r="C26" s="98" t="str">
        <f>VLOOKUP($A26,'Rate Calculation'!$A$4:$AQ$208,43,FALSE)</f>
        <v>Autumn Lake Healthcare at Crofton</v>
      </c>
      <c r="D26" s="98" t="str">
        <f>VLOOKUP($A26,'Rate Calculation'!$A$4:$F$208,5,FALSE)</f>
        <v>BALTIMORE METRO</v>
      </c>
      <c r="E26" s="98" t="str">
        <f>VLOOKUP($A26,'Rate Calculation'!$A$4:$F$208,6,FALSE)</f>
        <v>BALTIMORE METRO</v>
      </c>
      <c r="F26" s="105">
        <f t="shared" si="8"/>
        <v>105.18</v>
      </c>
      <c r="G26" s="105">
        <f t="shared" si="9"/>
        <v>21.5</v>
      </c>
      <c r="H26" s="105">
        <f t="shared" si="10"/>
        <v>31.43</v>
      </c>
      <c r="I26" s="105">
        <f t="shared" si="11"/>
        <v>195.8</v>
      </c>
      <c r="J26" s="105">
        <f>VLOOKUP($A26,'Rate Calculation'!$A$4:$AZ$208,34,FALSE)</f>
        <v>0</v>
      </c>
      <c r="K26" s="105">
        <f t="shared" si="12"/>
        <v>353.91</v>
      </c>
      <c r="L26" s="164">
        <f t="shared" si="4"/>
        <v>0.98772000000000004</v>
      </c>
      <c r="M26" s="105">
        <f t="shared" si="13"/>
        <v>349.56</v>
      </c>
      <c r="N26" s="105">
        <f>VLOOKUP($A26,'Rate Calculation'!$A$4:$AL$208,38,FALSE)</f>
        <v>19.14</v>
      </c>
      <c r="O26" s="183">
        <f>VLOOKUP($A26,'Rate Calculation'!$A$4:$I$208,9,FALSE)</f>
        <v>1.6105</v>
      </c>
      <c r="P26" s="183">
        <f t="shared" si="5"/>
        <v>1.4432</v>
      </c>
      <c r="Q26" s="183">
        <f>VLOOKUP(A26,'CMI Data'!$A$4:$C$208,3,FALSE)</f>
        <v>1.5213000000000001</v>
      </c>
      <c r="R26" s="246">
        <f>VLOOKUP($A26,FRV!$A$4:$K$208,11,FALSE)</f>
        <v>65880</v>
      </c>
      <c r="S26" s="246">
        <f t="shared" si="6"/>
        <v>53712</v>
      </c>
      <c r="T26" s="246">
        <f>VLOOKUP($A26,FRV!$A$4:$L$208,12,FALSE)</f>
        <v>58980</v>
      </c>
      <c r="U26" s="183">
        <f>Inflation!$G$24</f>
        <v>1.0309999999999999</v>
      </c>
      <c r="V26" s="247">
        <f>VLOOKUP($A26,'Rate Calculation'!A27:X231,24,FALSE)</f>
        <v>102.02</v>
      </c>
      <c r="W26" s="110">
        <f t="shared" si="14"/>
        <v>105.18</v>
      </c>
      <c r="X26" s="110">
        <f>VLOOKUP($A26,'Rate Calculation'!A27:V231,22,FALSE)</f>
        <v>20.85</v>
      </c>
      <c r="Y26" s="110">
        <f t="shared" si="15"/>
        <v>21.5</v>
      </c>
      <c r="Z26" s="212">
        <f>VLOOKUP($A26,FRV!$A$4:$D$208,4,FALSE)</f>
        <v>45474</v>
      </c>
      <c r="AA26" s="212">
        <f>VLOOKUP($A26,FRV!$A$4:$F$208,6,FALSE)</f>
        <v>45657</v>
      </c>
      <c r="AB26" s="248">
        <f>VLOOKUP($A26,FRV!$A$4:$U$208,13,FALSE)</f>
        <v>18236264</v>
      </c>
      <c r="AC26" s="248">
        <f>VLOOKUP($A26,FRV!$A$4:$U$208,15,FALSE)</f>
        <v>425737</v>
      </c>
      <c r="AD26" s="248">
        <f>VLOOKUP($A26,FRV!$A$4:$U$208,14,FALSE)</f>
        <v>28000</v>
      </c>
      <c r="AE26" s="248">
        <f>VLOOKUP($A26,FRV!$A$4:$U$208,7,FALSE)</f>
        <v>180</v>
      </c>
      <c r="AF26" s="107">
        <f t="shared" si="16"/>
        <v>23702001</v>
      </c>
      <c r="AG26" s="107">
        <f t="shared" si="17"/>
        <v>131678</v>
      </c>
      <c r="AH26" s="107">
        <v>120000</v>
      </c>
      <c r="AI26" s="107">
        <f t="shared" si="18"/>
        <v>120000</v>
      </c>
      <c r="AJ26" s="107">
        <f t="shared" si="19"/>
        <v>21600000</v>
      </c>
      <c r="AK26" s="249">
        <f>IF(VLOOKUP($A26,'Rate Calculation'!$A$4:$D$208,4,FALSE)="baltimore city",0.1,0.08)</f>
        <v>0.08</v>
      </c>
      <c r="AL26" s="107">
        <f t="shared" si="20"/>
        <v>1728000</v>
      </c>
      <c r="AM26" s="105">
        <f>IF(ISERROR(MATCH(A26&amp;AA26,'Days Exceptions'!$C$3:$C$16,0)),ROUND(AL26/(MAX(S26,T26)),2),ROUND(AL26/VLOOKUP(A26,'Days Exceptions'!$A$3:$J$16,8,FALSE),2))</f>
        <v>29.3</v>
      </c>
      <c r="AN26" s="213">
        <f>VLOOKUP($A26,'Rate Calculation'!$A$4:$AF$208,32,FALSE)</f>
        <v>2.13</v>
      </c>
      <c r="AO26" s="109">
        <f t="shared" si="21"/>
        <v>31.43</v>
      </c>
      <c r="AP26" s="247">
        <f>VLOOKUP($A26,'Rate Calculation'!$A$4:$Q$208,17,FALSE)</f>
        <v>190.16</v>
      </c>
      <c r="AQ26" s="247">
        <f t="shared" si="35"/>
        <v>196.05</v>
      </c>
      <c r="AR26" s="247">
        <f>VLOOKUP($A26,'Rate Calculation'!$A$4:$K$208,11,FALSE)</f>
        <v>195.33</v>
      </c>
      <c r="AS26" s="247">
        <f t="shared" si="22"/>
        <v>201.39</v>
      </c>
      <c r="AT26" s="110">
        <f t="shared" si="23"/>
        <v>224.74</v>
      </c>
      <c r="AU26" s="110">
        <f t="shared" si="24"/>
        <v>212.29</v>
      </c>
      <c r="AV26" s="111">
        <f t="shared" si="25"/>
        <v>-16.489999999999998</v>
      </c>
      <c r="AW26" s="110">
        <f t="shared" si="26"/>
        <v>195.8</v>
      </c>
      <c r="AX26" s="105">
        <f t="shared" si="27"/>
        <v>185.19</v>
      </c>
      <c r="AY26" s="105">
        <f t="shared" si="28"/>
        <v>201.68</v>
      </c>
      <c r="AZ26" s="105">
        <f t="shared" si="29"/>
        <v>16.489999999999998</v>
      </c>
      <c r="BA26" s="105">
        <f t="shared" si="30"/>
        <v>256.01</v>
      </c>
      <c r="BB26" s="105">
        <f t="shared" si="31"/>
        <v>158.11000000000001</v>
      </c>
      <c r="BC26" s="110">
        <f t="shared" si="32"/>
        <v>368.7</v>
      </c>
      <c r="BD26" s="110">
        <f t="shared" si="33"/>
        <v>275.14999999999998</v>
      </c>
      <c r="BE26" s="110">
        <f t="shared" si="34"/>
        <v>177.25</v>
      </c>
      <c r="BF26" s="105"/>
      <c r="BG26" s="105"/>
      <c r="BH26" s="111"/>
      <c r="BI26" s="105"/>
      <c r="BJ26" s="105"/>
      <c r="BK26" s="109"/>
      <c r="BL26" s="111"/>
      <c r="BM26" s="109"/>
      <c r="BN26" s="109"/>
      <c r="BO26" s="105"/>
      <c r="BP26" s="105"/>
      <c r="BQ26" s="109"/>
      <c r="BR26" s="110"/>
      <c r="BS26" s="110"/>
      <c r="BT26" s="110"/>
      <c r="BU26" s="110"/>
      <c r="BV26" s="110"/>
      <c r="BW26" s="112"/>
      <c r="BX26" s="112"/>
      <c r="BY26" s="110"/>
      <c r="BZ26" s="105"/>
      <c r="CA26" s="105"/>
      <c r="CB26" s="105"/>
      <c r="CC26" s="105"/>
      <c r="CD26" s="105"/>
      <c r="CE26" s="105"/>
    </row>
    <row r="27" spans="1:83" x14ac:dyDescent="0.15">
      <c r="A27" s="103">
        <v>198</v>
      </c>
      <c r="B27" s="98" t="str">
        <f>VLOOKUP($A27,'Rate Calculation'!$A$4:$AQ$208,42,FALSE)</f>
        <v>566020300</v>
      </c>
      <c r="C27" s="98" t="str">
        <f>VLOOKUP($A27,'Rate Calculation'!$A$4:$AQ$208,43,FALSE)</f>
        <v>Autumn Lake Healthcare at Glade Valley</v>
      </c>
      <c r="D27" s="98" t="str">
        <f>VLOOKUP($A27,'Rate Calculation'!$A$4:$F$208,5,FALSE)</f>
        <v>WASHINGTON METRO</v>
      </c>
      <c r="E27" s="98" t="str">
        <f>VLOOKUP($A27,'Rate Calculation'!$A$4:$F$208,6,FALSE)</f>
        <v>NON METRO</v>
      </c>
      <c r="F27" s="105">
        <f t="shared" si="8"/>
        <v>92.33</v>
      </c>
      <c r="G27" s="105">
        <f t="shared" si="9"/>
        <v>20.87</v>
      </c>
      <c r="H27" s="105">
        <f t="shared" si="10"/>
        <v>32.85</v>
      </c>
      <c r="I27" s="105">
        <f t="shared" si="11"/>
        <v>186.61</v>
      </c>
      <c r="J27" s="105">
        <f>VLOOKUP($A27,'Rate Calculation'!$A$4:$AZ$208,34,FALSE)</f>
        <v>0</v>
      </c>
      <c r="K27" s="105">
        <f t="shared" si="12"/>
        <v>332.66</v>
      </c>
      <c r="L27" s="164">
        <f t="shared" si="4"/>
        <v>0.98772000000000004</v>
      </c>
      <c r="M27" s="105">
        <f t="shared" si="13"/>
        <v>328.57</v>
      </c>
      <c r="N27" s="105">
        <f>VLOOKUP($A27,'Rate Calculation'!$A$4:$AL$208,38,FALSE)</f>
        <v>22.12</v>
      </c>
      <c r="O27" s="183">
        <f>VLOOKUP($A27,'Rate Calculation'!$A$4:$I$208,9,FALSE)</f>
        <v>1.5586</v>
      </c>
      <c r="P27" s="183">
        <f t="shared" si="5"/>
        <v>1.4432</v>
      </c>
      <c r="Q27" s="183">
        <f>VLOOKUP(A27,'CMI Data'!$A$4:$C$208,3,FALSE)</f>
        <v>1.4841</v>
      </c>
      <c r="R27" s="246">
        <f>VLOOKUP($A27,FRV!$A$4:$K$208,11,FALSE)</f>
        <v>45260</v>
      </c>
      <c r="S27" s="246">
        <f t="shared" si="6"/>
        <v>36900</v>
      </c>
      <c r="T27" s="246">
        <f>VLOOKUP($A27,FRV!$A$4:$L$208,12,FALSE)</f>
        <v>40399</v>
      </c>
      <c r="U27" s="183">
        <f>Inflation!$G$24</f>
        <v>1.0309999999999999</v>
      </c>
      <c r="V27" s="247">
        <f>VLOOKUP($A27,'Rate Calculation'!A28:X232,24,FALSE)</f>
        <v>89.55</v>
      </c>
      <c r="W27" s="110">
        <f t="shared" si="14"/>
        <v>92.33</v>
      </c>
      <c r="X27" s="110">
        <f>VLOOKUP($A27,'Rate Calculation'!A28:V232,22,FALSE)</f>
        <v>20.239999999999998</v>
      </c>
      <c r="Y27" s="110">
        <f t="shared" si="15"/>
        <v>20.87</v>
      </c>
      <c r="Z27" s="212">
        <f>VLOOKUP($A27,FRV!$A$4:$D$208,4,FALSE)</f>
        <v>45108</v>
      </c>
      <c r="AA27" s="212">
        <f>VLOOKUP($A27,FRV!$A$4:$F$208,6,FALSE)</f>
        <v>45291</v>
      </c>
      <c r="AB27" s="248">
        <f>VLOOKUP($A27,FRV!$A$4:$U$208,13,FALSE)</f>
        <v>18103226</v>
      </c>
      <c r="AC27" s="248">
        <f>VLOOKUP($A27,FRV!$A$4:$U$208,15,FALSE)</f>
        <v>270199</v>
      </c>
      <c r="AD27" s="248">
        <f>VLOOKUP($A27,FRV!$A$4:$U$208,14,FALSE)</f>
        <v>20000</v>
      </c>
      <c r="AE27" s="248">
        <f>VLOOKUP($A27,FRV!$A$4:$U$208,7,FALSE)</f>
        <v>124</v>
      </c>
      <c r="AF27" s="107">
        <f t="shared" si="16"/>
        <v>20853425</v>
      </c>
      <c r="AG27" s="107">
        <f t="shared" si="17"/>
        <v>168173</v>
      </c>
      <c r="AH27" s="107">
        <v>120000</v>
      </c>
      <c r="AI27" s="107">
        <f t="shared" si="18"/>
        <v>120000</v>
      </c>
      <c r="AJ27" s="107">
        <f t="shared" si="19"/>
        <v>14880000</v>
      </c>
      <c r="AK27" s="249">
        <f>IF(VLOOKUP($A27,'Rate Calculation'!$A$4:$D$208,4,FALSE)="baltimore city",0.1,0.08)</f>
        <v>0.08</v>
      </c>
      <c r="AL27" s="107">
        <f t="shared" si="20"/>
        <v>1190400</v>
      </c>
      <c r="AM27" s="105">
        <f>IF(ISERROR(MATCH(A27&amp;AA27,'Days Exceptions'!$C$3:$C$16,0)),ROUND(AL27/(MAX(S27,T27)),2),ROUND(AL27/VLOOKUP(A27,'Days Exceptions'!$A$3:$J$16,8,FALSE),2))</f>
        <v>29.47</v>
      </c>
      <c r="AN27" s="213">
        <f>VLOOKUP($A27,'Rate Calculation'!$A$4:$AF$208,32,FALSE)</f>
        <v>3.38</v>
      </c>
      <c r="AO27" s="109">
        <f t="shared" si="21"/>
        <v>32.85</v>
      </c>
      <c r="AP27" s="247">
        <f>VLOOKUP($A27,'Rate Calculation'!$A$4:$Q$208,17,FALSE)</f>
        <v>187.52</v>
      </c>
      <c r="AQ27" s="247">
        <f t="shared" si="35"/>
        <v>193.33</v>
      </c>
      <c r="AR27" s="247">
        <f>VLOOKUP($A27,'Rate Calculation'!$A$4:$K$208,11,FALSE)</f>
        <v>176.01</v>
      </c>
      <c r="AS27" s="247">
        <f t="shared" si="22"/>
        <v>181.47</v>
      </c>
      <c r="AT27" s="110">
        <f t="shared" si="23"/>
        <v>195.98</v>
      </c>
      <c r="AU27" s="110">
        <f t="shared" si="24"/>
        <v>186.61</v>
      </c>
      <c r="AV27" s="111">
        <f t="shared" si="25"/>
        <v>0</v>
      </c>
      <c r="AW27" s="110">
        <f t="shared" si="26"/>
        <v>186.61</v>
      </c>
      <c r="AX27" s="105">
        <f t="shared" si="27"/>
        <v>184.09</v>
      </c>
      <c r="AY27" s="105">
        <f t="shared" si="28"/>
        <v>177.28</v>
      </c>
      <c r="AZ27" s="105">
        <f t="shared" si="29"/>
        <v>-6.81</v>
      </c>
      <c r="BA27" s="105">
        <f t="shared" si="30"/>
        <v>239.36</v>
      </c>
      <c r="BB27" s="105">
        <f t="shared" si="31"/>
        <v>146.05000000000001</v>
      </c>
      <c r="BC27" s="110">
        <f t="shared" si="32"/>
        <v>350.69</v>
      </c>
      <c r="BD27" s="110">
        <f t="shared" si="33"/>
        <v>261.48</v>
      </c>
      <c r="BE27" s="110">
        <f t="shared" si="34"/>
        <v>168.17</v>
      </c>
      <c r="BF27" s="105"/>
      <c r="BG27" s="105"/>
      <c r="BH27" s="111"/>
      <c r="BI27" s="105"/>
      <c r="BJ27" s="105"/>
      <c r="BK27" s="109"/>
      <c r="BL27" s="111"/>
      <c r="BM27" s="109"/>
      <c r="BN27" s="109"/>
      <c r="BO27" s="105"/>
      <c r="BP27" s="105"/>
      <c r="BQ27" s="109"/>
      <c r="BR27" s="110"/>
      <c r="BS27" s="110"/>
      <c r="BT27" s="110"/>
      <c r="BU27" s="110"/>
      <c r="BV27" s="110"/>
      <c r="BW27" s="112"/>
      <c r="BX27" s="112"/>
      <c r="BY27" s="110"/>
      <c r="BZ27" s="105"/>
      <c r="CA27" s="105"/>
      <c r="CB27" s="105"/>
      <c r="CC27" s="105"/>
      <c r="CD27" s="105"/>
      <c r="CE27" s="105"/>
    </row>
    <row r="28" spans="1:83" x14ac:dyDescent="0.15">
      <c r="A28" s="103">
        <v>687</v>
      </c>
      <c r="B28" s="98" t="str">
        <f>VLOOKUP($A28,'Rate Calculation'!$A$4:$AQ$208,42,FALSE)</f>
        <v>888699700</v>
      </c>
      <c r="C28" s="98" t="str">
        <f>VLOOKUP($A28,'Rate Calculation'!$A$4:$AQ$208,43,FALSE)</f>
        <v>Autumn Lake Healthcare at Glen Burnie</v>
      </c>
      <c r="D28" s="98" t="str">
        <f>VLOOKUP($A28,'Rate Calculation'!$A$4:$F$208,5,FALSE)</f>
        <v>BALTIMORE METRO</v>
      </c>
      <c r="E28" s="98" t="str">
        <f>VLOOKUP($A28,'Rate Calculation'!$A$4:$F$208,6,FALSE)</f>
        <v>BALTIMORE METRO</v>
      </c>
      <c r="F28" s="105">
        <f t="shared" si="8"/>
        <v>105.18</v>
      </c>
      <c r="G28" s="105">
        <f t="shared" si="9"/>
        <v>21.5</v>
      </c>
      <c r="H28" s="105">
        <f t="shared" si="10"/>
        <v>32.71</v>
      </c>
      <c r="I28" s="105">
        <f t="shared" si="11"/>
        <v>172.71</v>
      </c>
      <c r="J28" s="105">
        <f>VLOOKUP($A28,'Rate Calculation'!$A$4:$AZ$208,34,FALSE)</f>
        <v>0</v>
      </c>
      <c r="K28" s="105">
        <f t="shared" si="12"/>
        <v>332.1</v>
      </c>
      <c r="L28" s="164">
        <f t="shared" si="4"/>
        <v>0.98772000000000004</v>
      </c>
      <c r="M28" s="105">
        <f t="shared" si="13"/>
        <v>328.02</v>
      </c>
      <c r="N28" s="105">
        <f>VLOOKUP($A28,'Rate Calculation'!$A$4:$AL$208,38,FALSE)</f>
        <v>23.87</v>
      </c>
      <c r="O28" s="183">
        <f>VLOOKUP($A28,'Rate Calculation'!$A$4:$I$208,9,FALSE)</f>
        <v>1.4077</v>
      </c>
      <c r="P28" s="183">
        <f t="shared" si="5"/>
        <v>1.4432</v>
      </c>
      <c r="Q28" s="183">
        <f>VLOOKUP(A28,'CMI Data'!$A$4:$C$208,3,FALSE)</f>
        <v>1.4395</v>
      </c>
      <c r="R28" s="246">
        <f>VLOOKUP($A28,FRV!$A$4:$K$208,11,FALSE)</f>
        <v>69350</v>
      </c>
      <c r="S28" s="246">
        <f t="shared" si="6"/>
        <v>56541</v>
      </c>
      <c r="T28" s="246">
        <f>VLOOKUP($A28,FRV!$A$4:$L$208,12,FALSE)</f>
        <v>61401</v>
      </c>
      <c r="U28" s="183">
        <f>Inflation!$G$24</f>
        <v>1.0309999999999999</v>
      </c>
      <c r="V28" s="247">
        <f>VLOOKUP($A28,'Rate Calculation'!A29:X233,24,FALSE)</f>
        <v>102.02</v>
      </c>
      <c r="W28" s="110">
        <f t="shared" si="14"/>
        <v>105.18</v>
      </c>
      <c r="X28" s="110">
        <f>VLOOKUP($A28,'Rate Calculation'!A29:V233,22,FALSE)</f>
        <v>20.85</v>
      </c>
      <c r="Y28" s="110">
        <f t="shared" si="15"/>
        <v>21.5</v>
      </c>
      <c r="Z28" s="212">
        <f>VLOOKUP($A28,FRV!$A$4:$D$208,4,FALSE)</f>
        <v>45108</v>
      </c>
      <c r="AA28" s="212">
        <f>VLOOKUP($A28,FRV!$A$4:$F$208,6,FALSE)</f>
        <v>45291</v>
      </c>
      <c r="AB28" s="248">
        <f>VLOOKUP($A28,FRV!$A$4:$U$208,13,FALSE)</f>
        <v>19586659</v>
      </c>
      <c r="AC28" s="248">
        <f>VLOOKUP($A28,FRV!$A$4:$U$208,15,FALSE)</f>
        <v>441389</v>
      </c>
      <c r="AD28" s="248">
        <f>VLOOKUP($A28,FRV!$A$4:$U$208,14,FALSE)</f>
        <v>24000</v>
      </c>
      <c r="AE28" s="248">
        <f>VLOOKUP($A28,FRV!$A$4:$U$208,7,FALSE)</f>
        <v>190</v>
      </c>
      <c r="AF28" s="107">
        <f t="shared" si="16"/>
        <v>24588048</v>
      </c>
      <c r="AG28" s="107">
        <f t="shared" si="17"/>
        <v>129411</v>
      </c>
      <c r="AH28" s="107">
        <v>120000</v>
      </c>
      <c r="AI28" s="107">
        <f t="shared" si="18"/>
        <v>120000</v>
      </c>
      <c r="AJ28" s="107">
        <f t="shared" si="19"/>
        <v>22800000</v>
      </c>
      <c r="AK28" s="249">
        <f>IF(VLOOKUP($A28,'Rate Calculation'!$A$4:$D$208,4,FALSE)="baltimore city",0.1,0.08)</f>
        <v>0.08</v>
      </c>
      <c r="AL28" s="107">
        <f t="shared" si="20"/>
        <v>1824000</v>
      </c>
      <c r="AM28" s="105">
        <f>IF(ISERROR(MATCH(A28&amp;AA28,'Days Exceptions'!$C$3:$C$16,0)),ROUND(AL28/(MAX(S28,T28)),2),ROUND(AL28/VLOOKUP(A28,'Days Exceptions'!$A$3:$J$16,8,FALSE),2))</f>
        <v>29.71</v>
      </c>
      <c r="AN28" s="213">
        <f>VLOOKUP($A28,'Rate Calculation'!$A$4:$AF$208,32,FALSE)</f>
        <v>3</v>
      </c>
      <c r="AO28" s="109">
        <f t="shared" si="21"/>
        <v>32.71</v>
      </c>
      <c r="AP28" s="247">
        <f>VLOOKUP($A28,'Rate Calculation'!$A$4:$Q$208,17,FALSE)</f>
        <v>154.30000000000001</v>
      </c>
      <c r="AQ28" s="247">
        <f t="shared" si="35"/>
        <v>159.08000000000001</v>
      </c>
      <c r="AR28" s="247">
        <f>VLOOKUP($A28,'Rate Calculation'!$A$4:$K$208,11,FALSE)</f>
        <v>195.33</v>
      </c>
      <c r="AS28" s="247">
        <f t="shared" si="22"/>
        <v>201.39</v>
      </c>
      <c r="AT28" s="110">
        <f t="shared" si="23"/>
        <v>196.44</v>
      </c>
      <c r="AU28" s="110">
        <f t="shared" si="24"/>
        <v>200.88</v>
      </c>
      <c r="AV28" s="111">
        <f t="shared" si="25"/>
        <v>-28.17</v>
      </c>
      <c r="AW28" s="110">
        <f t="shared" si="26"/>
        <v>172.71</v>
      </c>
      <c r="AX28" s="105">
        <f t="shared" si="27"/>
        <v>162.66999999999999</v>
      </c>
      <c r="AY28" s="105">
        <f t="shared" si="28"/>
        <v>190.84</v>
      </c>
      <c r="AZ28" s="105">
        <f t="shared" si="29"/>
        <v>28.17</v>
      </c>
      <c r="BA28" s="105">
        <f t="shared" si="30"/>
        <v>245.75</v>
      </c>
      <c r="BB28" s="105">
        <f t="shared" si="31"/>
        <v>159.38999999999999</v>
      </c>
      <c r="BC28" s="110">
        <f t="shared" si="32"/>
        <v>351.89</v>
      </c>
      <c r="BD28" s="110">
        <f t="shared" si="33"/>
        <v>269.62</v>
      </c>
      <c r="BE28" s="110">
        <f t="shared" si="34"/>
        <v>183.26</v>
      </c>
      <c r="BF28" s="105"/>
      <c r="BG28" s="105"/>
      <c r="BH28" s="111"/>
      <c r="BI28" s="105"/>
      <c r="BJ28" s="105"/>
      <c r="BK28" s="109"/>
      <c r="BL28" s="111"/>
      <c r="BM28" s="109"/>
      <c r="BN28" s="109"/>
      <c r="BO28" s="105"/>
      <c r="BP28" s="105"/>
      <c r="BQ28" s="109"/>
      <c r="BR28" s="110"/>
      <c r="BS28" s="110"/>
      <c r="BT28" s="110"/>
      <c r="BU28" s="110"/>
      <c r="BV28" s="110"/>
      <c r="BW28" s="112"/>
      <c r="BX28" s="112"/>
      <c r="BY28" s="110"/>
      <c r="BZ28" s="105"/>
      <c r="CA28" s="105"/>
      <c r="CB28" s="105"/>
      <c r="CC28" s="105"/>
      <c r="CD28" s="105"/>
      <c r="CE28" s="105"/>
    </row>
    <row r="29" spans="1:83" x14ac:dyDescent="0.15">
      <c r="A29" s="103">
        <v>246</v>
      </c>
      <c r="B29" s="98" t="str">
        <f>VLOOKUP($A29,'Rate Calculation'!$A$4:$AQ$208,42,FALSE)</f>
        <v>589064100</v>
      </c>
      <c r="C29" s="98" t="str">
        <f>VLOOKUP($A29,'Rate Calculation'!$A$4:$AQ$208,43,FALSE)</f>
        <v>Autumn Lake Healthcare at Homewood</v>
      </c>
      <c r="D29" s="98" t="str">
        <f>VLOOKUP($A29,'Rate Calculation'!$A$4:$F$208,5,FALSE)</f>
        <v>BALTIMORE METRO</v>
      </c>
      <c r="E29" s="98" t="str">
        <f>VLOOKUP($A29,'Rate Calculation'!$A$4:$F$208,6,FALSE)</f>
        <v>BALTIMORE CITY</v>
      </c>
      <c r="F29" s="105">
        <f t="shared" si="8"/>
        <v>117.69</v>
      </c>
      <c r="G29" s="105">
        <f t="shared" si="9"/>
        <v>25.66</v>
      </c>
      <c r="H29" s="105">
        <f t="shared" si="10"/>
        <v>37.11</v>
      </c>
      <c r="I29" s="105">
        <f t="shared" si="11"/>
        <v>198.48</v>
      </c>
      <c r="J29" s="105">
        <f>VLOOKUP($A29,'Rate Calculation'!$A$4:$AZ$208,34,FALSE)</f>
        <v>0</v>
      </c>
      <c r="K29" s="105">
        <f t="shared" si="12"/>
        <v>378.94</v>
      </c>
      <c r="L29" s="164">
        <f t="shared" si="4"/>
        <v>0.98772000000000004</v>
      </c>
      <c r="M29" s="105">
        <f t="shared" si="13"/>
        <v>374.29</v>
      </c>
      <c r="N29" s="105">
        <f>VLOOKUP($A29,'Rate Calculation'!$A$4:$AL$208,38,FALSE)</f>
        <v>25.83</v>
      </c>
      <c r="O29" s="183">
        <f>VLOOKUP($A29,'Rate Calculation'!$A$4:$I$208,9,FALSE)</f>
        <v>1.4121999999999999</v>
      </c>
      <c r="P29" s="183">
        <f t="shared" si="5"/>
        <v>1.4432</v>
      </c>
      <c r="Q29" s="183">
        <f>VLOOKUP(A29,'CMI Data'!$A$4:$C$208,3,FALSE)</f>
        <v>1.5365</v>
      </c>
      <c r="R29" s="246">
        <f>VLOOKUP($A29,FRV!$A$4:$K$208,11,FALSE)</f>
        <v>40992</v>
      </c>
      <c r="S29" s="246">
        <f t="shared" si="6"/>
        <v>33421</v>
      </c>
      <c r="T29" s="246">
        <f>VLOOKUP($A29,FRV!$A$4:$L$208,12,FALSE)</f>
        <v>35856</v>
      </c>
      <c r="U29" s="183">
        <f>Inflation!$G$24</f>
        <v>1.0309999999999999</v>
      </c>
      <c r="V29" s="247">
        <f>VLOOKUP($A29,'Rate Calculation'!A30:X234,24,FALSE)</f>
        <v>114.15</v>
      </c>
      <c r="W29" s="110">
        <f t="shared" si="14"/>
        <v>117.69</v>
      </c>
      <c r="X29" s="110">
        <f>VLOOKUP($A29,'Rate Calculation'!A30:V234,22,FALSE)</f>
        <v>24.89</v>
      </c>
      <c r="Y29" s="110">
        <f t="shared" si="15"/>
        <v>25.66</v>
      </c>
      <c r="Z29" s="212">
        <f>VLOOKUP($A29,FRV!$A$4:$D$208,4,FALSE)</f>
        <v>45474</v>
      </c>
      <c r="AA29" s="212">
        <f>VLOOKUP($A29,FRV!$A$4:$F$208,6,FALSE)</f>
        <v>45657</v>
      </c>
      <c r="AB29" s="248">
        <f>VLOOKUP($A29,FRV!$A$4:$U$208,13,FALSE)</f>
        <v>9981740</v>
      </c>
      <c r="AC29" s="248">
        <f>VLOOKUP($A29,FRV!$A$4:$U$208,15,FALSE)</f>
        <v>113402</v>
      </c>
      <c r="AD29" s="248">
        <f>VLOOKUP($A29,FRV!$A$4:$U$208,14,FALSE)</f>
        <v>16500</v>
      </c>
      <c r="AE29" s="248">
        <f>VLOOKUP($A29,FRV!$A$4:$U$208,7,FALSE)</f>
        <v>112</v>
      </c>
      <c r="AF29" s="107">
        <f t="shared" si="16"/>
        <v>11943142</v>
      </c>
      <c r="AG29" s="107">
        <f t="shared" si="17"/>
        <v>106635</v>
      </c>
      <c r="AH29" s="107">
        <v>120000</v>
      </c>
      <c r="AI29" s="107">
        <f t="shared" si="18"/>
        <v>106635</v>
      </c>
      <c r="AJ29" s="107">
        <f t="shared" si="19"/>
        <v>11943120</v>
      </c>
      <c r="AK29" s="249">
        <f>IF(VLOOKUP($A29,'Rate Calculation'!$A$4:$D$208,4,FALSE)="baltimore city",0.1,0.08)</f>
        <v>0.1</v>
      </c>
      <c r="AL29" s="107">
        <f t="shared" si="20"/>
        <v>1194312</v>
      </c>
      <c r="AM29" s="105">
        <f>IF(ISERROR(MATCH(A29&amp;AA29,'Days Exceptions'!$C$3:$C$16,0)),ROUND(AL29/(MAX(S29,T29)),2),ROUND(AL29/VLOOKUP(A29,'Days Exceptions'!$A$3:$J$16,8,FALSE),2))</f>
        <v>33.31</v>
      </c>
      <c r="AN29" s="213">
        <f>VLOOKUP($A29,'Rate Calculation'!$A$4:$AF$208,32,FALSE)</f>
        <v>3.8</v>
      </c>
      <c r="AO29" s="109">
        <f t="shared" si="21"/>
        <v>37.11</v>
      </c>
      <c r="AP29" s="247">
        <f>VLOOKUP($A29,'Rate Calculation'!$A$4:$Q$208,17,FALSE)</f>
        <v>167.38</v>
      </c>
      <c r="AQ29" s="247">
        <f t="shared" si="35"/>
        <v>172.57</v>
      </c>
      <c r="AR29" s="247">
        <f>VLOOKUP($A29,'Rate Calculation'!$A$4:$K$208,11,FALSE)</f>
        <v>195.33</v>
      </c>
      <c r="AS29" s="247">
        <f t="shared" si="22"/>
        <v>201.39</v>
      </c>
      <c r="AT29" s="110">
        <f t="shared" si="23"/>
        <v>197.06</v>
      </c>
      <c r="AU29" s="110">
        <f t="shared" si="24"/>
        <v>214.4</v>
      </c>
      <c r="AV29" s="111">
        <f t="shared" si="25"/>
        <v>-15.92</v>
      </c>
      <c r="AW29" s="110">
        <f t="shared" si="26"/>
        <v>198.48</v>
      </c>
      <c r="AX29" s="105">
        <f t="shared" si="27"/>
        <v>187.76</v>
      </c>
      <c r="AY29" s="105">
        <f t="shared" si="28"/>
        <v>203.68</v>
      </c>
      <c r="AZ29" s="105">
        <f t="shared" si="29"/>
        <v>15.92</v>
      </c>
      <c r="BA29" s="105">
        <f t="shared" si="30"/>
        <v>279.7</v>
      </c>
      <c r="BB29" s="105">
        <f t="shared" si="31"/>
        <v>180.46</v>
      </c>
      <c r="BC29" s="110">
        <f t="shared" si="32"/>
        <v>400.12</v>
      </c>
      <c r="BD29" s="110">
        <f t="shared" si="33"/>
        <v>305.52999999999997</v>
      </c>
      <c r="BE29" s="110">
        <f t="shared" si="34"/>
        <v>206.29</v>
      </c>
      <c r="BF29" s="105"/>
      <c r="BG29" s="105"/>
      <c r="BH29" s="111"/>
      <c r="BI29" s="105"/>
      <c r="BJ29" s="105"/>
      <c r="BK29" s="109"/>
      <c r="BL29" s="111"/>
      <c r="BM29" s="109"/>
      <c r="BN29" s="109"/>
      <c r="BO29" s="105"/>
      <c r="BP29" s="105"/>
      <c r="BQ29" s="109"/>
      <c r="BR29" s="110"/>
      <c r="BS29" s="110"/>
      <c r="BT29" s="110"/>
      <c r="BU29" s="110"/>
      <c r="BV29" s="110"/>
      <c r="BW29" s="112"/>
      <c r="BX29" s="112"/>
      <c r="BY29" s="110"/>
      <c r="BZ29" s="105"/>
      <c r="CA29" s="105"/>
      <c r="CB29" s="105"/>
      <c r="CC29" s="105"/>
      <c r="CD29" s="105"/>
      <c r="CE29" s="105"/>
    </row>
    <row r="30" spans="1:83" x14ac:dyDescent="0.15">
      <c r="A30" s="103">
        <v>278</v>
      </c>
      <c r="B30" s="98" t="str">
        <f>VLOOKUP($A30,'Rate Calculation'!$A$4:$AQ$208,42,FALSE)</f>
        <v>691022000</v>
      </c>
      <c r="C30" s="98" t="str">
        <f>VLOOKUP($A30,'Rate Calculation'!$A$4:$AQ$208,43,FALSE)</f>
        <v>Autumn Lake Healthcare at Loch Raven</v>
      </c>
      <c r="D30" s="98" t="str">
        <f>VLOOKUP($A30,'Rate Calculation'!$A$4:$F$208,5,FALSE)</f>
        <v>BALTIMORE METRO</v>
      </c>
      <c r="E30" s="98" t="str">
        <f>VLOOKUP($A30,'Rate Calculation'!$A$4:$F$208,6,FALSE)</f>
        <v>BALTIMORE METRO</v>
      </c>
      <c r="F30" s="105">
        <f t="shared" si="8"/>
        <v>105.18</v>
      </c>
      <c r="G30" s="105">
        <f t="shared" si="9"/>
        <v>21.5</v>
      </c>
      <c r="H30" s="105">
        <f t="shared" si="10"/>
        <v>23.69</v>
      </c>
      <c r="I30" s="105">
        <f t="shared" si="11"/>
        <v>203.11</v>
      </c>
      <c r="J30" s="105">
        <f>VLOOKUP($A30,'Rate Calculation'!$A$4:$AZ$208,34,FALSE)</f>
        <v>0</v>
      </c>
      <c r="K30" s="105">
        <f t="shared" si="12"/>
        <v>353.48</v>
      </c>
      <c r="L30" s="164">
        <f t="shared" si="4"/>
        <v>0.98772000000000004</v>
      </c>
      <c r="M30" s="105">
        <f t="shared" si="13"/>
        <v>349.14</v>
      </c>
      <c r="N30" s="105">
        <f>VLOOKUP($A30,'Rate Calculation'!$A$4:$AL$208,38,FALSE)</f>
        <v>24.92</v>
      </c>
      <c r="O30" s="183">
        <f>VLOOKUP($A30,'Rate Calculation'!$A$4:$I$208,9,FALSE)</f>
        <v>1.5842000000000001</v>
      </c>
      <c r="P30" s="183">
        <f t="shared" si="5"/>
        <v>1.4432</v>
      </c>
      <c r="Q30" s="183">
        <f>VLOOKUP(A30,'CMI Data'!$A$4:$C$208,3,FALSE)</f>
        <v>1.6368</v>
      </c>
      <c r="R30" s="246">
        <f>VLOOKUP($A30,FRV!$A$4:$K$208,11,FALSE)</f>
        <v>41358</v>
      </c>
      <c r="S30" s="246">
        <f t="shared" si="6"/>
        <v>33719</v>
      </c>
      <c r="T30" s="246">
        <f>VLOOKUP($A30,FRV!$A$4:$L$208,12,FALSE)</f>
        <v>38361</v>
      </c>
      <c r="U30" s="183">
        <f>Inflation!$G$24</f>
        <v>1.0309999999999999</v>
      </c>
      <c r="V30" s="247">
        <f>VLOOKUP($A30,'Rate Calculation'!A31:X235,24,FALSE)</f>
        <v>102.02</v>
      </c>
      <c r="W30" s="110">
        <f t="shared" si="14"/>
        <v>105.18</v>
      </c>
      <c r="X30" s="110">
        <f>VLOOKUP($A30,'Rate Calculation'!A31:V235,22,FALSE)</f>
        <v>20.85</v>
      </c>
      <c r="Y30" s="110">
        <f t="shared" si="15"/>
        <v>21.5</v>
      </c>
      <c r="Z30" s="212">
        <f>VLOOKUP($A30,FRV!$A$4:$D$208,4,FALSE)</f>
        <v>45474</v>
      </c>
      <c r="AA30" s="212">
        <f>VLOOKUP($A30,FRV!$A$4:$F$208,6,FALSE)</f>
        <v>45657</v>
      </c>
      <c r="AB30" s="248">
        <f>VLOOKUP($A30,FRV!$A$4:$U$208,13,FALSE)</f>
        <v>8737606</v>
      </c>
      <c r="AC30" s="248">
        <f>VLOOKUP($A30,FRV!$A$4:$U$208,15,FALSE)</f>
        <v>136879</v>
      </c>
      <c r="AD30" s="248">
        <f>VLOOKUP($A30,FRV!$A$4:$U$208,14,FALSE)</f>
        <v>16500</v>
      </c>
      <c r="AE30" s="248">
        <f>VLOOKUP($A30,FRV!$A$4:$U$208,7,FALSE)</f>
        <v>113</v>
      </c>
      <c r="AF30" s="107">
        <f t="shared" si="16"/>
        <v>10738985</v>
      </c>
      <c r="AG30" s="107">
        <f t="shared" si="17"/>
        <v>95035</v>
      </c>
      <c r="AH30" s="107">
        <v>120000</v>
      </c>
      <c r="AI30" s="107">
        <f t="shared" si="18"/>
        <v>95035</v>
      </c>
      <c r="AJ30" s="107">
        <f t="shared" si="19"/>
        <v>10738955</v>
      </c>
      <c r="AK30" s="249">
        <f>IF(VLOOKUP($A30,'Rate Calculation'!$A$4:$D$208,4,FALSE)="baltimore city",0.1,0.08)</f>
        <v>0.08</v>
      </c>
      <c r="AL30" s="107">
        <f t="shared" si="20"/>
        <v>859116</v>
      </c>
      <c r="AM30" s="105">
        <f>IF(ISERROR(MATCH(A30&amp;AA30,'Days Exceptions'!$C$3:$C$16,0)),ROUND(AL30/(MAX(S30,T30)),2),ROUND(AL30/VLOOKUP(A30,'Days Exceptions'!$A$3:$J$16,8,FALSE),2))</f>
        <v>22.4</v>
      </c>
      <c r="AN30" s="213">
        <f>VLOOKUP($A30,'Rate Calculation'!$A$4:$AF$208,32,FALSE)</f>
        <v>1.29</v>
      </c>
      <c r="AO30" s="109">
        <f t="shared" si="21"/>
        <v>23.69</v>
      </c>
      <c r="AP30" s="247">
        <f>VLOOKUP($A30,'Rate Calculation'!$A$4:$Q$208,17,FALSE)</f>
        <v>179.95</v>
      </c>
      <c r="AQ30" s="247">
        <f t="shared" si="35"/>
        <v>185.53</v>
      </c>
      <c r="AR30" s="247">
        <f>VLOOKUP($A30,'Rate Calculation'!$A$4:$K$208,11,FALSE)</f>
        <v>195.33</v>
      </c>
      <c r="AS30" s="247">
        <f t="shared" si="22"/>
        <v>201.39</v>
      </c>
      <c r="AT30" s="110">
        <f t="shared" si="23"/>
        <v>221.07</v>
      </c>
      <c r="AU30" s="110">
        <f t="shared" si="24"/>
        <v>228.41</v>
      </c>
      <c r="AV30" s="111">
        <f t="shared" si="25"/>
        <v>-25.3</v>
      </c>
      <c r="AW30" s="110">
        <f t="shared" si="26"/>
        <v>203.11</v>
      </c>
      <c r="AX30" s="105">
        <f t="shared" si="27"/>
        <v>191.69</v>
      </c>
      <c r="AY30" s="105">
        <f t="shared" si="28"/>
        <v>216.99</v>
      </c>
      <c r="AZ30" s="105">
        <f t="shared" si="29"/>
        <v>25.3</v>
      </c>
      <c r="BA30" s="105">
        <f t="shared" si="30"/>
        <v>251.93</v>
      </c>
      <c r="BB30" s="105">
        <f t="shared" si="31"/>
        <v>150.37</v>
      </c>
      <c r="BC30" s="110">
        <f t="shared" si="32"/>
        <v>374.06</v>
      </c>
      <c r="BD30" s="110">
        <f t="shared" si="33"/>
        <v>276.85000000000002</v>
      </c>
      <c r="BE30" s="110">
        <f t="shared" si="34"/>
        <v>175.29</v>
      </c>
      <c r="BF30" s="105"/>
      <c r="BG30" s="105"/>
      <c r="BH30" s="111"/>
      <c r="BI30" s="105"/>
      <c r="BJ30" s="105"/>
      <c r="BK30" s="109"/>
      <c r="BL30" s="111"/>
      <c r="BM30" s="109"/>
      <c r="BN30" s="109"/>
      <c r="BO30" s="105"/>
      <c r="BP30" s="105"/>
      <c r="BQ30" s="109"/>
      <c r="BR30" s="110"/>
      <c r="BS30" s="110"/>
      <c r="BT30" s="110"/>
      <c r="BU30" s="110"/>
      <c r="BV30" s="110"/>
      <c r="BW30" s="112"/>
      <c r="BX30" s="112"/>
      <c r="BY30" s="110"/>
      <c r="BZ30" s="105"/>
      <c r="CA30" s="105"/>
      <c r="CB30" s="105"/>
      <c r="CC30" s="105"/>
      <c r="CD30" s="105"/>
      <c r="CE30" s="105"/>
    </row>
    <row r="31" spans="1:83" x14ac:dyDescent="0.15">
      <c r="A31" s="103">
        <v>282</v>
      </c>
      <c r="B31" s="98" t="str">
        <f>VLOOKUP($A31,'Rate Calculation'!$A$4:$AQ$208,42,FALSE)</f>
        <v>424953400</v>
      </c>
      <c r="C31" s="98" t="str">
        <f>VLOOKUP($A31,'Rate Calculation'!$A$4:$AQ$208,43,FALSE)</f>
        <v>Autumn Lake Healthcare at Long Green</v>
      </c>
      <c r="D31" s="98" t="str">
        <f>VLOOKUP($A31,'Rate Calculation'!$A$4:$F$208,5,FALSE)</f>
        <v>BALTIMORE METRO</v>
      </c>
      <c r="E31" s="98" t="str">
        <f>VLOOKUP($A31,'Rate Calculation'!$A$4:$F$208,6,FALSE)</f>
        <v>BALTIMORE CITY</v>
      </c>
      <c r="F31" s="105">
        <f t="shared" si="8"/>
        <v>117.69</v>
      </c>
      <c r="G31" s="105">
        <f t="shared" si="9"/>
        <v>25.66</v>
      </c>
      <c r="H31" s="105">
        <f t="shared" si="10"/>
        <v>43.01</v>
      </c>
      <c r="I31" s="105">
        <f t="shared" si="11"/>
        <v>191.35</v>
      </c>
      <c r="J31" s="105">
        <f>VLOOKUP($A31,'Rate Calculation'!$A$4:$AZ$208,34,FALSE)</f>
        <v>0</v>
      </c>
      <c r="K31" s="105">
        <f t="shared" si="12"/>
        <v>377.71</v>
      </c>
      <c r="L31" s="164">
        <f t="shared" si="4"/>
        <v>0.98772000000000004</v>
      </c>
      <c r="M31" s="105">
        <f t="shared" si="13"/>
        <v>373.07</v>
      </c>
      <c r="N31" s="105">
        <f>VLOOKUP($A31,'Rate Calculation'!$A$4:$AL$208,38,FALSE)</f>
        <v>28</v>
      </c>
      <c r="O31" s="183">
        <f>VLOOKUP($A31,'Rate Calculation'!$A$4:$I$208,9,FALSE)</f>
        <v>1.5710999999999999</v>
      </c>
      <c r="P31" s="183">
        <f t="shared" si="5"/>
        <v>1.4432</v>
      </c>
      <c r="Q31" s="183">
        <f>VLOOKUP(A31,'CMI Data'!$A$4:$C$208,3,FALSE)</f>
        <v>1.4883</v>
      </c>
      <c r="R31" s="246">
        <f>VLOOKUP($A31,FRV!$A$4:$K$208,11,FALSE)</f>
        <v>49275</v>
      </c>
      <c r="S31" s="246">
        <f t="shared" si="6"/>
        <v>40174</v>
      </c>
      <c r="T31" s="246">
        <f>VLOOKUP($A31,FRV!$A$4:$L$208,12,FALSE)</f>
        <v>37059</v>
      </c>
      <c r="U31" s="183">
        <f>Inflation!$G$24</f>
        <v>1.0309999999999999</v>
      </c>
      <c r="V31" s="247">
        <f>VLOOKUP($A31,'Rate Calculation'!A32:X236,24,FALSE)</f>
        <v>114.15</v>
      </c>
      <c r="W31" s="110">
        <f t="shared" si="14"/>
        <v>117.69</v>
      </c>
      <c r="X31" s="110">
        <f>VLOOKUP($A31,'Rate Calculation'!A32:V236,22,FALSE)</f>
        <v>24.89</v>
      </c>
      <c r="Y31" s="110">
        <f t="shared" si="15"/>
        <v>25.66</v>
      </c>
      <c r="Z31" s="212">
        <f>VLOOKUP($A31,FRV!$A$4:$D$208,4,FALSE)</f>
        <v>45108</v>
      </c>
      <c r="AA31" s="212">
        <f>VLOOKUP($A31,FRV!$A$4:$F$208,6,FALSE)</f>
        <v>45291</v>
      </c>
      <c r="AB31" s="248">
        <f>VLOOKUP($A31,FRV!$A$4:$U$208,13,FALSE)</f>
        <v>11134821</v>
      </c>
      <c r="AC31" s="248">
        <f>VLOOKUP($A31,FRV!$A$4:$U$208,15,FALSE)</f>
        <v>203327</v>
      </c>
      <c r="AD31" s="248">
        <f>VLOOKUP($A31,FRV!$A$4:$U$208,14,FALSE)</f>
        <v>22000</v>
      </c>
      <c r="AE31" s="248">
        <f>VLOOKUP($A31,FRV!$A$4:$U$208,7,FALSE)</f>
        <v>135</v>
      </c>
      <c r="AF31" s="107">
        <f t="shared" si="16"/>
        <v>14308148</v>
      </c>
      <c r="AG31" s="107">
        <f t="shared" si="17"/>
        <v>105986</v>
      </c>
      <c r="AH31" s="107">
        <v>120000</v>
      </c>
      <c r="AI31" s="107">
        <f t="shared" si="18"/>
        <v>105986</v>
      </c>
      <c r="AJ31" s="107">
        <f t="shared" si="19"/>
        <v>14308110</v>
      </c>
      <c r="AK31" s="249">
        <f>IF(VLOOKUP($A31,'Rate Calculation'!$A$4:$D$208,4,FALSE)="baltimore city",0.1,0.08)</f>
        <v>0.1</v>
      </c>
      <c r="AL31" s="107">
        <f t="shared" si="20"/>
        <v>1430811</v>
      </c>
      <c r="AM31" s="105">
        <f>IF(ISERROR(MATCH(A31&amp;AA31,'Days Exceptions'!$C$3:$C$16,0)),ROUND(AL31/(MAX(S31,T31)),2),ROUND(AL31/VLOOKUP(A31,'Days Exceptions'!$A$3:$J$16,8,FALSE),2))</f>
        <v>35.619999999999997</v>
      </c>
      <c r="AN31" s="213">
        <f>VLOOKUP($A31,'Rate Calculation'!$A$4:$AF$208,32,FALSE)</f>
        <v>7.39</v>
      </c>
      <c r="AO31" s="109">
        <f t="shared" si="21"/>
        <v>43.01</v>
      </c>
      <c r="AP31" s="247">
        <f>VLOOKUP($A31,'Rate Calculation'!$A$4:$Q$208,17,FALSE)</f>
        <v>185.3</v>
      </c>
      <c r="AQ31" s="247">
        <f t="shared" si="35"/>
        <v>191.04</v>
      </c>
      <c r="AR31" s="247">
        <f>VLOOKUP($A31,'Rate Calculation'!$A$4:$K$208,11,FALSE)</f>
        <v>195.33</v>
      </c>
      <c r="AS31" s="247">
        <f t="shared" si="22"/>
        <v>201.39</v>
      </c>
      <c r="AT31" s="110">
        <f t="shared" si="23"/>
        <v>219.24</v>
      </c>
      <c r="AU31" s="110">
        <f t="shared" si="24"/>
        <v>207.69</v>
      </c>
      <c r="AV31" s="111">
        <f t="shared" si="25"/>
        <v>-16.34</v>
      </c>
      <c r="AW31" s="110">
        <f t="shared" si="26"/>
        <v>191.35</v>
      </c>
      <c r="AX31" s="105">
        <f t="shared" si="27"/>
        <v>180.97</v>
      </c>
      <c r="AY31" s="105">
        <f t="shared" si="28"/>
        <v>197.31</v>
      </c>
      <c r="AZ31" s="105">
        <f t="shared" si="29"/>
        <v>16.34</v>
      </c>
      <c r="BA31" s="105">
        <f t="shared" si="30"/>
        <v>282.04000000000002</v>
      </c>
      <c r="BB31" s="105">
        <f t="shared" si="31"/>
        <v>186.36</v>
      </c>
      <c r="BC31" s="110">
        <f t="shared" si="32"/>
        <v>401.07</v>
      </c>
      <c r="BD31" s="110">
        <f t="shared" si="33"/>
        <v>310.04000000000002</v>
      </c>
      <c r="BE31" s="110">
        <f t="shared" si="34"/>
        <v>214.36</v>
      </c>
      <c r="BF31" s="105"/>
      <c r="BG31" s="105"/>
      <c r="BH31" s="111"/>
      <c r="BI31" s="105"/>
      <c r="BJ31" s="105"/>
      <c r="BK31" s="109"/>
      <c r="BL31" s="111"/>
      <c r="BM31" s="109"/>
      <c r="BN31" s="109"/>
      <c r="BO31" s="105"/>
      <c r="BP31" s="105"/>
      <c r="BQ31" s="109"/>
      <c r="BR31" s="110"/>
      <c r="BS31" s="110"/>
      <c r="BT31" s="110"/>
      <c r="BU31" s="110"/>
      <c r="BV31" s="110"/>
      <c r="BW31" s="112"/>
      <c r="BX31" s="112"/>
      <c r="BY31" s="110"/>
      <c r="BZ31" s="105"/>
      <c r="CA31" s="105"/>
      <c r="CB31" s="105"/>
      <c r="CC31" s="105"/>
      <c r="CD31" s="105"/>
      <c r="CE31" s="105"/>
    </row>
    <row r="32" spans="1:83" x14ac:dyDescent="0.15">
      <c r="A32" s="103">
        <v>284</v>
      </c>
      <c r="B32" s="98" t="str">
        <f>VLOOKUP($A32,'Rate Calculation'!$A$4:$AQ$208,42,FALSE)</f>
        <v>209046500</v>
      </c>
      <c r="C32" s="98" t="str">
        <f>VLOOKUP($A32,'Rate Calculation'!$A$4:$AQ$208,43,FALSE)</f>
        <v>Autumn Lake Healthcare at Long View</v>
      </c>
      <c r="D32" s="98" t="str">
        <f>VLOOKUP($A32,'Rate Calculation'!$A$4:$F$208,5,FALSE)</f>
        <v>BALTIMORE METRO</v>
      </c>
      <c r="E32" s="98" t="str">
        <f>VLOOKUP($A32,'Rate Calculation'!$A$4:$F$208,6,FALSE)</f>
        <v>BALTIMORE METRO</v>
      </c>
      <c r="F32" s="105">
        <f t="shared" si="8"/>
        <v>105.18</v>
      </c>
      <c r="G32" s="105">
        <f t="shared" si="9"/>
        <v>21.5</v>
      </c>
      <c r="H32" s="105">
        <f t="shared" si="10"/>
        <v>30.85</v>
      </c>
      <c r="I32" s="105">
        <f t="shared" si="11"/>
        <v>205.7</v>
      </c>
      <c r="J32" s="105">
        <f>VLOOKUP($A32,'Rate Calculation'!$A$4:$AZ$208,34,FALSE)</f>
        <v>0</v>
      </c>
      <c r="K32" s="105">
        <f t="shared" si="12"/>
        <v>363.23</v>
      </c>
      <c r="L32" s="164">
        <f t="shared" si="4"/>
        <v>0.98772000000000004</v>
      </c>
      <c r="M32" s="105">
        <f t="shared" si="13"/>
        <v>358.77</v>
      </c>
      <c r="N32" s="105">
        <f>VLOOKUP($A32,'Rate Calculation'!$A$4:$AL$208,38,FALSE)</f>
        <v>23.04</v>
      </c>
      <c r="O32" s="183">
        <f>VLOOKUP($A32,'Rate Calculation'!$A$4:$I$208,9,FALSE)</f>
        <v>1.4744999999999999</v>
      </c>
      <c r="P32" s="183">
        <f t="shared" si="5"/>
        <v>1.4432</v>
      </c>
      <c r="Q32" s="183">
        <f>VLOOKUP(A32,'CMI Data'!$A$4:$C$208,3,FALSE)</f>
        <v>1.4741</v>
      </c>
      <c r="R32" s="246">
        <f>VLOOKUP($A32,FRV!$A$4:$K$208,11,FALSE)</f>
        <v>39420</v>
      </c>
      <c r="S32" s="246">
        <f t="shared" si="6"/>
        <v>32139</v>
      </c>
      <c r="T32" s="246">
        <f>VLOOKUP($A32,FRV!$A$4:$L$208,12,FALSE)</f>
        <v>36133</v>
      </c>
      <c r="U32" s="183">
        <f>Inflation!$G$24</f>
        <v>1.0309999999999999</v>
      </c>
      <c r="V32" s="247">
        <f>VLOOKUP($A32,'Rate Calculation'!A33:X237,24,FALSE)</f>
        <v>102.02</v>
      </c>
      <c r="W32" s="110">
        <f t="shared" si="14"/>
        <v>105.18</v>
      </c>
      <c r="X32" s="110">
        <f>VLOOKUP($A32,'Rate Calculation'!A33:V237,22,FALSE)</f>
        <v>20.85</v>
      </c>
      <c r="Y32" s="110">
        <f t="shared" si="15"/>
        <v>21.5</v>
      </c>
      <c r="Z32" s="212">
        <f>VLOOKUP($A32,FRV!$A$4:$D$208,4,FALSE)</f>
        <v>44743</v>
      </c>
      <c r="AA32" s="212">
        <f>VLOOKUP($A32,FRV!$A$4:$F$208,6,FALSE)</f>
        <v>44926</v>
      </c>
      <c r="AB32" s="248">
        <f>VLOOKUP($A32,FRV!$A$4:$U$208,13,FALSE)</f>
        <v>14846094</v>
      </c>
      <c r="AC32" s="248">
        <f>VLOOKUP($A32,FRV!$A$4:$U$208,15,FALSE)</f>
        <v>258555</v>
      </c>
      <c r="AD32" s="248">
        <f>VLOOKUP($A32,FRV!$A$4:$U$208,14,FALSE)</f>
        <v>15000</v>
      </c>
      <c r="AE32" s="248">
        <f>VLOOKUP($A32,FRV!$A$4:$U$208,7,FALSE)</f>
        <v>108</v>
      </c>
      <c r="AF32" s="107">
        <f t="shared" si="16"/>
        <v>16724649</v>
      </c>
      <c r="AG32" s="107">
        <f t="shared" si="17"/>
        <v>154858</v>
      </c>
      <c r="AH32" s="107">
        <v>120000</v>
      </c>
      <c r="AI32" s="107">
        <f t="shared" si="18"/>
        <v>120000</v>
      </c>
      <c r="AJ32" s="107">
        <f t="shared" si="19"/>
        <v>12960000</v>
      </c>
      <c r="AK32" s="249">
        <f>IF(VLOOKUP($A32,'Rate Calculation'!$A$4:$D$208,4,FALSE)="baltimore city",0.1,0.08)</f>
        <v>0.08</v>
      </c>
      <c r="AL32" s="107">
        <f t="shared" si="20"/>
        <v>1036800</v>
      </c>
      <c r="AM32" s="105">
        <f>IF(ISERROR(MATCH(A32&amp;AA32,'Days Exceptions'!$C$3:$C$16,0)),ROUND(AL32/(MAX(S32,T32)),2),ROUND(AL32/VLOOKUP(A32,'Days Exceptions'!$A$3:$J$16,8,FALSE),2))</f>
        <v>28.69</v>
      </c>
      <c r="AN32" s="213">
        <f>VLOOKUP($A32,'Rate Calculation'!$A$4:$AF$208,32,FALSE)</f>
        <v>2.16</v>
      </c>
      <c r="AO32" s="109">
        <f t="shared" si="21"/>
        <v>30.85</v>
      </c>
      <c r="AP32" s="247">
        <f>VLOOKUP($A32,'Rate Calculation'!$A$4:$Q$208,17,FALSE)</f>
        <v>211.68</v>
      </c>
      <c r="AQ32" s="247">
        <f t="shared" si="35"/>
        <v>218.24</v>
      </c>
      <c r="AR32" s="247">
        <f>VLOOKUP($A32,'Rate Calculation'!$A$4:$K$208,11,FALSE)</f>
        <v>195.33</v>
      </c>
      <c r="AS32" s="247">
        <f t="shared" si="22"/>
        <v>201.39</v>
      </c>
      <c r="AT32" s="110">
        <f t="shared" si="23"/>
        <v>205.76</v>
      </c>
      <c r="AU32" s="110">
        <f t="shared" si="24"/>
        <v>205.7</v>
      </c>
      <c r="AV32" s="111">
        <f t="shared" si="25"/>
        <v>0</v>
      </c>
      <c r="AW32" s="110">
        <f t="shared" si="26"/>
        <v>205.7</v>
      </c>
      <c r="AX32" s="105">
        <f t="shared" si="27"/>
        <v>218.18</v>
      </c>
      <c r="AY32" s="105">
        <f t="shared" si="28"/>
        <v>195.42</v>
      </c>
      <c r="AZ32" s="105">
        <f t="shared" si="29"/>
        <v>-22.76</v>
      </c>
      <c r="BA32" s="105">
        <f t="shared" si="30"/>
        <v>260.38</v>
      </c>
      <c r="BB32" s="105">
        <f t="shared" si="31"/>
        <v>157.53</v>
      </c>
      <c r="BC32" s="110">
        <f t="shared" si="32"/>
        <v>381.81</v>
      </c>
      <c r="BD32" s="110">
        <f t="shared" si="33"/>
        <v>283.42</v>
      </c>
      <c r="BE32" s="110">
        <f t="shared" si="34"/>
        <v>180.57</v>
      </c>
      <c r="BF32" s="105"/>
      <c r="BG32" s="105"/>
      <c r="BH32" s="111"/>
      <c r="BI32" s="105"/>
      <c r="BJ32" s="105"/>
      <c r="BK32" s="109"/>
      <c r="BL32" s="111"/>
      <c r="BM32" s="109"/>
      <c r="BN32" s="109"/>
      <c r="BO32" s="105"/>
      <c r="BP32" s="105"/>
      <c r="BQ32" s="109"/>
      <c r="BR32" s="110"/>
      <c r="BS32" s="110"/>
      <c r="BT32" s="110"/>
      <c r="BU32" s="110"/>
      <c r="BV32" s="110"/>
      <c r="BW32" s="112"/>
      <c r="BX32" s="112"/>
      <c r="BY32" s="110"/>
      <c r="BZ32" s="105"/>
      <c r="CA32" s="105"/>
      <c r="CB32" s="105"/>
      <c r="CC32" s="105"/>
      <c r="CD32" s="105"/>
      <c r="CE32" s="105"/>
    </row>
    <row r="33" spans="1:83" x14ac:dyDescent="0.15">
      <c r="A33" s="103">
        <v>240</v>
      </c>
      <c r="B33" s="98" t="str">
        <f>VLOOKUP($A33,'Rate Calculation'!$A$4:$AQ$208,42,FALSE)</f>
        <v>918268300</v>
      </c>
      <c r="C33" s="98" t="str">
        <f>VLOOKUP($A33,'Rate Calculation'!$A$4:$AQ$208,43,FALSE)</f>
        <v>Autumn Lake Healthcare at Oak Manor</v>
      </c>
      <c r="D33" s="98" t="str">
        <f>VLOOKUP($A33,'Rate Calculation'!$A$4:$F$208,5,FALSE)</f>
        <v>WASHINGTON METRO</v>
      </c>
      <c r="E33" s="98" t="str">
        <f>VLOOKUP($A33,'Rate Calculation'!$A$4:$F$208,6,FALSE)</f>
        <v>WASHINGTON METRO</v>
      </c>
      <c r="F33" s="105">
        <f t="shared" si="8"/>
        <v>103.73</v>
      </c>
      <c r="G33" s="105">
        <f t="shared" si="9"/>
        <v>19.829999999999998</v>
      </c>
      <c r="H33" s="105">
        <f t="shared" si="10"/>
        <v>32.659999999999997</v>
      </c>
      <c r="I33" s="105">
        <f t="shared" si="11"/>
        <v>200.85</v>
      </c>
      <c r="J33" s="105">
        <f>VLOOKUP($A33,'Rate Calculation'!$A$4:$AZ$208,34,FALSE)</f>
        <v>0</v>
      </c>
      <c r="K33" s="105">
        <f t="shared" si="12"/>
        <v>357.07</v>
      </c>
      <c r="L33" s="164">
        <f t="shared" si="4"/>
        <v>0.98772000000000004</v>
      </c>
      <c r="M33" s="105">
        <f t="shared" si="13"/>
        <v>352.69</v>
      </c>
      <c r="N33" s="105">
        <f>VLOOKUP($A33,'Rate Calculation'!$A$4:$AL$208,38,FALSE)</f>
        <v>22.44</v>
      </c>
      <c r="O33" s="183">
        <f>VLOOKUP($A33,'Rate Calculation'!$A$4:$I$208,9,FALSE)</f>
        <v>1.4957</v>
      </c>
      <c r="P33" s="183">
        <f t="shared" si="5"/>
        <v>1.4432</v>
      </c>
      <c r="Q33" s="183">
        <f>VLOOKUP(A33,'CMI Data'!$A$4:$C$208,3,FALSE)</f>
        <v>1.5972999999999999</v>
      </c>
      <c r="R33" s="246">
        <f>VLOOKUP($A33,FRV!$A$4:$K$208,11,FALSE)</f>
        <v>54900</v>
      </c>
      <c r="S33" s="246">
        <f t="shared" si="6"/>
        <v>44760</v>
      </c>
      <c r="T33" s="246">
        <f>VLOOKUP($A33,FRV!$A$4:$L$208,12,FALSE)</f>
        <v>47885</v>
      </c>
      <c r="U33" s="183">
        <f>Inflation!$G$24</f>
        <v>1.0309999999999999</v>
      </c>
      <c r="V33" s="247">
        <f>VLOOKUP($A33,'Rate Calculation'!A34:X238,24,FALSE)</f>
        <v>100.61</v>
      </c>
      <c r="W33" s="110">
        <f t="shared" si="14"/>
        <v>103.73</v>
      </c>
      <c r="X33" s="110">
        <f>VLOOKUP($A33,'Rate Calculation'!A34:V238,22,FALSE)</f>
        <v>19.23</v>
      </c>
      <c r="Y33" s="110">
        <f t="shared" si="15"/>
        <v>19.829999999999998</v>
      </c>
      <c r="Z33" s="212">
        <f>VLOOKUP($A33,FRV!$A$4:$D$208,4,FALSE)</f>
        <v>45474</v>
      </c>
      <c r="AA33" s="212">
        <f>VLOOKUP($A33,FRV!$A$4:$F$208,6,FALSE)</f>
        <v>45657</v>
      </c>
      <c r="AB33" s="248">
        <f>VLOOKUP($A33,FRV!$A$4:$U$208,13,FALSE)</f>
        <v>19158560</v>
      </c>
      <c r="AC33" s="248">
        <f>VLOOKUP($A33,FRV!$A$4:$U$208,15,FALSE)</f>
        <v>308001</v>
      </c>
      <c r="AD33" s="248">
        <f>VLOOKUP($A33,FRV!$A$4:$U$208,14,FALSE)</f>
        <v>47000</v>
      </c>
      <c r="AE33" s="248">
        <f>VLOOKUP($A33,FRV!$A$4:$U$208,7,FALSE)</f>
        <v>150</v>
      </c>
      <c r="AF33" s="107">
        <f t="shared" si="16"/>
        <v>26516561</v>
      </c>
      <c r="AG33" s="107">
        <f t="shared" si="17"/>
        <v>176777</v>
      </c>
      <c r="AH33" s="107">
        <v>120000</v>
      </c>
      <c r="AI33" s="107">
        <f t="shared" si="18"/>
        <v>120000</v>
      </c>
      <c r="AJ33" s="107">
        <f t="shared" si="19"/>
        <v>18000000</v>
      </c>
      <c r="AK33" s="249">
        <f>IF(VLOOKUP($A33,'Rate Calculation'!$A$4:$D$208,4,FALSE)="baltimore city",0.1,0.08)</f>
        <v>0.08</v>
      </c>
      <c r="AL33" s="107">
        <f t="shared" si="20"/>
        <v>1440000</v>
      </c>
      <c r="AM33" s="105">
        <f>IF(ISERROR(MATCH(A33&amp;AA33,'Days Exceptions'!$C$3:$C$16,0)),ROUND(AL33/(MAX(S33,T33)),2),ROUND(AL33/VLOOKUP(A33,'Days Exceptions'!$A$3:$J$16,8,FALSE),2))</f>
        <v>30.07</v>
      </c>
      <c r="AN33" s="213">
        <f>VLOOKUP($A33,'Rate Calculation'!$A$4:$AF$208,32,FALSE)</f>
        <v>2.59</v>
      </c>
      <c r="AO33" s="109">
        <f t="shared" si="21"/>
        <v>32.659999999999997</v>
      </c>
      <c r="AP33" s="247">
        <f>VLOOKUP($A33,'Rate Calculation'!$A$4:$Q$208,17,FALSE)</f>
        <v>208.23</v>
      </c>
      <c r="AQ33" s="247">
        <f t="shared" si="35"/>
        <v>214.69</v>
      </c>
      <c r="AR33" s="247">
        <f>VLOOKUP($A33,'Rate Calculation'!$A$4:$K$208,11,FALSE)</f>
        <v>176.01</v>
      </c>
      <c r="AS33" s="247">
        <f t="shared" si="22"/>
        <v>181.47</v>
      </c>
      <c r="AT33" s="110">
        <f t="shared" si="23"/>
        <v>188.07</v>
      </c>
      <c r="AU33" s="110">
        <f t="shared" si="24"/>
        <v>200.85</v>
      </c>
      <c r="AV33" s="111">
        <f t="shared" si="25"/>
        <v>0</v>
      </c>
      <c r="AW33" s="110">
        <f t="shared" si="26"/>
        <v>200.85</v>
      </c>
      <c r="AX33" s="105">
        <f t="shared" si="27"/>
        <v>229.27</v>
      </c>
      <c r="AY33" s="105">
        <f t="shared" si="28"/>
        <v>190.81</v>
      </c>
      <c r="AZ33" s="105">
        <f t="shared" si="29"/>
        <v>-38.46</v>
      </c>
      <c r="BA33" s="105">
        <f t="shared" si="30"/>
        <v>256.64999999999998</v>
      </c>
      <c r="BB33" s="105">
        <f t="shared" si="31"/>
        <v>156.22</v>
      </c>
      <c r="BC33" s="110">
        <f t="shared" si="32"/>
        <v>375.13</v>
      </c>
      <c r="BD33" s="110">
        <f t="shared" si="33"/>
        <v>279.08999999999997</v>
      </c>
      <c r="BE33" s="110">
        <f t="shared" si="34"/>
        <v>178.66</v>
      </c>
      <c r="BF33" s="105"/>
      <c r="BG33" s="105"/>
      <c r="BH33" s="111"/>
      <c r="BI33" s="105"/>
      <c r="BJ33" s="105"/>
      <c r="BK33" s="109"/>
      <c r="BL33" s="111"/>
      <c r="BM33" s="109"/>
      <c r="BN33" s="109"/>
      <c r="BO33" s="105"/>
      <c r="BP33" s="105"/>
      <c r="BQ33" s="109"/>
      <c r="BR33" s="110"/>
      <c r="BS33" s="110"/>
      <c r="BT33" s="110"/>
      <c r="BU33" s="110"/>
      <c r="BV33" s="110"/>
      <c r="BW33" s="112"/>
      <c r="BX33" s="112"/>
      <c r="BY33" s="110"/>
      <c r="BZ33" s="105"/>
      <c r="CA33" s="105"/>
      <c r="CB33" s="105"/>
      <c r="CC33" s="105"/>
      <c r="CD33" s="105"/>
      <c r="CE33" s="105"/>
    </row>
    <row r="34" spans="1:83" x14ac:dyDescent="0.15">
      <c r="A34" s="103">
        <v>154</v>
      </c>
      <c r="B34" s="98" t="str">
        <f>VLOOKUP($A34,'Rate Calculation'!$A$4:$AQ$208,42,FALSE)</f>
        <v>823008100</v>
      </c>
      <c r="C34" s="98" t="str">
        <f>VLOOKUP($A34,'Rate Calculation'!$A$4:$AQ$208,43,FALSE)</f>
        <v>Autumn Lake Healthcare at Oakview</v>
      </c>
      <c r="D34" s="98" t="str">
        <f>VLOOKUP($A34,'Rate Calculation'!$A$4:$F$208,5,FALSE)</f>
        <v>WASHINGTON METRO</v>
      </c>
      <c r="E34" s="98" t="str">
        <f>VLOOKUP($A34,'Rate Calculation'!$A$4:$F$208,6,FALSE)</f>
        <v>WASHINGTON METRO</v>
      </c>
      <c r="F34" s="105">
        <f t="shared" si="8"/>
        <v>103.73</v>
      </c>
      <c r="G34" s="105">
        <f t="shared" si="9"/>
        <v>19.829999999999998</v>
      </c>
      <c r="H34" s="105">
        <f t="shared" si="10"/>
        <v>32.31</v>
      </c>
      <c r="I34" s="105">
        <f t="shared" si="11"/>
        <v>156.19</v>
      </c>
      <c r="J34" s="105">
        <f>VLOOKUP($A34,'Rate Calculation'!$A$4:$AZ$208,34,FALSE)</f>
        <v>0</v>
      </c>
      <c r="K34" s="105">
        <f t="shared" si="12"/>
        <v>312.06</v>
      </c>
      <c r="L34" s="164">
        <f t="shared" si="4"/>
        <v>0.98772000000000004</v>
      </c>
      <c r="M34" s="105">
        <f t="shared" si="13"/>
        <v>308.23</v>
      </c>
      <c r="N34" s="105">
        <f>VLOOKUP($A34,'Rate Calculation'!$A$4:$AL$208,38,FALSE)</f>
        <v>27.25</v>
      </c>
      <c r="O34" s="183">
        <f>VLOOKUP($A34,'Rate Calculation'!$A$4:$I$208,9,FALSE)</f>
        <v>1.4923</v>
      </c>
      <c r="P34" s="183">
        <f t="shared" si="5"/>
        <v>1.4432</v>
      </c>
      <c r="Q34" s="183">
        <f>VLOOKUP(A34,'CMI Data'!$A$4:$C$208,3,FALSE)</f>
        <v>1.3884000000000001</v>
      </c>
      <c r="R34" s="246">
        <f>VLOOKUP($A34,FRV!$A$4:$K$208,11,FALSE)</f>
        <v>50370</v>
      </c>
      <c r="S34" s="246">
        <f t="shared" si="6"/>
        <v>41067</v>
      </c>
      <c r="T34" s="246">
        <f>VLOOKUP($A34,FRV!$A$4:$L$208,12,FALSE)</f>
        <v>42395</v>
      </c>
      <c r="U34" s="183">
        <f>Inflation!$G$24</f>
        <v>1.0309999999999999</v>
      </c>
      <c r="V34" s="247">
        <f>VLOOKUP($A34,'Rate Calculation'!A35:X239,24,FALSE)</f>
        <v>100.61</v>
      </c>
      <c r="W34" s="110">
        <f t="shared" si="14"/>
        <v>103.73</v>
      </c>
      <c r="X34" s="110">
        <f>VLOOKUP($A34,'Rate Calculation'!A35:V239,22,FALSE)</f>
        <v>19.23</v>
      </c>
      <c r="Y34" s="110">
        <f t="shared" si="15"/>
        <v>19.829999999999998</v>
      </c>
      <c r="Z34" s="212">
        <f>VLOOKUP($A34,FRV!$A$4:$D$208,4,FALSE)</f>
        <v>45108</v>
      </c>
      <c r="AA34" s="212">
        <f>VLOOKUP($A34,FRV!$A$4:$F$208,6,FALSE)</f>
        <v>45291</v>
      </c>
      <c r="AB34" s="248">
        <f>VLOOKUP($A34,FRV!$A$4:$U$208,13,FALSE)</f>
        <v>11522126</v>
      </c>
      <c r="AC34" s="248">
        <f>VLOOKUP($A34,FRV!$A$4:$U$208,15,FALSE)</f>
        <v>246487</v>
      </c>
      <c r="AD34" s="248">
        <f>VLOOKUP($A34,FRV!$A$4:$U$208,14,FALSE)</f>
        <v>28000</v>
      </c>
      <c r="AE34" s="248">
        <f>VLOOKUP($A34,FRV!$A$4:$U$208,7,FALSE)</f>
        <v>138</v>
      </c>
      <c r="AF34" s="107">
        <f t="shared" si="16"/>
        <v>15632613</v>
      </c>
      <c r="AG34" s="107">
        <f t="shared" si="17"/>
        <v>113280</v>
      </c>
      <c r="AH34" s="107">
        <v>120000</v>
      </c>
      <c r="AI34" s="107">
        <f t="shared" si="18"/>
        <v>113280</v>
      </c>
      <c r="AJ34" s="107">
        <f t="shared" si="19"/>
        <v>15632640</v>
      </c>
      <c r="AK34" s="249">
        <f>IF(VLOOKUP($A34,'Rate Calculation'!$A$4:$D$208,4,FALSE)="baltimore city",0.1,0.08)</f>
        <v>0.08</v>
      </c>
      <c r="AL34" s="107">
        <f t="shared" si="20"/>
        <v>1250611</v>
      </c>
      <c r="AM34" s="105">
        <f>IF(ISERROR(MATCH(A34&amp;AA34,'Days Exceptions'!$C$3:$C$16,0)),ROUND(AL34/(MAX(S34,T34)),2),ROUND(AL34/VLOOKUP(A34,'Days Exceptions'!$A$3:$J$16,8,FALSE),2))</f>
        <v>29.5</v>
      </c>
      <c r="AN34" s="213">
        <f>VLOOKUP($A34,'Rate Calculation'!$A$4:$AF$208,32,FALSE)</f>
        <v>2.81</v>
      </c>
      <c r="AO34" s="109">
        <f t="shared" si="21"/>
        <v>32.31</v>
      </c>
      <c r="AP34" s="247">
        <f>VLOOKUP($A34,'Rate Calculation'!$A$4:$Q$208,17,FALSE)</f>
        <v>153.72</v>
      </c>
      <c r="AQ34" s="247">
        <f t="shared" si="35"/>
        <v>158.49</v>
      </c>
      <c r="AR34" s="247">
        <f>VLOOKUP($A34,'Rate Calculation'!$A$4:$K$208,11,FALSE)</f>
        <v>176.01</v>
      </c>
      <c r="AS34" s="247">
        <f t="shared" si="22"/>
        <v>181.47</v>
      </c>
      <c r="AT34" s="110">
        <f t="shared" si="23"/>
        <v>187.64</v>
      </c>
      <c r="AU34" s="110">
        <f t="shared" si="24"/>
        <v>174.58</v>
      </c>
      <c r="AV34" s="111">
        <f t="shared" si="25"/>
        <v>-18.39</v>
      </c>
      <c r="AW34" s="110">
        <f t="shared" si="26"/>
        <v>156.19</v>
      </c>
      <c r="AX34" s="105">
        <f t="shared" si="27"/>
        <v>147.46</v>
      </c>
      <c r="AY34" s="105">
        <f t="shared" si="28"/>
        <v>165.85</v>
      </c>
      <c r="AZ34" s="105">
        <f t="shared" si="29"/>
        <v>18.39</v>
      </c>
      <c r="BA34" s="105">
        <f t="shared" si="30"/>
        <v>233.97</v>
      </c>
      <c r="BB34" s="105">
        <f t="shared" si="31"/>
        <v>155.87</v>
      </c>
      <c r="BC34" s="110">
        <f t="shared" si="32"/>
        <v>335.48</v>
      </c>
      <c r="BD34" s="110">
        <f t="shared" si="33"/>
        <v>261.22000000000003</v>
      </c>
      <c r="BE34" s="110">
        <f t="shared" si="34"/>
        <v>183.12</v>
      </c>
      <c r="BF34" s="105"/>
      <c r="BG34" s="105"/>
      <c r="BH34" s="111"/>
      <c r="BI34" s="105"/>
      <c r="BJ34" s="105"/>
      <c r="BK34" s="109"/>
      <c r="BL34" s="111"/>
      <c r="BM34" s="109"/>
      <c r="BN34" s="109"/>
      <c r="BO34" s="105"/>
      <c r="BP34" s="105"/>
      <c r="BQ34" s="109"/>
      <c r="BR34" s="110"/>
      <c r="BS34" s="110"/>
      <c r="BT34" s="110"/>
      <c r="BU34" s="110"/>
      <c r="BV34" s="110"/>
      <c r="BW34" s="112"/>
      <c r="BX34" s="112"/>
      <c r="BY34" s="110"/>
      <c r="BZ34" s="105"/>
      <c r="CA34" s="105"/>
      <c r="CB34" s="105"/>
      <c r="CC34" s="105"/>
      <c r="CD34" s="105"/>
      <c r="CE34" s="105"/>
    </row>
    <row r="35" spans="1:83" x14ac:dyDescent="0.15">
      <c r="A35" s="103">
        <v>358</v>
      </c>
      <c r="B35" s="98" t="str">
        <f>VLOOKUP($A35,'Rate Calculation'!$A$4:$AQ$208,42,FALSE)</f>
        <v>888723300</v>
      </c>
      <c r="C35" s="98" t="str">
        <f>VLOOKUP($A35,'Rate Calculation'!$A$4:$AQ$208,43,FALSE)</f>
        <v>Autumn Lake Healthcare at Overlea</v>
      </c>
      <c r="D35" s="98" t="str">
        <f>VLOOKUP($A35,'Rate Calculation'!$A$4:$F$208,5,FALSE)</f>
        <v>BALTIMORE METRO</v>
      </c>
      <c r="E35" s="98" t="str">
        <f>VLOOKUP($A35,'Rate Calculation'!$A$4:$F$208,6,FALSE)</f>
        <v>BALTIMORE CITY</v>
      </c>
      <c r="F35" s="105">
        <f t="shared" si="8"/>
        <v>117.69</v>
      </c>
      <c r="G35" s="105">
        <f t="shared" si="9"/>
        <v>25.66</v>
      </c>
      <c r="H35" s="105">
        <f t="shared" si="10"/>
        <v>39.89</v>
      </c>
      <c r="I35" s="105">
        <f t="shared" si="11"/>
        <v>196.44</v>
      </c>
      <c r="J35" s="105">
        <f>VLOOKUP($A35,'Rate Calculation'!$A$4:$AZ$208,34,FALSE)</f>
        <v>0</v>
      </c>
      <c r="K35" s="105">
        <f t="shared" si="12"/>
        <v>379.68</v>
      </c>
      <c r="L35" s="164">
        <f t="shared" si="4"/>
        <v>0.98772000000000004</v>
      </c>
      <c r="M35" s="105">
        <f t="shared" si="13"/>
        <v>375.02</v>
      </c>
      <c r="N35" s="105">
        <f>VLOOKUP($A35,'Rate Calculation'!$A$4:$AL$208,38,FALSE)</f>
        <v>26.65</v>
      </c>
      <c r="O35" s="183">
        <f>VLOOKUP($A35,'Rate Calculation'!$A$4:$I$208,9,FALSE)</f>
        <v>1.5266999999999999</v>
      </c>
      <c r="P35" s="183">
        <f t="shared" si="5"/>
        <v>1.4432</v>
      </c>
      <c r="Q35" s="183">
        <f>VLOOKUP(A35,'CMI Data'!$A$4:$C$208,3,FALSE)</f>
        <v>1.5245</v>
      </c>
      <c r="R35" s="246">
        <f>VLOOKUP($A35,FRV!$A$4:$K$208,11,FALSE)</f>
        <v>54750</v>
      </c>
      <c r="S35" s="246">
        <f t="shared" si="6"/>
        <v>44638</v>
      </c>
      <c r="T35" s="246">
        <f>VLOOKUP($A35,FRV!$A$4:$L$208,12,FALSE)</f>
        <v>43228</v>
      </c>
      <c r="U35" s="183">
        <f>Inflation!$G$24</f>
        <v>1.0309999999999999</v>
      </c>
      <c r="V35" s="247">
        <f>VLOOKUP($A35,'Rate Calculation'!A36:X240,24,FALSE)</f>
        <v>114.15</v>
      </c>
      <c r="W35" s="110">
        <f t="shared" si="14"/>
        <v>117.69</v>
      </c>
      <c r="X35" s="110">
        <f>VLOOKUP($A35,'Rate Calculation'!A36:V240,22,FALSE)</f>
        <v>24.89</v>
      </c>
      <c r="Y35" s="110">
        <f t="shared" si="15"/>
        <v>25.66</v>
      </c>
      <c r="Z35" s="212">
        <f>VLOOKUP($A35,FRV!$A$4:$D$208,4,FALSE)</f>
        <v>45108</v>
      </c>
      <c r="AA35" s="212">
        <f>VLOOKUP($A35,FRV!$A$4:$F$208,6,FALSE)</f>
        <v>45291</v>
      </c>
      <c r="AB35" s="248">
        <f>VLOOKUP($A35,FRV!$A$4:$U$208,13,FALSE)</f>
        <v>12469701</v>
      </c>
      <c r="AC35" s="248">
        <f>VLOOKUP($A35,FRV!$A$4:$U$208,15,FALSE)</f>
        <v>351184</v>
      </c>
      <c r="AD35" s="248">
        <f>VLOOKUP($A35,FRV!$A$4:$U$208,14,FALSE)</f>
        <v>17500</v>
      </c>
      <c r="AE35" s="248">
        <f>VLOOKUP($A35,FRV!$A$4:$U$208,7,FALSE)</f>
        <v>150</v>
      </c>
      <c r="AF35" s="107">
        <f t="shared" si="16"/>
        <v>15445885</v>
      </c>
      <c r="AG35" s="107">
        <f t="shared" si="17"/>
        <v>102973</v>
      </c>
      <c r="AH35" s="107">
        <v>120000</v>
      </c>
      <c r="AI35" s="107">
        <f t="shared" si="18"/>
        <v>102973</v>
      </c>
      <c r="AJ35" s="107">
        <f t="shared" si="19"/>
        <v>15445950</v>
      </c>
      <c r="AK35" s="249">
        <f>IF(VLOOKUP($A35,'Rate Calculation'!$A$4:$D$208,4,FALSE)="baltimore city",0.1,0.08)</f>
        <v>0.1</v>
      </c>
      <c r="AL35" s="107">
        <f t="shared" si="20"/>
        <v>1544595</v>
      </c>
      <c r="AM35" s="105">
        <f>IF(ISERROR(MATCH(A35&amp;AA35,'Days Exceptions'!$C$3:$C$16,0)),ROUND(AL35/(MAX(S35,T35)),2),ROUND(AL35/VLOOKUP(A35,'Days Exceptions'!$A$3:$J$16,8,FALSE),2))</f>
        <v>34.6</v>
      </c>
      <c r="AN35" s="213">
        <f>VLOOKUP($A35,'Rate Calculation'!$A$4:$AF$208,32,FALSE)</f>
        <v>5.29</v>
      </c>
      <c r="AO35" s="109">
        <f t="shared" si="21"/>
        <v>39.89</v>
      </c>
      <c r="AP35" s="247">
        <f>VLOOKUP($A35,'Rate Calculation'!$A$4:$Q$208,17,FALSE)</f>
        <v>180.48</v>
      </c>
      <c r="AQ35" s="247">
        <f t="shared" si="35"/>
        <v>186.07</v>
      </c>
      <c r="AR35" s="247">
        <f>VLOOKUP($A35,'Rate Calculation'!$A$4:$K$208,11,FALSE)</f>
        <v>195.33</v>
      </c>
      <c r="AS35" s="247">
        <f t="shared" si="22"/>
        <v>201.39</v>
      </c>
      <c r="AT35" s="110">
        <f t="shared" si="23"/>
        <v>213.04</v>
      </c>
      <c r="AU35" s="110">
        <f t="shared" si="24"/>
        <v>212.73</v>
      </c>
      <c r="AV35" s="111">
        <f t="shared" si="25"/>
        <v>-16.29</v>
      </c>
      <c r="AW35" s="110">
        <f t="shared" si="26"/>
        <v>196.44</v>
      </c>
      <c r="AX35" s="105">
        <f t="shared" si="27"/>
        <v>185.8</v>
      </c>
      <c r="AY35" s="105">
        <f t="shared" si="28"/>
        <v>202.09</v>
      </c>
      <c r="AZ35" s="105">
        <f t="shared" si="29"/>
        <v>16.29</v>
      </c>
      <c r="BA35" s="105">
        <f t="shared" si="30"/>
        <v>281.45999999999998</v>
      </c>
      <c r="BB35" s="105">
        <f t="shared" si="31"/>
        <v>183.24</v>
      </c>
      <c r="BC35" s="110">
        <f t="shared" si="32"/>
        <v>401.67</v>
      </c>
      <c r="BD35" s="110">
        <f t="shared" si="33"/>
        <v>308.11</v>
      </c>
      <c r="BE35" s="110">
        <f t="shared" si="34"/>
        <v>209.89</v>
      </c>
      <c r="BF35" s="105"/>
      <c r="BG35" s="105"/>
      <c r="BH35" s="111"/>
      <c r="BI35" s="105"/>
      <c r="BJ35" s="105"/>
      <c r="BK35" s="109"/>
      <c r="BL35" s="111"/>
      <c r="BM35" s="109"/>
      <c r="BN35" s="109"/>
      <c r="BO35" s="105"/>
      <c r="BP35" s="105"/>
      <c r="BQ35" s="109"/>
      <c r="BR35" s="110"/>
      <c r="BS35" s="110"/>
      <c r="BT35" s="110"/>
      <c r="BU35" s="110"/>
      <c r="BV35" s="110"/>
      <c r="BW35" s="112"/>
      <c r="BX35" s="112"/>
      <c r="BY35" s="110"/>
      <c r="BZ35" s="105"/>
      <c r="CA35" s="105"/>
      <c r="CB35" s="105"/>
      <c r="CC35" s="105"/>
      <c r="CD35" s="105"/>
      <c r="CE35" s="105"/>
    </row>
    <row r="36" spans="1:83" x14ac:dyDescent="0.15">
      <c r="A36" s="103">
        <v>134</v>
      </c>
      <c r="B36" s="98" t="str">
        <f>VLOOKUP($A36,'Rate Calculation'!$A$4:$AQ$208,42,FALSE)</f>
        <v>999343600</v>
      </c>
      <c r="C36" s="98" t="str">
        <f>VLOOKUP($A36,'Rate Calculation'!$A$4:$AQ$208,43,FALSE)</f>
        <v>Autumn Lake Healthcare at Parkville</v>
      </c>
      <c r="D36" s="98" t="str">
        <f>VLOOKUP($A36,'Rate Calculation'!$A$4:$F$208,5,FALSE)</f>
        <v>BALTIMORE METRO</v>
      </c>
      <c r="E36" s="98" t="str">
        <f>VLOOKUP($A36,'Rate Calculation'!$A$4:$F$208,6,FALSE)</f>
        <v>BALTIMORE METRO</v>
      </c>
      <c r="F36" s="105">
        <f t="shared" si="8"/>
        <v>105.18</v>
      </c>
      <c r="G36" s="105">
        <f t="shared" si="9"/>
        <v>21.5</v>
      </c>
      <c r="H36" s="105">
        <f t="shared" si="10"/>
        <v>33.93</v>
      </c>
      <c r="I36" s="105">
        <f t="shared" si="11"/>
        <v>188.39</v>
      </c>
      <c r="J36" s="105">
        <f>VLOOKUP($A36,'Rate Calculation'!$A$4:$AZ$208,34,FALSE)</f>
        <v>0</v>
      </c>
      <c r="K36" s="105">
        <f t="shared" si="12"/>
        <v>349</v>
      </c>
      <c r="L36" s="164">
        <f t="shared" si="4"/>
        <v>0.98772000000000004</v>
      </c>
      <c r="M36" s="105">
        <f t="shared" si="13"/>
        <v>344.71</v>
      </c>
      <c r="N36" s="105">
        <f>VLOOKUP($A36,'Rate Calculation'!$A$4:$AL$208,38,FALSE)</f>
        <v>25.08</v>
      </c>
      <c r="O36" s="183">
        <f>VLOOKUP($A36,'Rate Calculation'!$A$4:$I$208,9,FALSE)</f>
        <v>1.4180999999999999</v>
      </c>
      <c r="P36" s="183">
        <f t="shared" si="5"/>
        <v>1.4432</v>
      </c>
      <c r="Q36" s="183">
        <f>VLOOKUP(A36,'CMI Data'!$A$4:$C$208,3,FALSE)</f>
        <v>1.35</v>
      </c>
      <c r="R36" s="246">
        <f>VLOOKUP($A36,FRV!$A$4:$K$208,11,FALSE)</f>
        <v>49275</v>
      </c>
      <c r="S36" s="246">
        <f t="shared" si="6"/>
        <v>40174</v>
      </c>
      <c r="T36" s="246">
        <f>VLOOKUP($A36,FRV!$A$4:$L$208,12,FALSE)</f>
        <v>40594</v>
      </c>
      <c r="U36" s="183">
        <f>Inflation!$G$24</f>
        <v>1.0309999999999999</v>
      </c>
      <c r="V36" s="247">
        <f>VLOOKUP($A36,'Rate Calculation'!A37:X241,24,FALSE)</f>
        <v>102.02</v>
      </c>
      <c r="W36" s="110">
        <f t="shared" si="14"/>
        <v>105.18</v>
      </c>
      <c r="X36" s="110">
        <f>VLOOKUP($A36,'Rate Calculation'!A37:V241,22,FALSE)</f>
        <v>20.85</v>
      </c>
      <c r="Y36" s="110">
        <f t="shared" si="15"/>
        <v>21.5</v>
      </c>
      <c r="Z36" s="212">
        <f>VLOOKUP($A36,FRV!$A$4:$D$208,4,FALSE)</f>
        <v>44743</v>
      </c>
      <c r="AA36" s="212">
        <f>VLOOKUP($A36,FRV!$A$4:$F$208,6,FALSE)</f>
        <v>44926</v>
      </c>
      <c r="AB36" s="248">
        <f>VLOOKUP($A36,FRV!$A$4:$U$208,13,FALSE)</f>
        <v>12985731</v>
      </c>
      <c r="AC36" s="248">
        <f>VLOOKUP($A36,FRV!$A$4:$U$208,15,FALSE)</f>
        <v>429883</v>
      </c>
      <c r="AD36" s="248">
        <f>VLOOKUP($A36,FRV!$A$4:$U$208,14,FALSE)</f>
        <v>22500</v>
      </c>
      <c r="AE36" s="248">
        <f>VLOOKUP($A36,FRV!$A$4:$U$208,7,FALSE)</f>
        <v>135</v>
      </c>
      <c r="AF36" s="107">
        <f t="shared" si="16"/>
        <v>16453114</v>
      </c>
      <c r="AG36" s="107">
        <f t="shared" si="17"/>
        <v>121875</v>
      </c>
      <c r="AH36" s="107">
        <v>120000</v>
      </c>
      <c r="AI36" s="107">
        <f t="shared" si="18"/>
        <v>120000</v>
      </c>
      <c r="AJ36" s="107">
        <f t="shared" si="19"/>
        <v>16200000</v>
      </c>
      <c r="AK36" s="249">
        <f>IF(VLOOKUP($A36,'Rate Calculation'!$A$4:$D$208,4,FALSE)="baltimore city",0.1,0.08)</f>
        <v>0.08</v>
      </c>
      <c r="AL36" s="107">
        <f t="shared" si="20"/>
        <v>1296000</v>
      </c>
      <c r="AM36" s="105">
        <f>IF(ISERROR(MATCH(A36&amp;AA36,'Days Exceptions'!$C$3:$C$16,0)),ROUND(AL36/(MAX(S36,T36)),2),ROUND(AL36/VLOOKUP(A36,'Days Exceptions'!$A$3:$J$16,8,FALSE),2))</f>
        <v>31.93</v>
      </c>
      <c r="AN36" s="213">
        <f>VLOOKUP($A36,'Rate Calculation'!$A$4:$AF$208,32,FALSE)</f>
        <v>2</v>
      </c>
      <c r="AO36" s="109">
        <f t="shared" si="21"/>
        <v>33.93</v>
      </c>
      <c r="AP36" s="247">
        <f>VLOOKUP($A36,'Rate Calculation'!$A$4:$Q$208,17,FALSE)</f>
        <v>186.7</v>
      </c>
      <c r="AQ36" s="247">
        <f t="shared" si="35"/>
        <v>192.49</v>
      </c>
      <c r="AR36" s="247">
        <f>VLOOKUP($A36,'Rate Calculation'!$A$4:$K$208,11,FALSE)</f>
        <v>195.33</v>
      </c>
      <c r="AS36" s="247">
        <f t="shared" si="22"/>
        <v>201.39</v>
      </c>
      <c r="AT36" s="110">
        <f t="shared" si="23"/>
        <v>197.89</v>
      </c>
      <c r="AU36" s="110">
        <f t="shared" si="24"/>
        <v>188.39</v>
      </c>
      <c r="AV36" s="111">
        <f t="shared" si="25"/>
        <v>0</v>
      </c>
      <c r="AW36" s="110">
        <f t="shared" si="26"/>
        <v>188.39</v>
      </c>
      <c r="AX36" s="105">
        <f t="shared" si="27"/>
        <v>183.25</v>
      </c>
      <c r="AY36" s="105">
        <f t="shared" si="28"/>
        <v>178.97</v>
      </c>
      <c r="AZ36" s="105">
        <f t="shared" si="29"/>
        <v>-4.28</v>
      </c>
      <c r="BA36" s="105">
        <f t="shared" si="30"/>
        <v>254.81</v>
      </c>
      <c r="BB36" s="105">
        <f t="shared" si="31"/>
        <v>160.61000000000001</v>
      </c>
      <c r="BC36" s="110">
        <f t="shared" si="32"/>
        <v>369.79</v>
      </c>
      <c r="BD36" s="110">
        <f t="shared" si="33"/>
        <v>279.89</v>
      </c>
      <c r="BE36" s="110">
        <f t="shared" si="34"/>
        <v>185.69</v>
      </c>
      <c r="BF36" s="105"/>
      <c r="BG36" s="105"/>
      <c r="BH36" s="111"/>
      <c r="BI36" s="105"/>
      <c r="BJ36" s="105"/>
      <c r="BK36" s="109"/>
      <c r="BL36" s="111"/>
      <c r="BM36" s="109"/>
      <c r="BN36" s="109"/>
      <c r="BO36" s="105"/>
      <c r="BP36" s="105"/>
      <c r="BQ36" s="109"/>
      <c r="BR36" s="110"/>
      <c r="BS36" s="110"/>
      <c r="BT36" s="110"/>
      <c r="BU36" s="110"/>
      <c r="BV36" s="110"/>
      <c r="BW36" s="112"/>
      <c r="BX36" s="112"/>
      <c r="BY36" s="110"/>
      <c r="BZ36" s="105"/>
      <c r="CA36" s="105"/>
      <c r="CB36" s="105"/>
      <c r="CC36" s="105"/>
      <c r="CD36" s="105"/>
      <c r="CE36" s="105"/>
    </row>
    <row r="37" spans="1:83" x14ac:dyDescent="0.15">
      <c r="A37" s="103">
        <v>695</v>
      </c>
      <c r="B37" s="98" t="str">
        <f>VLOOKUP($A37,'Rate Calculation'!$A$4:$AQ$208,42,FALSE)</f>
        <v>888733100</v>
      </c>
      <c r="C37" s="98" t="str">
        <f>VLOOKUP($A37,'Rate Calculation'!$A$4:$AQ$208,43,FALSE)</f>
        <v>Autumn Lake Healthcare at Patuxent River</v>
      </c>
      <c r="D37" s="98" t="str">
        <f>VLOOKUP($A37,'Rate Calculation'!$A$4:$F$208,5,FALSE)</f>
        <v>WASHINGTON METRO</v>
      </c>
      <c r="E37" s="98" t="str">
        <f>VLOOKUP($A37,'Rate Calculation'!$A$4:$F$208,6,FALSE)</f>
        <v>WASHINGTON METRO</v>
      </c>
      <c r="F37" s="105">
        <f t="shared" si="8"/>
        <v>103.73</v>
      </c>
      <c r="G37" s="105">
        <f t="shared" si="9"/>
        <v>19.829999999999998</v>
      </c>
      <c r="H37" s="105">
        <f t="shared" si="10"/>
        <v>39.56</v>
      </c>
      <c r="I37" s="105">
        <f t="shared" si="11"/>
        <v>180.97</v>
      </c>
      <c r="J37" s="105">
        <f>VLOOKUP($A37,'Rate Calculation'!$A$4:$AZ$208,34,FALSE)</f>
        <v>0</v>
      </c>
      <c r="K37" s="105">
        <f t="shared" si="12"/>
        <v>344.09</v>
      </c>
      <c r="L37" s="164">
        <f t="shared" si="4"/>
        <v>0.98772000000000004</v>
      </c>
      <c r="M37" s="105">
        <f t="shared" si="13"/>
        <v>339.86</v>
      </c>
      <c r="N37" s="105">
        <f>VLOOKUP($A37,'Rate Calculation'!$A$4:$AL$208,38,FALSE)</f>
        <v>25.82</v>
      </c>
      <c r="O37" s="183">
        <f>VLOOKUP($A37,'Rate Calculation'!$A$4:$I$208,9,FALSE)</f>
        <v>1.6317999999999999</v>
      </c>
      <c r="P37" s="183">
        <f t="shared" si="5"/>
        <v>1.4432</v>
      </c>
      <c r="Q37" s="183">
        <f>VLOOKUP(A37,'CMI Data'!$A$4:$C$208,3,FALSE)</f>
        <v>1.5396000000000001</v>
      </c>
      <c r="R37" s="246">
        <f>VLOOKUP($A37,FRV!$A$4:$K$208,11,FALSE)</f>
        <v>55845</v>
      </c>
      <c r="S37" s="246">
        <f t="shared" si="6"/>
        <v>45530</v>
      </c>
      <c r="T37" s="246">
        <f>VLOOKUP($A37,FRV!$A$4:$L$208,12,FALSE)</f>
        <v>45889</v>
      </c>
      <c r="U37" s="183">
        <f>Inflation!$G$24</f>
        <v>1.0309999999999999</v>
      </c>
      <c r="V37" s="247">
        <f>VLOOKUP($A37,'Rate Calculation'!A38:X242,24,FALSE)</f>
        <v>100.61</v>
      </c>
      <c r="W37" s="110">
        <f t="shared" si="14"/>
        <v>103.73</v>
      </c>
      <c r="X37" s="110">
        <f>VLOOKUP($A37,'Rate Calculation'!A38:V242,22,FALSE)</f>
        <v>19.23</v>
      </c>
      <c r="Y37" s="110">
        <f t="shared" si="15"/>
        <v>19.829999999999998</v>
      </c>
      <c r="Z37" s="212">
        <f>VLOOKUP($A37,FRV!$A$4:$D$208,4,FALSE)</f>
        <v>44743</v>
      </c>
      <c r="AA37" s="212">
        <f>VLOOKUP($A37,FRV!$A$4:$F$208,6,FALSE)</f>
        <v>44926</v>
      </c>
      <c r="AB37" s="248">
        <f>VLOOKUP($A37,FRV!$A$4:$U$208,13,FALSE)</f>
        <v>15210687</v>
      </c>
      <c r="AC37" s="248">
        <f>VLOOKUP($A37,FRV!$A$4:$U$208,15,FALSE)</f>
        <v>373661</v>
      </c>
      <c r="AD37" s="248">
        <f>VLOOKUP($A37,FRV!$A$4:$U$208,14,FALSE)</f>
        <v>27000</v>
      </c>
      <c r="AE37" s="248">
        <f>VLOOKUP($A37,FRV!$A$4:$U$208,7,FALSE)</f>
        <v>153</v>
      </c>
      <c r="AF37" s="107">
        <f t="shared" si="16"/>
        <v>19715348</v>
      </c>
      <c r="AG37" s="107">
        <f t="shared" si="17"/>
        <v>128858</v>
      </c>
      <c r="AH37" s="107">
        <v>120000</v>
      </c>
      <c r="AI37" s="107">
        <f t="shared" si="18"/>
        <v>120000</v>
      </c>
      <c r="AJ37" s="107">
        <f t="shared" si="19"/>
        <v>18360000</v>
      </c>
      <c r="AK37" s="249">
        <f>IF(VLOOKUP($A37,'Rate Calculation'!$A$4:$D$208,4,FALSE)="baltimore city",0.1,0.08)</f>
        <v>0.08</v>
      </c>
      <c r="AL37" s="107">
        <f t="shared" si="20"/>
        <v>1468800</v>
      </c>
      <c r="AM37" s="105">
        <f>IF(ISERROR(MATCH(A37&amp;AA37,'Days Exceptions'!$C$3:$C$16,0)),ROUND(AL37/(MAX(S37,T37)),2),ROUND(AL37/VLOOKUP(A37,'Days Exceptions'!$A$3:$J$16,8,FALSE),2))</f>
        <v>32.01</v>
      </c>
      <c r="AN37" s="213">
        <f>VLOOKUP($A37,'Rate Calculation'!$A$4:$AF$208,32,FALSE)</f>
        <v>7.55</v>
      </c>
      <c r="AO37" s="109">
        <f t="shared" si="21"/>
        <v>39.56</v>
      </c>
      <c r="AP37" s="247">
        <f>VLOOKUP($A37,'Rate Calculation'!$A$4:$Q$208,17,FALSE)</f>
        <v>176.09</v>
      </c>
      <c r="AQ37" s="247">
        <f t="shared" si="35"/>
        <v>181.55</v>
      </c>
      <c r="AR37" s="247">
        <f>VLOOKUP($A37,'Rate Calculation'!$A$4:$K$208,11,FALSE)</f>
        <v>176.01</v>
      </c>
      <c r="AS37" s="247">
        <f t="shared" si="22"/>
        <v>181.47</v>
      </c>
      <c r="AT37" s="110">
        <f t="shared" si="23"/>
        <v>205.18</v>
      </c>
      <c r="AU37" s="110">
        <f t="shared" si="24"/>
        <v>193.59</v>
      </c>
      <c r="AV37" s="111">
        <f t="shared" si="25"/>
        <v>-12.62</v>
      </c>
      <c r="AW37" s="110">
        <f t="shared" si="26"/>
        <v>180.97</v>
      </c>
      <c r="AX37" s="105">
        <f t="shared" si="27"/>
        <v>171.29</v>
      </c>
      <c r="AY37" s="105">
        <f t="shared" si="28"/>
        <v>183.91</v>
      </c>
      <c r="AZ37" s="105">
        <f t="shared" si="29"/>
        <v>12.62</v>
      </c>
      <c r="BA37" s="105">
        <f t="shared" si="30"/>
        <v>253.61</v>
      </c>
      <c r="BB37" s="105">
        <f t="shared" si="31"/>
        <v>163.12</v>
      </c>
      <c r="BC37" s="110">
        <f t="shared" si="32"/>
        <v>365.68</v>
      </c>
      <c r="BD37" s="110">
        <f t="shared" si="33"/>
        <v>279.43</v>
      </c>
      <c r="BE37" s="110">
        <f t="shared" si="34"/>
        <v>188.94</v>
      </c>
      <c r="BF37" s="105"/>
      <c r="BG37" s="105"/>
      <c r="BH37" s="111"/>
      <c r="BI37" s="105"/>
      <c r="BJ37" s="105"/>
      <c r="BK37" s="109"/>
      <c r="BL37" s="111"/>
      <c r="BM37" s="109"/>
      <c r="BN37" s="109"/>
      <c r="BO37" s="105"/>
      <c r="BP37" s="105"/>
      <c r="BQ37" s="109"/>
      <c r="BR37" s="110"/>
      <c r="BS37" s="110"/>
      <c r="BT37" s="110"/>
      <c r="BU37" s="110"/>
      <c r="BV37" s="110"/>
      <c r="BW37" s="112"/>
      <c r="BX37" s="112"/>
      <c r="BY37" s="110"/>
      <c r="BZ37" s="105"/>
      <c r="CA37" s="105"/>
      <c r="CB37" s="105"/>
      <c r="CC37" s="105"/>
      <c r="CD37" s="105"/>
      <c r="CE37" s="105"/>
    </row>
    <row r="38" spans="1:83" x14ac:dyDescent="0.15">
      <c r="A38" s="103">
        <v>362</v>
      </c>
      <c r="B38" s="98" t="str">
        <f>VLOOKUP($A38,'Rate Calculation'!$A$4:$AQ$208,42,FALSE)</f>
        <v>889072200</v>
      </c>
      <c r="C38" s="98" t="str">
        <f>VLOOKUP($A38,'Rate Calculation'!$A$4:$AQ$208,43,FALSE)</f>
        <v>Autumn Lake Healthcare at Perring Parkway</v>
      </c>
      <c r="D38" s="98" t="str">
        <f>VLOOKUP($A38,'Rate Calculation'!$A$4:$F$208,5,FALSE)</f>
        <v>BALTIMORE METRO</v>
      </c>
      <c r="E38" s="98" t="str">
        <f>VLOOKUP($A38,'Rate Calculation'!$A$4:$F$208,6,FALSE)</f>
        <v>BALTIMORE METRO</v>
      </c>
      <c r="F38" s="105">
        <f t="shared" si="8"/>
        <v>105.18</v>
      </c>
      <c r="G38" s="105">
        <f t="shared" si="9"/>
        <v>21.5</v>
      </c>
      <c r="H38" s="105">
        <f t="shared" si="10"/>
        <v>28.13</v>
      </c>
      <c r="I38" s="105">
        <f t="shared" si="11"/>
        <v>182.38</v>
      </c>
      <c r="J38" s="105">
        <f>VLOOKUP($A38,'Rate Calculation'!$A$4:$AZ$208,34,FALSE)</f>
        <v>0</v>
      </c>
      <c r="K38" s="105">
        <f t="shared" si="12"/>
        <v>337.19</v>
      </c>
      <c r="L38" s="164">
        <f t="shared" si="4"/>
        <v>0.98772000000000004</v>
      </c>
      <c r="M38" s="105">
        <f t="shared" si="13"/>
        <v>333.05</v>
      </c>
      <c r="N38" s="105">
        <f>VLOOKUP($A38,'Rate Calculation'!$A$4:$AL$208,38,FALSE)</f>
        <v>26.4</v>
      </c>
      <c r="O38" s="183">
        <f>VLOOKUP($A38,'Rate Calculation'!$A$4:$I$208,9,FALSE)</f>
        <v>1.5527</v>
      </c>
      <c r="P38" s="183">
        <f t="shared" si="5"/>
        <v>1.4432</v>
      </c>
      <c r="Q38" s="183">
        <f>VLOOKUP(A38,'CMI Data'!$A$4:$C$208,3,FALSE)</f>
        <v>1.4796</v>
      </c>
      <c r="R38" s="246">
        <f>VLOOKUP($A38,FRV!$A$4:$K$208,11,FALSE)</f>
        <v>40260</v>
      </c>
      <c r="S38" s="246">
        <f t="shared" si="6"/>
        <v>32824</v>
      </c>
      <c r="T38" s="246">
        <f>VLOOKUP($A38,FRV!$A$4:$L$208,12,FALSE)</f>
        <v>33246</v>
      </c>
      <c r="U38" s="183">
        <f>Inflation!$G$24</f>
        <v>1.0309999999999999</v>
      </c>
      <c r="V38" s="247">
        <f>VLOOKUP($A38,'Rate Calculation'!A39:X243,24,FALSE)</f>
        <v>102.02</v>
      </c>
      <c r="W38" s="110">
        <f t="shared" si="14"/>
        <v>105.18</v>
      </c>
      <c r="X38" s="110">
        <f>VLOOKUP($A38,'Rate Calculation'!A39:V243,22,FALSE)</f>
        <v>20.85</v>
      </c>
      <c r="Y38" s="110">
        <f t="shared" si="15"/>
        <v>21.5</v>
      </c>
      <c r="Z38" s="212">
        <f>VLOOKUP($A38,FRV!$A$4:$D$208,4,FALSE)</f>
        <v>45474</v>
      </c>
      <c r="AA38" s="212">
        <f>VLOOKUP($A38,FRV!$A$4:$F$208,6,FALSE)</f>
        <v>45657</v>
      </c>
      <c r="AB38" s="248">
        <f>VLOOKUP($A38,FRV!$A$4:$U$208,13,FALSE)</f>
        <v>9111360</v>
      </c>
      <c r="AC38" s="248">
        <f>VLOOKUP($A38,FRV!$A$4:$U$208,15,FALSE)</f>
        <v>153799</v>
      </c>
      <c r="AD38" s="248">
        <f>VLOOKUP($A38,FRV!$A$4:$U$208,14,FALSE)</f>
        <v>16500</v>
      </c>
      <c r="AE38" s="248">
        <f>VLOOKUP($A38,FRV!$A$4:$U$208,7,FALSE)</f>
        <v>110</v>
      </c>
      <c r="AF38" s="107">
        <f t="shared" si="16"/>
        <v>11080159</v>
      </c>
      <c r="AG38" s="107">
        <f t="shared" si="17"/>
        <v>100729</v>
      </c>
      <c r="AH38" s="107">
        <v>120000</v>
      </c>
      <c r="AI38" s="107">
        <f t="shared" si="18"/>
        <v>100729</v>
      </c>
      <c r="AJ38" s="107">
        <f t="shared" si="19"/>
        <v>11080190</v>
      </c>
      <c r="AK38" s="249">
        <f>IF(VLOOKUP($A38,'Rate Calculation'!$A$4:$D$208,4,FALSE)="baltimore city",0.1,0.08)</f>
        <v>0.08</v>
      </c>
      <c r="AL38" s="107">
        <f t="shared" si="20"/>
        <v>886415</v>
      </c>
      <c r="AM38" s="105">
        <f>IF(ISERROR(MATCH(A38&amp;AA38,'Days Exceptions'!$C$3:$C$16,0)),ROUND(AL38/(MAX(S38,T38)),2),ROUND(AL38/VLOOKUP(A38,'Days Exceptions'!$A$3:$J$16,8,FALSE),2))</f>
        <v>26.66</v>
      </c>
      <c r="AN38" s="213">
        <f>VLOOKUP($A38,'Rate Calculation'!$A$4:$AF$208,32,FALSE)</f>
        <v>1.47</v>
      </c>
      <c r="AO38" s="109">
        <f t="shared" si="21"/>
        <v>28.13</v>
      </c>
      <c r="AP38" s="247">
        <f>VLOOKUP($A38,'Rate Calculation'!$A$4:$Q$208,17,FALSE)</f>
        <v>175.13</v>
      </c>
      <c r="AQ38" s="247">
        <f t="shared" si="35"/>
        <v>180.56</v>
      </c>
      <c r="AR38" s="247">
        <f>VLOOKUP($A38,'Rate Calculation'!$A$4:$K$208,11,FALSE)</f>
        <v>195.33</v>
      </c>
      <c r="AS38" s="247">
        <f t="shared" si="22"/>
        <v>201.39</v>
      </c>
      <c r="AT38" s="110">
        <f t="shared" si="23"/>
        <v>216.67</v>
      </c>
      <c r="AU38" s="110">
        <f t="shared" si="24"/>
        <v>206.47</v>
      </c>
      <c r="AV38" s="111">
        <f t="shared" si="25"/>
        <v>-24.09</v>
      </c>
      <c r="AW38" s="110">
        <f t="shared" si="26"/>
        <v>182.38</v>
      </c>
      <c r="AX38" s="105">
        <f t="shared" si="27"/>
        <v>172.06</v>
      </c>
      <c r="AY38" s="105">
        <f t="shared" si="28"/>
        <v>196.15</v>
      </c>
      <c r="AZ38" s="105">
        <f t="shared" si="29"/>
        <v>24.09</v>
      </c>
      <c r="BA38" s="105">
        <f t="shared" si="30"/>
        <v>246</v>
      </c>
      <c r="BB38" s="105">
        <f t="shared" si="31"/>
        <v>154.81</v>
      </c>
      <c r="BC38" s="110">
        <f t="shared" si="32"/>
        <v>359.45</v>
      </c>
      <c r="BD38" s="110">
        <f t="shared" si="33"/>
        <v>272.39999999999998</v>
      </c>
      <c r="BE38" s="110">
        <f t="shared" si="34"/>
        <v>181.21</v>
      </c>
      <c r="BF38" s="105"/>
      <c r="BG38" s="105"/>
      <c r="BH38" s="111"/>
      <c r="BI38" s="105"/>
      <c r="BJ38" s="105"/>
      <c r="BK38" s="109"/>
      <c r="BL38" s="111"/>
      <c r="BM38" s="109"/>
      <c r="BN38" s="109"/>
      <c r="BO38" s="105"/>
      <c r="BP38" s="105"/>
      <c r="BQ38" s="109"/>
      <c r="BR38" s="110"/>
      <c r="BS38" s="110"/>
      <c r="BT38" s="110"/>
      <c r="BU38" s="110"/>
      <c r="BV38" s="110"/>
      <c r="BW38" s="112"/>
      <c r="BX38" s="112"/>
      <c r="BY38" s="110"/>
      <c r="BZ38" s="105"/>
      <c r="CA38" s="105"/>
      <c r="CB38" s="105"/>
      <c r="CC38" s="105"/>
      <c r="CD38" s="105"/>
      <c r="CE38" s="105"/>
    </row>
    <row r="39" spans="1:83" x14ac:dyDescent="0.15">
      <c r="A39" s="103">
        <v>390</v>
      </c>
      <c r="B39" s="98" t="str">
        <f>VLOOKUP($A39,'Rate Calculation'!$A$4:$AQ$208,42,FALSE)</f>
        <v>750019000</v>
      </c>
      <c r="C39" s="98" t="str">
        <f>VLOOKUP($A39,'Rate Calculation'!$A$4:$AQ$208,43,FALSE)</f>
        <v>Autumn Lake Healthcare at Pikesville</v>
      </c>
      <c r="D39" s="98" t="str">
        <f>VLOOKUP($A39,'Rate Calculation'!$A$4:$F$208,5,FALSE)</f>
        <v>BALTIMORE METRO</v>
      </c>
      <c r="E39" s="98" t="str">
        <f>VLOOKUP($A39,'Rate Calculation'!$A$4:$F$208,6,FALSE)</f>
        <v>BALTIMORE METRO</v>
      </c>
      <c r="F39" s="105">
        <f t="shared" si="8"/>
        <v>105.18</v>
      </c>
      <c r="G39" s="105">
        <f t="shared" si="9"/>
        <v>21.5</v>
      </c>
      <c r="H39" s="105">
        <f t="shared" si="10"/>
        <v>31.41</v>
      </c>
      <c r="I39" s="105">
        <f t="shared" si="11"/>
        <v>210.76</v>
      </c>
      <c r="J39" s="105">
        <f>VLOOKUP($A39,'Rate Calculation'!$A$4:$AZ$208,34,FALSE)</f>
        <v>0</v>
      </c>
      <c r="K39" s="105">
        <f t="shared" si="12"/>
        <v>368.85</v>
      </c>
      <c r="L39" s="164">
        <f t="shared" si="4"/>
        <v>0.98772000000000004</v>
      </c>
      <c r="M39" s="105">
        <f t="shared" si="13"/>
        <v>364.32</v>
      </c>
      <c r="N39" s="105">
        <f>VLOOKUP($A39,'Rate Calculation'!$A$4:$AL$208,38,FALSE)</f>
        <v>25.85</v>
      </c>
      <c r="O39" s="183">
        <f>VLOOKUP($A39,'Rate Calculation'!$A$4:$I$208,9,FALSE)</f>
        <v>1.4777</v>
      </c>
      <c r="P39" s="183">
        <f t="shared" si="5"/>
        <v>1.4432</v>
      </c>
      <c r="Q39" s="183">
        <f>VLOOKUP(A39,'CMI Data'!$A$4:$C$208,3,FALSE)</f>
        <v>1.5104</v>
      </c>
      <c r="R39" s="246">
        <f>VLOOKUP($A39,FRV!$A$4:$K$208,11,FALSE)</f>
        <v>51100</v>
      </c>
      <c r="S39" s="246">
        <f t="shared" si="6"/>
        <v>41662</v>
      </c>
      <c r="T39" s="246">
        <f>VLOOKUP($A39,FRV!$A$4:$L$208,12,FALSE)</f>
        <v>38957</v>
      </c>
      <c r="U39" s="183">
        <f>Inflation!$G$24</f>
        <v>1.0309999999999999</v>
      </c>
      <c r="V39" s="247">
        <f>VLOOKUP($A39,'Rate Calculation'!A40:X244,24,FALSE)</f>
        <v>102.02</v>
      </c>
      <c r="W39" s="110">
        <f t="shared" si="14"/>
        <v>105.18</v>
      </c>
      <c r="X39" s="110">
        <f>VLOOKUP($A39,'Rate Calculation'!A40:V244,22,FALSE)</f>
        <v>20.85</v>
      </c>
      <c r="Y39" s="110">
        <f t="shared" si="15"/>
        <v>21.5</v>
      </c>
      <c r="Z39" s="212">
        <f>VLOOKUP($A39,FRV!$A$4:$D$208,4,FALSE)</f>
        <v>44743</v>
      </c>
      <c r="AA39" s="212">
        <f>VLOOKUP($A39,FRV!$A$4:$F$208,6,FALSE)</f>
        <v>44926</v>
      </c>
      <c r="AB39" s="248">
        <f>VLOOKUP($A39,FRV!$A$4:$U$208,13,FALSE)</f>
        <v>12390552</v>
      </c>
      <c r="AC39" s="248">
        <f>VLOOKUP($A39,FRV!$A$4:$U$208,15,FALSE)</f>
        <v>247660</v>
      </c>
      <c r="AD39" s="248">
        <f>VLOOKUP($A39,FRV!$A$4:$U$208,14,FALSE)</f>
        <v>17000</v>
      </c>
      <c r="AE39" s="248">
        <f>VLOOKUP($A39,FRV!$A$4:$U$208,7,FALSE)</f>
        <v>140</v>
      </c>
      <c r="AF39" s="107">
        <f t="shared" si="16"/>
        <v>15018212</v>
      </c>
      <c r="AG39" s="107">
        <f t="shared" si="17"/>
        <v>107273</v>
      </c>
      <c r="AH39" s="107">
        <v>120000</v>
      </c>
      <c r="AI39" s="107">
        <f t="shared" si="18"/>
        <v>107273</v>
      </c>
      <c r="AJ39" s="107">
        <f t="shared" si="19"/>
        <v>15018220</v>
      </c>
      <c r="AK39" s="249">
        <f>IF(VLOOKUP($A39,'Rate Calculation'!$A$4:$D$208,4,FALSE)="baltimore city",0.1,0.08)</f>
        <v>0.08</v>
      </c>
      <c r="AL39" s="107">
        <f t="shared" si="20"/>
        <v>1201458</v>
      </c>
      <c r="AM39" s="105">
        <f>IF(ISERROR(MATCH(A39&amp;AA39,'Days Exceptions'!$C$3:$C$16,0)),ROUND(AL39/(MAX(S39,T39)),2),ROUND(AL39/VLOOKUP(A39,'Days Exceptions'!$A$3:$J$16,8,FALSE),2))</f>
        <v>28.84</v>
      </c>
      <c r="AN39" s="213">
        <f>VLOOKUP($A39,'Rate Calculation'!$A$4:$AF$208,32,FALSE)</f>
        <v>2.57</v>
      </c>
      <c r="AO39" s="109">
        <f t="shared" si="21"/>
        <v>31.41</v>
      </c>
      <c r="AP39" s="247">
        <f>VLOOKUP($A39,'Rate Calculation'!$A$4:$Q$208,17,FALSE)</f>
        <v>198.46</v>
      </c>
      <c r="AQ39" s="247">
        <f t="shared" si="35"/>
        <v>204.61</v>
      </c>
      <c r="AR39" s="247">
        <f>VLOOKUP($A39,'Rate Calculation'!$A$4:$K$208,11,FALSE)</f>
        <v>195.33</v>
      </c>
      <c r="AS39" s="247">
        <f t="shared" si="22"/>
        <v>201.39</v>
      </c>
      <c r="AT39" s="110">
        <f t="shared" si="23"/>
        <v>206.2</v>
      </c>
      <c r="AU39" s="110">
        <f t="shared" si="24"/>
        <v>210.76</v>
      </c>
      <c r="AV39" s="111">
        <f t="shared" si="25"/>
        <v>0</v>
      </c>
      <c r="AW39" s="110">
        <f t="shared" si="26"/>
        <v>210.76</v>
      </c>
      <c r="AX39" s="105">
        <f t="shared" si="27"/>
        <v>209.14</v>
      </c>
      <c r="AY39" s="105">
        <f t="shared" si="28"/>
        <v>200.22</v>
      </c>
      <c r="AZ39" s="105">
        <f t="shared" si="29"/>
        <v>-8.92</v>
      </c>
      <c r="BA39" s="105">
        <f t="shared" si="30"/>
        <v>263.47000000000003</v>
      </c>
      <c r="BB39" s="105">
        <f t="shared" si="31"/>
        <v>158.09</v>
      </c>
      <c r="BC39" s="110">
        <f t="shared" si="32"/>
        <v>390.17</v>
      </c>
      <c r="BD39" s="110">
        <f t="shared" si="33"/>
        <v>289.32</v>
      </c>
      <c r="BE39" s="110">
        <f t="shared" si="34"/>
        <v>183.94</v>
      </c>
      <c r="BF39" s="105"/>
      <c r="BG39" s="105"/>
      <c r="BH39" s="111"/>
      <c r="BI39" s="105"/>
      <c r="BJ39" s="105"/>
      <c r="BK39" s="109"/>
      <c r="BL39" s="111"/>
      <c r="BM39" s="109"/>
      <c r="BN39" s="109"/>
      <c r="BO39" s="105"/>
      <c r="BP39" s="105"/>
      <c r="BQ39" s="109"/>
      <c r="BR39" s="110"/>
      <c r="BS39" s="110"/>
      <c r="BT39" s="110"/>
      <c r="BU39" s="110"/>
      <c r="BV39" s="110"/>
      <c r="BW39" s="112"/>
      <c r="BX39" s="112"/>
      <c r="BY39" s="110"/>
      <c r="BZ39" s="105"/>
      <c r="CA39" s="105"/>
      <c r="CB39" s="105"/>
      <c r="CC39" s="105"/>
      <c r="CD39" s="105"/>
      <c r="CE39" s="105"/>
    </row>
    <row r="40" spans="1:83" x14ac:dyDescent="0.15">
      <c r="A40" s="103">
        <v>384</v>
      </c>
      <c r="B40" s="98" t="str">
        <f>VLOOKUP($A40,'Rate Calculation'!$A$4:$AQ$208,42,FALSE)</f>
        <v>811065400</v>
      </c>
      <c r="C40" s="98" t="str">
        <f>VLOOKUP($A40,'Rate Calculation'!$A$4:$AQ$208,43,FALSE)</f>
        <v>Autumn Lake Healthcare at Riverview</v>
      </c>
      <c r="D40" s="98" t="str">
        <f>VLOOKUP($A40,'Rate Calculation'!$A$4:$F$208,5,FALSE)</f>
        <v>BALTIMORE METRO</v>
      </c>
      <c r="E40" s="98" t="str">
        <f>VLOOKUP($A40,'Rate Calculation'!$A$4:$F$208,6,FALSE)</f>
        <v>BALTIMORE METRO</v>
      </c>
      <c r="F40" s="105">
        <f t="shared" si="8"/>
        <v>105.18</v>
      </c>
      <c r="G40" s="105">
        <f t="shared" si="9"/>
        <v>21.5</v>
      </c>
      <c r="H40" s="105">
        <f t="shared" si="10"/>
        <v>29.89</v>
      </c>
      <c r="I40" s="105">
        <f t="shared" si="11"/>
        <v>176.56</v>
      </c>
      <c r="J40" s="105">
        <f>VLOOKUP($A40,'Rate Calculation'!$A$4:$AZ$208,34,FALSE)</f>
        <v>0</v>
      </c>
      <c r="K40" s="105">
        <f t="shared" si="12"/>
        <v>333.13</v>
      </c>
      <c r="L40" s="164">
        <f t="shared" si="4"/>
        <v>0.98772000000000004</v>
      </c>
      <c r="M40" s="105">
        <f t="shared" si="13"/>
        <v>329.04</v>
      </c>
      <c r="N40" s="105">
        <f>VLOOKUP($A40,'Rate Calculation'!$A$4:$AL$208,38,FALSE)</f>
        <v>2.27</v>
      </c>
      <c r="O40" s="183">
        <f>VLOOKUP($A40,'Rate Calculation'!$A$4:$I$208,9,FALSE)</f>
        <v>1.5094000000000001</v>
      </c>
      <c r="P40" s="183">
        <f t="shared" si="5"/>
        <v>1.4432</v>
      </c>
      <c r="Q40" s="183">
        <f>VLOOKUP(A40,'CMI Data'!$A$4:$C$208,3,FALSE)</f>
        <v>1.4460999999999999</v>
      </c>
      <c r="R40" s="246">
        <f>VLOOKUP($A40,FRV!$A$4:$K$208,11,FALSE)</f>
        <v>86870</v>
      </c>
      <c r="S40" s="246">
        <f t="shared" si="6"/>
        <v>70825</v>
      </c>
      <c r="T40" s="246">
        <f>VLOOKUP($A40,FRV!$A$4:$L$208,12,FALSE)</f>
        <v>80224</v>
      </c>
      <c r="U40" s="183">
        <f>Inflation!$G$24</f>
        <v>1.0309999999999999</v>
      </c>
      <c r="V40" s="247">
        <f>VLOOKUP($A40,'Rate Calculation'!A41:X245,24,FALSE)</f>
        <v>102.02</v>
      </c>
      <c r="W40" s="110">
        <f t="shared" si="14"/>
        <v>105.18</v>
      </c>
      <c r="X40" s="110">
        <f>VLOOKUP($A40,'Rate Calculation'!A41:V245,22,FALSE)</f>
        <v>20.85</v>
      </c>
      <c r="Y40" s="110">
        <f t="shared" si="15"/>
        <v>21.5</v>
      </c>
      <c r="Z40" s="212">
        <f>VLOOKUP($A40,FRV!$A$4:$D$208,4,FALSE)</f>
        <v>45108</v>
      </c>
      <c r="AA40" s="212">
        <f>VLOOKUP($A40,FRV!$A$4:$F$208,6,FALSE)</f>
        <v>45291</v>
      </c>
      <c r="AB40" s="248">
        <f>VLOOKUP($A40,FRV!$A$4:$U$208,13,FALSE)</f>
        <v>24277517</v>
      </c>
      <c r="AC40" s="248">
        <f>VLOOKUP($A40,FRV!$A$4:$U$208,15,FALSE)</f>
        <v>397123</v>
      </c>
      <c r="AD40" s="248">
        <f>VLOOKUP($A40,FRV!$A$4:$U$208,14,FALSE)</f>
        <v>20000</v>
      </c>
      <c r="AE40" s="248">
        <f>VLOOKUP($A40,FRV!$A$4:$U$208,7,FALSE)</f>
        <v>238</v>
      </c>
      <c r="AF40" s="107">
        <f t="shared" si="16"/>
        <v>29434640</v>
      </c>
      <c r="AG40" s="107">
        <f t="shared" si="17"/>
        <v>123675</v>
      </c>
      <c r="AH40" s="107">
        <v>120000</v>
      </c>
      <c r="AI40" s="107">
        <f t="shared" si="18"/>
        <v>120000</v>
      </c>
      <c r="AJ40" s="107">
        <f t="shared" si="19"/>
        <v>28560000</v>
      </c>
      <c r="AK40" s="249">
        <f>IF(VLOOKUP($A40,'Rate Calculation'!$A$4:$D$208,4,FALSE)="baltimore city",0.1,0.08)</f>
        <v>0.08</v>
      </c>
      <c r="AL40" s="107">
        <f t="shared" si="20"/>
        <v>2284800</v>
      </c>
      <c r="AM40" s="105">
        <f>IF(ISERROR(MATCH(A40&amp;AA40,'Days Exceptions'!$C$3:$C$16,0)),ROUND(AL40/(MAX(S40,T40)),2),ROUND(AL40/VLOOKUP(A40,'Days Exceptions'!$A$3:$J$16,8,FALSE),2))</f>
        <v>28.48</v>
      </c>
      <c r="AN40" s="213">
        <f>VLOOKUP($A40,'Rate Calculation'!$A$4:$AF$208,32,FALSE)</f>
        <v>1.41</v>
      </c>
      <c r="AO40" s="109">
        <f t="shared" si="21"/>
        <v>29.89</v>
      </c>
      <c r="AP40" s="247">
        <f>VLOOKUP($A40,'Rate Calculation'!$A$4:$Q$208,17,FALSE)</f>
        <v>168.54</v>
      </c>
      <c r="AQ40" s="247">
        <f t="shared" si="35"/>
        <v>173.76</v>
      </c>
      <c r="AR40" s="247">
        <f>VLOOKUP($A40,'Rate Calculation'!$A$4:$K$208,11,FALSE)</f>
        <v>195.33</v>
      </c>
      <c r="AS40" s="247">
        <f t="shared" si="22"/>
        <v>201.39</v>
      </c>
      <c r="AT40" s="110">
        <f t="shared" si="23"/>
        <v>210.63</v>
      </c>
      <c r="AU40" s="110">
        <f t="shared" si="24"/>
        <v>201.8</v>
      </c>
      <c r="AV40" s="111">
        <f t="shared" si="25"/>
        <v>-25.24</v>
      </c>
      <c r="AW40" s="110">
        <f t="shared" si="26"/>
        <v>176.56</v>
      </c>
      <c r="AX40" s="105">
        <f t="shared" si="27"/>
        <v>166.47</v>
      </c>
      <c r="AY40" s="105">
        <f t="shared" si="28"/>
        <v>191.71</v>
      </c>
      <c r="AZ40" s="105">
        <f t="shared" si="29"/>
        <v>25.24</v>
      </c>
      <c r="BA40" s="105">
        <f t="shared" si="30"/>
        <v>244.85</v>
      </c>
      <c r="BB40" s="105">
        <f t="shared" si="31"/>
        <v>156.57</v>
      </c>
      <c r="BC40" s="110">
        <f t="shared" si="32"/>
        <v>331.31</v>
      </c>
      <c r="BD40" s="110">
        <f t="shared" si="33"/>
        <v>247.12</v>
      </c>
      <c r="BE40" s="110">
        <f t="shared" si="34"/>
        <v>158.84</v>
      </c>
      <c r="BF40" s="105"/>
      <c r="BG40" s="105"/>
      <c r="BH40" s="111"/>
      <c r="BI40" s="105"/>
      <c r="BJ40" s="105"/>
      <c r="BK40" s="109"/>
      <c r="BL40" s="111"/>
      <c r="BM40" s="109"/>
      <c r="BN40" s="109"/>
      <c r="BO40" s="105"/>
      <c r="BP40" s="105"/>
      <c r="BQ40" s="109"/>
      <c r="BR40" s="110"/>
      <c r="BS40" s="110"/>
      <c r="BT40" s="110"/>
      <c r="BU40" s="110"/>
      <c r="BV40" s="110"/>
      <c r="BW40" s="112"/>
      <c r="BX40" s="112"/>
      <c r="BY40" s="110"/>
      <c r="BZ40" s="105"/>
      <c r="CA40" s="105"/>
      <c r="CB40" s="105"/>
      <c r="CC40" s="105"/>
      <c r="CD40" s="105"/>
      <c r="CE40" s="105"/>
    </row>
    <row r="41" spans="1:83" x14ac:dyDescent="0.15">
      <c r="A41" s="103">
        <v>314</v>
      </c>
      <c r="B41" s="98" t="str">
        <f>VLOOKUP($A41,'Rate Calculation'!$A$4:$AQ$208,42,FALSE)</f>
        <v>502719500</v>
      </c>
      <c r="C41" s="98" t="str">
        <f>VLOOKUP($A41,'Rate Calculation'!$A$4:$AQ$208,43,FALSE)</f>
        <v>Autumn Lake Healthcare at Ruxton</v>
      </c>
      <c r="D41" s="98" t="str">
        <f>VLOOKUP($A41,'Rate Calculation'!$A$4:$F$208,5,FALSE)</f>
        <v>BALTIMORE METRO</v>
      </c>
      <c r="E41" s="98" t="str">
        <f>VLOOKUP($A41,'Rate Calculation'!$A$4:$F$208,6,FALSE)</f>
        <v>BALTIMORE METRO</v>
      </c>
      <c r="F41" s="105">
        <f t="shared" si="8"/>
        <v>105.18</v>
      </c>
      <c r="G41" s="105">
        <f t="shared" si="9"/>
        <v>21.5</v>
      </c>
      <c r="H41" s="105">
        <f t="shared" si="10"/>
        <v>33.75</v>
      </c>
      <c r="I41" s="105">
        <f t="shared" si="11"/>
        <v>205.15</v>
      </c>
      <c r="J41" s="105">
        <f>VLOOKUP($A41,'Rate Calculation'!$A$4:$AZ$208,34,FALSE)</f>
        <v>0</v>
      </c>
      <c r="K41" s="105">
        <f t="shared" si="12"/>
        <v>365.58</v>
      </c>
      <c r="L41" s="164">
        <f t="shared" si="4"/>
        <v>0.98772000000000004</v>
      </c>
      <c r="M41" s="105">
        <f t="shared" si="13"/>
        <v>361.09</v>
      </c>
      <c r="N41" s="105">
        <f>VLOOKUP($A41,'Rate Calculation'!$A$4:$AL$208,38,FALSE)</f>
        <v>25.94</v>
      </c>
      <c r="O41" s="183">
        <f>VLOOKUP($A41,'Rate Calculation'!$A$4:$I$208,9,FALSE)</f>
        <v>1.3602000000000001</v>
      </c>
      <c r="P41" s="183">
        <f t="shared" si="5"/>
        <v>1.4432</v>
      </c>
      <c r="Q41" s="183">
        <f>VLOOKUP(A41,'CMI Data'!$A$4:$C$208,3,FALSE)</f>
        <v>1.4701</v>
      </c>
      <c r="R41" s="246">
        <f>VLOOKUP($A41,FRV!$A$4:$K$208,11,FALSE)</f>
        <v>65335</v>
      </c>
      <c r="S41" s="246">
        <f t="shared" si="6"/>
        <v>53268</v>
      </c>
      <c r="T41" s="246">
        <f>VLOOKUP($A41,FRV!$A$4:$L$208,12,FALSE)</f>
        <v>51144</v>
      </c>
      <c r="U41" s="183">
        <f>Inflation!$G$24</f>
        <v>1.0309999999999999</v>
      </c>
      <c r="V41" s="247">
        <f>VLOOKUP($A41,'Rate Calculation'!A42:X246,24,FALSE)</f>
        <v>102.02</v>
      </c>
      <c r="W41" s="110">
        <f t="shared" si="14"/>
        <v>105.18</v>
      </c>
      <c r="X41" s="110">
        <f>VLOOKUP($A41,'Rate Calculation'!A42:V246,22,FALSE)</f>
        <v>20.85</v>
      </c>
      <c r="Y41" s="110">
        <f t="shared" si="15"/>
        <v>21.5</v>
      </c>
      <c r="Z41" s="212">
        <f>VLOOKUP($A41,FRV!$A$4:$D$208,4,FALSE)</f>
        <v>45108</v>
      </c>
      <c r="AA41" s="212">
        <f>VLOOKUP($A41,FRV!$A$4:$F$208,6,FALSE)</f>
        <v>45291</v>
      </c>
      <c r="AB41" s="248">
        <f>VLOOKUP($A41,FRV!$A$4:$U$208,13,FALSE)</f>
        <v>21304849</v>
      </c>
      <c r="AC41" s="248">
        <f>VLOOKUP($A41,FRV!$A$4:$U$208,15,FALSE)</f>
        <v>655039</v>
      </c>
      <c r="AD41" s="248">
        <f>VLOOKUP($A41,FRV!$A$4:$U$208,14,FALSE)</f>
        <v>23000</v>
      </c>
      <c r="AE41" s="248">
        <f>VLOOKUP($A41,FRV!$A$4:$U$208,7,FALSE)</f>
        <v>179</v>
      </c>
      <c r="AF41" s="107">
        <f t="shared" si="16"/>
        <v>26076888</v>
      </c>
      <c r="AG41" s="107">
        <f t="shared" si="17"/>
        <v>145681</v>
      </c>
      <c r="AH41" s="107">
        <v>120000</v>
      </c>
      <c r="AI41" s="107">
        <f t="shared" si="18"/>
        <v>120000</v>
      </c>
      <c r="AJ41" s="107">
        <f t="shared" si="19"/>
        <v>21480000</v>
      </c>
      <c r="AK41" s="249">
        <f>IF(VLOOKUP($A41,'Rate Calculation'!$A$4:$D$208,4,FALSE)="baltimore city",0.1,0.08)</f>
        <v>0.08</v>
      </c>
      <c r="AL41" s="107">
        <f t="shared" si="20"/>
        <v>1718400</v>
      </c>
      <c r="AM41" s="105">
        <f>IF(ISERROR(MATCH(A41&amp;AA41,'Days Exceptions'!$C$3:$C$16,0)),ROUND(AL41/(MAX(S41,T41)),2),ROUND(AL41/VLOOKUP(A41,'Days Exceptions'!$A$3:$J$16,8,FALSE),2))</f>
        <v>32.26</v>
      </c>
      <c r="AN41" s="213">
        <f>VLOOKUP($A41,'Rate Calculation'!$A$4:$AF$208,32,FALSE)</f>
        <v>1.49</v>
      </c>
      <c r="AO41" s="109">
        <f t="shared" si="21"/>
        <v>33.75</v>
      </c>
      <c r="AP41" s="247">
        <f>VLOOKUP($A41,'Rate Calculation'!$A$4:$Q$208,17,FALSE)</f>
        <v>196.53</v>
      </c>
      <c r="AQ41" s="247">
        <f t="shared" si="35"/>
        <v>202.62</v>
      </c>
      <c r="AR41" s="247">
        <f>VLOOKUP($A41,'Rate Calculation'!$A$4:$K$208,11,FALSE)</f>
        <v>195.33</v>
      </c>
      <c r="AS41" s="247">
        <f t="shared" si="22"/>
        <v>201.39</v>
      </c>
      <c r="AT41" s="110">
        <f t="shared" si="23"/>
        <v>189.81</v>
      </c>
      <c r="AU41" s="110">
        <f t="shared" si="24"/>
        <v>205.15</v>
      </c>
      <c r="AV41" s="111">
        <f t="shared" si="25"/>
        <v>0</v>
      </c>
      <c r="AW41" s="110">
        <f t="shared" si="26"/>
        <v>205.15</v>
      </c>
      <c r="AX41" s="105">
        <f t="shared" si="27"/>
        <v>218.99</v>
      </c>
      <c r="AY41" s="105">
        <f t="shared" si="28"/>
        <v>194.89</v>
      </c>
      <c r="AZ41" s="105">
        <f t="shared" si="29"/>
        <v>-24.1</v>
      </c>
      <c r="BA41" s="105">
        <f t="shared" si="30"/>
        <v>263.01</v>
      </c>
      <c r="BB41" s="105">
        <f t="shared" si="31"/>
        <v>160.43</v>
      </c>
      <c r="BC41" s="110">
        <f t="shared" si="32"/>
        <v>387.03</v>
      </c>
      <c r="BD41" s="110">
        <f t="shared" si="33"/>
        <v>288.95</v>
      </c>
      <c r="BE41" s="110">
        <f t="shared" si="34"/>
        <v>186.37</v>
      </c>
      <c r="BF41" s="105"/>
      <c r="BG41" s="105"/>
      <c r="BH41" s="111"/>
      <c r="BI41" s="105"/>
      <c r="BJ41" s="105"/>
      <c r="BK41" s="109"/>
      <c r="BL41" s="111"/>
      <c r="BM41" s="109"/>
      <c r="BN41" s="109"/>
      <c r="BO41" s="105"/>
      <c r="BP41" s="105"/>
      <c r="BQ41" s="109"/>
      <c r="BR41" s="110"/>
      <c r="BS41" s="110"/>
      <c r="BT41" s="110"/>
      <c r="BU41" s="110"/>
      <c r="BV41" s="110"/>
      <c r="BW41" s="112"/>
      <c r="BX41" s="112"/>
      <c r="BY41" s="110"/>
      <c r="BZ41" s="105"/>
      <c r="CA41" s="105"/>
      <c r="CB41" s="105"/>
      <c r="CC41" s="105"/>
      <c r="CD41" s="105"/>
      <c r="CE41" s="105"/>
    </row>
    <row r="42" spans="1:83" x14ac:dyDescent="0.15">
      <c r="A42" s="103">
        <v>324</v>
      </c>
      <c r="B42" s="98" t="str">
        <f>VLOOKUP($A42,'Rate Calculation'!$A$4:$AQ$208,42,FALSE)</f>
        <v>772531100</v>
      </c>
      <c r="C42" s="98" t="str">
        <f>VLOOKUP($A42,'Rate Calculation'!$A$4:$AQ$208,43,FALSE)</f>
        <v>Autumn Lake Healthcare at Silver Spring</v>
      </c>
      <c r="D42" s="98" t="str">
        <f>VLOOKUP($A42,'Rate Calculation'!$A$4:$F$208,5,FALSE)</f>
        <v>WASHINGTON METRO</v>
      </c>
      <c r="E42" s="98" t="str">
        <f>VLOOKUP($A42,'Rate Calculation'!$A$4:$F$208,6,FALSE)</f>
        <v>WASHINGTON METRO</v>
      </c>
      <c r="F42" s="105">
        <f t="shared" si="8"/>
        <v>103.73</v>
      </c>
      <c r="G42" s="105">
        <f t="shared" si="9"/>
        <v>19.829999999999998</v>
      </c>
      <c r="H42" s="105">
        <f t="shared" si="10"/>
        <v>32.909999999999997</v>
      </c>
      <c r="I42" s="105">
        <f t="shared" si="11"/>
        <v>181.22</v>
      </c>
      <c r="J42" s="105">
        <f>VLOOKUP($A42,'Rate Calculation'!$A$4:$AZ$208,34,FALSE)</f>
        <v>0</v>
      </c>
      <c r="K42" s="105">
        <f t="shared" si="12"/>
        <v>337.69</v>
      </c>
      <c r="L42" s="164">
        <f t="shared" si="4"/>
        <v>0.98772000000000004</v>
      </c>
      <c r="M42" s="105">
        <f t="shared" si="13"/>
        <v>333.54</v>
      </c>
      <c r="N42" s="105">
        <f>VLOOKUP($A42,'Rate Calculation'!$A$4:$AL$208,38,FALSE)</f>
        <v>25.55</v>
      </c>
      <c r="O42" s="183">
        <f>VLOOKUP($A42,'Rate Calculation'!$A$4:$I$208,9,FALSE)</f>
        <v>1.2835000000000001</v>
      </c>
      <c r="P42" s="183">
        <f t="shared" si="5"/>
        <v>1.4432</v>
      </c>
      <c r="Q42" s="183">
        <f>VLOOKUP(A42,'CMI Data'!$A$4:$C$208,3,FALSE)</f>
        <v>1.4412</v>
      </c>
      <c r="R42" s="246">
        <f>VLOOKUP($A42,FRV!$A$4:$K$208,11,FALSE)</f>
        <v>54020</v>
      </c>
      <c r="S42" s="246">
        <f t="shared" si="6"/>
        <v>44043</v>
      </c>
      <c r="T42" s="246">
        <f>VLOOKUP($A42,FRV!$A$4:$L$208,12,FALSE)</f>
        <v>48790</v>
      </c>
      <c r="U42" s="183">
        <f>Inflation!$G$24</f>
        <v>1.0309999999999999</v>
      </c>
      <c r="V42" s="247">
        <f>VLOOKUP($A42,'Rate Calculation'!A43:X247,24,FALSE)</f>
        <v>100.61</v>
      </c>
      <c r="W42" s="110">
        <f t="shared" si="14"/>
        <v>103.73</v>
      </c>
      <c r="X42" s="110">
        <f>VLOOKUP($A42,'Rate Calculation'!A43:V247,22,FALSE)</f>
        <v>19.23</v>
      </c>
      <c r="Y42" s="110">
        <f t="shared" si="15"/>
        <v>19.829999999999998</v>
      </c>
      <c r="Z42" s="212">
        <f>VLOOKUP($A42,FRV!$A$4:$D$208,4,FALSE)</f>
        <v>44743</v>
      </c>
      <c r="AA42" s="212">
        <f>VLOOKUP($A42,FRV!$A$4:$F$208,6,FALSE)</f>
        <v>44712</v>
      </c>
      <c r="AB42" s="248">
        <f>VLOOKUP($A42,FRV!$A$4:$U$208,13,FALSE)</f>
        <v>14622582</v>
      </c>
      <c r="AC42" s="248">
        <f>VLOOKUP($A42,FRV!$A$4:$U$208,15,FALSE)</f>
        <v>326276</v>
      </c>
      <c r="AD42" s="248">
        <f>VLOOKUP($A42,FRV!$A$4:$U$208,14,FALSE)</f>
        <v>42000</v>
      </c>
      <c r="AE42" s="248">
        <f>VLOOKUP($A42,FRV!$A$4:$U$208,7,FALSE)</f>
        <v>148</v>
      </c>
      <c r="AF42" s="107">
        <f t="shared" si="16"/>
        <v>21164858</v>
      </c>
      <c r="AG42" s="107">
        <f t="shared" si="17"/>
        <v>143006</v>
      </c>
      <c r="AH42" s="107">
        <v>120000</v>
      </c>
      <c r="AI42" s="107">
        <f t="shared" si="18"/>
        <v>120000</v>
      </c>
      <c r="AJ42" s="107">
        <f t="shared" si="19"/>
        <v>17760000</v>
      </c>
      <c r="AK42" s="249">
        <f>IF(VLOOKUP($A42,'Rate Calculation'!$A$4:$D$208,4,FALSE)="baltimore city",0.1,0.08)</f>
        <v>0.08</v>
      </c>
      <c r="AL42" s="107">
        <f t="shared" si="20"/>
        <v>1420800</v>
      </c>
      <c r="AM42" s="105">
        <f>IF(ISERROR(MATCH(A42&amp;AA42,'Days Exceptions'!$C$3:$C$16,0)),ROUND(AL42/(MAX(S42,T42)),2),ROUND(AL42/VLOOKUP(A42,'Days Exceptions'!$A$3:$J$16,8,FALSE),2))</f>
        <v>29.12</v>
      </c>
      <c r="AN42" s="213">
        <f>VLOOKUP($A42,'Rate Calculation'!$A$4:$AF$208,32,FALSE)</f>
        <v>3.79</v>
      </c>
      <c r="AO42" s="109">
        <f t="shared" si="21"/>
        <v>32.909999999999997</v>
      </c>
      <c r="AP42" s="247">
        <f>VLOOKUP($A42,'Rate Calculation'!$A$4:$Q$208,17,FALSE)</f>
        <v>161.76</v>
      </c>
      <c r="AQ42" s="247">
        <f t="shared" si="35"/>
        <v>166.77</v>
      </c>
      <c r="AR42" s="247">
        <f>VLOOKUP($A42,'Rate Calculation'!$A$4:$K$208,11,FALSE)</f>
        <v>176.01</v>
      </c>
      <c r="AS42" s="247">
        <f t="shared" si="22"/>
        <v>181.47</v>
      </c>
      <c r="AT42" s="110">
        <f t="shared" si="23"/>
        <v>161.38999999999999</v>
      </c>
      <c r="AU42" s="110">
        <f t="shared" si="24"/>
        <v>181.22</v>
      </c>
      <c r="AV42" s="111">
        <f t="shared" si="25"/>
        <v>0</v>
      </c>
      <c r="AW42" s="110">
        <f t="shared" si="26"/>
        <v>181.22</v>
      </c>
      <c r="AX42" s="105">
        <f t="shared" si="27"/>
        <v>187.26</v>
      </c>
      <c r="AY42" s="105">
        <f t="shared" si="28"/>
        <v>172.16</v>
      </c>
      <c r="AZ42" s="105">
        <f t="shared" si="29"/>
        <v>-15.1</v>
      </c>
      <c r="BA42" s="105">
        <f t="shared" si="30"/>
        <v>247.08</v>
      </c>
      <c r="BB42" s="105">
        <f t="shared" si="31"/>
        <v>156.47</v>
      </c>
      <c r="BC42" s="110">
        <f t="shared" si="32"/>
        <v>359.09</v>
      </c>
      <c r="BD42" s="110">
        <f t="shared" si="33"/>
        <v>272.63</v>
      </c>
      <c r="BE42" s="110">
        <f t="shared" si="34"/>
        <v>182.02</v>
      </c>
      <c r="BF42" s="105"/>
      <c r="BG42" s="105"/>
      <c r="BH42" s="111"/>
      <c r="BI42" s="105"/>
      <c r="BJ42" s="105"/>
      <c r="BK42" s="109"/>
      <c r="BL42" s="111"/>
      <c r="BM42" s="109"/>
      <c r="BN42" s="109"/>
      <c r="BO42" s="105"/>
      <c r="BP42" s="105"/>
      <c r="BQ42" s="109"/>
      <c r="BR42" s="110"/>
      <c r="BS42" s="110"/>
      <c r="BT42" s="110"/>
      <c r="BU42" s="110"/>
      <c r="BV42" s="110"/>
      <c r="BW42" s="112"/>
      <c r="BX42" s="112"/>
      <c r="BY42" s="110"/>
      <c r="BZ42" s="105"/>
      <c r="CA42" s="105"/>
      <c r="CB42" s="105"/>
      <c r="CC42" s="105"/>
      <c r="CD42" s="105"/>
      <c r="CE42" s="105"/>
    </row>
    <row r="43" spans="1:83" x14ac:dyDescent="0.15">
      <c r="A43" s="103">
        <v>410</v>
      </c>
      <c r="B43" s="98" t="str">
        <f>VLOOKUP($A43,'Rate Calculation'!$A$4:$AQ$208,42,FALSE)</f>
        <v>547057900</v>
      </c>
      <c r="C43" s="98" t="str">
        <f>VLOOKUP($A43,'Rate Calculation'!$A$4:$AQ$208,43,FALSE)</f>
        <v>Autumn Lake Healthcare at Spa Creek</v>
      </c>
      <c r="D43" s="98" t="str">
        <f>VLOOKUP($A43,'Rate Calculation'!$A$4:$F$208,5,FALSE)</f>
        <v>BALTIMORE METRO</v>
      </c>
      <c r="E43" s="98" t="str">
        <f>VLOOKUP($A43,'Rate Calculation'!$A$4:$F$208,6,FALSE)</f>
        <v>BALTIMORE METRO</v>
      </c>
      <c r="F43" s="105">
        <f t="shared" si="8"/>
        <v>105.18</v>
      </c>
      <c r="G43" s="105">
        <f t="shared" si="9"/>
        <v>21.5</v>
      </c>
      <c r="H43" s="105">
        <f t="shared" si="10"/>
        <v>32.85</v>
      </c>
      <c r="I43" s="105">
        <f t="shared" si="11"/>
        <v>205.81</v>
      </c>
      <c r="J43" s="105">
        <f>VLOOKUP($A43,'Rate Calculation'!$A$4:$AZ$208,34,FALSE)</f>
        <v>0</v>
      </c>
      <c r="K43" s="105">
        <f t="shared" si="12"/>
        <v>365.34</v>
      </c>
      <c r="L43" s="164">
        <f t="shared" si="4"/>
        <v>0.98772000000000004</v>
      </c>
      <c r="M43" s="105">
        <f t="shared" si="13"/>
        <v>360.85</v>
      </c>
      <c r="N43" s="105">
        <f>VLOOKUP($A43,'Rate Calculation'!$A$4:$AL$208,38,FALSE)</f>
        <v>19.91</v>
      </c>
      <c r="O43" s="183">
        <f>VLOOKUP($A43,'Rate Calculation'!$A$4:$I$208,9,FALSE)</f>
        <v>1.6052999999999999</v>
      </c>
      <c r="P43" s="183">
        <f t="shared" si="5"/>
        <v>1.4432</v>
      </c>
      <c r="Q43" s="183">
        <f>VLOOKUP(A43,'CMI Data'!$A$4:$C$208,3,FALSE)</f>
        <v>1.4749000000000001</v>
      </c>
      <c r="R43" s="246">
        <f>VLOOKUP($A43,FRV!$A$4:$K$208,11,FALSE)</f>
        <v>47450</v>
      </c>
      <c r="S43" s="246">
        <f t="shared" si="6"/>
        <v>38686</v>
      </c>
      <c r="T43" s="246">
        <f>VLOOKUP($A43,FRV!$A$4:$L$208,12,FALSE)</f>
        <v>43150</v>
      </c>
      <c r="U43" s="183">
        <f>Inflation!$G$24</f>
        <v>1.0309999999999999</v>
      </c>
      <c r="V43" s="247">
        <f>VLOOKUP($A43,'Rate Calculation'!A44:X248,24,FALSE)</f>
        <v>102.02</v>
      </c>
      <c r="W43" s="110">
        <f t="shared" si="14"/>
        <v>105.18</v>
      </c>
      <c r="X43" s="110">
        <f>VLOOKUP($A43,'Rate Calculation'!A44:V248,22,FALSE)</f>
        <v>20.85</v>
      </c>
      <c r="Y43" s="110">
        <f t="shared" si="15"/>
        <v>21.5</v>
      </c>
      <c r="Z43" s="212">
        <f>VLOOKUP($A43,FRV!$A$4:$D$208,4,FALSE)</f>
        <v>44743</v>
      </c>
      <c r="AA43" s="212">
        <f>VLOOKUP($A43,FRV!$A$4:$F$208,6,FALSE)</f>
        <v>44926</v>
      </c>
      <c r="AB43" s="248">
        <f>VLOOKUP($A43,FRV!$A$4:$U$208,13,FALSE)</f>
        <v>17658465</v>
      </c>
      <c r="AC43" s="248">
        <f>VLOOKUP($A43,FRV!$A$4:$U$208,15,FALSE)</f>
        <v>268880</v>
      </c>
      <c r="AD43" s="248">
        <f>VLOOKUP($A43,FRV!$A$4:$U$208,14,FALSE)</f>
        <v>30000</v>
      </c>
      <c r="AE43" s="248">
        <f>VLOOKUP($A43,FRV!$A$4:$U$208,7,FALSE)</f>
        <v>130</v>
      </c>
      <c r="AF43" s="107">
        <f t="shared" si="16"/>
        <v>21827345</v>
      </c>
      <c r="AG43" s="107">
        <f t="shared" si="17"/>
        <v>167903</v>
      </c>
      <c r="AH43" s="107">
        <v>120000</v>
      </c>
      <c r="AI43" s="107">
        <f t="shared" si="18"/>
        <v>120000</v>
      </c>
      <c r="AJ43" s="107">
        <f t="shared" si="19"/>
        <v>15600000</v>
      </c>
      <c r="AK43" s="249">
        <f>IF(VLOOKUP($A43,'Rate Calculation'!$A$4:$D$208,4,FALSE)="baltimore city",0.1,0.08)</f>
        <v>0.08</v>
      </c>
      <c r="AL43" s="107">
        <f t="shared" si="20"/>
        <v>1248000</v>
      </c>
      <c r="AM43" s="105">
        <f>IF(ISERROR(MATCH(A43&amp;AA43,'Days Exceptions'!$C$3:$C$16,0)),ROUND(AL43/(MAX(S43,T43)),2),ROUND(AL43/VLOOKUP(A43,'Days Exceptions'!$A$3:$J$16,8,FALSE),2))</f>
        <v>28.92</v>
      </c>
      <c r="AN43" s="213">
        <f>VLOOKUP($A43,'Rate Calculation'!$A$4:$AF$208,32,FALSE)</f>
        <v>3.93</v>
      </c>
      <c r="AO43" s="109">
        <f t="shared" si="21"/>
        <v>32.85</v>
      </c>
      <c r="AP43" s="247">
        <f>VLOOKUP($A43,'Rate Calculation'!$A$4:$Q$208,17,FALSE)</f>
        <v>217.79</v>
      </c>
      <c r="AQ43" s="247">
        <f t="shared" si="35"/>
        <v>224.54</v>
      </c>
      <c r="AR43" s="247">
        <f>VLOOKUP($A43,'Rate Calculation'!$A$4:$K$208,11,FALSE)</f>
        <v>195.33</v>
      </c>
      <c r="AS43" s="247">
        <f t="shared" si="22"/>
        <v>201.39</v>
      </c>
      <c r="AT43" s="110">
        <f t="shared" si="23"/>
        <v>224.01</v>
      </c>
      <c r="AU43" s="110">
        <f t="shared" si="24"/>
        <v>205.81</v>
      </c>
      <c r="AV43" s="111">
        <f t="shared" si="25"/>
        <v>0</v>
      </c>
      <c r="AW43" s="110">
        <f t="shared" si="26"/>
        <v>205.81</v>
      </c>
      <c r="AX43" s="105">
        <f t="shared" si="27"/>
        <v>206.3</v>
      </c>
      <c r="AY43" s="105">
        <f t="shared" si="28"/>
        <v>195.52</v>
      </c>
      <c r="AZ43" s="105">
        <f t="shared" si="29"/>
        <v>-10.78</v>
      </c>
      <c r="BA43" s="105">
        <f t="shared" si="30"/>
        <v>262.44</v>
      </c>
      <c r="BB43" s="105">
        <f t="shared" si="31"/>
        <v>159.53</v>
      </c>
      <c r="BC43" s="110">
        <f t="shared" si="32"/>
        <v>380.76</v>
      </c>
      <c r="BD43" s="110">
        <f t="shared" si="33"/>
        <v>282.35000000000002</v>
      </c>
      <c r="BE43" s="110">
        <f t="shared" si="34"/>
        <v>179.44</v>
      </c>
      <c r="BF43" s="105"/>
      <c r="BG43" s="105"/>
      <c r="BH43" s="111"/>
      <c r="BI43" s="105"/>
      <c r="BJ43" s="105"/>
      <c r="BK43" s="109"/>
      <c r="BL43" s="111"/>
      <c r="BM43" s="109"/>
      <c r="BN43" s="109"/>
      <c r="BO43" s="105"/>
      <c r="BP43" s="105"/>
      <c r="BQ43" s="109"/>
      <c r="BR43" s="110"/>
      <c r="BS43" s="110"/>
      <c r="BT43" s="110"/>
      <c r="BU43" s="110"/>
      <c r="BV43" s="110"/>
      <c r="BW43" s="112"/>
      <c r="BX43" s="112"/>
      <c r="BY43" s="110"/>
      <c r="BZ43" s="105"/>
      <c r="CA43" s="105"/>
      <c r="CB43" s="105"/>
      <c r="CC43" s="105"/>
      <c r="CD43" s="105"/>
      <c r="CE43" s="105"/>
    </row>
    <row r="44" spans="1:83" x14ac:dyDescent="0.15">
      <c r="A44" s="103">
        <v>679</v>
      </c>
      <c r="B44" s="98" t="str">
        <f>VLOOKUP($A44,'Rate Calculation'!$A$4:$AQ$208,42,FALSE)</f>
        <v>888734900</v>
      </c>
      <c r="C44" s="98" t="str">
        <f>VLOOKUP($A44,'Rate Calculation'!$A$4:$AQ$208,43,FALSE)</f>
        <v>Autumn Lake Healthcare at Summit Park</v>
      </c>
      <c r="D44" s="98" t="str">
        <f>VLOOKUP($A44,'Rate Calculation'!$A$4:$F$208,5,FALSE)</f>
        <v>BALTIMORE METRO</v>
      </c>
      <c r="E44" s="98" t="str">
        <f>VLOOKUP($A44,'Rate Calculation'!$A$4:$F$208,6,FALSE)</f>
        <v>BALTIMORE METRO</v>
      </c>
      <c r="F44" s="105">
        <f t="shared" si="8"/>
        <v>105.18</v>
      </c>
      <c r="G44" s="105">
        <f t="shared" si="9"/>
        <v>21.5</v>
      </c>
      <c r="H44" s="105">
        <f t="shared" si="10"/>
        <v>30.44</v>
      </c>
      <c r="I44" s="105">
        <f t="shared" si="11"/>
        <v>190.46</v>
      </c>
      <c r="J44" s="105">
        <f>VLOOKUP($A44,'Rate Calculation'!$A$4:$AZ$208,34,FALSE)</f>
        <v>0</v>
      </c>
      <c r="K44" s="105">
        <f t="shared" si="12"/>
        <v>347.58</v>
      </c>
      <c r="L44" s="164">
        <f t="shared" si="4"/>
        <v>0.98772000000000004</v>
      </c>
      <c r="M44" s="105">
        <f t="shared" si="13"/>
        <v>343.31</v>
      </c>
      <c r="N44" s="105">
        <f>VLOOKUP($A44,'Rate Calculation'!$A$4:$AL$208,38,FALSE)</f>
        <v>27.52</v>
      </c>
      <c r="O44" s="183">
        <f>VLOOKUP($A44,'Rate Calculation'!$A$4:$I$208,9,FALSE)</f>
        <v>1.3823000000000001</v>
      </c>
      <c r="P44" s="183">
        <f t="shared" si="5"/>
        <v>1.4432</v>
      </c>
      <c r="Q44" s="183">
        <f>VLOOKUP(A44,'CMI Data'!$A$4:$C$208,3,FALSE)</f>
        <v>1.3976999999999999</v>
      </c>
      <c r="R44" s="246">
        <f>VLOOKUP($A44,FRV!$A$4:$K$208,11,FALSE)</f>
        <v>49044</v>
      </c>
      <c r="S44" s="246">
        <f t="shared" si="6"/>
        <v>39986</v>
      </c>
      <c r="T44" s="246">
        <f>VLOOKUP($A44,FRV!$A$4:$L$208,12,FALSE)</f>
        <v>44698</v>
      </c>
      <c r="U44" s="183">
        <f>Inflation!$G$24</f>
        <v>1.0309999999999999</v>
      </c>
      <c r="V44" s="247">
        <f>VLOOKUP($A44,'Rate Calculation'!A45:X249,24,FALSE)</f>
        <v>102.02</v>
      </c>
      <c r="W44" s="110">
        <f t="shared" si="14"/>
        <v>105.18</v>
      </c>
      <c r="X44" s="110">
        <f>VLOOKUP($A44,'Rate Calculation'!A45:V249,22,FALSE)</f>
        <v>20.85</v>
      </c>
      <c r="Y44" s="110">
        <f t="shared" si="15"/>
        <v>21.5</v>
      </c>
      <c r="Z44" s="212">
        <f>VLOOKUP($A44,FRV!$A$4:$D$208,4,FALSE)</f>
        <v>45474</v>
      </c>
      <c r="AA44" s="212">
        <f>VLOOKUP($A44,FRV!$A$4:$F$208,6,FALSE)</f>
        <v>45657</v>
      </c>
      <c r="AB44" s="248">
        <f>VLOOKUP($A44,FRV!$A$4:$U$208,13,FALSE)</f>
        <v>13176008</v>
      </c>
      <c r="AC44" s="248">
        <f>VLOOKUP($A44,FRV!$A$4:$U$208,15,FALSE)</f>
        <v>278989</v>
      </c>
      <c r="AD44" s="248">
        <f>VLOOKUP($A44,FRV!$A$4:$U$208,14,FALSE)</f>
        <v>25000</v>
      </c>
      <c r="AE44" s="248">
        <f>VLOOKUP($A44,FRV!$A$4:$U$208,7,FALSE)</f>
        <v>134</v>
      </c>
      <c r="AF44" s="107">
        <f t="shared" si="16"/>
        <v>16804997</v>
      </c>
      <c r="AG44" s="107">
        <f t="shared" si="17"/>
        <v>125410</v>
      </c>
      <c r="AH44" s="107">
        <v>120000</v>
      </c>
      <c r="AI44" s="107">
        <f t="shared" si="18"/>
        <v>120000</v>
      </c>
      <c r="AJ44" s="107">
        <f t="shared" si="19"/>
        <v>16080000</v>
      </c>
      <c r="AK44" s="249">
        <f>IF(VLOOKUP($A44,'Rate Calculation'!$A$4:$D$208,4,FALSE)="baltimore city",0.1,0.08)</f>
        <v>0.08</v>
      </c>
      <c r="AL44" s="107">
        <f t="shared" si="20"/>
        <v>1286400</v>
      </c>
      <c r="AM44" s="105">
        <f>IF(ISERROR(MATCH(A44&amp;AA44,'Days Exceptions'!$C$3:$C$16,0)),ROUND(AL44/(MAX(S44,T44)),2),ROUND(AL44/VLOOKUP(A44,'Days Exceptions'!$A$3:$J$16,8,FALSE),2))</f>
        <v>28.78</v>
      </c>
      <c r="AN44" s="213">
        <f>VLOOKUP($A44,'Rate Calculation'!$A$4:$AF$208,32,FALSE)</f>
        <v>1.66</v>
      </c>
      <c r="AO44" s="109">
        <f t="shared" si="21"/>
        <v>30.44</v>
      </c>
      <c r="AP44" s="247">
        <f>VLOOKUP($A44,'Rate Calculation'!$A$4:$Q$208,17,FALSE)</f>
        <v>173.35</v>
      </c>
      <c r="AQ44" s="247">
        <f t="shared" si="35"/>
        <v>178.72</v>
      </c>
      <c r="AR44" s="247">
        <f>VLOOKUP($A44,'Rate Calculation'!$A$4:$K$208,11,FALSE)</f>
        <v>195.33</v>
      </c>
      <c r="AS44" s="247">
        <f t="shared" si="22"/>
        <v>201.39</v>
      </c>
      <c r="AT44" s="110">
        <f t="shared" si="23"/>
        <v>192.89</v>
      </c>
      <c r="AU44" s="110">
        <f t="shared" si="24"/>
        <v>195.04</v>
      </c>
      <c r="AV44" s="111">
        <f t="shared" si="25"/>
        <v>-4.58</v>
      </c>
      <c r="AW44" s="110">
        <f t="shared" si="26"/>
        <v>190.46</v>
      </c>
      <c r="AX44" s="105">
        <f t="shared" si="27"/>
        <v>180.71</v>
      </c>
      <c r="AY44" s="105">
        <f t="shared" si="28"/>
        <v>185.29</v>
      </c>
      <c r="AZ44" s="105">
        <f t="shared" si="29"/>
        <v>4.58</v>
      </c>
      <c r="BA44" s="105">
        <f t="shared" si="30"/>
        <v>252.35</v>
      </c>
      <c r="BB44" s="105">
        <f t="shared" si="31"/>
        <v>157.12</v>
      </c>
      <c r="BC44" s="110">
        <f t="shared" si="32"/>
        <v>370.83</v>
      </c>
      <c r="BD44" s="110">
        <f t="shared" si="33"/>
        <v>279.87</v>
      </c>
      <c r="BE44" s="110">
        <f t="shared" si="34"/>
        <v>184.64</v>
      </c>
      <c r="BF44" s="105"/>
      <c r="BG44" s="105"/>
      <c r="BH44" s="111"/>
      <c r="BI44" s="105"/>
      <c r="BJ44" s="105"/>
      <c r="BK44" s="109"/>
      <c r="BL44" s="111"/>
      <c r="BM44" s="109"/>
      <c r="BN44" s="109"/>
      <c r="BO44" s="105"/>
      <c r="BP44" s="105"/>
      <c r="BQ44" s="109"/>
      <c r="BR44" s="110"/>
      <c r="BS44" s="110"/>
      <c r="BT44" s="110"/>
      <c r="BU44" s="110"/>
      <c r="BV44" s="110"/>
      <c r="BW44" s="112"/>
      <c r="BX44" s="112"/>
      <c r="BY44" s="110"/>
      <c r="BZ44" s="105"/>
      <c r="CA44" s="105"/>
      <c r="CB44" s="105"/>
      <c r="CC44" s="105"/>
      <c r="CD44" s="105"/>
      <c r="CE44" s="105"/>
    </row>
    <row r="45" spans="1:83" x14ac:dyDescent="0.15">
      <c r="A45" s="103">
        <v>260</v>
      </c>
      <c r="B45" s="98" t="str">
        <f>VLOOKUP($A45,'Rate Calculation'!$A$4:$AQ$208,42,FALSE)</f>
        <v>654277800</v>
      </c>
      <c r="C45" s="98" t="str">
        <f>VLOOKUP($A45,'Rate Calculation'!$A$4:$AQ$208,43,FALSE)</f>
        <v>Autumn Lake Healthcare at Waugh Chapel</v>
      </c>
      <c r="D45" s="98" t="str">
        <f>VLOOKUP($A45,'Rate Calculation'!$A$4:$F$208,5,FALSE)</f>
        <v>BALTIMORE METRO</v>
      </c>
      <c r="E45" s="98" t="str">
        <f>VLOOKUP($A45,'Rate Calculation'!$A$4:$F$208,6,FALSE)</f>
        <v>BALTIMORE METRO</v>
      </c>
      <c r="F45" s="105">
        <f t="shared" si="8"/>
        <v>105.18</v>
      </c>
      <c r="G45" s="105">
        <f t="shared" si="9"/>
        <v>21.5</v>
      </c>
      <c r="H45" s="105">
        <f t="shared" si="10"/>
        <v>34.06</v>
      </c>
      <c r="I45" s="105">
        <f t="shared" si="11"/>
        <v>215.32</v>
      </c>
      <c r="J45" s="105">
        <f>VLOOKUP($A45,'Rate Calculation'!$A$4:$AZ$208,34,FALSE)</f>
        <v>0</v>
      </c>
      <c r="K45" s="105">
        <f t="shared" si="12"/>
        <v>376.06</v>
      </c>
      <c r="L45" s="164">
        <f t="shared" si="4"/>
        <v>0.98772000000000004</v>
      </c>
      <c r="M45" s="105">
        <f t="shared" si="13"/>
        <v>371.44</v>
      </c>
      <c r="N45" s="105">
        <f>VLOOKUP($A45,'Rate Calculation'!$A$4:$AL$208,38,FALSE)</f>
        <v>10.119999999999999</v>
      </c>
      <c r="O45" s="183">
        <f>VLOOKUP($A45,'Rate Calculation'!$A$4:$I$208,9,FALSE)</f>
        <v>1.7748999999999999</v>
      </c>
      <c r="P45" s="183">
        <f t="shared" si="5"/>
        <v>1.4432</v>
      </c>
      <c r="Q45" s="183">
        <f>VLOOKUP(A45,'CMI Data'!$A$4:$C$208,3,FALSE)</f>
        <v>1.5429999999999999</v>
      </c>
      <c r="R45" s="246">
        <f>VLOOKUP($A45,FRV!$A$4:$K$208,11,FALSE)</f>
        <v>40260</v>
      </c>
      <c r="S45" s="246">
        <f t="shared" si="6"/>
        <v>32824</v>
      </c>
      <c r="T45" s="246">
        <f>VLOOKUP($A45,FRV!$A$4:$L$208,12,FALSE)</f>
        <v>37092</v>
      </c>
      <c r="U45" s="183">
        <f>Inflation!$G$24</f>
        <v>1.0309999999999999</v>
      </c>
      <c r="V45" s="247">
        <f>VLOOKUP($A45,'Rate Calculation'!A46:X250,24,FALSE)</f>
        <v>102.02</v>
      </c>
      <c r="W45" s="110">
        <f t="shared" si="14"/>
        <v>105.18</v>
      </c>
      <c r="X45" s="110">
        <f>VLOOKUP($A45,'Rate Calculation'!A46:V250,22,FALSE)</f>
        <v>20.85</v>
      </c>
      <c r="Y45" s="110">
        <f t="shared" si="15"/>
        <v>21.5</v>
      </c>
      <c r="Z45" s="212">
        <f>VLOOKUP($A45,FRV!$A$4:$D$208,4,FALSE)</f>
        <v>45474</v>
      </c>
      <c r="AA45" s="212">
        <f>VLOOKUP($A45,FRV!$A$4:$F$208,6,FALSE)</f>
        <v>45657</v>
      </c>
      <c r="AB45" s="248">
        <f>VLOOKUP($A45,FRV!$A$4:$U$208,13,FALSE)</f>
        <v>20796482</v>
      </c>
      <c r="AC45" s="248">
        <f>VLOOKUP($A45,FRV!$A$4:$U$208,15,FALSE)</f>
        <v>327436</v>
      </c>
      <c r="AD45" s="248">
        <f>VLOOKUP($A45,FRV!$A$4:$U$208,14,FALSE)</f>
        <v>34500</v>
      </c>
      <c r="AE45" s="248">
        <f>VLOOKUP($A45,FRV!$A$4:$U$208,7,FALSE)</f>
        <v>110</v>
      </c>
      <c r="AF45" s="107">
        <f t="shared" si="16"/>
        <v>24918918</v>
      </c>
      <c r="AG45" s="107">
        <f t="shared" si="17"/>
        <v>226536</v>
      </c>
      <c r="AH45" s="107">
        <v>120000</v>
      </c>
      <c r="AI45" s="107">
        <f t="shared" si="18"/>
        <v>120000</v>
      </c>
      <c r="AJ45" s="107">
        <f t="shared" si="19"/>
        <v>13200000</v>
      </c>
      <c r="AK45" s="249">
        <f>IF(VLOOKUP($A45,'Rate Calculation'!$A$4:$D$208,4,FALSE)="baltimore city",0.1,0.08)</f>
        <v>0.08</v>
      </c>
      <c r="AL45" s="107">
        <f t="shared" si="20"/>
        <v>1056000</v>
      </c>
      <c r="AM45" s="105">
        <f>IF(ISERROR(MATCH(A45&amp;AA45,'Days Exceptions'!$C$3:$C$16,0)),ROUND(AL45/(MAX(S45,T45)),2),ROUND(AL45/VLOOKUP(A45,'Days Exceptions'!$A$3:$J$16,8,FALSE),2))</f>
        <v>28.47</v>
      </c>
      <c r="AN45" s="213">
        <f>VLOOKUP($A45,'Rate Calculation'!$A$4:$AF$208,32,FALSE)</f>
        <v>5.59</v>
      </c>
      <c r="AO45" s="109">
        <f t="shared" si="21"/>
        <v>34.06</v>
      </c>
      <c r="AP45" s="247">
        <f>VLOOKUP($A45,'Rate Calculation'!$A$4:$Q$208,17,FALSE)</f>
        <v>245.84</v>
      </c>
      <c r="AQ45" s="247">
        <f t="shared" si="35"/>
        <v>253.46</v>
      </c>
      <c r="AR45" s="247">
        <f>VLOOKUP($A45,'Rate Calculation'!$A$4:$K$208,11,FALSE)</f>
        <v>195.33</v>
      </c>
      <c r="AS45" s="247">
        <f t="shared" si="22"/>
        <v>201.39</v>
      </c>
      <c r="AT45" s="110">
        <f t="shared" si="23"/>
        <v>247.68</v>
      </c>
      <c r="AU45" s="110">
        <f t="shared" si="24"/>
        <v>215.32</v>
      </c>
      <c r="AV45" s="111">
        <f t="shared" si="25"/>
        <v>0</v>
      </c>
      <c r="AW45" s="110">
        <f t="shared" si="26"/>
        <v>215.32</v>
      </c>
      <c r="AX45" s="105">
        <f t="shared" si="27"/>
        <v>220.34</v>
      </c>
      <c r="AY45" s="105">
        <f t="shared" si="28"/>
        <v>204.55</v>
      </c>
      <c r="AZ45" s="105">
        <f t="shared" si="29"/>
        <v>-15.79</v>
      </c>
      <c r="BA45" s="105">
        <f t="shared" si="30"/>
        <v>268.39999999999998</v>
      </c>
      <c r="BB45" s="105">
        <f t="shared" si="31"/>
        <v>160.74</v>
      </c>
      <c r="BC45" s="110">
        <f t="shared" si="32"/>
        <v>381.56</v>
      </c>
      <c r="BD45" s="110">
        <f t="shared" si="33"/>
        <v>278.52</v>
      </c>
      <c r="BE45" s="110">
        <f t="shared" si="34"/>
        <v>170.86</v>
      </c>
      <c r="BF45" s="105"/>
      <c r="BG45" s="105"/>
      <c r="BH45" s="111"/>
      <c r="BI45" s="105"/>
      <c r="BJ45" s="105"/>
      <c r="BK45" s="109"/>
      <c r="BL45" s="111"/>
      <c r="BM45" s="109"/>
      <c r="BN45" s="109"/>
      <c r="BO45" s="105"/>
      <c r="BP45" s="105"/>
      <c r="BQ45" s="109"/>
      <c r="BR45" s="110"/>
      <c r="BS45" s="110"/>
      <c r="BT45" s="110"/>
      <c r="BU45" s="110"/>
      <c r="BV45" s="110"/>
      <c r="BW45" s="112"/>
      <c r="BX45" s="112"/>
      <c r="BY45" s="110"/>
      <c r="BZ45" s="105"/>
      <c r="CA45" s="105"/>
      <c r="CB45" s="105"/>
      <c r="CC45" s="105"/>
      <c r="CD45" s="105"/>
      <c r="CE45" s="105"/>
    </row>
    <row r="46" spans="1:83" x14ac:dyDescent="0.15">
      <c r="A46" s="103">
        <v>701</v>
      </c>
      <c r="B46" s="98" t="str">
        <f>VLOOKUP($A46,'Rate Calculation'!$A$4:$AQ$208,42,FALSE)</f>
        <v>769505500</v>
      </c>
      <c r="C46" s="98" t="str">
        <f>VLOOKUP($A46,'Rate Calculation'!$A$4:$AQ$208,43,FALSE)</f>
        <v>Bayleigh Chase</v>
      </c>
      <c r="D46" s="98" t="str">
        <f>VLOOKUP($A46,'Rate Calculation'!$A$4:$F$208,5,FALSE)</f>
        <v>EASTERN REGION</v>
      </c>
      <c r="E46" s="98" t="str">
        <f>VLOOKUP($A46,'Rate Calculation'!$A$4:$F$208,6,FALSE)</f>
        <v>NON METRO</v>
      </c>
      <c r="F46" s="105">
        <f t="shared" si="8"/>
        <v>92.33</v>
      </c>
      <c r="G46" s="105">
        <f t="shared" si="9"/>
        <v>20.87</v>
      </c>
      <c r="H46" s="105">
        <f t="shared" si="10"/>
        <v>33.159999999999997</v>
      </c>
      <c r="I46" s="105">
        <f t="shared" si="11"/>
        <v>168.36</v>
      </c>
      <c r="J46" s="105">
        <f>VLOOKUP($A46,'Rate Calculation'!$A$4:$AZ$208,34,FALSE)</f>
        <v>0</v>
      </c>
      <c r="K46" s="105">
        <f t="shared" si="12"/>
        <v>314.72000000000003</v>
      </c>
      <c r="L46" s="164">
        <f t="shared" si="4"/>
        <v>0.98772000000000004</v>
      </c>
      <c r="M46" s="105">
        <f t="shared" si="13"/>
        <v>310.86</v>
      </c>
      <c r="N46" s="105">
        <f>VLOOKUP($A46,'Rate Calculation'!$A$4:$AL$208,38,FALSE)</f>
        <v>0</v>
      </c>
      <c r="O46" s="183">
        <f>VLOOKUP($A46,'Rate Calculation'!$A$4:$I$208,9,FALSE)</f>
        <v>1.3495999999999999</v>
      </c>
      <c r="P46" s="183">
        <f t="shared" si="5"/>
        <v>1.4432</v>
      </c>
      <c r="Q46" s="183">
        <f>VLOOKUP(A46,'CMI Data'!$A$4:$C$208,3,FALSE)</f>
        <v>1.2648999999999999</v>
      </c>
      <c r="R46" s="246">
        <f>VLOOKUP($A46,FRV!$A$4:$K$208,11,FALSE)</f>
        <v>36135</v>
      </c>
      <c r="S46" s="246">
        <f t="shared" si="6"/>
        <v>29461</v>
      </c>
      <c r="T46" s="246">
        <f>VLOOKUP($A46,FRV!$A$4:$L$208,12,FALSE)</f>
        <v>20093</v>
      </c>
      <c r="U46" s="183">
        <f>Inflation!$G$24</f>
        <v>1.0309999999999999</v>
      </c>
      <c r="V46" s="247">
        <f>VLOOKUP($A46,'Rate Calculation'!A47:X251,24,FALSE)</f>
        <v>89.55</v>
      </c>
      <c r="W46" s="110">
        <f t="shared" si="14"/>
        <v>92.33</v>
      </c>
      <c r="X46" s="110">
        <f>VLOOKUP($A46,'Rate Calculation'!A47:V251,22,FALSE)</f>
        <v>20.239999999999998</v>
      </c>
      <c r="Y46" s="110">
        <f t="shared" si="15"/>
        <v>20.87</v>
      </c>
      <c r="Z46" s="212">
        <f>VLOOKUP($A46,FRV!$A$4:$D$208,4,FALSE)</f>
        <v>44743</v>
      </c>
      <c r="AA46" s="212">
        <f>VLOOKUP($A46,FRV!$A$4:$F$208,6,FALSE)</f>
        <v>44926</v>
      </c>
      <c r="AB46" s="248">
        <f>VLOOKUP($A46,FRV!$A$4:$U$208,13,FALSE)</f>
        <v>11945291</v>
      </c>
      <c r="AC46" s="248">
        <f>VLOOKUP($A46,FRV!$A$4:$U$208,15,FALSE)</f>
        <v>248194</v>
      </c>
      <c r="AD46" s="248">
        <f>VLOOKUP($A46,FRV!$A$4:$U$208,14,FALSE)</f>
        <v>16000</v>
      </c>
      <c r="AE46" s="248">
        <f>VLOOKUP($A46,FRV!$A$4:$U$208,7,FALSE)</f>
        <v>99</v>
      </c>
      <c r="AF46" s="107">
        <f t="shared" si="16"/>
        <v>13777485</v>
      </c>
      <c r="AG46" s="107">
        <f t="shared" si="17"/>
        <v>139167</v>
      </c>
      <c r="AH46" s="107">
        <v>120000</v>
      </c>
      <c r="AI46" s="107">
        <f t="shared" si="18"/>
        <v>120000</v>
      </c>
      <c r="AJ46" s="107">
        <f t="shared" si="19"/>
        <v>11880000</v>
      </c>
      <c r="AK46" s="249">
        <f>IF(VLOOKUP($A46,'Rate Calculation'!$A$4:$D$208,4,FALSE)="baltimore city",0.1,0.08)</f>
        <v>0.08</v>
      </c>
      <c r="AL46" s="107">
        <f t="shared" si="20"/>
        <v>950400</v>
      </c>
      <c r="AM46" s="105">
        <f>IF(ISERROR(MATCH(A46&amp;AA46,'Days Exceptions'!$C$3:$C$16,0)),ROUND(AL46/(MAX(S46,T46)),2),ROUND(AL46/VLOOKUP(A46,'Days Exceptions'!$A$3:$J$16,8,FALSE),2))</f>
        <v>32.26</v>
      </c>
      <c r="AN46" s="213">
        <f>VLOOKUP($A46,'Rate Calculation'!$A$4:$AF$208,32,FALSE)</f>
        <v>0.9</v>
      </c>
      <c r="AO46" s="109">
        <f t="shared" si="21"/>
        <v>33.159999999999997</v>
      </c>
      <c r="AP46" s="247">
        <f>VLOOKUP($A46,'Rate Calculation'!$A$4:$Q$208,17,FALSE)</f>
        <v>208.75</v>
      </c>
      <c r="AQ46" s="247">
        <f t="shared" si="35"/>
        <v>215.22</v>
      </c>
      <c r="AR46" s="247">
        <f>VLOOKUP($A46,'Rate Calculation'!$A$4:$K$208,11,FALSE)</f>
        <v>186.31</v>
      </c>
      <c r="AS46" s="247">
        <f t="shared" si="22"/>
        <v>192.09</v>
      </c>
      <c r="AT46" s="110">
        <f t="shared" si="23"/>
        <v>179.63</v>
      </c>
      <c r="AU46" s="110">
        <f t="shared" si="24"/>
        <v>168.36</v>
      </c>
      <c r="AV46" s="111">
        <f t="shared" si="25"/>
        <v>0</v>
      </c>
      <c r="AW46" s="110">
        <f t="shared" si="26"/>
        <v>168.36</v>
      </c>
      <c r="AX46" s="105">
        <f t="shared" si="27"/>
        <v>201.71</v>
      </c>
      <c r="AY46" s="105">
        <f t="shared" si="28"/>
        <v>159.94</v>
      </c>
      <c r="AZ46" s="105">
        <f t="shared" si="29"/>
        <v>-41.77</v>
      </c>
      <c r="BA46" s="105">
        <f t="shared" si="30"/>
        <v>230.54</v>
      </c>
      <c r="BB46" s="105">
        <f t="shared" si="31"/>
        <v>146.36000000000001</v>
      </c>
      <c r="BC46" s="110">
        <f t="shared" si="32"/>
        <v>310.86</v>
      </c>
      <c r="BD46" s="110">
        <f t="shared" si="33"/>
        <v>230.54</v>
      </c>
      <c r="BE46" s="110">
        <f t="shared" si="34"/>
        <v>146.36000000000001</v>
      </c>
      <c r="BF46" s="105"/>
      <c r="BG46" s="105"/>
      <c r="BH46" s="111"/>
      <c r="BI46" s="105"/>
      <c r="BJ46" s="105"/>
      <c r="BK46" s="109"/>
      <c r="BL46" s="111"/>
      <c r="BM46" s="109"/>
      <c r="BN46" s="109"/>
      <c r="BO46" s="105"/>
      <c r="BP46" s="105"/>
      <c r="BQ46" s="109"/>
      <c r="BR46" s="110"/>
      <c r="BS46" s="110"/>
      <c r="BT46" s="110"/>
      <c r="BU46" s="110"/>
      <c r="BV46" s="110"/>
      <c r="BW46" s="112"/>
      <c r="BX46" s="112"/>
      <c r="BY46" s="110"/>
      <c r="BZ46" s="105"/>
      <c r="CA46" s="105"/>
      <c r="CB46" s="105"/>
      <c r="CC46" s="105"/>
      <c r="CD46" s="105"/>
      <c r="CE46" s="105"/>
    </row>
    <row r="47" spans="1:83" x14ac:dyDescent="0.15">
      <c r="A47" s="103">
        <v>52</v>
      </c>
      <c r="B47" s="98" t="str">
        <f>VLOOKUP($A47,'Rate Calculation'!$A$4:$AQ$208,42,FALSE)</f>
        <v>740033100</v>
      </c>
      <c r="C47" s="98" t="str">
        <f>VLOOKUP($A47,'Rate Calculation'!$A$4:$AQ$208,43,FALSE)</f>
        <v>Bedford Court Healthcare Center</v>
      </c>
      <c r="D47" s="98" t="str">
        <f>VLOOKUP($A47,'Rate Calculation'!$A$4:$F$208,5,FALSE)</f>
        <v>WASHINGTON METRO</v>
      </c>
      <c r="E47" s="98" t="str">
        <f>VLOOKUP($A47,'Rate Calculation'!$A$4:$F$208,6,FALSE)</f>
        <v>WASHINGTON METRO</v>
      </c>
      <c r="F47" s="105">
        <f t="shared" si="8"/>
        <v>103.73</v>
      </c>
      <c r="G47" s="105">
        <f t="shared" si="9"/>
        <v>19.829999999999998</v>
      </c>
      <c r="H47" s="105">
        <f t="shared" si="10"/>
        <v>35.33</v>
      </c>
      <c r="I47" s="105">
        <f t="shared" si="11"/>
        <v>154.52000000000001</v>
      </c>
      <c r="J47" s="105">
        <f>VLOOKUP($A47,'Rate Calculation'!$A$4:$AZ$208,34,FALSE)</f>
        <v>0</v>
      </c>
      <c r="K47" s="105">
        <f t="shared" si="12"/>
        <v>313.41000000000003</v>
      </c>
      <c r="L47" s="164">
        <f t="shared" si="4"/>
        <v>0.98772000000000004</v>
      </c>
      <c r="M47" s="105">
        <f t="shared" si="13"/>
        <v>309.56</v>
      </c>
      <c r="N47" s="105">
        <f>VLOOKUP($A47,'Rate Calculation'!$A$4:$AL$208,38,FALSE)</f>
        <v>0</v>
      </c>
      <c r="O47" s="183">
        <f>VLOOKUP($A47,'Rate Calculation'!$A$4:$I$208,9,FALSE)</f>
        <v>1.4401999999999999</v>
      </c>
      <c r="P47" s="183">
        <f t="shared" si="5"/>
        <v>1.4432</v>
      </c>
      <c r="Q47" s="183">
        <f>VLOOKUP(A47,'CMI Data'!$A$4:$C$208,3,FALSE)</f>
        <v>1.2289000000000001</v>
      </c>
      <c r="R47" s="246">
        <f>VLOOKUP($A47,FRV!$A$4:$K$208,11,FALSE)</f>
        <v>21900</v>
      </c>
      <c r="S47" s="246">
        <f t="shared" si="6"/>
        <v>17855</v>
      </c>
      <c r="T47" s="246">
        <f>VLOOKUP($A47,FRV!$A$4:$L$208,12,FALSE)</f>
        <v>14858</v>
      </c>
      <c r="U47" s="183">
        <f>Inflation!$G$24</f>
        <v>1.0309999999999999</v>
      </c>
      <c r="V47" s="247">
        <f>VLOOKUP($A47,'Rate Calculation'!A48:X252,24,FALSE)</f>
        <v>100.61</v>
      </c>
      <c r="W47" s="110">
        <f t="shared" si="14"/>
        <v>103.73</v>
      </c>
      <c r="X47" s="110">
        <f>VLOOKUP($A47,'Rate Calculation'!A48:V252,22,FALSE)</f>
        <v>19.23</v>
      </c>
      <c r="Y47" s="110">
        <f t="shared" si="15"/>
        <v>19.829999999999998</v>
      </c>
      <c r="Z47" s="212">
        <f>VLOOKUP($A47,FRV!$A$4:$D$208,4,FALSE)</f>
        <v>44743</v>
      </c>
      <c r="AA47" s="212">
        <f>VLOOKUP($A47,FRV!$A$4:$F$208,6,FALSE)</f>
        <v>44926</v>
      </c>
      <c r="AB47" s="248">
        <f>VLOOKUP($A47,FRV!$A$4:$U$208,13,FALSE)</f>
        <v>9513922</v>
      </c>
      <c r="AC47" s="248">
        <f>VLOOKUP($A47,FRV!$A$4:$U$208,15,FALSE)</f>
        <v>237775</v>
      </c>
      <c r="AD47" s="248">
        <f>VLOOKUP($A47,FRV!$A$4:$U$208,14,FALSE)</f>
        <v>38000</v>
      </c>
      <c r="AE47" s="248">
        <f>VLOOKUP($A47,FRV!$A$4:$U$208,7,FALSE)</f>
        <v>60</v>
      </c>
      <c r="AF47" s="107">
        <f t="shared" si="16"/>
        <v>12031697</v>
      </c>
      <c r="AG47" s="107">
        <f t="shared" si="17"/>
        <v>200528</v>
      </c>
      <c r="AH47" s="107">
        <v>120000</v>
      </c>
      <c r="AI47" s="107">
        <f t="shared" si="18"/>
        <v>120000</v>
      </c>
      <c r="AJ47" s="107">
        <f t="shared" si="19"/>
        <v>7200000</v>
      </c>
      <c r="AK47" s="249">
        <f>IF(VLOOKUP($A47,'Rate Calculation'!$A$4:$D$208,4,FALSE)="baltimore city",0.1,0.08)</f>
        <v>0.08</v>
      </c>
      <c r="AL47" s="107">
        <f t="shared" si="20"/>
        <v>576000</v>
      </c>
      <c r="AM47" s="105">
        <f>IF(ISERROR(MATCH(A47&amp;AA47,'Days Exceptions'!$C$3:$C$16,0)),ROUND(AL47/(MAX(S47,T47)),2),ROUND(AL47/VLOOKUP(A47,'Days Exceptions'!$A$3:$J$16,8,FALSE),2))</f>
        <v>32.26</v>
      </c>
      <c r="AN47" s="213">
        <f>VLOOKUP($A47,'Rate Calculation'!$A$4:$AF$208,32,FALSE)</f>
        <v>3.07</v>
      </c>
      <c r="AO47" s="109">
        <f t="shared" si="21"/>
        <v>35.33</v>
      </c>
      <c r="AP47" s="247">
        <f>VLOOKUP($A47,'Rate Calculation'!$A$4:$Q$208,17,FALSE)</f>
        <v>220.04</v>
      </c>
      <c r="AQ47" s="247">
        <f t="shared" si="35"/>
        <v>226.86</v>
      </c>
      <c r="AR47" s="247">
        <f>VLOOKUP($A47,'Rate Calculation'!$A$4:$K$208,11,FALSE)</f>
        <v>176.01</v>
      </c>
      <c r="AS47" s="247">
        <f t="shared" si="22"/>
        <v>181.47</v>
      </c>
      <c r="AT47" s="110">
        <f t="shared" si="23"/>
        <v>181.09</v>
      </c>
      <c r="AU47" s="110">
        <f t="shared" si="24"/>
        <v>154.52000000000001</v>
      </c>
      <c r="AV47" s="111">
        <f t="shared" si="25"/>
        <v>0</v>
      </c>
      <c r="AW47" s="110">
        <f t="shared" si="26"/>
        <v>154.52000000000001</v>
      </c>
      <c r="AX47" s="105">
        <f t="shared" si="27"/>
        <v>193.58</v>
      </c>
      <c r="AY47" s="105">
        <f t="shared" si="28"/>
        <v>146.79</v>
      </c>
      <c r="AZ47" s="105">
        <f t="shared" si="29"/>
        <v>-46.79</v>
      </c>
      <c r="BA47" s="105">
        <f t="shared" si="30"/>
        <v>236.15</v>
      </c>
      <c r="BB47" s="105">
        <f t="shared" si="31"/>
        <v>158.88999999999999</v>
      </c>
      <c r="BC47" s="110">
        <f t="shared" si="32"/>
        <v>309.56</v>
      </c>
      <c r="BD47" s="110">
        <f t="shared" si="33"/>
        <v>236.15</v>
      </c>
      <c r="BE47" s="110">
        <f t="shared" si="34"/>
        <v>158.88999999999999</v>
      </c>
      <c r="BF47" s="105"/>
      <c r="BG47" s="105"/>
      <c r="BH47" s="111"/>
      <c r="BI47" s="105"/>
      <c r="BJ47" s="105"/>
      <c r="BK47" s="109"/>
      <c r="BL47" s="111"/>
      <c r="BM47" s="109"/>
      <c r="BN47" s="109"/>
      <c r="BO47" s="105"/>
      <c r="BP47" s="105"/>
      <c r="BQ47" s="109"/>
      <c r="BR47" s="110"/>
      <c r="BS47" s="110"/>
      <c r="BT47" s="110"/>
      <c r="BU47" s="110"/>
      <c r="BV47" s="110"/>
      <c r="BW47" s="112"/>
      <c r="BX47" s="112"/>
      <c r="BY47" s="110"/>
      <c r="BZ47" s="105"/>
      <c r="CA47" s="105"/>
      <c r="CB47" s="105"/>
      <c r="CC47" s="105"/>
      <c r="CD47" s="105"/>
      <c r="CE47" s="105"/>
    </row>
    <row r="48" spans="1:83" x14ac:dyDescent="0.15">
      <c r="A48" s="103">
        <v>743</v>
      </c>
      <c r="B48" s="98" t="str">
        <f>VLOOKUP($A48,'Rate Calculation'!$A$4:$AQ$208,42,FALSE)</f>
        <v>414428700</v>
      </c>
      <c r="C48" s="98" t="str">
        <f>VLOOKUP($A48,'Rate Calculation'!$A$4:$AQ$208,43,FALSE)</f>
        <v>Bel Pre Health and Rehabilitation Center</v>
      </c>
      <c r="D48" s="98" t="str">
        <f>VLOOKUP($A48,'Rate Calculation'!$A$4:$F$208,5,FALSE)</f>
        <v>WASHINGTON METRO</v>
      </c>
      <c r="E48" s="98" t="str">
        <f>VLOOKUP($A48,'Rate Calculation'!$A$4:$F$208,6,FALSE)</f>
        <v>WASHINGTON METRO</v>
      </c>
      <c r="F48" s="105">
        <f t="shared" si="8"/>
        <v>103.73</v>
      </c>
      <c r="G48" s="105">
        <f t="shared" si="9"/>
        <v>19.829999999999998</v>
      </c>
      <c r="H48" s="105">
        <f t="shared" si="10"/>
        <v>47.81</v>
      </c>
      <c r="I48" s="105">
        <f t="shared" si="11"/>
        <v>125.73</v>
      </c>
      <c r="J48" s="105">
        <f>VLOOKUP($A48,'Rate Calculation'!$A$4:$AZ$208,34,FALSE)</f>
        <v>0</v>
      </c>
      <c r="K48" s="105">
        <f t="shared" si="12"/>
        <v>297.10000000000002</v>
      </c>
      <c r="L48" s="164">
        <f t="shared" si="4"/>
        <v>0.98772000000000004</v>
      </c>
      <c r="M48" s="105">
        <f t="shared" si="13"/>
        <v>293.45</v>
      </c>
      <c r="N48" s="105">
        <f>VLOOKUP($A48,'Rate Calculation'!$A$4:$AL$208,38,FALSE)</f>
        <v>32.33</v>
      </c>
      <c r="O48" s="183">
        <f>VLOOKUP($A48,'Rate Calculation'!$A$4:$I$208,9,FALSE)</f>
        <v>1.4721</v>
      </c>
      <c r="P48" s="183">
        <f t="shared" si="5"/>
        <v>1.4432</v>
      </c>
      <c r="Q48" s="183">
        <f>VLOOKUP(A48,'CMI Data'!$A$4:$C$208,3,FALSE)</f>
        <v>1.2645</v>
      </c>
      <c r="R48" s="246">
        <f>VLOOKUP($A48,FRV!$A$4:$K$208,11,FALSE)</f>
        <v>33580</v>
      </c>
      <c r="S48" s="246">
        <f t="shared" si="6"/>
        <v>27378</v>
      </c>
      <c r="T48" s="246">
        <f>VLOOKUP($A48,FRV!$A$4:$L$208,12,FALSE)</f>
        <v>29371</v>
      </c>
      <c r="U48" s="183">
        <f>Inflation!$G$24</f>
        <v>1.0309999999999999</v>
      </c>
      <c r="V48" s="247">
        <f>VLOOKUP($A48,'Rate Calculation'!A49:X253,24,FALSE)</f>
        <v>100.61</v>
      </c>
      <c r="W48" s="110">
        <f t="shared" si="14"/>
        <v>103.73</v>
      </c>
      <c r="X48" s="110">
        <f>VLOOKUP($A48,'Rate Calculation'!A49:V253,22,FALSE)</f>
        <v>19.23</v>
      </c>
      <c r="Y48" s="110">
        <f t="shared" si="15"/>
        <v>19.829999999999998</v>
      </c>
      <c r="Z48" s="212">
        <f>VLOOKUP($A48,FRV!$A$4:$D$208,4,FALSE)</f>
        <v>44743</v>
      </c>
      <c r="AA48" s="212">
        <f>VLOOKUP($A48,FRV!$A$4:$F$208,6,FALSE)</f>
        <v>44742</v>
      </c>
      <c r="AB48" s="248">
        <f>VLOOKUP($A48,FRV!$A$4:$U$208,13,FALSE)</f>
        <v>28251667</v>
      </c>
      <c r="AC48" s="248">
        <f>VLOOKUP($A48,FRV!$A$4:$U$208,15,FALSE)</f>
        <v>0</v>
      </c>
      <c r="AD48" s="248">
        <f>VLOOKUP($A48,FRV!$A$4:$U$208,14,FALSE)</f>
        <v>0</v>
      </c>
      <c r="AE48" s="248">
        <f>VLOOKUP($A48,FRV!$A$4:$U$208,7,FALSE)</f>
        <v>92</v>
      </c>
      <c r="AF48" s="107">
        <f t="shared" si="16"/>
        <v>28251667</v>
      </c>
      <c r="AG48" s="107">
        <f t="shared" si="17"/>
        <v>307083</v>
      </c>
      <c r="AH48" s="107">
        <v>120000</v>
      </c>
      <c r="AI48" s="107">
        <f t="shared" si="18"/>
        <v>120000</v>
      </c>
      <c r="AJ48" s="107">
        <f t="shared" si="19"/>
        <v>11040000</v>
      </c>
      <c r="AK48" s="249">
        <f>IF(VLOOKUP($A48,'Rate Calculation'!$A$4:$D$208,4,FALSE)="baltimore city",0.1,0.08)</f>
        <v>0.08</v>
      </c>
      <c r="AL48" s="107">
        <f t="shared" si="20"/>
        <v>883200</v>
      </c>
      <c r="AM48" s="105">
        <f>IF(ISERROR(MATCH(A48&amp;AA48,'Days Exceptions'!$C$3:$C$16,0)),ROUND(AL48/(MAX(S48,T48)),2),ROUND(AL48/VLOOKUP(A48,'Days Exceptions'!$A$3:$J$16,8,FALSE),2))</f>
        <v>34.61</v>
      </c>
      <c r="AN48" s="213">
        <f>VLOOKUP($A48,'Rate Calculation'!$A$4:$AF$208,32,FALSE)</f>
        <v>13.2</v>
      </c>
      <c r="AO48" s="109">
        <f t="shared" si="21"/>
        <v>47.81</v>
      </c>
      <c r="AP48" s="247">
        <f>VLOOKUP($A48,'Rate Calculation'!$A$4:$Q$208,17,FALSE)</f>
        <v>133</v>
      </c>
      <c r="AQ48" s="247">
        <f t="shared" si="35"/>
        <v>137.12</v>
      </c>
      <c r="AR48" s="247">
        <f>VLOOKUP($A48,'Rate Calculation'!$A$4:$K$208,11,FALSE)</f>
        <v>176.01</v>
      </c>
      <c r="AS48" s="247">
        <f t="shared" si="22"/>
        <v>181.47</v>
      </c>
      <c r="AT48" s="110">
        <f t="shared" si="23"/>
        <v>185.1</v>
      </c>
      <c r="AU48" s="110">
        <f t="shared" si="24"/>
        <v>159</v>
      </c>
      <c r="AV48" s="111">
        <f t="shared" si="25"/>
        <v>-33.270000000000003</v>
      </c>
      <c r="AW48" s="110">
        <f t="shared" si="26"/>
        <v>125.73</v>
      </c>
      <c r="AX48" s="105">
        <f t="shared" si="27"/>
        <v>117.78</v>
      </c>
      <c r="AY48" s="105">
        <f t="shared" si="28"/>
        <v>151.05000000000001</v>
      </c>
      <c r="AZ48" s="105">
        <f t="shared" si="29"/>
        <v>33.270000000000003</v>
      </c>
      <c r="BA48" s="105">
        <f t="shared" si="30"/>
        <v>234.24</v>
      </c>
      <c r="BB48" s="105">
        <f t="shared" si="31"/>
        <v>171.37</v>
      </c>
      <c r="BC48" s="110">
        <f t="shared" si="32"/>
        <v>325.77999999999997</v>
      </c>
      <c r="BD48" s="110">
        <f t="shared" si="33"/>
        <v>266.57</v>
      </c>
      <c r="BE48" s="110">
        <f t="shared" si="34"/>
        <v>203.7</v>
      </c>
      <c r="BF48" s="105"/>
      <c r="BG48" s="105"/>
      <c r="BH48" s="111"/>
      <c r="BI48" s="105"/>
      <c r="BJ48" s="105"/>
      <c r="BK48" s="109"/>
      <c r="BL48" s="111"/>
      <c r="BM48" s="109"/>
      <c r="BN48" s="109"/>
      <c r="BO48" s="105"/>
      <c r="BP48" s="105"/>
      <c r="BQ48" s="109"/>
      <c r="BR48" s="110"/>
      <c r="BS48" s="110"/>
      <c r="BT48" s="110"/>
      <c r="BU48" s="110"/>
      <c r="BV48" s="110"/>
      <c r="BW48" s="112"/>
      <c r="BX48" s="112"/>
      <c r="BY48" s="110"/>
      <c r="BZ48" s="105"/>
      <c r="CA48" s="105"/>
      <c r="CB48" s="105"/>
      <c r="CC48" s="105"/>
      <c r="CD48" s="105"/>
      <c r="CE48" s="105"/>
    </row>
    <row r="49" spans="1:83" x14ac:dyDescent="0.15">
      <c r="A49" s="103">
        <v>58</v>
      </c>
      <c r="B49" s="98" t="str">
        <f>VLOOKUP($A49,'Rate Calculation'!$A$4:$AQ$208,42,FALSE)</f>
        <v>900035600</v>
      </c>
      <c r="C49" s="98" t="str">
        <f>VLOOKUP($A49,'Rate Calculation'!$A$4:$AQ$208,43,FALSE)</f>
        <v>Berlin Nursing and Rehabilitation Center</v>
      </c>
      <c r="D49" s="98" t="str">
        <f>VLOOKUP($A49,'Rate Calculation'!$A$4:$F$208,5,FALSE)</f>
        <v>EASTERN REGION</v>
      </c>
      <c r="E49" s="98" t="str">
        <f>VLOOKUP($A49,'Rate Calculation'!$A$4:$F$208,6,FALSE)</f>
        <v>NON METRO</v>
      </c>
      <c r="F49" s="105">
        <f t="shared" si="8"/>
        <v>92.33</v>
      </c>
      <c r="G49" s="105">
        <f t="shared" si="9"/>
        <v>20.87</v>
      </c>
      <c r="H49" s="105">
        <f t="shared" si="10"/>
        <v>36.83</v>
      </c>
      <c r="I49" s="105">
        <f t="shared" si="11"/>
        <v>136.65</v>
      </c>
      <c r="J49" s="105">
        <f>VLOOKUP($A49,'Rate Calculation'!$A$4:$AZ$208,34,FALSE)</f>
        <v>0</v>
      </c>
      <c r="K49" s="105">
        <f t="shared" si="12"/>
        <v>286.68</v>
      </c>
      <c r="L49" s="164">
        <f t="shared" si="4"/>
        <v>0.98772000000000004</v>
      </c>
      <c r="M49" s="105">
        <f t="shared" si="13"/>
        <v>283.16000000000003</v>
      </c>
      <c r="N49" s="105">
        <f>VLOOKUP($A49,'Rate Calculation'!$A$4:$AL$208,38,FALSE)</f>
        <v>26.55</v>
      </c>
      <c r="O49" s="183">
        <f>VLOOKUP($A49,'Rate Calculation'!$A$4:$I$208,9,FALSE)</f>
        <v>1.6071</v>
      </c>
      <c r="P49" s="183">
        <f t="shared" si="5"/>
        <v>1.4432</v>
      </c>
      <c r="Q49" s="183">
        <f>VLOOKUP(A49,'CMI Data'!$A$4:$C$208,3,FALSE)</f>
        <v>1.3250999999999999</v>
      </c>
      <c r="R49" s="246">
        <f>VLOOKUP($A49,FRV!$A$4:$K$208,11,FALSE)</f>
        <v>57305</v>
      </c>
      <c r="S49" s="246">
        <f t="shared" si="6"/>
        <v>46721</v>
      </c>
      <c r="T49" s="246">
        <f>VLOOKUP($A49,FRV!$A$4:$L$208,12,FALSE)</f>
        <v>29996</v>
      </c>
      <c r="U49" s="183">
        <f>Inflation!$G$24</f>
        <v>1.0309999999999999</v>
      </c>
      <c r="V49" s="247">
        <f>VLOOKUP($A49,'Rate Calculation'!A50:X254,24,FALSE)</f>
        <v>89.55</v>
      </c>
      <c r="W49" s="110">
        <f t="shared" si="14"/>
        <v>92.33</v>
      </c>
      <c r="X49" s="110">
        <f>VLOOKUP($A49,'Rate Calculation'!A50:V254,22,FALSE)</f>
        <v>20.239999999999998</v>
      </c>
      <c r="Y49" s="110">
        <f t="shared" si="15"/>
        <v>20.87</v>
      </c>
      <c r="Z49" s="212">
        <f>VLOOKUP($A49,FRV!$A$4:$D$208,4,FALSE)</f>
        <v>44743</v>
      </c>
      <c r="AA49" s="212">
        <f>VLOOKUP($A49,FRV!$A$4:$F$208,6,FALSE)</f>
        <v>44926</v>
      </c>
      <c r="AB49" s="248">
        <f>VLOOKUP($A49,FRV!$A$4:$U$208,13,FALSE)</f>
        <v>24918427</v>
      </c>
      <c r="AC49" s="248">
        <f>VLOOKUP($A49,FRV!$A$4:$U$208,15,FALSE)</f>
        <v>375641</v>
      </c>
      <c r="AD49" s="248">
        <f>VLOOKUP($A49,FRV!$A$4:$U$208,14,FALSE)</f>
        <v>18000</v>
      </c>
      <c r="AE49" s="248">
        <f>VLOOKUP($A49,FRV!$A$4:$U$208,7,FALSE)</f>
        <v>157</v>
      </c>
      <c r="AF49" s="107">
        <f t="shared" si="16"/>
        <v>28120068</v>
      </c>
      <c r="AG49" s="107">
        <f t="shared" si="17"/>
        <v>179109</v>
      </c>
      <c r="AH49" s="107">
        <v>120000</v>
      </c>
      <c r="AI49" s="107">
        <f t="shared" si="18"/>
        <v>120000</v>
      </c>
      <c r="AJ49" s="107">
        <f t="shared" si="19"/>
        <v>18840000</v>
      </c>
      <c r="AK49" s="249">
        <f>IF(VLOOKUP($A49,'Rate Calculation'!$A$4:$D$208,4,FALSE)="baltimore city",0.1,0.08)</f>
        <v>0.08</v>
      </c>
      <c r="AL49" s="107">
        <f t="shared" si="20"/>
        <v>1507200</v>
      </c>
      <c r="AM49" s="105">
        <f>IF(ISERROR(MATCH(A49&amp;AA49,'Days Exceptions'!$C$3:$C$16,0)),ROUND(AL49/(MAX(S49,T49)),2),ROUND(AL49/VLOOKUP(A49,'Days Exceptions'!$A$3:$J$16,8,FALSE),2))</f>
        <v>32.26</v>
      </c>
      <c r="AN49" s="213">
        <f>VLOOKUP($A49,'Rate Calculation'!$A$4:$AF$208,32,FALSE)</f>
        <v>4.57</v>
      </c>
      <c r="AO49" s="109">
        <f t="shared" si="21"/>
        <v>36.83</v>
      </c>
      <c r="AP49" s="247">
        <f>VLOOKUP($A49,'Rate Calculation'!$A$4:$Q$208,17,FALSE)</f>
        <v>150.38</v>
      </c>
      <c r="AQ49" s="247">
        <f t="shared" si="35"/>
        <v>155.04</v>
      </c>
      <c r="AR49" s="247">
        <f>VLOOKUP($A49,'Rate Calculation'!$A$4:$K$208,11,FALSE)</f>
        <v>186.31</v>
      </c>
      <c r="AS49" s="247">
        <f t="shared" si="22"/>
        <v>192.09</v>
      </c>
      <c r="AT49" s="110">
        <f t="shared" si="23"/>
        <v>213.91</v>
      </c>
      <c r="AU49" s="110">
        <f t="shared" si="24"/>
        <v>176.37</v>
      </c>
      <c r="AV49" s="111">
        <f t="shared" si="25"/>
        <v>-39.72</v>
      </c>
      <c r="AW49" s="110">
        <f t="shared" si="26"/>
        <v>136.65</v>
      </c>
      <c r="AX49" s="105">
        <f t="shared" si="27"/>
        <v>127.83</v>
      </c>
      <c r="AY49" s="105">
        <f t="shared" si="28"/>
        <v>167.55</v>
      </c>
      <c r="AZ49" s="105">
        <f t="shared" si="29"/>
        <v>39.72</v>
      </c>
      <c r="BA49" s="105">
        <f t="shared" si="30"/>
        <v>218.36</v>
      </c>
      <c r="BB49" s="105">
        <f t="shared" si="31"/>
        <v>150.03</v>
      </c>
      <c r="BC49" s="110">
        <f t="shared" si="32"/>
        <v>309.70999999999998</v>
      </c>
      <c r="BD49" s="110">
        <f t="shared" si="33"/>
        <v>244.91</v>
      </c>
      <c r="BE49" s="110">
        <f t="shared" si="34"/>
        <v>176.58</v>
      </c>
      <c r="BF49" s="105"/>
      <c r="BG49" s="105"/>
      <c r="BH49" s="111"/>
      <c r="BI49" s="105"/>
      <c r="BJ49" s="105"/>
      <c r="BK49" s="109"/>
      <c r="BL49" s="111"/>
      <c r="BM49" s="109"/>
      <c r="BN49" s="109"/>
      <c r="BO49" s="105"/>
      <c r="BP49" s="105"/>
      <c r="BQ49" s="109"/>
      <c r="BR49" s="110"/>
      <c r="BS49" s="110"/>
      <c r="BT49" s="110"/>
      <c r="BU49" s="110"/>
      <c r="BV49" s="110"/>
      <c r="BW49" s="112"/>
      <c r="BX49" s="112"/>
      <c r="BY49" s="110"/>
      <c r="BZ49" s="105"/>
      <c r="CA49" s="105"/>
      <c r="CB49" s="105"/>
      <c r="CC49" s="105"/>
      <c r="CD49" s="105"/>
      <c r="CE49" s="105"/>
    </row>
    <row r="50" spans="1:83" x14ac:dyDescent="0.15">
      <c r="A50" s="103">
        <v>699</v>
      </c>
      <c r="B50" s="98" t="str">
        <f>VLOOKUP($A50,'Rate Calculation'!$A$4:$AQ$208,42,FALSE)</f>
        <v>420837400</v>
      </c>
      <c r="C50" s="98" t="str">
        <f>VLOOKUP($A50,'Rate Calculation'!$A$4:$AQ$208,43,FALSE)</f>
        <v>Blue Point Nursing and Rehabilitation Center</v>
      </c>
      <c r="D50" s="98" t="str">
        <f>VLOOKUP($A50,'Rate Calculation'!$A$4:$F$208,5,FALSE)</f>
        <v>BALTIMORE METRO</v>
      </c>
      <c r="E50" s="98" t="str">
        <f>VLOOKUP($A50,'Rate Calculation'!$A$4:$F$208,6,FALSE)</f>
        <v>BALTIMORE CITY</v>
      </c>
      <c r="F50" s="105">
        <f t="shared" si="8"/>
        <v>117.69</v>
      </c>
      <c r="G50" s="105">
        <f t="shared" si="9"/>
        <v>25.66</v>
      </c>
      <c r="H50" s="105">
        <f t="shared" si="10"/>
        <v>33.880000000000003</v>
      </c>
      <c r="I50" s="105">
        <f t="shared" si="11"/>
        <v>165.35</v>
      </c>
      <c r="J50" s="105">
        <f>VLOOKUP($A50,'Rate Calculation'!$A$4:$AZ$208,34,FALSE)</f>
        <v>0</v>
      </c>
      <c r="K50" s="105">
        <f t="shared" si="12"/>
        <v>342.58</v>
      </c>
      <c r="L50" s="164">
        <f t="shared" si="4"/>
        <v>0.98772000000000004</v>
      </c>
      <c r="M50" s="105">
        <f t="shared" si="13"/>
        <v>338.37</v>
      </c>
      <c r="N50" s="105">
        <f>VLOOKUP($A50,'Rate Calculation'!$A$4:$AL$208,38,FALSE)</f>
        <v>32.08</v>
      </c>
      <c r="O50" s="183">
        <f>VLOOKUP($A50,'Rate Calculation'!$A$4:$I$208,9,FALSE)</f>
        <v>1.2271000000000001</v>
      </c>
      <c r="P50" s="183">
        <f t="shared" si="5"/>
        <v>1.4432</v>
      </c>
      <c r="Q50" s="183">
        <f>VLOOKUP(A50,'CMI Data'!$A$4:$C$208,3,FALSE)</f>
        <v>1.3071999999999999</v>
      </c>
      <c r="R50" s="246">
        <f>VLOOKUP($A50,FRV!$A$4:$K$208,11,FALSE)</f>
        <v>49275</v>
      </c>
      <c r="S50" s="246">
        <f t="shared" si="6"/>
        <v>40174</v>
      </c>
      <c r="T50" s="246">
        <f>VLOOKUP($A50,FRV!$A$4:$L$208,12,FALSE)</f>
        <v>46146</v>
      </c>
      <c r="U50" s="183">
        <f>Inflation!$G$24</f>
        <v>1.0309999999999999</v>
      </c>
      <c r="V50" s="247">
        <f>VLOOKUP($A50,'Rate Calculation'!A51:X255,24,FALSE)</f>
        <v>114.15</v>
      </c>
      <c r="W50" s="110">
        <f t="shared" si="14"/>
        <v>117.69</v>
      </c>
      <c r="X50" s="110">
        <f>VLOOKUP($A50,'Rate Calculation'!A51:V255,22,FALSE)</f>
        <v>24.89</v>
      </c>
      <c r="Y50" s="110">
        <f t="shared" si="15"/>
        <v>25.66</v>
      </c>
      <c r="Z50" s="212">
        <f>VLOOKUP($A50,FRV!$A$4:$D$208,4,FALSE)</f>
        <v>45108</v>
      </c>
      <c r="AA50" s="212">
        <f>VLOOKUP($A50,FRV!$A$4:$F$208,6,FALSE)</f>
        <v>45107</v>
      </c>
      <c r="AB50" s="248">
        <f>VLOOKUP($A50,FRV!$A$4:$U$208,13,FALSE)</f>
        <v>10314680</v>
      </c>
      <c r="AC50" s="248">
        <f>VLOOKUP($A50,FRV!$A$4:$U$208,15,FALSE)</f>
        <v>271401</v>
      </c>
      <c r="AD50" s="248">
        <f>VLOOKUP($A50,FRV!$A$4:$U$208,14,FALSE)</f>
        <v>17000</v>
      </c>
      <c r="AE50" s="248">
        <f>VLOOKUP($A50,FRV!$A$4:$U$208,7,FALSE)</f>
        <v>135</v>
      </c>
      <c r="AF50" s="107">
        <f t="shared" si="16"/>
        <v>12881081</v>
      </c>
      <c r="AG50" s="107">
        <f t="shared" si="17"/>
        <v>95415</v>
      </c>
      <c r="AH50" s="107">
        <v>120000</v>
      </c>
      <c r="AI50" s="107">
        <f t="shared" si="18"/>
        <v>95415</v>
      </c>
      <c r="AJ50" s="107">
        <f t="shared" si="19"/>
        <v>12881025</v>
      </c>
      <c r="AK50" s="249">
        <f>IF(VLOOKUP($A50,'Rate Calculation'!$A$4:$D$208,4,FALSE)="baltimore city",0.1,0.08)</f>
        <v>0.1</v>
      </c>
      <c r="AL50" s="107">
        <f t="shared" si="20"/>
        <v>1288103</v>
      </c>
      <c r="AM50" s="105">
        <f>IF(ISERROR(MATCH(A50&amp;AA50,'Days Exceptions'!$C$3:$C$16,0)),ROUND(AL50/(MAX(S50,T50)),2),ROUND(AL50/VLOOKUP(A50,'Days Exceptions'!$A$3:$J$16,8,FALSE),2))</f>
        <v>27.91</v>
      </c>
      <c r="AN50" s="213">
        <f>VLOOKUP($A50,'Rate Calculation'!$A$4:$AF$208,32,FALSE)</f>
        <v>5.97</v>
      </c>
      <c r="AO50" s="109">
        <f t="shared" si="21"/>
        <v>33.880000000000003</v>
      </c>
      <c r="AP50" s="247">
        <f>VLOOKUP($A50,'Rate Calculation'!$A$4:$Q$208,17,FALSE)</f>
        <v>142.25</v>
      </c>
      <c r="AQ50" s="247">
        <f t="shared" si="35"/>
        <v>146.66</v>
      </c>
      <c r="AR50" s="247">
        <f>VLOOKUP($A50,'Rate Calculation'!$A$4:$K$208,11,FALSE)</f>
        <v>195.33</v>
      </c>
      <c r="AS50" s="247">
        <f t="shared" si="22"/>
        <v>201.39</v>
      </c>
      <c r="AT50" s="110">
        <f t="shared" si="23"/>
        <v>171.23</v>
      </c>
      <c r="AU50" s="110">
        <f t="shared" si="24"/>
        <v>182.41</v>
      </c>
      <c r="AV50" s="111">
        <f t="shared" si="25"/>
        <v>-17.059999999999999</v>
      </c>
      <c r="AW50" s="110">
        <f t="shared" si="26"/>
        <v>165.35</v>
      </c>
      <c r="AX50" s="105">
        <f t="shared" si="27"/>
        <v>156.22999999999999</v>
      </c>
      <c r="AY50" s="105">
        <f t="shared" si="28"/>
        <v>173.29</v>
      </c>
      <c r="AZ50" s="105">
        <f t="shared" si="29"/>
        <v>17.059999999999999</v>
      </c>
      <c r="BA50" s="105">
        <f t="shared" si="30"/>
        <v>259.91000000000003</v>
      </c>
      <c r="BB50" s="105">
        <f t="shared" si="31"/>
        <v>177.23</v>
      </c>
      <c r="BC50" s="110">
        <f t="shared" si="32"/>
        <v>370.45</v>
      </c>
      <c r="BD50" s="110">
        <f t="shared" si="33"/>
        <v>291.99</v>
      </c>
      <c r="BE50" s="110">
        <f t="shared" si="34"/>
        <v>209.31</v>
      </c>
      <c r="BF50" s="105"/>
      <c r="BG50" s="105"/>
      <c r="BH50" s="111"/>
      <c r="BI50" s="105"/>
      <c r="BJ50" s="105"/>
      <c r="BK50" s="109"/>
      <c r="BL50" s="111"/>
      <c r="BM50" s="109"/>
      <c r="BN50" s="109"/>
      <c r="BO50" s="105"/>
      <c r="BP50" s="105"/>
      <c r="BQ50" s="109"/>
      <c r="BR50" s="110"/>
      <c r="BS50" s="110"/>
      <c r="BT50" s="110"/>
      <c r="BU50" s="110"/>
      <c r="BV50" s="110"/>
      <c r="BW50" s="112"/>
      <c r="BX50" s="112"/>
      <c r="BY50" s="110"/>
      <c r="BZ50" s="105"/>
      <c r="CA50" s="105"/>
      <c r="CB50" s="105"/>
      <c r="CC50" s="105"/>
      <c r="CD50" s="105"/>
      <c r="CE50" s="105"/>
    </row>
    <row r="51" spans="1:83" x14ac:dyDescent="0.15">
      <c r="A51" s="103">
        <v>74</v>
      </c>
      <c r="B51" s="98" t="str">
        <f>VLOOKUP($A51,'Rate Calculation'!$A$4:$AQ$208,42,FALSE)</f>
        <v>155167100</v>
      </c>
      <c r="C51" s="98" t="str">
        <f>VLOOKUP($A51,'Rate Calculation'!$A$4:$AQ$208,43,FALSE)</f>
        <v>Brooke Grove Rehabilitation and Nursing Center</v>
      </c>
      <c r="D51" s="98" t="str">
        <f>VLOOKUP($A51,'Rate Calculation'!$A$4:$F$208,5,FALSE)</f>
        <v>WASHINGTON METRO</v>
      </c>
      <c r="E51" s="98" t="str">
        <f>VLOOKUP($A51,'Rate Calculation'!$A$4:$F$208,6,FALSE)</f>
        <v>WASHINGTON METRO</v>
      </c>
      <c r="F51" s="105">
        <f t="shared" si="8"/>
        <v>103.73</v>
      </c>
      <c r="G51" s="105">
        <f t="shared" si="9"/>
        <v>19.829999999999998</v>
      </c>
      <c r="H51" s="105">
        <f t="shared" si="10"/>
        <v>30.83</v>
      </c>
      <c r="I51" s="105">
        <f t="shared" si="11"/>
        <v>195.9</v>
      </c>
      <c r="J51" s="105">
        <f>VLOOKUP($A51,'Rate Calculation'!$A$4:$AZ$208,34,FALSE)</f>
        <v>0</v>
      </c>
      <c r="K51" s="105">
        <f t="shared" si="12"/>
        <v>350.29</v>
      </c>
      <c r="L51" s="164">
        <f t="shared" si="4"/>
        <v>0.98772000000000004</v>
      </c>
      <c r="M51" s="105">
        <f t="shared" si="13"/>
        <v>345.99</v>
      </c>
      <c r="N51" s="105">
        <f>VLOOKUP($A51,'Rate Calculation'!$A$4:$AL$208,38,FALSE)</f>
        <v>0</v>
      </c>
      <c r="O51" s="183">
        <f>VLOOKUP($A51,'Rate Calculation'!$A$4:$I$208,9,FALSE)</f>
        <v>1.4796</v>
      </c>
      <c r="P51" s="183">
        <f t="shared" si="5"/>
        <v>1.4432</v>
      </c>
      <c r="Q51" s="183">
        <f>VLOOKUP(A51,'CMI Data'!$A$4:$C$208,3,FALSE)</f>
        <v>1.5579000000000001</v>
      </c>
      <c r="R51" s="246">
        <f>VLOOKUP($A51,FRV!$A$4:$K$208,11,FALSE)</f>
        <v>69350</v>
      </c>
      <c r="S51" s="246">
        <f t="shared" si="6"/>
        <v>56541</v>
      </c>
      <c r="T51" s="246">
        <f>VLOOKUP($A51,FRV!$A$4:$L$208,12,FALSE)</f>
        <v>59580</v>
      </c>
      <c r="U51" s="183">
        <f>Inflation!$G$24</f>
        <v>1.0309999999999999</v>
      </c>
      <c r="V51" s="247">
        <f>VLOOKUP($A51,'Rate Calculation'!A52:X256,24,FALSE)</f>
        <v>100.61</v>
      </c>
      <c r="W51" s="110">
        <f t="shared" si="14"/>
        <v>103.73</v>
      </c>
      <c r="X51" s="110">
        <f>VLOOKUP($A51,'Rate Calculation'!A52:V256,22,FALSE)</f>
        <v>19.23</v>
      </c>
      <c r="Y51" s="110">
        <f t="shared" si="15"/>
        <v>19.829999999999998</v>
      </c>
      <c r="Z51" s="212">
        <f>VLOOKUP($A51,FRV!$A$4:$D$208,4,FALSE)</f>
        <v>45108</v>
      </c>
      <c r="AA51" s="212">
        <f>VLOOKUP($A51,FRV!$A$4:$F$208,6,FALSE)</f>
        <v>45107</v>
      </c>
      <c r="AB51" s="248">
        <f>VLOOKUP($A51,FRV!$A$4:$U$208,13,FALSE)</f>
        <v>54317350</v>
      </c>
      <c r="AC51" s="248">
        <f>VLOOKUP($A51,FRV!$A$4:$U$208,15,FALSE)</f>
        <v>526317</v>
      </c>
      <c r="AD51" s="248">
        <f>VLOOKUP($A51,FRV!$A$4:$U$208,14,FALSE)</f>
        <v>32500</v>
      </c>
      <c r="AE51" s="248">
        <f>VLOOKUP($A51,FRV!$A$4:$U$208,7,FALSE)</f>
        <v>190</v>
      </c>
      <c r="AF51" s="107">
        <f t="shared" si="16"/>
        <v>61018667</v>
      </c>
      <c r="AG51" s="107">
        <f t="shared" si="17"/>
        <v>321151</v>
      </c>
      <c r="AH51" s="107">
        <v>120000</v>
      </c>
      <c r="AI51" s="107">
        <f t="shared" si="18"/>
        <v>120000</v>
      </c>
      <c r="AJ51" s="107">
        <f t="shared" si="19"/>
        <v>22800000</v>
      </c>
      <c r="AK51" s="249">
        <f>IF(VLOOKUP($A51,'Rate Calculation'!$A$4:$D$208,4,FALSE)="baltimore city",0.1,0.08)</f>
        <v>0.08</v>
      </c>
      <c r="AL51" s="107">
        <f t="shared" si="20"/>
        <v>1824000</v>
      </c>
      <c r="AM51" s="105">
        <f>IF(ISERROR(MATCH(A51&amp;AA51,'Days Exceptions'!$C$3:$C$16,0)),ROUND(AL51/(MAX(S51,T51)),2),ROUND(AL51/VLOOKUP(A51,'Days Exceptions'!$A$3:$J$16,8,FALSE),2))</f>
        <v>30.61</v>
      </c>
      <c r="AN51" s="213">
        <f>VLOOKUP($A51,'Rate Calculation'!$A$4:$AF$208,32,FALSE)</f>
        <v>0.22</v>
      </c>
      <c r="AO51" s="109">
        <f t="shared" si="21"/>
        <v>30.83</v>
      </c>
      <c r="AP51" s="247">
        <f>VLOOKUP($A51,'Rate Calculation'!$A$4:$Q$208,17,FALSE)</f>
        <v>207.93</v>
      </c>
      <c r="AQ51" s="247">
        <f t="shared" si="35"/>
        <v>214.38</v>
      </c>
      <c r="AR51" s="247">
        <f>VLOOKUP($A51,'Rate Calculation'!$A$4:$K$208,11,FALSE)</f>
        <v>176.01</v>
      </c>
      <c r="AS51" s="247">
        <f t="shared" si="22"/>
        <v>181.47</v>
      </c>
      <c r="AT51" s="110">
        <f t="shared" si="23"/>
        <v>186.05</v>
      </c>
      <c r="AU51" s="110">
        <f t="shared" si="24"/>
        <v>195.9</v>
      </c>
      <c r="AV51" s="111">
        <f t="shared" si="25"/>
        <v>0</v>
      </c>
      <c r="AW51" s="110">
        <f t="shared" si="26"/>
        <v>195.9</v>
      </c>
      <c r="AX51" s="105">
        <f t="shared" si="27"/>
        <v>225.72</v>
      </c>
      <c r="AY51" s="105">
        <f t="shared" si="28"/>
        <v>186.11</v>
      </c>
      <c r="AZ51" s="105">
        <f t="shared" si="29"/>
        <v>-39.61</v>
      </c>
      <c r="BA51" s="105">
        <f t="shared" si="30"/>
        <v>252.34</v>
      </c>
      <c r="BB51" s="105">
        <f t="shared" si="31"/>
        <v>154.38999999999999</v>
      </c>
      <c r="BC51" s="110">
        <f t="shared" si="32"/>
        <v>345.99</v>
      </c>
      <c r="BD51" s="110">
        <f t="shared" si="33"/>
        <v>252.34</v>
      </c>
      <c r="BE51" s="110">
        <f t="shared" si="34"/>
        <v>154.38999999999999</v>
      </c>
      <c r="BF51" s="105"/>
      <c r="BG51" s="105"/>
      <c r="BH51" s="111"/>
      <c r="BI51" s="105"/>
      <c r="BJ51" s="105"/>
      <c r="BK51" s="109"/>
      <c r="BL51" s="111"/>
      <c r="BM51" s="109"/>
      <c r="BN51" s="109"/>
      <c r="BO51" s="105"/>
      <c r="BP51" s="105"/>
      <c r="BQ51" s="109"/>
      <c r="BR51" s="110"/>
      <c r="BS51" s="110"/>
      <c r="BT51" s="110"/>
      <c r="BU51" s="110"/>
      <c r="BV51" s="110"/>
      <c r="BW51" s="112"/>
      <c r="BX51" s="112"/>
      <c r="BY51" s="110"/>
      <c r="BZ51" s="105"/>
      <c r="CA51" s="105"/>
      <c r="CB51" s="105"/>
      <c r="CC51" s="105"/>
      <c r="CD51" s="105"/>
      <c r="CE51" s="105"/>
    </row>
    <row r="52" spans="1:83" x14ac:dyDescent="0.15">
      <c r="A52" s="103">
        <v>785</v>
      </c>
      <c r="B52" s="98" t="str">
        <f>VLOOKUP($A52,'Rate Calculation'!$A$4:$AQ$208,42,FALSE)</f>
        <v>300390600</v>
      </c>
      <c r="C52" s="98" t="str">
        <f>VLOOKUP($A52,'Rate Calculation'!$A$4:$AQ$208,43,FALSE)</f>
        <v>Buckingham's Choice</v>
      </c>
      <c r="D52" s="98" t="str">
        <f>VLOOKUP($A52,'Rate Calculation'!$A$4:$F$208,5,FALSE)</f>
        <v>WASHINGTON METRO</v>
      </c>
      <c r="E52" s="98" t="str">
        <f>VLOOKUP($A52,'Rate Calculation'!$A$4:$F$208,6,FALSE)</f>
        <v>NON METRO</v>
      </c>
      <c r="F52" s="105">
        <f t="shared" si="8"/>
        <v>92.33</v>
      </c>
      <c r="G52" s="105">
        <f t="shared" si="9"/>
        <v>20.87</v>
      </c>
      <c r="H52" s="105">
        <f t="shared" si="10"/>
        <v>34.25</v>
      </c>
      <c r="I52" s="105">
        <f t="shared" si="11"/>
        <v>176.82</v>
      </c>
      <c r="J52" s="105">
        <f>VLOOKUP($A52,'Rate Calculation'!$A$4:$AZ$208,34,FALSE)</f>
        <v>0</v>
      </c>
      <c r="K52" s="105">
        <f t="shared" si="12"/>
        <v>324.27</v>
      </c>
      <c r="L52" s="164">
        <f t="shared" si="4"/>
        <v>0.98772000000000004</v>
      </c>
      <c r="M52" s="105">
        <f t="shared" si="13"/>
        <v>320.29000000000002</v>
      </c>
      <c r="N52" s="105">
        <f>VLOOKUP($A52,'Rate Calculation'!$A$4:$AL$208,38,FALSE)</f>
        <v>0</v>
      </c>
      <c r="O52" s="183">
        <f>VLOOKUP($A52,'Rate Calculation'!$A$4:$I$208,9,FALSE)</f>
        <v>1.3492</v>
      </c>
      <c r="P52" s="183">
        <f t="shared" si="5"/>
        <v>1.4432</v>
      </c>
      <c r="Q52" s="183">
        <f>VLOOKUP(A52,'CMI Data'!$A$4:$C$208,3,FALSE)</f>
        <v>1.4061999999999999</v>
      </c>
      <c r="R52" s="246">
        <f>VLOOKUP($A52,FRV!$A$4:$K$208,11,FALSE)</f>
        <v>15330</v>
      </c>
      <c r="S52" s="246">
        <f t="shared" si="6"/>
        <v>12499</v>
      </c>
      <c r="T52" s="246">
        <f>VLOOKUP($A52,FRV!$A$4:$L$208,12,FALSE)</f>
        <v>8762</v>
      </c>
      <c r="U52" s="183">
        <f>Inflation!$G$24</f>
        <v>1.0309999999999999</v>
      </c>
      <c r="V52" s="247">
        <f>VLOOKUP($A52,'Rate Calculation'!A53:X257,24,FALSE)</f>
        <v>89.55</v>
      </c>
      <c r="W52" s="110">
        <f t="shared" si="14"/>
        <v>92.33</v>
      </c>
      <c r="X52" s="110">
        <f>VLOOKUP($A52,'Rate Calculation'!A53:V257,22,FALSE)</f>
        <v>20.239999999999998</v>
      </c>
      <c r="Y52" s="110">
        <f t="shared" si="15"/>
        <v>20.87</v>
      </c>
      <c r="Z52" s="212">
        <f>VLOOKUP($A52,FRV!$A$4:$D$208,4,FALSE)</f>
        <v>45108</v>
      </c>
      <c r="AA52" s="212">
        <f>VLOOKUP($A52,FRV!$A$4:$F$208,6,FALSE)</f>
        <v>45291</v>
      </c>
      <c r="AB52" s="248">
        <f>VLOOKUP($A52,FRV!$A$4:$U$208,13,FALSE)</f>
        <v>8611651</v>
      </c>
      <c r="AC52" s="248">
        <f>VLOOKUP($A52,FRV!$A$4:$U$208,15,FALSE)</f>
        <v>454480</v>
      </c>
      <c r="AD52" s="248">
        <f>VLOOKUP($A52,FRV!$A$4:$U$208,14,FALSE)</f>
        <v>20000</v>
      </c>
      <c r="AE52" s="248">
        <f>VLOOKUP($A52,FRV!$A$4:$U$208,7,FALSE)</f>
        <v>42</v>
      </c>
      <c r="AF52" s="107">
        <f t="shared" si="16"/>
        <v>9906131</v>
      </c>
      <c r="AG52" s="107">
        <f t="shared" si="17"/>
        <v>235860</v>
      </c>
      <c r="AH52" s="107">
        <v>120000</v>
      </c>
      <c r="AI52" s="107">
        <f t="shared" si="18"/>
        <v>120000</v>
      </c>
      <c r="AJ52" s="107">
        <f t="shared" si="19"/>
        <v>5040000</v>
      </c>
      <c r="AK52" s="249">
        <f>IF(VLOOKUP($A52,'Rate Calculation'!$A$4:$D$208,4,FALSE)="baltimore city",0.1,0.08)</f>
        <v>0.08</v>
      </c>
      <c r="AL52" s="107">
        <f t="shared" si="20"/>
        <v>403200</v>
      </c>
      <c r="AM52" s="105">
        <f>IF(ISERROR(MATCH(A52&amp;AA52,'Days Exceptions'!$C$3:$C$16,0)),ROUND(AL52/(MAX(S52,T52)),2),ROUND(AL52/VLOOKUP(A52,'Days Exceptions'!$A$3:$J$16,8,FALSE),2))</f>
        <v>32.26</v>
      </c>
      <c r="AN52" s="213">
        <f>VLOOKUP($A52,'Rate Calculation'!$A$4:$AF$208,32,FALSE)</f>
        <v>1.99</v>
      </c>
      <c r="AO52" s="109">
        <f t="shared" si="21"/>
        <v>34.25</v>
      </c>
      <c r="AP52" s="247">
        <f>VLOOKUP($A52,'Rate Calculation'!$A$4:$Q$208,17,FALSE)</f>
        <v>306.7</v>
      </c>
      <c r="AQ52" s="247">
        <f t="shared" si="35"/>
        <v>316.20999999999998</v>
      </c>
      <c r="AR52" s="247">
        <f>VLOOKUP($A52,'Rate Calculation'!$A$4:$K$208,11,FALSE)</f>
        <v>176.01</v>
      </c>
      <c r="AS52" s="247">
        <f t="shared" si="22"/>
        <v>181.47</v>
      </c>
      <c r="AT52" s="110">
        <f t="shared" si="23"/>
        <v>169.65</v>
      </c>
      <c r="AU52" s="110">
        <f t="shared" si="24"/>
        <v>176.82</v>
      </c>
      <c r="AV52" s="111">
        <f t="shared" si="25"/>
        <v>0</v>
      </c>
      <c r="AW52" s="110">
        <f t="shared" si="26"/>
        <v>176.82</v>
      </c>
      <c r="AX52" s="105">
        <f t="shared" si="27"/>
        <v>329.57</v>
      </c>
      <c r="AY52" s="105">
        <f t="shared" si="28"/>
        <v>167.98</v>
      </c>
      <c r="AZ52" s="105">
        <f t="shared" si="29"/>
        <v>-161.59</v>
      </c>
      <c r="BA52" s="105">
        <f t="shared" si="30"/>
        <v>235.86</v>
      </c>
      <c r="BB52" s="105">
        <f t="shared" si="31"/>
        <v>147.44999999999999</v>
      </c>
      <c r="BC52" s="110">
        <f t="shared" si="32"/>
        <v>320.29000000000002</v>
      </c>
      <c r="BD52" s="110">
        <f t="shared" si="33"/>
        <v>235.86</v>
      </c>
      <c r="BE52" s="110">
        <f t="shared" si="34"/>
        <v>147.44999999999999</v>
      </c>
      <c r="BF52" s="105"/>
      <c r="BG52" s="105"/>
      <c r="BH52" s="111"/>
      <c r="BI52" s="105"/>
      <c r="BJ52" s="105"/>
      <c r="BK52" s="109"/>
      <c r="BL52" s="111"/>
      <c r="BM52" s="109"/>
      <c r="BN52" s="109"/>
      <c r="BO52" s="105"/>
      <c r="BP52" s="105"/>
      <c r="BQ52" s="109"/>
      <c r="BR52" s="110"/>
      <c r="BS52" s="110"/>
      <c r="BT52" s="110"/>
      <c r="BU52" s="110"/>
      <c r="BV52" s="110"/>
      <c r="BW52" s="112"/>
      <c r="BX52" s="112"/>
      <c r="BY52" s="110"/>
      <c r="BZ52" s="105"/>
      <c r="CA52" s="105"/>
      <c r="CB52" s="105"/>
      <c r="CC52" s="105"/>
      <c r="CD52" s="105"/>
      <c r="CE52" s="105"/>
    </row>
    <row r="53" spans="1:83" x14ac:dyDescent="0.15">
      <c r="A53" s="103">
        <v>76</v>
      </c>
      <c r="B53" s="98" t="str">
        <f>VLOOKUP($A53,'Rate Calculation'!$A$4:$AQ$208,42,FALSE)</f>
        <v>487007700</v>
      </c>
      <c r="C53" s="98" t="str">
        <f>VLOOKUP($A53,'Rate Calculation'!$A$4:$AQ$208,43,FALSE)</f>
        <v>Calvert County Nursing Center</v>
      </c>
      <c r="D53" s="98" t="str">
        <f>VLOOKUP($A53,'Rate Calculation'!$A$4:$F$208,5,FALSE)</f>
        <v>WASHINGTON METRO</v>
      </c>
      <c r="E53" s="98" t="str">
        <f>VLOOKUP($A53,'Rate Calculation'!$A$4:$F$208,6,FALSE)</f>
        <v>NON METRO</v>
      </c>
      <c r="F53" s="105">
        <f t="shared" si="8"/>
        <v>92.33</v>
      </c>
      <c r="G53" s="105">
        <f t="shared" si="9"/>
        <v>20.87</v>
      </c>
      <c r="H53" s="105">
        <f t="shared" si="10"/>
        <v>32.26</v>
      </c>
      <c r="I53" s="105">
        <f t="shared" si="11"/>
        <v>170.3</v>
      </c>
      <c r="J53" s="105">
        <f>VLOOKUP($A53,'Rate Calculation'!$A$4:$AZ$208,34,FALSE)</f>
        <v>0</v>
      </c>
      <c r="K53" s="105">
        <f t="shared" si="12"/>
        <v>315.76</v>
      </c>
      <c r="L53" s="164">
        <f t="shared" si="4"/>
        <v>0.98772000000000004</v>
      </c>
      <c r="M53" s="105">
        <f t="shared" si="13"/>
        <v>311.88</v>
      </c>
      <c r="N53" s="105">
        <f>VLOOKUP($A53,'Rate Calculation'!$A$4:$AL$208,38,FALSE)</f>
        <v>27.47</v>
      </c>
      <c r="O53" s="183">
        <f>VLOOKUP($A53,'Rate Calculation'!$A$4:$I$208,9,FALSE)</f>
        <v>1.3140000000000001</v>
      </c>
      <c r="P53" s="183">
        <f t="shared" si="5"/>
        <v>1.4432</v>
      </c>
      <c r="Q53" s="183">
        <f>VLOOKUP(A53,'CMI Data'!$A$4:$C$208,3,FALSE)</f>
        <v>1.3544</v>
      </c>
      <c r="R53" s="246">
        <f>VLOOKUP($A53,FRV!$A$4:$K$208,11,FALSE)</f>
        <v>54385</v>
      </c>
      <c r="S53" s="246">
        <f t="shared" si="6"/>
        <v>44340</v>
      </c>
      <c r="T53" s="246">
        <f>VLOOKUP($A53,FRV!$A$4:$L$208,12,FALSE)</f>
        <v>42233</v>
      </c>
      <c r="U53" s="183">
        <f>Inflation!$G$24</f>
        <v>1.0309999999999999</v>
      </c>
      <c r="V53" s="247">
        <f>VLOOKUP($A53,'Rate Calculation'!A54:X258,24,FALSE)</f>
        <v>89.55</v>
      </c>
      <c r="W53" s="110">
        <f t="shared" si="14"/>
        <v>92.33</v>
      </c>
      <c r="X53" s="110">
        <f>VLOOKUP($A53,'Rate Calculation'!A54:V258,22,FALSE)</f>
        <v>20.239999999999998</v>
      </c>
      <c r="Y53" s="110">
        <f t="shared" si="15"/>
        <v>20.87</v>
      </c>
      <c r="Z53" s="212">
        <f>VLOOKUP($A53,FRV!$A$4:$D$208,4,FALSE)</f>
        <v>44743</v>
      </c>
      <c r="AA53" s="212">
        <f>VLOOKUP($A53,FRV!$A$4:$F$208,6,FALSE)</f>
        <v>44926</v>
      </c>
      <c r="AB53" s="248">
        <f>VLOOKUP($A53,FRV!$A$4:$U$208,13,FALSE)</f>
        <v>17840404</v>
      </c>
      <c r="AC53" s="248">
        <f>VLOOKUP($A53,FRV!$A$4:$U$208,15,FALSE)</f>
        <v>354805</v>
      </c>
      <c r="AD53" s="248">
        <f>VLOOKUP($A53,FRV!$A$4:$U$208,14,FALSE)</f>
        <v>20000</v>
      </c>
      <c r="AE53" s="248">
        <f>VLOOKUP($A53,FRV!$A$4:$U$208,7,FALSE)</f>
        <v>149</v>
      </c>
      <c r="AF53" s="107">
        <f t="shared" si="16"/>
        <v>21175209</v>
      </c>
      <c r="AG53" s="107">
        <f t="shared" si="17"/>
        <v>142115</v>
      </c>
      <c r="AH53" s="107">
        <v>120000</v>
      </c>
      <c r="AI53" s="107">
        <f t="shared" si="18"/>
        <v>120000</v>
      </c>
      <c r="AJ53" s="107">
        <f t="shared" si="19"/>
        <v>17880000</v>
      </c>
      <c r="AK53" s="249">
        <f>IF(VLOOKUP($A53,'Rate Calculation'!$A$4:$D$208,4,FALSE)="baltimore city",0.1,0.08)</f>
        <v>0.08</v>
      </c>
      <c r="AL53" s="107">
        <f t="shared" si="20"/>
        <v>1430400</v>
      </c>
      <c r="AM53" s="105">
        <f>IF(ISERROR(MATCH(A53&amp;AA53,'Days Exceptions'!$C$3:$C$16,0)),ROUND(AL53/(MAX(S53,T53)),2),ROUND(AL53/VLOOKUP(A53,'Days Exceptions'!$A$3:$J$16,8,FALSE),2))</f>
        <v>32.26</v>
      </c>
      <c r="AN53" s="213">
        <f>VLOOKUP($A53,'Rate Calculation'!$A$4:$AF$208,32,FALSE)</f>
        <v>0</v>
      </c>
      <c r="AO53" s="109">
        <f t="shared" si="21"/>
        <v>32.26</v>
      </c>
      <c r="AP53" s="247">
        <f>VLOOKUP($A53,'Rate Calculation'!$A$4:$Q$208,17,FALSE)</f>
        <v>177.73</v>
      </c>
      <c r="AQ53" s="247">
        <f t="shared" si="35"/>
        <v>183.24</v>
      </c>
      <c r="AR53" s="247">
        <f>VLOOKUP($A53,'Rate Calculation'!$A$4:$K$208,11,FALSE)</f>
        <v>176.01</v>
      </c>
      <c r="AS53" s="247">
        <f t="shared" si="22"/>
        <v>181.47</v>
      </c>
      <c r="AT53" s="110">
        <f t="shared" si="23"/>
        <v>165.22</v>
      </c>
      <c r="AU53" s="110">
        <f t="shared" si="24"/>
        <v>170.3</v>
      </c>
      <c r="AV53" s="111">
        <f t="shared" si="25"/>
        <v>0</v>
      </c>
      <c r="AW53" s="110">
        <f t="shared" si="26"/>
        <v>170.3</v>
      </c>
      <c r="AX53" s="105">
        <f t="shared" si="27"/>
        <v>188.87</v>
      </c>
      <c r="AY53" s="105">
        <f t="shared" si="28"/>
        <v>161.79</v>
      </c>
      <c r="AZ53" s="105">
        <f t="shared" si="29"/>
        <v>-27.08</v>
      </c>
      <c r="BA53" s="105">
        <f t="shared" si="30"/>
        <v>230.61</v>
      </c>
      <c r="BB53" s="105">
        <f t="shared" si="31"/>
        <v>145.46</v>
      </c>
      <c r="BC53" s="110">
        <f t="shared" si="32"/>
        <v>339.35</v>
      </c>
      <c r="BD53" s="110">
        <f t="shared" si="33"/>
        <v>258.08</v>
      </c>
      <c r="BE53" s="110">
        <f t="shared" si="34"/>
        <v>172.93</v>
      </c>
      <c r="BF53" s="105"/>
      <c r="BG53" s="105"/>
      <c r="BH53" s="111"/>
      <c r="BI53" s="105"/>
      <c r="BJ53" s="105"/>
      <c r="BK53" s="109"/>
      <c r="BL53" s="111"/>
      <c r="BM53" s="109"/>
      <c r="BN53" s="109"/>
      <c r="BO53" s="105"/>
      <c r="BP53" s="105"/>
      <c r="BQ53" s="109"/>
      <c r="BR53" s="110"/>
      <c r="BS53" s="110"/>
      <c r="BT53" s="110"/>
      <c r="BU53" s="110"/>
      <c r="BV53" s="110"/>
      <c r="BW53" s="112"/>
      <c r="BX53" s="112"/>
      <c r="BY53" s="110"/>
      <c r="BZ53" s="105"/>
      <c r="CA53" s="105"/>
      <c r="CB53" s="105"/>
      <c r="CC53" s="105"/>
      <c r="CD53" s="105"/>
      <c r="CE53" s="105"/>
    </row>
    <row r="54" spans="1:83" x14ac:dyDescent="0.15">
      <c r="A54" s="103">
        <v>82</v>
      </c>
      <c r="B54" s="98" t="str">
        <f>VLOOKUP($A54,'Rate Calculation'!$A$4:$AQ$208,42,FALSE)</f>
        <v>692219800</v>
      </c>
      <c r="C54" s="98" t="str">
        <f>VLOOKUP($A54,'Rate Calculation'!$A$4:$AQ$208,43,FALSE)</f>
        <v>Caroline Nursing and Rehab</v>
      </c>
      <c r="D54" s="98" t="str">
        <f>VLOOKUP($A54,'Rate Calculation'!$A$4:$F$208,5,FALSE)</f>
        <v>EASTERN REGION</v>
      </c>
      <c r="E54" s="98" t="str">
        <f>VLOOKUP($A54,'Rate Calculation'!$A$4:$F$208,6,FALSE)</f>
        <v>NON METRO</v>
      </c>
      <c r="F54" s="105">
        <f t="shared" si="8"/>
        <v>92.33</v>
      </c>
      <c r="G54" s="105">
        <f t="shared" si="9"/>
        <v>20.87</v>
      </c>
      <c r="H54" s="105">
        <f t="shared" si="10"/>
        <v>34.36</v>
      </c>
      <c r="I54" s="105">
        <f t="shared" si="11"/>
        <v>192.01</v>
      </c>
      <c r="J54" s="105">
        <f>VLOOKUP($A54,'Rate Calculation'!$A$4:$AZ$208,34,FALSE)</f>
        <v>0</v>
      </c>
      <c r="K54" s="105">
        <f t="shared" si="12"/>
        <v>339.57</v>
      </c>
      <c r="L54" s="164">
        <f t="shared" si="4"/>
        <v>0.98772000000000004</v>
      </c>
      <c r="M54" s="105">
        <f t="shared" si="13"/>
        <v>335.4</v>
      </c>
      <c r="N54" s="105">
        <f>VLOOKUP($A54,'Rate Calculation'!$A$4:$AL$208,38,FALSE)</f>
        <v>29.25</v>
      </c>
      <c r="O54" s="183">
        <f>VLOOKUP($A54,'Rate Calculation'!$A$4:$I$208,9,FALSE)</f>
        <v>1.4047000000000001</v>
      </c>
      <c r="P54" s="183">
        <f t="shared" si="5"/>
        <v>1.4432</v>
      </c>
      <c r="Q54" s="183">
        <f>VLOOKUP(A54,'CMI Data'!$A$4:$C$208,3,FALSE)</f>
        <v>1.5448</v>
      </c>
      <c r="R54" s="246">
        <f>VLOOKUP($A54,FRV!$A$4:$K$208,11,FALSE)</f>
        <v>33945</v>
      </c>
      <c r="S54" s="246">
        <f t="shared" si="6"/>
        <v>27675</v>
      </c>
      <c r="T54" s="246">
        <f>VLOOKUP($A54,FRV!$A$4:$L$208,12,FALSE)</f>
        <v>29360</v>
      </c>
      <c r="U54" s="183">
        <f>Inflation!$G$24</f>
        <v>1.0309999999999999</v>
      </c>
      <c r="V54" s="247">
        <f>VLOOKUP($A54,'Rate Calculation'!A55:X259,24,FALSE)</f>
        <v>89.55</v>
      </c>
      <c r="W54" s="110">
        <f t="shared" si="14"/>
        <v>92.33</v>
      </c>
      <c r="X54" s="110">
        <f>VLOOKUP($A54,'Rate Calculation'!A55:V259,22,FALSE)</f>
        <v>20.239999999999998</v>
      </c>
      <c r="Y54" s="110">
        <f t="shared" si="15"/>
        <v>20.87</v>
      </c>
      <c r="Z54" s="212">
        <f>VLOOKUP($A54,FRV!$A$4:$D$208,4,FALSE)</f>
        <v>45108</v>
      </c>
      <c r="AA54" s="212">
        <f>VLOOKUP($A54,FRV!$A$4:$F$208,6,FALSE)</f>
        <v>45291</v>
      </c>
      <c r="AB54" s="248">
        <f>VLOOKUP($A54,FRV!$A$4:$U$208,13,FALSE)</f>
        <v>9415658</v>
      </c>
      <c r="AC54" s="248">
        <f>VLOOKUP($A54,FRV!$A$4:$U$208,15,FALSE)</f>
        <v>172806</v>
      </c>
      <c r="AD54" s="248">
        <f>VLOOKUP($A54,FRV!$A$4:$U$208,14,FALSE)</f>
        <v>18500</v>
      </c>
      <c r="AE54" s="248">
        <f>VLOOKUP($A54,FRV!$A$4:$U$208,7,FALSE)</f>
        <v>93</v>
      </c>
      <c r="AF54" s="107">
        <f t="shared" si="16"/>
        <v>11308964</v>
      </c>
      <c r="AG54" s="107">
        <f t="shared" si="17"/>
        <v>121602</v>
      </c>
      <c r="AH54" s="107">
        <v>120000</v>
      </c>
      <c r="AI54" s="107">
        <f t="shared" si="18"/>
        <v>120000</v>
      </c>
      <c r="AJ54" s="107">
        <f t="shared" si="19"/>
        <v>11160000</v>
      </c>
      <c r="AK54" s="249">
        <f>IF(VLOOKUP($A54,'Rate Calculation'!$A$4:$D$208,4,FALSE)="baltimore city",0.1,0.08)</f>
        <v>0.08</v>
      </c>
      <c r="AL54" s="107">
        <f t="shared" si="20"/>
        <v>892800</v>
      </c>
      <c r="AM54" s="105">
        <f>IF(ISERROR(MATCH(A54&amp;AA54,'Days Exceptions'!$C$3:$C$16,0)),ROUND(AL54/(MAX(S54,T54)),2),ROUND(AL54/VLOOKUP(A54,'Days Exceptions'!$A$3:$J$16,8,FALSE),2))</f>
        <v>30.41</v>
      </c>
      <c r="AN54" s="213">
        <f>VLOOKUP($A54,'Rate Calculation'!$A$4:$AF$208,32,FALSE)</f>
        <v>3.95</v>
      </c>
      <c r="AO54" s="109">
        <f t="shared" si="21"/>
        <v>34.36</v>
      </c>
      <c r="AP54" s="247">
        <f>VLOOKUP($A54,'Rate Calculation'!$A$4:$Q$208,17,FALSE)</f>
        <v>160.28</v>
      </c>
      <c r="AQ54" s="247">
        <f t="shared" si="35"/>
        <v>165.25</v>
      </c>
      <c r="AR54" s="247">
        <f>VLOOKUP($A54,'Rate Calculation'!$A$4:$K$208,11,FALSE)</f>
        <v>186.31</v>
      </c>
      <c r="AS54" s="247">
        <f t="shared" si="22"/>
        <v>192.09</v>
      </c>
      <c r="AT54" s="110">
        <f t="shared" si="23"/>
        <v>186.97</v>
      </c>
      <c r="AU54" s="110">
        <f t="shared" si="24"/>
        <v>205.62</v>
      </c>
      <c r="AV54" s="111">
        <f t="shared" si="25"/>
        <v>-13.61</v>
      </c>
      <c r="AW54" s="110">
        <f t="shared" si="26"/>
        <v>192.01</v>
      </c>
      <c r="AX54" s="105">
        <f t="shared" si="27"/>
        <v>181.73</v>
      </c>
      <c r="AY54" s="105">
        <f t="shared" si="28"/>
        <v>195.34</v>
      </c>
      <c r="AZ54" s="105">
        <f t="shared" si="29"/>
        <v>13.61</v>
      </c>
      <c r="BA54" s="105">
        <f t="shared" si="30"/>
        <v>243.57</v>
      </c>
      <c r="BB54" s="105">
        <f t="shared" si="31"/>
        <v>147.56</v>
      </c>
      <c r="BC54" s="110">
        <f t="shared" si="32"/>
        <v>364.65</v>
      </c>
      <c r="BD54" s="110">
        <f t="shared" si="33"/>
        <v>272.82</v>
      </c>
      <c r="BE54" s="110">
        <f t="shared" si="34"/>
        <v>176.81</v>
      </c>
      <c r="BF54" s="105"/>
      <c r="BG54" s="105"/>
      <c r="BH54" s="111"/>
      <c r="BI54" s="105"/>
      <c r="BJ54" s="105"/>
      <c r="BK54" s="109"/>
      <c r="BL54" s="111"/>
      <c r="BM54" s="109"/>
      <c r="BN54" s="109"/>
      <c r="BO54" s="105"/>
      <c r="BP54" s="105"/>
      <c r="BQ54" s="109"/>
      <c r="BR54" s="110"/>
      <c r="BS54" s="110"/>
      <c r="BT54" s="110"/>
      <c r="BU54" s="110"/>
      <c r="BV54" s="110"/>
      <c r="BW54" s="112"/>
      <c r="BX54" s="112"/>
      <c r="BY54" s="110"/>
      <c r="BZ54" s="105"/>
      <c r="CA54" s="105"/>
      <c r="CB54" s="105"/>
      <c r="CC54" s="105"/>
      <c r="CD54" s="105"/>
      <c r="CE54" s="105"/>
    </row>
    <row r="55" spans="1:83" x14ac:dyDescent="0.15">
      <c r="A55" s="103">
        <v>1421</v>
      </c>
      <c r="B55" s="98" t="str">
        <f>VLOOKUP($A55,'Rate Calculation'!$A$4:$AQ$208,42,FALSE)</f>
        <v>567025000</v>
      </c>
      <c r="C55" s="98" t="str">
        <f>VLOOKUP($A55,'Rate Calculation'!$A$4:$AQ$208,43,FALSE)</f>
        <v>Carriage Hill Bethesda</v>
      </c>
      <c r="D55" s="98" t="str">
        <f>VLOOKUP($A55,'Rate Calculation'!$A$4:$F$208,5,FALSE)</f>
        <v>WASHINGTON METRO</v>
      </c>
      <c r="E55" s="98" t="str">
        <f>VLOOKUP($A55,'Rate Calculation'!$A$4:$F$208,6,FALSE)</f>
        <v>WASHINGTON METRO</v>
      </c>
      <c r="F55" s="105">
        <f t="shared" si="8"/>
        <v>103.73</v>
      </c>
      <c r="G55" s="105">
        <f t="shared" si="9"/>
        <v>19.829999999999998</v>
      </c>
      <c r="H55" s="105">
        <f t="shared" si="10"/>
        <v>33.28</v>
      </c>
      <c r="I55" s="105">
        <f t="shared" si="11"/>
        <v>165.18</v>
      </c>
      <c r="J55" s="105">
        <f>VLOOKUP($A55,'Rate Calculation'!$A$4:$AZ$208,34,FALSE)</f>
        <v>0</v>
      </c>
      <c r="K55" s="105">
        <f t="shared" ref="K55" si="36">SUM(F55:J55)</f>
        <v>322.02</v>
      </c>
      <c r="L55" s="164">
        <f t="shared" si="4"/>
        <v>0.98772000000000004</v>
      </c>
      <c r="M55" s="105">
        <f t="shared" ref="M55" si="37">ROUND(K55*L55,2)</f>
        <v>318.07</v>
      </c>
      <c r="N55" s="105">
        <f>VLOOKUP($A55,'Rate Calculation'!$A$4:$AL$208,38,FALSE)</f>
        <v>24.3</v>
      </c>
      <c r="O55" s="183">
        <f>VLOOKUP($A55,'Rate Calculation'!$A$4:$I$208,9,FALSE)</f>
        <v>1.5506</v>
      </c>
      <c r="P55" s="183">
        <f t="shared" si="5"/>
        <v>1.4432</v>
      </c>
      <c r="Q55" s="183">
        <f>VLOOKUP(A55,'CMI Data'!$A$4:$C$208,3,FALSE)</f>
        <v>1.3228</v>
      </c>
      <c r="R55" s="246">
        <f>VLOOKUP($A55,FRV!$A$4:$K$208,11,FALSE)</f>
        <v>39528</v>
      </c>
      <c r="S55" s="246">
        <f t="shared" si="6"/>
        <v>32227</v>
      </c>
      <c r="T55" s="246">
        <f>VLOOKUP($A55,FRV!$A$4:$L$208,12,FALSE)</f>
        <v>34883</v>
      </c>
      <c r="U55" s="183">
        <f>Inflation!$G$24</f>
        <v>1.0309999999999999</v>
      </c>
      <c r="V55" s="247">
        <f>VLOOKUP($A55,'Rate Calculation'!A56:X260,24,FALSE)</f>
        <v>100.61</v>
      </c>
      <c r="W55" s="110">
        <f t="shared" si="14"/>
        <v>103.73</v>
      </c>
      <c r="X55" s="110">
        <f>VLOOKUP($A55,'Rate Calculation'!A56:V260,22,FALSE)</f>
        <v>19.23</v>
      </c>
      <c r="Y55" s="110">
        <f t="shared" si="15"/>
        <v>19.829999999999998</v>
      </c>
      <c r="Z55" s="212">
        <f>VLOOKUP($A55,FRV!$A$4:$D$208,4,FALSE)</f>
        <v>45474</v>
      </c>
      <c r="AA55" s="212">
        <f>VLOOKUP($A55,FRV!$A$4:$F$208,6,FALSE)</f>
        <v>45657</v>
      </c>
      <c r="AB55" s="248">
        <f>VLOOKUP($A55,FRV!$A$4:$U$208,13,FALSE)</f>
        <v>10715953</v>
      </c>
      <c r="AC55" s="248">
        <f>VLOOKUP($A55,FRV!$A$4:$U$208,15,FALSE)</f>
        <v>307574</v>
      </c>
      <c r="AD55" s="248">
        <f>VLOOKUP($A55,FRV!$A$4:$U$208,14,FALSE)</f>
        <v>43000</v>
      </c>
      <c r="AE55" s="248">
        <f>VLOOKUP($A55,FRV!$A$4:$U$208,7,FALSE)</f>
        <v>108</v>
      </c>
      <c r="AF55" s="107">
        <f t="shared" si="16"/>
        <v>15667527</v>
      </c>
      <c r="AG55" s="107">
        <f t="shared" si="17"/>
        <v>145070</v>
      </c>
      <c r="AH55" s="107">
        <v>120000</v>
      </c>
      <c r="AI55" s="107">
        <f t="shared" si="18"/>
        <v>120000</v>
      </c>
      <c r="AJ55" s="107">
        <f t="shared" si="19"/>
        <v>12960000</v>
      </c>
      <c r="AK55" s="249">
        <f>IF(VLOOKUP($A55,'Rate Calculation'!$A$4:$D$208,4,FALSE)="baltimore city",0.1,0.08)</f>
        <v>0.08</v>
      </c>
      <c r="AL55" s="107">
        <f t="shared" si="20"/>
        <v>1036800</v>
      </c>
      <c r="AM55" s="105">
        <f>IF(ISERROR(MATCH(A55&amp;AA55,'Days Exceptions'!$C$3:$C$16,0)),ROUND(AL55/(MAX(S55,T55)),2),ROUND(AL55/VLOOKUP(A55,'Days Exceptions'!$A$3:$J$16,8,FALSE),2))</f>
        <v>29.72</v>
      </c>
      <c r="AN55" s="213">
        <f>VLOOKUP($A55,'Rate Calculation'!$A$4:$AF$208,32,FALSE)</f>
        <v>3.56</v>
      </c>
      <c r="AO55" s="109">
        <f t="shared" si="21"/>
        <v>33.28</v>
      </c>
      <c r="AP55" s="247">
        <f>VLOOKUP($A55,'Rate Calculation'!$A$4:$Q$208,17,FALSE)</f>
        <v>178.34</v>
      </c>
      <c r="AQ55" s="247">
        <f t="shared" si="35"/>
        <v>183.87</v>
      </c>
      <c r="AR55" s="247">
        <f>VLOOKUP($A55,'Rate Calculation'!$A$4:$K$208,11,FALSE)</f>
        <v>176.01</v>
      </c>
      <c r="AS55" s="247">
        <f t="shared" si="22"/>
        <v>181.47</v>
      </c>
      <c r="AT55" s="110">
        <f t="shared" si="23"/>
        <v>194.97</v>
      </c>
      <c r="AU55" s="110">
        <f t="shared" si="24"/>
        <v>166.33</v>
      </c>
      <c r="AV55" s="111">
        <f t="shared" si="25"/>
        <v>-1.1499999999999999</v>
      </c>
      <c r="AW55" s="110">
        <f t="shared" si="26"/>
        <v>165.18</v>
      </c>
      <c r="AX55" s="105">
        <f t="shared" si="27"/>
        <v>156.86000000000001</v>
      </c>
      <c r="AY55" s="105">
        <f t="shared" si="28"/>
        <v>158.01</v>
      </c>
      <c r="AZ55" s="105">
        <f t="shared" si="29"/>
        <v>1.1499999999999999</v>
      </c>
      <c r="BA55" s="105">
        <f t="shared" si="30"/>
        <v>239.43</v>
      </c>
      <c r="BB55" s="105">
        <f t="shared" si="31"/>
        <v>156.84</v>
      </c>
      <c r="BC55" s="110">
        <f t="shared" si="32"/>
        <v>342.37</v>
      </c>
      <c r="BD55" s="110">
        <f t="shared" si="33"/>
        <v>263.73</v>
      </c>
      <c r="BE55" s="110">
        <f t="shared" si="34"/>
        <v>181.14</v>
      </c>
      <c r="BF55" s="105"/>
      <c r="BG55" s="105"/>
      <c r="BH55" s="111"/>
      <c r="BI55" s="105"/>
      <c r="BJ55" s="105"/>
      <c r="BK55" s="109"/>
      <c r="BL55" s="111"/>
      <c r="BM55" s="109"/>
      <c r="BN55" s="109"/>
      <c r="BO55" s="105"/>
      <c r="BP55" s="105"/>
      <c r="BQ55" s="109"/>
      <c r="BR55" s="110"/>
      <c r="BS55" s="110"/>
      <c r="BT55" s="110"/>
      <c r="BU55" s="110"/>
      <c r="BV55" s="110"/>
      <c r="BW55" s="112"/>
      <c r="BX55" s="112"/>
      <c r="BY55" s="110"/>
      <c r="BZ55" s="105"/>
      <c r="CA55" s="105"/>
      <c r="CB55" s="105"/>
      <c r="CC55" s="105"/>
      <c r="CD55" s="105"/>
      <c r="CE55" s="105"/>
    </row>
    <row r="56" spans="1:83" x14ac:dyDescent="0.15">
      <c r="A56" s="103">
        <v>84</v>
      </c>
      <c r="B56" s="98" t="str">
        <f>VLOOKUP($A56,'Rate Calculation'!$A$4:$AQ$208,42,FALSE)</f>
        <v>063417400</v>
      </c>
      <c r="C56" s="98" t="str">
        <f>VLOOKUP($A56,'Rate Calculation'!$A$4:$AQ$208,43,FALSE)</f>
        <v>Carroll Lutheran Village, Inc.</v>
      </c>
      <c r="D56" s="98" t="str">
        <f>VLOOKUP($A56,'Rate Calculation'!$A$4:$F$208,5,FALSE)</f>
        <v>BALTIMORE METRO</v>
      </c>
      <c r="E56" s="98" t="str">
        <f>VLOOKUP($A56,'Rate Calculation'!$A$4:$F$208,6,FALSE)</f>
        <v>BALTIMORE METRO</v>
      </c>
      <c r="F56" s="105">
        <f t="shared" si="8"/>
        <v>105.18</v>
      </c>
      <c r="G56" s="105">
        <f t="shared" si="9"/>
        <v>21.5</v>
      </c>
      <c r="H56" s="105">
        <f t="shared" si="10"/>
        <v>32.26</v>
      </c>
      <c r="I56" s="105">
        <f t="shared" si="11"/>
        <v>177.1</v>
      </c>
      <c r="J56" s="105">
        <f>VLOOKUP($A56,'Rate Calculation'!$A$4:$AZ$208,34,FALSE)</f>
        <v>0</v>
      </c>
      <c r="K56" s="105">
        <f t="shared" si="12"/>
        <v>336.04</v>
      </c>
      <c r="L56" s="164">
        <f t="shared" si="4"/>
        <v>0.98772000000000004</v>
      </c>
      <c r="M56" s="105">
        <f t="shared" si="13"/>
        <v>331.91</v>
      </c>
      <c r="N56" s="105">
        <f>VLOOKUP($A56,'Rate Calculation'!$A$4:$AL$208,38,FALSE)</f>
        <v>0</v>
      </c>
      <c r="O56" s="183">
        <f>VLOOKUP($A56,'Rate Calculation'!$A$4:$I$208,9,FALSE)</f>
        <v>1.2884</v>
      </c>
      <c r="P56" s="183">
        <f t="shared" si="5"/>
        <v>1.4432</v>
      </c>
      <c r="Q56" s="183">
        <f>VLOOKUP(A56,'CMI Data'!$A$4:$C$208,3,FALSE)</f>
        <v>1.2690999999999999</v>
      </c>
      <c r="R56" s="246">
        <f>VLOOKUP($A56,FRV!$A$4:$K$208,11,FALSE)</f>
        <v>37595</v>
      </c>
      <c r="S56" s="246">
        <f t="shared" si="6"/>
        <v>30651</v>
      </c>
      <c r="T56" s="246">
        <f>VLOOKUP($A56,FRV!$A$4:$L$208,12,FALSE)</f>
        <v>23839</v>
      </c>
      <c r="U56" s="183">
        <f>Inflation!$G$24</f>
        <v>1.0309999999999999</v>
      </c>
      <c r="V56" s="247">
        <f>VLOOKUP($A56,'Rate Calculation'!A57:X261,24,FALSE)</f>
        <v>102.02</v>
      </c>
      <c r="W56" s="110">
        <f t="shared" si="14"/>
        <v>105.18</v>
      </c>
      <c r="X56" s="110">
        <f>VLOOKUP($A56,'Rate Calculation'!A57:V261,22,FALSE)</f>
        <v>20.85</v>
      </c>
      <c r="Y56" s="110">
        <f t="shared" si="15"/>
        <v>21.5</v>
      </c>
      <c r="Z56" s="212">
        <f>VLOOKUP($A56,FRV!$A$4:$D$208,4,FALSE)</f>
        <v>45108</v>
      </c>
      <c r="AA56" s="212">
        <f>VLOOKUP($A56,FRV!$A$4:$F$208,6,FALSE)</f>
        <v>45107</v>
      </c>
      <c r="AB56" s="248">
        <f>VLOOKUP($A56,FRV!$A$4:$U$208,13,FALSE)</f>
        <v>15755437</v>
      </c>
      <c r="AC56" s="248">
        <f>VLOOKUP($A56,FRV!$A$4:$U$208,15,FALSE)</f>
        <v>298088</v>
      </c>
      <c r="AD56" s="248">
        <f>VLOOKUP($A56,FRV!$A$4:$U$208,14,FALSE)</f>
        <v>21000</v>
      </c>
      <c r="AE56" s="248">
        <f>VLOOKUP($A56,FRV!$A$4:$U$208,7,FALSE)</f>
        <v>103</v>
      </c>
      <c r="AF56" s="107">
        <f t="shared" si="16"/>
        <v>18216525</v>
      </c>
      <c r="AG56" s="107">
        <f t="shared" si="17"/>
        <v>176859</v>
      </c>
      <c r="AH56" s="107">
        <v>120000</v>
      </c>
      <c r="AI56" s="107">
        <f t="shared" si="18"/>
        <v>120000</v>
      </c>
      <c r="AJ56" s="107">
        <f t="shared" si="19"/>
        <v>12360000</v>
      </c>
      <c r="AK56" s="249">
        <f>IF(VLOOKUP($A56,'Rate Calculation'!$A$4:$D$208,4,FALSE)="baltimore city",0.1,0.08)</f>
        <v>0.08</v>
      </c>
      <c r="AL56" s="107">
        <f t="shared" si="20"/>
        <v>988800</v>
      </c>
      <c r="AM56" s="105">
        <f>IF(ISERROR(MATCH(A56&amp;AA56,'Days Exceptions'!$C$3:$C$16,0)),ROUND(AL56/(MAX(S56,T56)),2),ROUND(AL56/VLOOKUP(A56,'Days Exceptions'!$A$3:$J$16,8,FALSE),2))</f>
        <v>32.26</v>
      </c>
      <c r="AN56" s="213">
        <f>VLOOKUP($A56,'Rate Calculation'!$A$4:$AF$208,32,FALSE)</f>
        <v>0</v>
      </c>
      <c r="AO56" s="109">
        <f t="shared" si="21"/>
        <v>32.26</v>
      </c>
      <c r="AP56" s="247">
        <f>VLOOKUP($A56,'Rate Calculation'!$A$4:$Q$208,17,FALSE)</f>
        <v>227.17</v>
      </c>
      <c r="AQ56" s="247">
        <f t="shared" si="35"/>
        <v>234.21</v>
      </c>
      <c r="AR56" s="247">
        <f>VLOOKUP($A56,'Rate Calculation'!$A$4:$K$208,11,FALSE)</f>
        <v>195.33</v>
      </c>
      <c r="AS56" s="247">
        <f t="shared" si="22"/>
        <v>201.39</v>
      </c>
      <c r="AT56" s="110">
        <f t="shared" si="23"/>
        <v>179.79</v>
      </c>
      <c r="AU56" s="110">
        <f t="shared" si="24"/>
        <v>177.1</v>
      </c>
      <c r="AV56" s="111">
        <f t="shared" si="25"/>
        <v>0</v>
      </c>
      <c r="AW56" s="110">
        <f t="shared" si="26"/>
        <v>177.1</v>
      </c>
      <c r="AX56" s="105">
        <f t="shared" si="27"/>
        <v>230.7</v>
      </c>
      <c r="AY56" s="105">
        <f t="shared" si="28"/>
        <v>168.25</v>
      </c>
      <c r="AZ56" s="105">
        <f t="shared" si="29"/>
        <v>-62.45</v>
      </c>
      <c r="BA56" s="105">
        <f t="shared" si="30"/>
        <v>247.49</v>
      </c>
      <c r="BB56" s="105">
        <f t="shared" si="31"/>
        <v>158.94</v>
      </c>
      <c r="BC56" s="110">
        <f t="shared" si="32"/>
        <v>331.91</v>
      </c>
      <c r="BD56" s="110">
        <f t="shared" si="33"/>
        <v>247.49</v>
      </c>
      <c r="BE56" s="110">
        <f t="shared" si="34"/>
        <v>158.94</v>
      </c>
      <c r="BF56" s="105"/>
      <c r="BG56" s="105"/>
      <c r="BH56" s="111"/>
      <c r="BI56" s="105"/>
      <c r="BJ56" s="105"/>
      <c r="BK56" s="109"/>
      <c r="BL56" s="111"/>
      <c r="BM56" s="109"/>
      <c r="BN56" s="109"/>
      <c r="BO56" s="105"/>
      <c r="BP56" s="105"/>
      <c r="BQ56" s="109"/>
      <c r="BR56" s="110"/>
      <c r="BS56" s="110"/>
      <c r="BT56" s="110"/>
      <c r="BU56" s="110"/>
      <c r="BV56" s="110"/>
      <c r="BW56" s="112"/>
      <c r="BX56" s="112"/>
      <c r="BY56" s="110"/>
      <c r="BZ56" s="105"/>
      <c r="CA56" s="105"/>
      <c r="CB56" s="105"/>
      <c r="CC56" s="105"/>
      <c r="CD56" s="105"/>
      <c r="CE56" s="105"/>
    </row>
    <row r="57" spans="1:83" x14ac:dyDescent="0.15">
      <c r="A57" s="103">
        <v>86</v>
      </c>
      <c r="B57" s="98" t="str">
        <f>VLOOKUP($A57,'Rate Calculation'!$A$4:$AQ$208,42,FALSE)</f>
        <v>855041700</v>
      </c>
      <c r="C57" s="98" t="str">
        <f>VLOOKUP($A57,'Rate Calculation'!$A$4:$AQ$208,43,FALSE)</f>
        <v>Carroll Park Healthcare</v>
      </c>
      <c r="D57" s="98" t="str">
        <f>VLOOKUP($A57,'Rate Calculation'!$A$4:$F$208,5,FALSE)</f>
        <v>BALTIMORE METRO</v>
      </c>
      <c r="E57" s="98" t="str">
        <f>VLOOKUP($A57,'Rate Calculation'!$A$4:$F$208,6,FALSE)</f>
        <v>BALTIMORE CITY</v>
      </c>
      <c r="F57" s="105">
        <f t="shared" si="8"/>
        <v>117.69</v>
      </c>
      <c r="G57" s="105">
        <f t="shared" si="9"/>
        <v>25.66</v>
      </c>
      <c r="H57" s="105">
        <f t="shared" si="10"/>
        <v>42.54</v>
      </c>
      <c r="I57" s="105">
        <f t="shared" si="11"/>
        <v>149.47</v>
      </c>
      <c r="J57" s="105">
        <f>VLOOKUP($A57,'Rate Calculation'!$A$4:$AZ$208,34,FALSE)</f>
        <v>0</v>
      </c>
      <c r="K57" s="105">
        <f t="shared" si="12"/>
        <v>335.36</v>
      </c>
      <c r="L57" s="164">
        <f t="shared" si="4"/>
        <v>0.98772000000000004</v>
      </c>
      <c r="M57" s="105">
        <f t="shared" si="13"/>
        <v>331.24</v>
      </c>
      <c r="N57" s="105">
        <f>VLOOKUP($A57,'Rate Calculation'!$A$4:$AL$208,38,FALSE)</f>
        <v>31.22</v>
      </c>
      <c r="O57" s="183">
        <f>VLOOKUP($A57,'Rate Calculation'!$A$4:$I$208,9,FALSE)</f>
        <v>1.4583999999999999</v>
      </c>
      <c r="P57" s="183">
        <f t="shared" si="5"/>
        <v>1.4432</v>
      </c>
      <c r="Q57" s="183">
        <f>VLOOKUP(A57,'CMI Data'!$A$4:$C$208,3,FALSE)</f>
        <v>1.3255999999999999</v>
      </c>
      <c r="R57" s="246">
        <f>VLOOKUP($A57,FRV!$A$4:$K$208,11,FALSE)</f>
        <v>51240</v>
      </c>
      <c r="S57" s="246">
        <f t="shared" si="6"/>
        <v>41776</v>
      </c>
      <c r="T57" s="246">
        <f>VLOOKUP($A57,FRV!$A$4:$L$208,12,FALSE)</f>
        <v>31683</v>
      </c>
      <c r="U57" s="183">
        <f>Inflation!$G$24</f>
        <v>1.0309999999999999</v>
      </c>
      <c r="V57" s="247">
        <f>VLOOKUP($A57,'Rate Calculation'!A58:X262,24,FALSE)</f>
        <v>114.15</v>
      </c>
      <c r="W57" s="110">
        <f t="shared" si="14"/>
        <v>117.69</v>
      </c>
      <c r="X57" s="110">
        <f>VLOOKUP($A57,'Rate Calculation'!A58:V262,22,FALSE)</f>
        <v>24.89</v>
      </c>
      <c r="Y57" s="110">
        <f t="shared" si="15"/>
        <v>25.66</v>
      </c>
      <c r="Z57" s="212">
        <f>VLOOKUP($A57,FRV!$A$4:$D$208,4,FALSE)</f>
        <v>45474</v>
      </c>
      <c r="AA57" s="212">
        <f>VLOOKUP($A57,FRV!$A$4:$F$208,6,FALSE)</f>
        <v>45657</v>
      </c>
      <c r="AB57" s="248">
        <f>VLOOKUP($A57,FRV!$A$4:$U$208,13,FALSE)</f>
        <v>11513179</v>
      </c>
      <c r="AC57" s="248">
        <f>VLOOKUP($A57,FRV!$A$4:$U$208,15,FALSE)</f>
        <v>216251</v>
      </c>
      <c r="AD57" s="248">
        <f>VLOOKUP($A57,FRV!$A$4:$U$208,14,FALSE)</f>
        <v>13000</v>
      </c>
      <c r="AE57" s="248">
        <f>VLOOKUP($A57,FRV!$A$4:$U$208,7,FALSE)</f>
        <v>140</v>
      </c>
      <c r="AF57" s="107">
        <f t="shared" si="16"/>
        <v>13549430</v>
      </c>
      <c r="AG57" s="107">
        <f t="shared" si="17"/>
        <v>96782</v>
      </c>
      <c r="AH57" s="107">
        <v>120000</v>
      </c>
      <c r="AI57" s="107">
        <f t="shared" si="18"/>
        <v>96782</v>
      </c>
      <c r="AJ57" s="107">
        <f t="shared" si="19"/>
        <v>13549480</v>
      </c>
      <c r="AK57" s="249">
        <f>IF(VLOOKUP($A57,'Rate Calculation'!$A$4:$D$208,4,FALSE)="baltimore city",0.1,0.08)</f>
        <v>0.1</v>
      </c>
      <c r="AL57" s="107">
        <f t="shared" si="20"/>
        <v>1354948</v>
      </c>
      <c r="AM57" s="105">
        <f>IF(ISERROR(MATCH(A57&amp;AA57,'Days Exceptions'!$C$3:$C$16,0)),ROUND(AL57/(MAX(S57,T57)),2),ROUND(AL57/VLOOKUP(A57,'Days Exceptions'!$A$3:$J$16,8,FALSE),2))</f>
        <v>32.43</v>
      </c>
      <c r="AN57" s="213">
        <f>VLOOKUP($A57,'Rate Calculation'!$A$4:$AF$208,32,FALSE)</f>
        <v>10.11</v>
      </c>
      <c r="AO57" s="109">
        <f t="shared" si="21"/>
        <v>42.54</v>
      </c>
      <c r="AP57" s="247">
        <f>VLOOKUP($A57,'Rate Calculation'!$A$4:$Q$208,17,FALSE)</f>
        <v>149.63</v>
      </c>
      <c r="AQ57" s="247">
        <f t="shared" si="35"/>
        <v>154.27000000000001</v>
      </c>
      <c r="AR57" s="247">
        <f>VLOOKUP($A57,'Rate Calculation'!$A$4:$K$208,11,FALSE)</f>
        <v>195.33</v>
      </c>
      <c r="AS57" s="247">
        <f t="shared" si="22"/>
        <v>201.39</v>
      </c>
      <c r="AT57" s="110">
        <f t="shared" si="23"/>
        <v>203.51</v>
      </c>
      <c r="AU57" s="110">
        <f t="shared" si="24"/>
        <v>184.98</v>
      </c>
      <c r="AV57" s="111">
        <f t="shared" si="25"/>
        <v>-35.51</v>
      </c>
      <c r="AW57" s="110">
        <f t="shared" si="26"/>
        <v>149.47</v>
      </c>
      <c r="AX57" s="105">
        <f t="shared" si="27"/>
        <v>140.22</v>
      </c>
      <c r="AY57" s="105">
        <f t="shared" si="28"/>
        <v>175.73</v>
      </c>
      <c r="AZ57" s="105">
        <f t="shared" si="29"/>
        <v>35.51</v>
      </c>
      <c r="BA57" s="105">
        <f t="shared" si="30"/>
        <v>260.63</v>
      </c>
      <c r="BB57" s="105">
        <f t="shared" si="31"/>
        <v>185.89</v>
      </c>
      <c r="BC57" s="110">
        <f t="shared" si="32"/>
        <v>362.46</v>
      </c>
      <c r="BD57" s="110">
        <f t="shared" si="33"/>
        <v>291.85000000000002</v>
      </c>
      <c r="BE57" s="110">
        <f t="shared" si="34"/>
        <v>217.11</v>
      </c>
      <c r="BF57" s="105"/>
      <c r="BG57" s="105"/>
      <c r="BH57" s="111"/>
      <c r="BI57" s="105"/>
      <c r="BJ57" s="105"/>
      <c r="BK57" s="109"/>
      <c r="BL57" s="111"/>
      <c r="BM57" s="109"/>
      <c r="BN57" s="109"/>
      <c r="BO57" s="105"/>
      <c r="BP57" s="105"/>
      <c r="BQ57" s="109"/>
      <c r="BR57" s="110"/>
      <c r="BS57" s="110"/>
      <c r="BT57" s="110"/>
      <c r="BU57" s="110"/>
      <c r="BV57" s="110"/>
      <c r="BW57" s="112"/>
      <c r="BX57" s="112"/>
      <c r="BY57" s="110"/>
      <c r="BZ57" s="105"/>
      <c r="CA57" s="105"/>
      <c r="CB57" s="105"/>
      <c r="CC57" s="105"/>
      <c r="CD57" s="105"/>
      <c r="CE57" s="105"/>
    </row>
    <row r="58" spans="1:83" x14ac:dyDescent="0.15">
      <c r="A58" s="103">
        <v>90</v>
      </c>
      <c r="B58" s="98" t="str">
        <f>VLOOKUP($A58,'Rate Calculation'!$A$4:$AQ$208,42,FALSE)</f>
        <v>256011900</v>
      </c>
      <c r="C58" s="98" t="str">
        <f>VLOOKUP($A58,'Rate Calculation'!$A$4:$AQ$208,43,FALSE)</f>
        <v>Chapel Hill Nursing Center</v>
      </c>
      <c r="D58" s="98" t="str">
        <f>VLOOKUP($A58,'Rate Calculation'!$A$4:$F$208,5,FALSE)</f>
        <v>BALTIMORE METRO</v>
      </c>
      <c r="E58" s="98" t="str">
        <f>VLOOKUP($A58,'Rate Calculation'!$A$4:$F$208,6,FALSE)</f>
        <v>BALTIMORE METRO</v>
      </c>
      <c r="F58" s="105">
        <f t="shared" si="8"/>
        <v>105.18</v>
      </c>
      <c r="G58" s="105">
        <f t="shared" si="9"/>
        <v>21.5</v>
      </c>
      <c r="H58" s="105">
        <f t="shared" si="10"/>
        <v>34.58</v>
      </c>
      <c r="I58" s="105">
        <f t="shared" si="11"/>
        <v>165.45</v>
      </c>
      <c r="J58" s="105">
        <f>VLOOKUP($A58,'Rate Calculation'!$A$4:$AZ$208,34,FALSE)</f>
        <v>0</v>
      </c>
      <c r="K58" s="105">
        <f t="shared" si="12"/>
        <v>326.70999999999998</v>
      </c>
      <c r="L58" s="164">
        <f t="shared" si="4"/>
        <v>0.98772000000000004</v>
      </c>
      <c r="M58" s="105">
        <f t="shared" si="13"/>
        <v>322.7</v>
      </c>
      <c r="N58" s="105">
        <f>VLOOKUP($A58,'Rate Calculation'!$A$4:$AL$208,38,FALSE)</f>
        <v>29.86</v>
      </c>
      <c r="O58" s="183">
        <f>VLOOKUP($A58,'Rate Calculation'!$A$4:$I$208,9,FALSE)</f>
        <v>1.2682</v>
      </c>
      <c r="P58" s="183">
        <f t="shared" si="5"/>
        <v>1.4432</v>
      </c>
      <c r="Q58" s="183">
        <f>VLOOKUP(A58,'CMI Data'!$A$4:$C$208,3,FALSE)</f>
        <v>1.2870999999999999</v>
      </c>
      <c r="R58" s="246">
        <f>VLOOKUP($A58,FRV!$A$4:$K$208,11,FALSE)</f>
        <v>22995</v>
      </c>
      <c r="S58" s="246">
        <f t="shared" si="6"/>
        <v>18748</v>
      </c>
      <c r="T58" s="246">
        <f>VLOOKUP($A58,FRV!$A$4:$L$208,12,FALSE)</f>
        <v>19045</v>
      </c>
      <c r="U58" s="183">
        <f>Inflation!$G$24</f>
        <v>1.0309999999999999</v>
      </c>
      <c r="V58" s="247">
        <f>VLOOKUP($A58,'Rate Calculation'!A59:X263,24,FALSE)</f>
        <v>102.02</v>
      </c>
      <c r="W58" s="110">
        <f t="shared" si="14"/>
        <v>105.18</v>
      </c>
      <c r="X58" s="110">
        <f>VLOOKUP($A58,'Rate Calculation'!A59:V263,22,FALSE)</f>
        <v>20.85</v>
      </c>
      <c r="Y58" s="110">
        <f t="shared" si="15"/>
        <v>21.5</v>
      </c>
      <c r="Z58" s="212">
        <f>VLOOKUP($A58,FRV!$A$4:$D$208,4,FALSE)</f>
        <v>45108</v>
      </c>
      <c r="AA58" s="212">
        <f>VLOOKUP($A58,FRV!$A$4:$F$208,6,FALSE)</f>
        <v>45291</v>
      </c>
      <c r="AB58" s="248">
        <f>VLOOKUP($A58,FRV!$A$4:$U$208,13,FALSE)</f>
        <v>6586650</v>
      </c>
      <c r="AC58" s="248">
        <f>VLOOKUP($A58,FRV!$A$4:$U$208,15,FALSE)</f>
        <v>84467</v>
      </c>
      <c r="AD58" s="248">
        <f>VLOOKUP($A58,FRV!$A$4:$U$208,14,FALSE)</f>
        <v>21000</v>
      </c>
      <c r="AE58" s="248">
        <f>VLOOKUP($A58,FRV!$A$4:$U$208,7,FALSE)</f>
        <v>63</v>
      </c>
      <c r="AF58" s="107">
        <f t="shared" si="16"/>
        <v>7994117</v>
      </c>
      <c r="AG58" s="107">
        <f t="shared" si="17"/>
        <v>126891</v>
      </c>
      <c r="AH58" s="107">
        <v>120000</v>
      </c>
      <c r="AI58" s="107">
        <f t="shared" si="18"/>
        <v>120000</v>
      </c>
      <c r="AJ58" s="107">
        <f t="shared" si="19"/>
        <v>7560000</v>
      </c>
      <c r="AK58" s="249">
        <f>IF(VLOOKUP($A58,'Rate Calculation'!$A$4:$D$208,4,FALSE)="baltimore city",0.1,0.08)</f>
        <v>0.08</v>
      </c>
      <c r="AL58" s="107">
        <f t="shared" si="20"/>
        <v>604800</v>
      </c>
      <c r="AM58" s="105">
        <f>IF(ISERROR(MATCH(A58&amp;AA58,'Days Exceptions'!$C$3:$C$16,0)),ROUND(AL58/(MAX(S58,T58)),2),ROUND(AL58/VLOOKUP(A58,'Days Exceptions'!$A$3:$J$16,8,FALSE),2))</f>
        <v>31.76</v>
      </c>
      <c r="AN58" s="213">
        <f>VLOOKUP($A58,'Rate Calculation'!$A$4:$AF$208,32,FALSE)</f>
        <v>2.82</v>
      </c>
      <c r="AO58" s="109">
        <f t="shared" si="21"/>
        <v>34.58</v>
      </c>
      <c r="AP58" s="247">
        <f>VLOOKUP($A58,'Rate Calculation'!$A$4:$Q$208,17,FALSE)</f>
        <v>149.53</v>
      </c>
      <c r="AQ58" s="247">
        <f t="shared" si="35"/>
        <v>154.16999999999999</v>
      </c>
      <c r="AR58" s="247">
        <f>VLOOKUP($A58,'Rate Calculation'!$A$4:$K$208,11,FALSE)</f>
        <v>195.33</v>
      </c>
      <c r="AS58" s="247">
        <f t="shared" si="22"/>
        <v>201.39</v>
      </c>
      <c r="AT58" s="110">
        <f t="shared" si="23"/>
        <v>176.97</v>
      </c>
      <c r="AU58" s="110">
        <f t="shared" si="24"/>
        <v>179.61</v>
      </c>
      <c r="AV58" s="111">
        <f t="shared" si="25"/>
        <v>-14.16</v>
      </c>
      <c r="AW58" s="110">
        <f t="shared" si="26"/>
        <v>165.45</v>
      </c>
      <c r="AX58" s="105">
        <f t="shared" si="27"/>
        <v>156.47</v>
      </c>
      <c r="AY58" s="105">
        <f t="shared" si="28"/>
        <v>170.63</v>
      </c>
      <c r="AZ58" s="105">
        <f t="shared" si="29"/>
        <v>14.16</v>
      </c>
      <c r="BA58" s="105">
        <f t="shared" si="30"/>
        <v>243.99</v>
      </c>
      <c r="BB58" s="105">
        <f t="shared" si="31"/>
        <v>161.26</v>
      </c>
      <c r="BC58" s="110">
        <f t="shared" si="32"/>
        <v>352.56</v>
      </c>
      <c r="BD58" s="110">
        <f t="shared" si="33"/>
        <v>273.85000000000002</v>
      </c>
      <c r="BE58" s="110">
        <f t="shared" si="34"/>
        <v>191.12</v>
      </c>
      <c r="BF58" s="105"/>
      <c r="BG58" s="105"/>
      <c r="BH58" s="111"/>
      <c r="BI58" s="105"/>
      <c r="BJ58" s="105"/>
      <c r="BK58" s="109"/>
      <c r="BL58" s="111"/>
      <c r="BM58" s="109"/>
      <c r="BN58" s="109"/>
      <c r="BO58" s="105"/>
      <c r="BP58" s="105"/>
      <c r="BQ58" s="109"/>
      <c r="BR58" s="110"/>
      <c r="BS58" s="110"/>
      <c r="BT58" s="110"/>
      <c r="BU58" s="110"/>
      <c r="BV58" s="110"/>
      <c r="BW58" s="112"/>
      <c r="BX58" s="112"/>
      <c r="BY58" s="110"/>
      <c r="BZ58" s="105"/>
      <c r="CA58" s="105"/>
      <c r="CB58" s="105"/>
      <c r="CC58" s="105"/>
      <c r="CD58" s="105"/>
      <c r="CE58" s="105"/>
    </row>
    <row r="59" spans="1:83" x14ac:dyDescent="0.15">
      <c r="A59" s="103">
        <v>94</v>
      </c>
      <c r="B59" s="98" t="str">
        <f>VLOOKUP($A59,'Rate Calculation'!$A$4:$AQ$208,42,FALSE)</f>
        <v>034397800</v>
      </c>
      <c r="C59" s="98" t="str">
        <f>VLOOKUP($A59,'Rate Calculation'!$A$4:$AQ$208,43,FALSE)</f>
        <v>Charlestown Care Center</v>
      </c>
      <c r="D59" s="98" t="str">
        <f>VLOOKUP($A59,'Rate Calculation'!$A$4:$F$208,5,FALSE)</f>
        <v>BALTIMORE METRO</v>
      </c>
      <c r="E59" s="98" t="str">
        <f>VLOOKUP($A59,'Rate Calculation'!$A$4:$F$208,6,FALSE)</f>
        <v>BALTIMORE METRO</v>
      </c>
      <c r="F59" s="105">
        <f t="shared" si="8"/>
        <v>105.18</v>
      </c>
      <c r="G59" s="105">
        <f t="shared" si="9"/>
        <v>21.5</v>
      </c>
      <c r="H59" s="105">
        <f t="shared" si="10"/>
        <v>29.86</v>
      </c>
      <c r="I59" s="105">
        <f t="shared" si="11"/>
        <v>174.28</v>
      </c>
      <c r="J59" s="105">
        <f>VLOOKUP($A59,'Rate Calculation'!$A$4:$AZ$208,34,FALSE)</f>
        <v>0</v>
      </c>
      <c r="K59" s="105">
        <f t="shared" si="12"/>
        <v>330.82</v>
      </c>
      <c r="L59" s="164">
        <f t="shared" si="4"/>
        <v>0.98772000000000004</v>
      </c>
      <c r="M59" s="105">
        <f t="shared" si="13"/>
        <v>326.76</v>
      </c>
      <c r="N59" s="105">
        <f>VLOOKUP($A59,'Rate Calculation'!$A$4:$AL$208,38,FALSE)</f>
        <v>0</v>
      </c>
      <c r="O59" s="183">
        <f>VLOOKUP($A59,'Rate Calculation'!$A$4:$I$208,9,FALSE)</f>
        <v>1.2459</v>
      </c>
      <c r="P59" s="183">
        <f t="shared" si="5"/>
        <v>1.4432</v>
      </c>
      <c r="Q59" s="183">
        <f>VLOOKUP(A59,'CMI Data'!$A$4:$C$208,3,FALSE)</f>
        <v>1.2488999999999999</v>
      </c>
      <c r="R59" s="246">
        <f>VLOOKUP($A59,FRV!$A$4:$K$208,11,FALSE)</f>
        <v>37595</v>
      </c>
      <c r="S59" s="246">
        <f t="shared" si="6"/>
        <v>30651</v>
      </c>
      <c r="T59" s="246">
        <f>VLOOKUP($A59,FRV!$A$4:$L$208,12,FALSE)</f>
        <v>33572</v>
      </c>
      <c r="U59" s="183">
        <f>Inflation!$G$24</f>
        <v>1.0309999999999999</v>
      </c>
      <c r="V59" s="247">
        <f>VLOOKUP($A59,'Rate Calculation'!A60:X264,24,FALSE)</f>
        <v>102.02</v>
      </c>
      <c r="W59" s="110">
        <f t="shared" si="14"/>
        <v>105.18</v>
      </c>
      <c r="X59" s="110">
        <f>VLOOKUP($A59,'Rate Calculation'!A60:V264,22,FALSE)</f>
        <v>20.85</v>
      </c>
      <c r="Y59" s="110">
        <f t="shared" si="15"/>
        <v>21.5</v>
      </c>
      <c r="Z59" s="212">
        <f>VLOOKUP($A59,FRV!$A$4:$D$208,4,FALSE)</f>
        <v>44743</v>
      </c>
      <c r="AA59" s="212">
        <f>VLOOKUP($A59,FRV!$A$4:$F$208,6,FALSE)</f>
        <v>44926</v>
      </c>
      <c r="AB59" s="248">
        <f>VLOOKUP($A59,FRV!$A$4:$U$208,13,FALSE)</f>
        <v>34847462</v>
      </c>
      <c r="AC59" s="248">
        <f>VLOOKUP($A59,FRV!$A$4:$U$208,15,FALSE)</f>
        <v>249627</v>
      </c>
      <c r="AD59" s="248">
        <f>VLOOKUP($A59,FRV!$A$4:$U$208,14,FALSE)</f>
        <v>22500</v>
      </c>
      <c r="AE59" s="248">
        <f>VLOOKUP($A59,FRV!$A$4:$U$208,7,FALSE)</f>
        <v>103</v>
      </c>
      <c r="AF59" s="107">
        <f t="shared" si="16"/>
        <v>37414589</v>
      </c>
      <c r="AG59" s="107">
        <f t="shared" si="17"/>
        <v>363248</v>
      </c>
      <c r="AH59" s="107">
        <v>120000</v>
      </c>
      <c r="AI59" s="107">
        <f t="shared" si="18"/>
        <v>120000</v>
      </c>
      <c r="AJ59" s="107">
        <f t="shared" si="19"/>
        <v>12360000</v>
      </c>
      <c r="AK59" s="249">
        <f>IF(VLOOKUP($A59,'Rate Calculation'!$A$4:$D$208,4,FALSE)="baltimore city",0.1,0.08)</f>
        <v>0.08</v>
      </c>
      <c r="AL59" s="107">
        <f t="shared" si="20"/>
        <v>988800</v>
      </c>
      <c r="AM59" s="105">
        <f>IF(ISERROR(MATCH(A59&amp;AA59,'Days Exceptions'!$C$3:$C$16,0)),ROUND(AL59/(MAX(S59,T59)),2),ROUND(AL59/VLOOKUP(A59,'Days Exceptions'!$A$3:$J$16,8,FALSE),2))</f>
        <v>29.45</v>
      </c>
      <c r="AN59" s="213">
        <f>VLOOKUP($A59,'Rate Calculation'!$A$4:$AF$208,32,FALSE)</f>
        <v>0.41</v>
      </c>
      <c r="AO59" s="109">
        <f t="shared" si="21"/>
        <v>29.86</v>
      </c>
      <c r="AP59" s="247">
        <f>VLOOKUP($A59,'Rate Calculation'!$A$4:$Q$208,17,FALSE)</f>
        <v>261.51</v>
      </c>
      <c r="AQ59" s="247">
        <f t="shared" si="35"/>
        <v>269.62</v>
      </c>
      <c r="AR59" s="247">
        <f>VLOOKUP($A59,'Rate Calculation'!$A$4:$K$208,11,FALSE)</f>
        <v>195.33</v>
      </c>
      <c r="AS59" s="247">
        <f t="shared" si="22"/>
        <v>201.39</v>
      </c>
      <c r="AT59" s="110">
        <f t="shared" si="23"/>
        <v>173.86</v>
      </c>
      <c r="AU59" s="110">
        <f t="shared" si="24"/>
        <v>174.28</v>
      </c>
      <c r="AV59" s="111">
        <f t="shared" si="25"/>
        <v>0</v>
      </c>
      <c r="AW59" s="110">
        <f t="shared" si="26"/>
        <v>174.28</v>
      </c>
      <c r="AX59" s="105">
        <f t="shared" si="27"/>
        <v>270.27</v>
      </c>
      <c r="AY59" s="105">
        <f t="shared" si="28"/>
        <v>165.57</v>
      </c>
      <c r="AZ59" s="105">
        <f t="shared" si="29"/>
        <v>-104.7</v>
      </c>
      <c r="BA59" s="105">
        <f t="shared" si="30"/>
        <v>243.68</v>
      </c>
      <c r="BB59" s="105">
        <f t="shared" si="31"/>
        <v>156.54</v>
      </c>
      <c r="BC59" s="110">
        <f t="shared" si="32"/>
        <v>326.76</v>
      </c>
      <c r="BD59" s="110">
        <f t="shared" si="33"/>
        <v>243.68</v>
      </c>
      <c r="BE59" s="110">
        <f t="shared" si="34"/>
        <v>156.54</v>
      </c>
      <c r="BF59" s="105"/>
      <c r="BG59" s="105"/>
      <c r="BH59" s="111"/>
      <c r="BI59" s="105"/>
      <c r="BJ59" s="105"/>
      <c r="BK59" s="109"/>
      <c r="BL59" s="111"/>
      <c r="BM59" s="109"/>
      <c r="BN59" s="109"/>
      <c r="BO59" s="105"/>
      <c r="BP59" s="105"/>
      <c r="BQ59" s="109"/>
      <c r="BR59" s="110"/>
      <c r="BS59" s="110"/>
      <c r="BT59" s="110"/>
      <c r="BU59" s="110"/>
      <c r="BV59" s="110"/>
      <c r="BW59" s="112"/>
      <c r="BX59" s="112"/>
      <c r="BY59" s="110"/>
      <c r="BZ59" s="105"/>
      <c r="CA59" s="105"/>
      <c r="CB59" s="105"/>
      <c r="CC59" s="105"/>
      <c r="CD59" s="105"/>
      <c r="CE59" s="105"/>
    </row>
    <row r="60" spans="1:83" x14ac:dyDescent="0.15">
      <c r="A60" s="103">
        <v>677</v>
      </c>
      <c r="B60" s="98" t="str">
        <f>VLOOKUP($A60,'Rate Calculation'!$A$4:$AQ$208,42,FALSE)</f>
        <v>425080000</v>
      </c>
      <c r="C60" s="98" t="str">
        <f>VLOOKUP($A60,'Rate Calculation'!$A$4:$AQ$208,43,FALSE)</f>
        <v>Chesapeake Shores Nursing Center</v>
      </c>
      <c r="D60" s="98" t="str">
        <f>VLOOKUP($A60,'Rate Calculation'!$A$4:$F$208,5,FALSE)</f>
        <v>WASHINGTON METRO</v>
      </c>
      <c r="E60" s="98" t="str">
        <f>VLOOKUP($A60,'Rate Calculation'!$A$4:$F$208,6,FALSE)</f>
        <v>NON METRO</v>
      </c>
      <c r="F60" s="105">
        <f t="shared" si="8"/>
        <v>92.33</v>
      </c>
      <c r="G60" s="105">
        <f t="shared" si="9"/>
        <v>20.87</v>
      </c>
      <c r="H60" s="105">
        <f t="shared" si="10"/>
        <v>21.29</v>
      </c>
      <c r="I60" s="105">
        <f t="shared" si="11"/>
        <v>182.14</v>
      </c>
      <c r="J60" s="105">
        <f>VLOOKUP($A60,'Rate Calculation'!$A$4:$AZ$208,34,FALSE)</f>
        <v>0</v>
      </c>
      <c r="K60" s="105">
        <f t="shared" si="12"/>
        <v>316.63</v>
      </c>
      <c r="L60" s="164">
        <f t="shared" si="4"/>
        <v>0.98772000000000004</v>
      </c>
      <c r="M60" s="105">
        <f t="shared" si="13"/>
        <v>312.74</v>
      </c>
      <c r="N60" s="105">
        <f>VLOOKUP($A60,'Rate Calculation'!$A$4:$AL$208,38,FALSE)</f>
        <v>28.41</v>
      </c>
      <c r="O60" s="183">
        <f>VLOOKUP($A60,'Rate Calculation'!$A$4:$I$208,9,FALSE)</f>
        <v>1.3778999999999999</v>
      </c>
      <c r="P60" s="183">
        <f t="shared" si="5"/>
        <v>1.4432</v>
      </c>
      <c r="Q60" s="183">
        <f>VLOOKUP(A60,'CMI Data'!$A$4:$C$208,3,FALSE)</f>
        <v>1.4484999999999999</v>
      </c>
      <c r="R60" s="246">
        <f>VLOOKUP($A60,FRV!$A$4:$K$208,11,FALSE)</f>
        <v>45625</v>
      </c>
      <c r="S60" s="246">
        <f t="shared" si="6"/>
        <v>37198</v>
      </c>
      <c r="T60" s="246">
        <f>VLOOKUP($A60,FRV!$A$4:$L$208,12,FALSE)</f>
        <v>34114</v>
      </c>
      <c r="U60" s="183">
        <f>Inflation!$G$24</f>
        <v>1.0309999999999999</v>
      </c>
      <c r="V60" s="247">
        <f>VLOOKUP($A60,'Rate Calculation'!A61:X265,24,FALSE)</f>
        <v>89.55</v>
      </c>
      <c r="W60" s="110">
        <f t="shared" si="14"/>
        <v>92.33</v>
      </c>
      <c r="X60" s="110">
        <f>VLOOKUP($A60,'Rate Calculation'!A61:V265,22,FALSE)</f>
        <v>20.239999999999998</v>
      </c>
      <c r="Y60" s="110">
        <f t="shared" si="15"/>
        <v>20.87</v>
      </c>
      <c r="Z60" s="212">
        <f>VLOOKUP($A60,FRV!$A$4:$D$208,4,FALSE)</f>
        <v>45108</v>
      </c>
      <c r="AA60" s="212">
        <f>VLOOKUP($A60,FRV!$A$4:$F$208,6,FALSE)</f>
        <v>45291</v>
      </c>
      <c r="AB60" s="248">
        <f>VLOOKUP($A60,FRV!$A$4:$U$208,13,FALSE)</f>
        <v>6446882</v>
      </c>
      <c r="AC60" s="248">
        <f>VLOOKUP($A60,FRV!$A$4:$U$208,15,FALSE)</f>
        <v>235231</v>
      </c>
      <c r="AD60" s="248">
        <f>VLOOKUP($A60,FRV!$A$4:$U$208,14,FALSE)</f>
        <v>18500</v>
      </c>
      <c r="AE60" s="248">
        <f>VLOOKUP($A60,FRV!$A$4:$U$208,7,FALSE)</f>
        <v>125</v>
      </c>
      <c r="AF60" s="107">
        <f t="shared" si="16"/>
        <v>8994613</v>
      </c>
      <c r="AG60" s="107">
        <f t="shared" si="17"/>
        <v>71957</v>
      </c>
      <c r="AH60" s="107">
        <v>120000</v>
      </c>
      <c r="AI60" s="107">
        <f t="shared" si="18"/>
        <v>71957</v>
      </c>
      <c r="AJ60" s="107">
        <f t="shared" si="19"/>
        <v>8994625</v>
      </c>
      <c r="AK60" s="249">
        <f>IF(VLOOKUP($A60,'Rate Calculation'!$A$4:$D$208,4,FALSE)="baltimore city",0.1,0.08)</f>
        <v>0.08</v>
      </c>
      <c r="AL60" s="107">
        <f t="shared" si="20"/>
        <v>719570</v>
      </c>
      <c r="AM60" s="105">
        <f>IF(ISERROR(MATCH(A60&amp;AA60,'Days Exceptions'!$C$3:$C$16,0)),ROUND(AL60/(MAX(S60,T60)),2),ROUND(AL60/VLOOKUP(A60,'Days Exceptions'!$A$3:$J$16,8,FALSE),2))</f>
        <v>19.34</v>
      </c>
      <c r="AN60" s="213">
        <f>VLOOKUP($A60,'Rate Calculation'!$A$4:$AF$208,32,FALSE)</f>
        <v>1.95</v>
      </c>
      <c r="AO60" s="109">
        <f t="shared" si="21"/>
        <v>21.29</v>
      </c>
      <c r="AP60" s="247">
        <f>VLOOKUP($A60,'Rate Calculation'!$A$4:$Q$208,17,FALSE)</f>
        <v>160.75</v>
      </c>
      <c r="AQ60" s="247">
        <f t="shared" si="35"/>
        <v>165.73</v>
      </c>
      <c r="AR60" s="247">
        <f>VLOOKUP($A60,'Rate Calculation'!$A$4:$K$208,11,FALSE)</f>
        <v>176.01</v>
      </c>
      <c r="AS60" s="247">
        <f t="shared" si="22"/>
        <v>181.47</v>
      </c>
      <c r="AT60" s="110">
        <f t="shared" si="23"/>
        <v>173.26</v>
      </c>
      <c r="AU60" s="110">
        <f t="shared" si="24"/>
        <v>182.14</v>
      </c>
      <c r="AV60" s="111">
        <f t="shared" si="25"/>
        <v>0</v>
      </c>
      <c r="AW60" s="110">
        <f t="shared" si="26"/>
        <v>182.14</v>
      </c>
      <c r="AX60" s="105">
        <f t="shared" si="27"/>
        <v>174.22</v>
      </c>
      <c r="AY60" s="105">
        <f t="shared" si="28"/>
        <v>173.03</v>
      </c>
      <c r="AZ60" s="105">
        <f t="shared" si="29"/>
        <v>-1.19</v>
      </c>
      <c r="BA60" s="105">
        <f t="shared" si="30"/>
        <v>225.56</v>
      </c>
      <c r="BB60" s="105">
        <f t="shared" si="31"/>
        <v>134.49</v>
      </c>
      <c r="BC60" s="110">
        <f t="shared" si="32"/>
        <v>341.15</v>
      </c>
      <c r="BD60" s="110">
        <f t="shared" si="33"/>
        <v>253.97</v>
      </c>
      <c r="BE60" s="110">
        <f t="shared" si="34"/>
        <v>162.9</v>
      </c>
      <c r="BF60" s="105"/>
      <c r="BG60" s="105"/>
      <c r="BH60" s="111"/>
      <c r="BI60" s="105"/>
      <c r="BJ60" s="105"/>
      <c r="BK60" s="109"/>
      <c r="BL60" s="111"/>
      <c r="BM60" s="109"/>
      <c r="BN60" s="109"/>
      <c r="BO60" s="105"/>
      <c r="BP60" s="105"/>
      <c r="BQ60" s="109"/>
      <c r="BR60" s="110"/>
      <c r="BS60" s="110"/>
      <c r="BT60" s="110"/>
      <c r="BU60" s="110"/>
      <c r="BV60" s="110"/>
      <c r="BW60" s="112"/>
      <c r="BX60" s="112"/>
      <c r="BY60" s="110"/>
      <c r="BZ60" s="105"/>
      <c r="CA60" s="105"/>
      <c r="CB60" s="105"/>
      <c r="CC60" s="105"/>
      <c r="CD60" s="105"/>
      <c r="CE60" s="105"/>
    </row>
    <row r="61" spans="1:83" x14ac:dyDescent="0.15">
      <c r="A61" s="103">
        <v>104</v>
      </c>
      <c r="B61" s="98" t="str">
        <f>VLOOKUP($A61,'Rate Calculation'!$A$4:$AQ$208,42,FALSE)</f>
        <v>667106300</v>
      </c>
      <c r="C61" s="98" t="str">
        <f>VLOOKUP($A61,'Rate Calculation'!$A$4:$AQ$208,43,FALSE)</f>
        <v>Chestertown Nursing and Rehab</v>
      </c>
      <c r="D61" s="98" t="str">
        <f>VLOOKUP($A61,'Rate Calculation'!$A$4:$F$208,5,FALSE)</f>
        <v>EASTERN REGION</v>
      </c>
      <c r="E61" s="98" t="str">
        <f>VLOOKUP($A61,'Rate Calculation'!$A$4:$F$208,6,FALSE)</f>
        <v>NON METRO</v>
      </c>
      <c r="F61" s="105">
        <f t="shared" si="8"/>
        <v>92.33</v>
      </c>
      <c r="G61" s="105">
        <f t="shared" si="9"/>
        <v>20.87</v>
      </c>
      <c r="H61" s="105">
        <f t="shared" si="10"/>
        <v>34.659999999999997</v>
      </c>
      <c r="I61" s="105">
        <f t="shared" si="11"/>
        <v>174.91</v>
      </c>
      <c r="J61" s="105">
        <f>VLOOKUP($A61,'Rate Calculation'!$A$4:$AZ$208,34,FALSE)</f>
        <v>0</v>
      </c>
      <c r="K61" s="105">
        <f t="shared" si="12"/>
        <v>322.77</v>
      </c>
      <c r="L61" s="164">
        <f t="shared" si="4"/>
        <v>0.98772000000000004</v>
      </c>
      <c r="M61" s="105">
        <f t="shared" si="13"/>
        <v>318.81</v>
      </c>
      <c r="N61" s="105">
        <f>VLOOKUP($A61,'Rate Calculation'!$A$4:$AL$208,38,FALSE)</f>
        <v>26.84</v>
      </c>
      <c r="O61" s="183">
        <f>VLOOKUP($A61,'Rate Calculation'!$A$4:$I$208,9,FALSE)</f>
        <v>1.4674</v>
      </c>
      <c r="P61" s="183">
        <f t="shared" si="5"/>
        <v>1.4432</v>
      </c>
      <c r="Q61" s="183">
        <f>VLOOKUP(A61,'CMI Data'!$A$4:$C$208,3,FALSE)</f>
        <v>1.694</v>
      </c>
      <c r="R61" s="246">
        <f>VLOOKUP($A61,FRV!$A$4:$K$208,11,FALSE)</f>
        <v>33580</v>
      </c>
      <c r="S61" s="246">
        <f t="shared" si="6"/>
        <v>27378</v>
      </c>
      <c r="T61" s="246">
        <f>VLOOKUP($A61,FRV!$A$4:$L$208,12,FALSE)</f>
        <v>26373</v>
      </c>
      <c r="U61" s="183">
        <f>Inflation!$G$24</f>
        <v>1.0309999999999999</v>
      </c>
      <c r="V61" s="247">
        <f>VLOOKUP($A61,'Rate Calculation'!A62:X266,24,FALSE)</f>
        <v>89.55</v>
      </c>
      <c r="W61" s="110">
        <f t="shared" si="14"/>
        <v>92.33</v>
      </c>
      <c r="X61" s="110">
        <f>VLOOKUP($A61,'Rate Calculation'!A62:V266,22,FALSE)</f>
        <v>20.239999999999998</v>
      </c>
      <c r="Y61" s="110">
        <f t="shared" si="15"/>
        <v>20.87</v>
      </c>
      <c r="Z61" s="212">
        <f>VLOOKUP($A61,FRV!$A$4:$D$208,4,FALSE)</f>
        <v>45108</v>
      </c>
      <c r="AA61" s="212">
        <f>VLOOKUP($A61,FRV!$A$4:$F$208,6,FALSE)</f>
        <v>45291</v>
      </c>
      <c r="AB61" s="248">
        <f>VLOOKUP($A61,FRV!$A$4:$U$208,13,FALSE)</f>
        <v>8936554</v>
      </c>
      <c r="AC61" s="248">
        <f>VLOOKUP($A61,FRV!$A$4:$U$208,15,FALSE)</f>
        <v>364170</v>
      </c>
      <c r="AD61" s="248">
        <f>VLOOKUP($A61,FRV!$A$4:$U$208,14,FALSE)</f>
        <v>22000</v>
      </c>
      <c r="AE61" s="248">
        <f>VLOOKUP($A61,FRV!$A$4:$U$208,7,FALSE)</f>
        <v>92</v>
      </c>
      <c r="AF61" s="107">
        <f t="shared" si="16"/>
        <v>11324724</v>
      </c>
      <c r="AG61" s="107">
        <f t="shared" si="17"/>
        <v>123095</v>
      </c>
      <c r="AH61" s="107">
        <v>120000</v>
      </c>
      <c r="AI61" s="107">
        <f t="shared" si="18"/>
        <v>120000</v>
      </c>
      <c r="AJ61" s="107">
        <f t="shared" si="19"/>
        <v>11040000</v>
      </c>
      <c r="AK61" s="249">
        <f>IF(VLOOKUP($A61,'Rate Calculation'!$A$4:$D$208,4,FALSE)="baltimore city",0.1,0.08)</f>
        <v>0.08</v>
      </c>
      <c r="AL61" s="107">
        <f t="shared" si="20"/>
        <v>883200</v>
      </c>
      <c r="AM61" s="105">
        <f>IF(ISERROR(MATCH(A61&amp;AA61,'Days Exceptions'!$C$3:$C$16,0)),ROUND(AL61/(MAX(S61,T61)),2),ROUND(AL61/VLOOKUP(A61,'Days Exceptions'!$A$3:$J$16,8,FALSE),2))</f>
        <v>32.26</v>
      </c>
      <c r="AN61" s="213">
        <f>VLOOKUP($A61,'Rate Calculation'!$A$4:$AF$208,32,FALSE)</f>
        <v>2.4</v>
      </c>
      <c r="AO61" s="109">
        <f t="shared" si="21"/>
        <v>34.659999999999997</v>
      </c>
      <c r="AP61" s="247">
        <f>VLOOKUP($A61,'Rate Calculation'!$A$4:$Q$208,17,FALSE)</f>
        <v>137.49</v>
      </c>
      <c r="AQ61" s="247">
        <f t="shared" si="35"/>
        <v>141.75</v>
      </c>
      <c r="AR61" s="247">
        <f>VLOOKUP($A61,'Rate Calculation'!$A$4:$K$208,11,FALSE)</f>
        <v>186.31</v>
      </c>
      <c r="AS61" s="247">
        <f t="shared" si="22"/>
        <v>192.09</v>
      </c>
      <c r="AT61" s="110">
        <f t="shared" si="23"/>
        <v>195.31</v>
      </c>
      <c r="AU61" s="110">
        <f t="shared" si="24"/>
        <v>225.47</v>
      </c>
      <c r="AV61" s="111">
        <f t="shared" si="25"/>
        <v>-50.56</v>
      </c>
      <c r="AW61" s="110">
        <f t="shared" si="26"/>
        <v>174.91</v>
      </c>
      <c r="AX61" s="105">
        <f t="shared" si="27"/>
        <v>163.63999999999999</v>
      </c>
      <c r="AY61" s="105">
        <f t="shared" si="28"/>
        <v>214.2</v>
      </c>
      <c r="AZ61" s="105">
        <f t="shared" si="29"/>
        <v>50.56</v>
      </c>
      <c r="BA61" s="105">
        <f t="shared" si="30"/>
        <v>235.32</v>
      </c>
      <c r="BB61" s="105">
        <f t="shared" si="31"/>
        <v>147.86000000000001</v>
      </c>
      <c r="BC61" s="110">
        <f t="shared" si="32"/>
        <v>345.65</v>
      </c>
      <c r="BD61" s="110">
        <f t="shared" si="33"/>
        <v>262.16000000000003</v>
      </c>
      <c r="BE61" s="110">
        <f t="shared" si="34"/>
        <v>174.7</v>
      </c>
      <c r="BF61" s="105"/>
      <c r="BG61" s="105"/>
      <c r="BH61" s="111"/>
      <c r="BI61" s="105"/>
      <c r="BJ61" s="105"/>
      <c r="BK61" s="109"/>
      <c r="BL61" s="111"/>
      <c r="BM61" s="109"/>
      <c r="BN61" s="109"/>
      <c r="BO61" s="105"/>
      <c r="BP61" s="105"/>
      <c r="BQ61" s="109"/>
      <c r="BR61" s="110"/>
      <c r="BS61" s="110"/>
      <c r="BT61" s="110"/>
      <c r="BU61" s="110"/>
      <c r="BV61" s="110"/>
      <c r="BW61" s="112"/>
      <c r="BX61" s="112"/>
      <c r="BY61" s="110"/>
      <c r="BZ61" s="105"/>
      <c r="CA61" s="105"/>
      <c r="CB61" s="105"/>
      <c r="CC61" s="105"/>
      <c r="CD61" s="105"/>
      <c r="CE61" s="105"/>
    </row>
    <row r="62" spans="1:83" x14ac:dyDescent="0.15">
      <c r="A62" s="103">
        <v>108</v>
      </c>
      <c r="B62" s="98" t="str">
        <f>VLOOKUP($A62,'Rate Calculation'!$A$4:$AQ$208,42,FALSE)</f>
        <v>103957100</v>
      </c>
      <c r="C62" s="98" t="str">
        <f>VLOOKUP($A62,'Rate Calculation'!$A$4:$AQ$208,43,FALSE)</f>
        <v>Citizens Care and Rehab. Center of Frederick</v>
      </c>
      <c r="D62" s="98" t="str">
        <f>VLOOKUP($A62,'Rate Calculation'!$A$4:$F$208,5,FALSE)</f>
        <v>WASHINGTON METRO</v>
      </c>
      <c r="E62" s="98" t="str">
        <f>VLOOKUP($A62,'Rate Calculation'!$A$4:$F$208,6,FALSE)</f>
        <v>NON METRO</v>
      </c>
      <c r="F62" s="105">
        <f t="shared" si="8"/>
        <v>92.33</v>
      </c>
      <c r="G62" s="105">
        <f t="shared" si="9"/>
        <v>20.87</v>
      </c>
      <c r="H62" s="105">
        <f t="shared" si="10"/>
        <v>28.35</v>
      </c>
      <c r="I62" s="105">
        <f t="shared" si="11"/>
        <v>159.63</v>
      </c>
      <c r="J62" s="105">
        <f>VLOOKUP($A62,'Rate Calculation'!$A$4:$AZ$208,34,FALSE)</f>
        <v>0</v>
      </c>
      <c r="K62" s="105">
        <f t="shared" si="12"/>
        <v>301.18</v>
      </c>
      <c r="L62" s="164">
        <f t="shared" si="4"/>
        <v>0.98772000000000004</v>
      </c>
      <c r="M62" s="105">
        <f t="shared" si="13"/>
        <v>297.48</v>
      </c>
      <c r="N62" s="105">
        <f>VLOOKUP($A62,'Rate Calculation'!$A$4:$AL$208,38,FALSE)</f>
        <v>26.7</v>
      </c>
      <c r="O62" s="183">
        <f>VLOOKUP($A62,'Rate Calculation'!$A$4:$I$208,9,FALSE)</f>
        <v>1.5765</v>
      </c>
      <c r="P62" s="183">
        <f t="shared" si="5"/>
        <v>1.4432</v>
      </c>
      <c r="Q62" s="183">
        <f>VLOOKUP(A62,'CMI Data'!$A$4:$C$208,3,FALSE)</f>
        <v>1.2695000000000001</v>
      </c>
      <c r="R62" s="246">
        <f>VLOOKUP($A62,FRV!$A$4:$K$208,11,FALSE)</f>
        <v>62780</v>
      </c>
      <c r="S62" s="246">
        <f t="shared" si="6"/>
        <v>51185</v>
      </c>
      <c r="T62" s="246">
        <f>VLOOKUP($A62,FRV!$A$4:$L$208,12,FALSE)</f>
        <v>58244</v>
      </c>
      <c r="U62" s="183">
        <f>Inflation!$G$24</f>
        <v>1.0309999999999999</v>
      </c>
      <c r="V62" s="247">
        <f>VLOOKUP($A62,'Rate Calculation'!A63:X267,24,FALSE)</f>
        <v>89.55</v>
      </c>
      <c r="W62" s="110">
        <f t="shared" si="14"/>
        <v>92.33</v>
      </c>
      <c r="X62" s="110">
        <f>VLOOKUP($A62,'Rate Calculation'!A63:V267,22,FALSE)</f>
        <v>20.239999999999998</v>
      </c>
      <c r="Y62" s="110">
        <f t="shared" si="15"/>
        <v>20.87</v>
      </c>
      <c r="Z62" s="212">
        <f>VLOOKUP($A62,FRV!$A$4:$D$208,4,FALSE)</f>
        <v>45108</v>
      </c>
      <c r="AA62" s="212">
        <f>VLOOKUP($A62,FRV!$A$4:$F$208,6,FALSE)</f>
        <v>45107</v>
      </c>
      <c r="AB62" s="248">
        <f>VLOOKUP($A62,FRV!$A$4:$U$208,13,FALSE)</f>
        <v>38040114</v>
      </c>
      <c r="AC62" s="248">
        <f>VLOOKUP($A62,FRV!$A$4:$U$208,15,FALSE)</f>
        <v>793315</v>
      </c>
      <c r="AD62" s="248">
        <f>VLOOKUP($A62,FRV!$A$4:$U$208,14,FALSE)</f>
        <v>20000</v>
      </c>
      <c r="AE62" s="248">
        <f>VLOOKUP($A62,FRV!$A$4:$U$208,7,FALSE)</f>
        <v>172</v>
      </c>
      <c r="AF62" s="107">
        <f t="shared" si="16"/>
        <v>42273429</v>
      </c>
      <c r="AG62" s="107">
        <f t="shared" si="17"/>
        <v>245776</v>
      </c>
      <c r="AH62" s="107">
        <v>120000</v>
      </c>
      <c r="AI62" s="107">
        <f t="shared" si="18"/>
        <v>120000</v>
      </c>
      <c r="AJ62" s="107">
        <f t="shared" si="19"/>
        <v>20640000</v>
      </c>
      <c r="AK62" s="249">
        <f>IF(VLOOKUP($A62,'Rate Calculation'!$A$4:$D$208,4,FALSE)="baltimore city",0.1,0.08)</f>
        <v>0.08</v>
      </c>
      <c r="AL62" s="107">
        <f t="shared" si="20"/>
        <v>1651200</v>
      </c>
      <c r="AM62" s="105">
        <f>IF(ISERROR(MATCH(A62&amp;AA62,'Days Exceptions'!$C$3:$C$16,0)),ROUND(AL62/(MAX(S62,T62)),2),ROUND(AL62/VLOOKUP(A62,'Days Exceptions'!$A$3:$J$16,8,FALSE),2))</f>
        <v>28.35</v>
      </c>
      <c r="AN62" s="213">
        <f>VLOOKUP($A62,'Rate Calculation'!$A$4:$AF$208,32,FALSE)</f>
        <v>0</v>
      </c>
      <c r="AO62" s="109">
        <f t="shared" si="21"/>
        <v>28.35</v>
      </c>
      <c r="AP62" s="247">
        <f>VLOOKUP($A62,'Rate Calculation'!$A$4:$Q$208,17,FALSE)</f>
        <v>226.45</v>
      </c>
      <c r="AQ62" s="247">
        <f t="shared" si="35"/>
        <v>233.47</v>
      </c>
      <c r="AR62" s="247">
        <f>VLOOKUP($A62,'Rate Calculation'!$A$4:$K$208,11,FALSE)</f>
        <v>176.01</v>
      </c>
      <c r="AS62" s="247">
        <f t="shared" si="22"/>
        <v>181.47</v>
      </c>
      <c r="AT62" s="110">
        <f t="shared" si="23"/>
        <v>198.23</v>
      </c>
      <c r="AU62" s="110">
        <f t="shared" si="24"/>
        <v>159.63</v>
      </c>
      <c r="AV62" s="111">
        <f t="shared" si="25"/>
        <v>0</v>
      </c>
      <c r="AW62" s="110">
        <f t="shared" si="26"/>
        <v>159.63</v>
      </c>
      <c r="AX62" s="105">
        <f t="shared" si="27"/>
        <v>188.01</v>
      </c>
      <c r="AY62" s="105">
        <f t="shared" si="28"/>
        <v>151.65</v>
      </c>
      <c r="AZ62" s="105">
        <f t="shared" si="29"/>
        <v>-36.36</v>
      </c>
      <c r="BA62" s="105">
        <f t="shared" si="30"/>
        <v>221.37</v>
      </c>
      <c r="BB62" s="105">
        <f t="shared" si="31"/>
        <v>141.55000000000001</v>
      </c>
      <c r="BC62" s="110">
        <f t="shared" si="32"/>
        <v>324.18</v>
      </c>
      <c r="BD62" s="110">
        <f t="shared" si="33"/>
        <v>248.07</v>
      </c>
      <c r="BE62" s="110">
        <f t="shared" si="34"/>
        <v>168.25</v>
      </c>
      <c r="BF62" s="105"/>
      <c r="BG62" s="105"/>
      <c r="BH62" s="111"/>
      <c r="BI62" s="105"/>
      <c r="BJ62" s="105"/>
      <c r="BK62" s="109"/>
      <c r="BL62" s="111"/>
      <c r="BM62" s="109"/>
      <c r="BN62" s="109"/>
      <c r="BO62" s="105"/>
      <c r="BP62" s="105"/>
      <c r="BQ62" s="109"/>
      <c r="BR62" s="110"/>
      <c r="BS62" s="110"/>
      <c r="BT62" s="110"/>
      <c r="BU62" s="110"/>
      <c r="BV62" s="110"/>
      <c r="BW62" s="112"/>
      <c r="BX62" s="112"/>
      <c r="BY62" s="110"/>
      <c r="BZ62" s="105"/>
      <c r="CA62" s="105"/>
      <c r="CB62" s="105"/>
      <c r="CC62" s="105"/>
      <c r="CD62" s="105"/>
      <c r="CE62" s="105"/>
    </row>
    <row r="63" spans="1:83" x14ac:dyDescent="0.15">
      <c r="A63" s="103">
        <v>106</v>
      </c>
      <c r="B63" s="98" t="str">
        <f>VLOOKUP($A63,'Rate Calculation'!$A$4:$AQ$208,42,FALSE)</f>
        <v>124507400</v>
      </c>
      <c r="C63" s="98" t="str">
        <f>VLOOKUP($A63,'Rate Calculation'!$A$4:$AQ$208,43,FALSE)</f>
        <v>Citizens Nursing Home of Harford County</v>
      </c>
      <c r="D63" s="98" t="str">
        <f>VLOOKUP($A63,'Rate Calculation'!$A$4:$F$208,5,FALSE)</f>
        <v>BALTIMORE METRO</v>
      </c>
      <c r="E63" s="98" t="str">
        <f>VLOOKUP($A63,'Rate Calculation'!$A$4:$F$208,6,FALSE)</f>
        <v>BALTIMORE METRO</v>
      </c>
      <c r="F63" s="105">
        <f t="shared" si="8"/>
        <v>105.18</v>
      </c>
      <c r="G63" s="105">
        <f t="shared" si="9"/>
        <v>21.5</v>
      </c>
      <c r="H63" s="105">
        <f t="shared" si="10"/>
        <v>32.26</v>
      </c>
      <c r="I63" s="105">
        <f t="shared" si="11"/>
        <v>177.51</v>
      </c>
      <c r="J63" s="105">
        <f>VLOOKUP($A63,'Rate Calculation'!$A$4:$AZ$208,34,FALSE)</f>
        <v>0</v>
      </c>
      <c r="K63" s="105">
        <f t="shared" si="12"/>
        <v>336.45</v>
      </c>
      <c r="L63" s="164">
        <f t="shared" si="4"/>
        <v>0.98772000000000004</v>
      </c>
      <c r="M63" s="105">
        <f t="shared" si="13"/>
        <v>332.32</v>
      </c>
      <c r="N63" s="105">
        <f>VLOOKUP($A63,'Rate Calculation'!$A$4:$AL$208,38,FALSE)</f>
        <v>29.04</v>
      </c>
      <c r="O63" s="183">
        <f>VLOOKUP($A63,'Rate Calculation'!$A$4:$I$208,9,FALSE)</f>
        <v>1.2817000000000001</v>
      </c>
      <c r="P63" s="183">
        <f t="shared" si="5"/>
        <v>1.4432</v>
      </c>
      <c r="Q63" s="183">
        <f>VLOOKUP(A63,'CMI Data'!$A$4:$C$208,3,FALSE)</f>
        <v>1.2721</v>
      </c>
      <c r="R63" s="246">
        <f>VLOOKUP($A63,FRV!$A$4:$K$208,11,FALSE)</f>
        <v>67160</v>
      </c>
      <c r="S63" s="246">
        <f t="shared" si="6"/>
        <v>54756</v>
      </c>
      <c r="T63" s="246">
        <f>VLOOKUP($A63,FRV!$A$4:$L$208,12,FALSE)</f>
        <v>38933</v>
      </c>
      <c r="U63" s="183">
        <f>Inflation!$G$24</f>
        <v>1.0309999999999999</v>
      </c>
      <c r="V63" s="247">
        <f>VLOOKUP($A63,'Rate Calculation'!A64:X268,24,FALSE)</f>
        <v>102.02</v>
      </c>
      <c r="W63" s="110">
        <f t="shared" si="14"/>
        <v>105.18</v>
      </c>
      <c r="X63" s="110">
        <f>VLOOKUP($A63,'Rate Calculation'!A64:V268,22,FALSE)</f>
        <v>20.85</v>
      </c>
      <c r="Y63" s="110">
        <f t="shared" si="15"/>
        <v>21.5</v>
      </c>
      <c r="Z63" s="212">
        <f>VLOOKUP($A63,FRV!$A$4:$D$208,4,FALSE)</f>
        <v>45108</v>
      </c>
      <c r="AA63" s="212">
        <f>VLOOKUP($A63,FRV!$A$4:$F$208,6,FALSE)</f>
        <v>45107</v>
      </c>
      <c r="AB63" s="248">
        <f>VLOOKUP($A63,FRV!$A$4:$U$208,13,FALSE)</f>
        <v>20193245</v>
      </c>
      <c r="AC63" s="248">
        <f>VLOOKUP($A63,FRV!$A$4:$U$208,15,FALSE)</f>
        <v>549050</v>
      </c>
      <c r="AD63" s="248">
        <f>VLOOKUP($A63,FRV!$A$4:$U$208,14,FALSE)</f>
        <v>20000</v>
      </c>
      <c r="AE63" s="248">
        <f>VLOOKUP($A63,FRV!$A$4:$U$208,7,FALSE)</f>
        <v>184</v>
      </c>
      <c r="AF63" s="107">
        <f t="shared" si="16"/>
        <v>24422295</v>
      </c>
      <c r="AG63" s="107">
        <f t="shared" si="17"/>
        <v>132730</v>
      </c>
      <c r="AH63" s="107">
        <v>120000</v>
      </c>
      <c r="AI63" s="107">
        <f t="shared" si="18"/>
        <v>120000</v>
      </c>
      <c r="AJ63" s="107">
        <f t="shared" si="19"/>
        <v>22080000</v>
      </c>
      <c r="AK63" s="249">
        <f>IF(VLOOKUP($A63,'Rate Calculation'!$A$4:$D$208,4,FALSE)="baltimore city",0.1,0.08)</f>
        <v>0.08</v>
      </c>
      <c r="AL63" s="107">
        <f t="shared" si="20"/>
        <v>1766400</v>
      </c>
      <c r="AM63" s="105">
        <f>IF(ISERROR(MATCH(A63&amp;AA63,'Days Exceptions'!$C$3:$C$16,0)),ROUND(AL63/(MAX(S63,T63)),2),ROUND(AL63/VLOOKUP(A63,'Days Exceptions'!$A$3:$J$16,8,FALSE),2))</f>
        <v>32.26</v>
      </c>
      <c r="AN63" s="213">
        <f>VLOOKUP($A63,'Rate Calculation'!$A$4:$AF$208,32,FALSE)</f>
        <v>0</v>
      </c>
      <c r="AO63" s="109">
        <f t="shared" si="21"/>
        <v>32.26</v>
      </c>
      <c r="AP63" s="247">
        <f>VLOOKUP($A63,'Rate Calculation'!$A$4:$Q$208,17,FALSE)</f>
        <v>169.91</v>
      </c>
      <c r="AQ63" s="247">
        <f t="shared" si="35"/>
        <v>175.18</v>
      </c>
      <c r="AR63" s="247">
        <f>VLOOKUP($A63,'Rate Calculation'!$A$4:$K$208,11,FALSE)</f>
        <v>195.33</v>
      </c>
      <c r="AS63" s="247">
        <f t="shared" si="22"/>
        <v>201.39</v>
      </c>
      <c r="AT63" s="110">
        <f t="shared" si="23"/>
        <v>178.85</v>
      </c>
      <c r="AU63" s="110">
        <f t="shared" si="24"/>
        <v>177.51</v>
      </c>
      <c r="AV63" s="111">
        <f t="shared" si="25"/>
        <v>0</v>
      </c>
      <c r="AW63" s="110">
        <f t="shared" si="26"/>
        <v>177.51</v>
      </c>
      <c r="AX63" s="105">
        <f t="shared" si="27"/>
        <v>173.87</v>
      </c>
      <c r="AY63" s="105">
        <f t="shared" si="28"/>
        <v>168.63</v>
      </c>
      <c r="AZ63" s="105">
        <f t="shared" si="29"/>
        <v>-5.24</v>
      </c>
      <c r="BA63" s="105">
        <f t="shared" si="30"/>
        <v>247.7</v>
      </c>
      <c r="BB63" s="105">
        <f t="shared" si="31"/>
        <v>158.94</v>
      </c>
      <c r="BC63" s="110">
        <f t="shared" si="32"/>
        <v>361.36</v>
      </c>
      <c r="BD63" s="110">
        <f t="shared" si="33"/>
        <v>276.74</v>
      </c>
      <c r="BE63" s="110">
        <f t="shared" si="34"/>
        <v>187.98</v>
      </c>
      <c r="BF63" s="105"/>
      <c r="BG63" s="105"/>
      <c r="BH63" s="111"/>
      <c r="BI63" s="105"/>
      <c r="BJ63" s="105"/>
      <c r="BK63" s="109"/>
      <c r="BL63" s="111"/>
      <c r="BM63" s="109"/>
      <c r="BN63" s="109"/>
      <c r="BO63" s="105"/>
      <c r="BP63" s="105"/>
      <c r="BQ63" s="109"/>
      <c r="BR63" s="110"/>
      <c r="BS63" s="110"/>
      <c r="BT63" s="110"/>
      <c r="BU63" s="110"/>
      <c r="BV63" s="110"/>
      <c r="BW63" s="112"/>
      <c r="BX63" s="112"/>
      <c r="BY63" s="110"/>
      <c r="BZ63" s="105"/>
      <c r="CA63" s="105"/>
      <c r="CB63" s="105"/>
      <c r="CC63" s="105"/>
      <c r="CD63" s="105"/>
      <c r="CE63" s="105"/>
    </row>
    <row r="64" spans="1:83" x14ac:dyDescent="0.15">
      <c r="A64" s="103">
        <v>112</v>
      </c>
      <c r="B64" s="98" t="str">
        <f>VLOOKUP($A64,'Rate Calculation'!$A$4:$AQ$208,42,FALSE)</f>
        <v>411115000</v>
      </c>
      <c r="C64" s="98" t="str">
        <f>VLOOKUP($A64,'Rate Calculation'!$A$4:$AQ$208,43,FALSE)</f>
        <v>Clinton Nursing and Rehabilitation Center</v>
      </c>
      <c r="D64" s="98" t="str">
        <f>VLOOKUP($A64,'Rate Calculation'!$A$4:$F$208,5,FALSE)</f>
        <v>WASHINGTON METRO</v>
      </c>
      <c r="E64" s="98" t="str">
        <f>VLOOKUP($A64,'Rate Calculation'!$A$4:$F$208,6,FALSE)</f>
        <v>WASHINGTON METRO</v>
      </c>
      <c r="F64" s="105">
        <f t="shared" si="8"/>
        <v>103.73</v>
      </c>
      <c r="G64" s="105">
        <f t="shared" si="9"/>
        <v>19.829999999999998</v>
      </c>
      <c r="H64" s="105">
        <f t="shared" si="10"/>
        <v>26.69</v>
      </c>
      <c r="I64" s="105">
        <f t="shared" si="11"/>
        <v>138.22</v>
      </c>
      <c r="J64" s="105">
        <f>VLOOKUP($A64,'Rate Calculation'!$A$4:$AZ$208,34,FALSE)</f>
        <v>0</v>
      </c>
      <c r="K64" s="105">
        <f t="shared" si="12"/>
        <v>288.47000000000003</v>
      </c>
      <c r="L64" s="164">
        <f t="shared" si="4"/>
        <v>0.98772000000000004</v>
      </c>
      <c r="M64" s="105">
        <f t="shared" si="13"/>
        <v>284.93</v>
      </c>
      <c r="N64" s="105">
        <f>VLOOKUP($A64,'Rate Calculation'!$A$4:$AL$208,38,FALSE)</f>
        <v>32.020000000000003</v>
      </c>
      <c r="O64" s="183">
        <f>VLOOKUP($A64,'Rate Calculation'!$A$4:$I$208,9,FALSE)</f>
        <v>1.2639</v>
      </c>
      <c r="P64" s="183">
        <f t="shared" si="5"/>
        <v>1.4432</v>
      </c>
      <c r="Q64" s="183">
        <f>VLOOKUP(A64,'CMI Data'!$A$4:$C$208,3,FALSE)</f>
        <v>1.3071999999999999</v>
      </c>
      <c r="R64" s="246">
        <f>VLOOKUP($A64,FRV!$A$4:$K$208,11,FALSE)</f>
        <v>97455</v>
      </c>
      <c r="S64" s="246">
        <f t="shared" si="6"/>
        <v>79455</v>
      </c>
      <c r="T64" s="246">
        <f>VLOOKUP($A64,FRV!$A$4:$L$208,12,FALSE)</f>
        <v>85865</v>
      </c>
      <c r="U64" s="183">
        <f>Inflation!$G$24</f>
        <v>1.0309999999999999</v>
      </c>
      <c r="V64" s="247">
        <f>VLOOKUP($A64,'Rate Calculation'!A65:X269,24,FALSE)</f>
        <v>100.61</v>
      </c>
      <c r="W64" s="110">
        <f t="shared" si="14"/>
        <v>103.73</v>
      </c>
      <c r="X64" s="110">
        <f>VLOOKUP($A64,'Rate Calculation'!A65:V269,22,FALSE)</f>
        <v>19.23</v>
      </c>
      <c r="Y64" s="110">
        <f t="shared" si="15"/>
        <v>19.829999999999998</v>
      </c>
      <c r="Z64" s="212">
        <f>VLOOKUP($A64,FRV!$A$4:$D$208,4,FALSE)</f>
        <v>44743</v>
      </c>
      <c r="AA64" s="212">
        <f>VLOOKUP($A64,FRV!$A$4:$F$208,6,FALSE)</f>
        <v>44742</v>
      </c>
      <c r="AB64" s="248">
        <f>VLOOKUP($A64,FRV!$A$4:$U$208,13,FALSE)</f>
        <v>19832112</v>
      </c>
      <c r="AC64" s="248">
        <f>VLOOKUP($A64,FRV!$A$4:$U$208,15,FALSE)</f>
        <v>357198</v>
      </c>
      <c r="AD64" s="248">
        <f>VLOOKUP($A64,FRV!$A$4:$U$208,14,FALSE)</f>
        <v>18000</v>
      </c>
      <c r="AE64" s="248">
        <f>VLOOKUP($A64,FRV!$A$4:$U$208,7,FALSE)</f>
        <v>267</v>
      </c>
      <c r="AF64" s="107">
        <f t="shared" si="16"/>
        <v>24995310</v>
      </c>
      <c r="AG64" s="107">
        <f t="shared" si="17"/>
        <v>93615</v>
      </c>
      <c r="AH64" s="107">
        <v>120000</v>
      </c>
      <c r="AI64" s="107">
        <f t="shared" si="18"/>
        <v>93615</v>
      </c>
      <c r="AJ64" s="107">
        <f t="shared" si="19"/>
        <v>24995205</v>
      </c>
      <c r="AK64" s="249">
        <f>IF(VLOOKUP($A64,'Rate Calculation'!$A$4:$D$208,4,FALSE)="baltimore city",0.1,0.08)</f>
        <v>0.08</v>
      </c>
      <c r="AL64" s="107">
        <f t="shared" si="20"/>
        <v>1999616</v>
      </c>
      <c r="AM64" s="105">
        <f>IF(ISERROR(MATCH(A64&amp;AA64,'Days Exceptions'!$C$3:$C$16,0)),ROUND(AL64/(MAX(S64,T64)),2),ROUND(AL64/VLOOKUP(A64,'Days Exceptions'!$A$3:$J$16,8,FALSE),2))</f>
        <v>23.29</v>
      </c>
      <c r="AN64" s="213">
        <f>VLOOKUP($A64,'Rate Calculation'!$A$4:$AF$208,32,FALSE)</f>
        <v>3.4</v>
      </c>
      <c r="AO64" s="109">
        <f t="shared" si="21"/>
        <v>26.69</v>
      </c>
      <c r="AP64" s="247">
        <f>VLOOKUP($A64,'Rate Calculation'!$A$4:$Q$208,17,FALSE)</f>
        <v>121.91</v>
      </c>
      <c r="AQ64" s="247">
        <f t="shared" si="35"/>
        <v>125.69</v>
      </c>
      <c r="AR64" s="247">
        <f>VLOOKUP($A64,'Rate Calculation'!$A$4:$K$208,11,FALSE)</f>
        <v>176.01</v>
      </c>
      <c r="AS64" s="247">
        <f t="shared" si="22"/>
        <v>181.47</v>
      </c>
      <c r="AT64" s="110">
        <f t="shared" si="23"/>
        <v>158.91999999999999</v>
      </c>
      <c r="AU64" s="110">
        <f t="shared" si="24"/>
        <v>164.36</v>
      </c>
      <c r="AV64" s="111">
        <f t="shared" si="25"/>
        <v>-26.14</v>
      </c>
      <c r="AW64" s="110">
        <f t="shared" si="26"/>
        <v>138.22</v>
      </c>
      <c r="AX64" s="105">
        <f t="shared" si="27"/>
        <v>130</v>
      </c>
      <c r="AY64" s="105">
        <f t="shared" si="28"/>
        <v>156.13999999999999</v>
      </c>
      <c r="AZ64" s="105">
        <f t="shared" si="29"/>
        <v>26.14</v>
      </c>
      <c r="BA64" s="105">
        <f t="shared" si="30"/>
        <v>219.36</v>
      </c>
      <c r="BB64" s="105">
        <f t="shared" si="31"/>
        <v>150.25</v>
      </c>
      <c r="BC64" s="110">
        <f t="shared" si="32"/>
        <v>316.95</v>
      </c>
      <c r="BD64" s="110">
        <f t="shared" si="33"/>
        <v>251.38</v>
      </c>
      <c r="BE64" s="110">
        <f t="shared" si="34"/>
        <v>182.27</v>
      </c>
      <c r="BF64" s="105"/>
      <c r="BG64" s="105"/>
      <c r="BH64" s="111"/>
      <c r="BI64" s="105"/>
      <c r="BJ64" s="105"/>
      <c r="BK64" s="109"/>
      <c r="BL64" s="111"/>
      <c r="BM64" s="109"/>
      <c r="BN64" s="109"/>
      <c r="BO64" s="105"/>
      <c r="BP64" s="105"/>
      <c r="BQ64" s="109"/>
      <c r="BR64" s="110"/>
      <c r="BS64" s="110"/>
      <c r="BT64" s="110"/>
      <c r="BU64" s="110"/>
      <c r="BV64" s="110"/>
      <c r="BW64" s="112"/>
      <c r="BX64" s="112"/>
      <c r="BY64" s="110"/>
      <c r="BZ64" s="105"/>
      <c r="CA64" s="105"/>
      <c r="CB64" s="105"/>
      <c r="CC64" s="105"/>
      <c r="CD64" s="105"/>
      <c r="CE64" s="105"/>
    </row>
    <row r="65" spans="1:83" x14ac:dyDescent="0.15">
      <c r="A65" s="103">
        <v>114</v>
      </c>
      <c r="B65" s="98" t="str">
        <f>VLOOKUP($A65,'Rate Calculation'!$A$4:$AQ$208,42,FALSE)</f>
        <v>235407100</v>
      </c>
      <c r="C65" s="98" t="str">
        <f>VLOOKUP($A65,'Rate Calculation'!$A$4:$AQ$208,43,FALSE)</f>
        <v>Coffman Nursing Home</v>
      </c>
      <c r="D65" s="98" t="str">
        <f>VLOOKUP($A65,'Rate Calculation'!$A$4:$F$208,5,FALSE)</f>
        <v>WESTERN REGION</v>
      </c>
      <c r="E65" s="98" t="str">
        <f>VLOOKUP($A65,'Rate Calculation'!$A$4:$F$208,6,FALSE)</f>
        <v>NON METRO</v>
      </c>
      <c r="F65" s="105">
        <f t="shared" si="8"/>
        <v>92.33</v>
      </c>
      <c r="G65" s="105">
        <f t="shared" si="9"/>
        <v>20.87</v>
      </c>
      <c r="H65" s="105">
        <f t="shared" si="10"/>
        <v>32.26</v>
      </c>
      <c r="I65" s="105">
        <f t="shared" si="11"/>
        <v>151.16</v>
      </c>
      <c r="J65" s="105">
        <f>VLOOKUP($A65,'Rate Calculation'!$A$4:$AZ$208,34,FALSE)</f>
        <v>0</v>
      </c>
      <c r="K65" s="105">
        <f t="shared" si="12"/>
        <v>296.62</v>
      </c>
      <c r="L65" s="164">
        <f t="shared" si="4"/>
        <v>0.98772000000000004</v>
      </c>
      <c r="M65" s="105">
        <f t="shared" si="13"/>
        <v>292.98</v>
      </c>
      <c r="N65" s="105">
        <f>VLOOKUP($A65,'Rate Calculation'!$A$4:$AL$208,38,FALSE)</f>
        <v>23.61</v>
      </c>
      <c r="O65" s="183">
        <f>VLOOKUP($A65,'Rate Calculation'!$A$4:$I$208,9,FALSE)</f>
        <v>1.2766</v>
      </c>
      <c r="P65" s="183">
        <f t="shared" si="5"/>
        <v>1.4432</v>
      </c>
      <c r="Q65" s="183">
        <f>VLOOKUP(A65,'CMI Data'!$A$4:$C$208,3,FALSE)</f>
        <v>1.2726999999999999</v>
      </c>
      <c r="R65" s="246">
        <f>VLOOKUP($A65,FRV!$A$4:$K$208,11,FALSE)</f>
        <v>21535</v>
      </c>
      <c r="S65" s="246">
        <f t="shared" si="6"/>
        <v>17557</v>
      </c>
      <c r="T65" s="246">
        <f>VLOOKUP($A65,FRV!$A$4:$L$208,12,FALSE)</f>
        <v>16944</v>
      </c>
      <c r="U65" s="183">
        <f>Inflation!$G$24</f>
        <v>1.0309999999999999</v>
      </c>
      <c r="V65" s="247">
        <f>VLOOKUP($A65,'Rate Calculation'!A66:X270,24,FALSE)</f>
        <v>89.55</v>
      </c>
      <c r="W65" s="110">
        <f t="shared" si="14"/>
        <v>92.33</v>
      </c>
      <c r="X65" s="110">
        <f>VLOOKUP($A65,'Rate Calculation'!A66:V270,22,FALSE)</f>
        <v>20.239999999999998</v>
      </c>
      <c r="Y65" s="110">
        <f t="shared" si="15"/>
        <v>20.87</v>
      </c>
      <c r="Z65" s="212">
        <f>VLOOKUP($A65,FRV!$A$4:$D$208,4,FALSE)</f>
        <v>44743</v>
      </c>
      <c r="AA65" s="212">
        <f>VLOOKUP($A65,FRV!$A$4:$F$208,6,FALSE)</f>
        <v>44865</v>
      </c>
      <c r="AB65" s="248">
        <f>VLOOKUP($A65,FRV!$A$4:$U$208,13,FALSE)</f>
        <v>8956217</v>
      </c>
      <c r="AC65" s="248">
        <f>VLOOKUP($A65,FRV!$A$4:$U$208,15,FALSE)</f>
        <v>265270</v>
      </c>
      <c r="AD65" s="248">
        <f>VLOOKUP($A65,FRV!$A$4:$U$208,14,FALSE)</f>
        <v>18000</v>
      </c>
      <c r="AE65" s="248">
        <f>VLOOKUP($A65,FRV!$A$4:$U$208,7,FALSE)</f>
        <v>59</v>
      </c>
      <c r="AF65" s="107">
        <f t="shared" si="16"/>
        <v>10283487</v>
      </c>
      <c r="AG65" s="107">
        <f t="shared" si="17"/>
        <v>174296</v>
      </c>
      <c r="AH65" s="107">
        <v>120000</v>
      </c>
      <c r="AI65" s="107">
        <f t="shared" si="18"/>
        <v>120000</v>
      </c>
      <c r="AJ65" s="107">
        <f t="shared" si="19"/>
        <v>7080000</v>
      </c>
      <c r="AK65" s="249">
        <f>IF(VLOOKUP($A65,'Rate Calculation'!$A$4:$D$208,4,FALSE)="baltimore city",0.1,0.08)</f>
        <v>0.08</v>
      </c>
      <c r="AL65" s="107">
        <f t="shared" si="20"/>
        <v>566400</v>
      </c>
      <c r="AM65" s="105">
        <f>IF(ISERROR(MATCH(A65&amp;AA65,'Days Exceptions'!$C$3:$C$16,0)),ROUND(AL65/(MAX(S65,T65)),2),ROUND(AL65/VLOOKUP(A65,'Days Exceptions'!$A$3:$J$16,8,FALSE),2))</f>
        <v>32.26</v>
      </c>
      <c r="AN65" s="213">
        <f>VLOOKUP($A65,'Rate Calculation'!$A$4:$AF$208,32,FALSE)</f>
        <v>0</v>
      </c>
      <c r="AO65" s="109">
        <f t="shared" si="21"/>
        <v>32.26</v>
      </c>
      <c r="AP65" s="247">
        <f>VLOOKUP($A65,'Rate Calculation'!$A$4:$Q$208,17,FALSE)</f>
        <v>189.39</v>
      </c>
      <c r="AQ65" s="247">
        <f t="shared" si="35"/>
        <v>195.26</v>
      </c>
      <c r="AR65" s="247">
        <f>VLOOKUP($A65,'Rate Calculation'!$A$4:$K$208,11,FALSE)</f>
        <v>166.26</v>
      </c>
      <c r="AS65" s="247">
        <f t="shared" si="22"/>
        <v>171.41</v>
      </c>
      <c r="AT65" s="110">
        <f t="shared" si="23"/>
        <v>151.62</v>
      </c>
      <c r="AU65" s="110">
        <f t="shared" si="24"/>
        <v>151.16</v>
      </c>
      <c r="AV65" s="111">
        <f t="shared" si="25"/>
        <v>0</v>
      </c>
      <c r="AW65" s="110">
        <f t="shared" si="26"/>
        <v>151.16</v>
      </c>
      <c r="AX65" s="105">
        <f t="shared" si="27"/>
        <v>194.66</v>
      </c>
      <c r="AY65" s="105">
        <f t="shared" si="28"/>
        <v>143.6</v>
      </c>
      <c r="AZ65" s="105">
        <f t="shared" si="29"/>
        <v>-51.06</v>
      </c>
      <c r="BA65" s="105">
        <f t="shared" si="30"/>
        <v>221.04</v>
      </c>
      <c r="BB65" s="105">
        <f t="shared" si="31"/>
        <v>145.46</v>
      </c>
      <c r="BC65" s="110">
        <f t="shared" si="32"/>
        <v>316.58999999999997</v>
      </c>
      <c r="BD65" s="110">
        <f t="shared" si="33"/>
        <v>244.65</v>
      </c>
      <c r="BE65" s="110">
        <f t="shared" si="34"/>
        <v>169.07</v>
      </c>
      <c r="BF65" s="105"/>
      <c r="BG65" s="105"/>
      <c r="BH65" s="111"/>
      <c r="BI65" s="105"/>
      <c r="BJ65" s="105"/>
      <c r="BK65" s="109"/>
      <c r="BL65" s="111"/>
      <c r="BM65" s="109"/>
      <c r="BN65" s="109"/>
      <c r="BO65" s="105"/>
      <c r="BP65" s="105"/>
      <c r="BQ65" s="109"/>
      <c r="BR65" s="110"/>
      <c r="BS65" s="110"/>
      <c r="BT65" s="110"/>
      <c r="BU65" s="110"/>
      <c r="BV65" s="110"/>
      <c r="BW65" s="112"/>
      <c r="BX65" s="112"/>
      <c r="BY65" s="110"/>
      <c r="BZ65" s="105"/>
      <c r="CA65" s="105"/>
      <c r="CB65" s="105"/>
      <c r="CC65" s="105"/>
      <c r="CD65" s="105"/>
      <c r="CE65" s="105"/>
    </row>
    <row r="66" spans="1:83" x14ac:dyDescent="0.15">
      <c r="A66" s="103">
        <v>118</v>
      </c>
      <c r="B66" s="98" t="str">
        <f>VLOOKUP($A66,'Rate Calculation'!$A$4:$AQ$208,42,FALSE)</f>
        <v>729009800</v>
      </c>
      <c r="C66" s="98" t="str">
        <f>VLOOKUP($A66,'Rate Calculation'!$A$4:$AQ$208,43,FALSE)</f>
        <v>Collingswood Rehabilitation and Healthcare Center</v>
      </c>
      <c r="D66" s="98" t="str">
        <f>VLOOKUP($A66,'Rate Calculation'!$A$4:$F$208,5,FALSE)</f>
        <v>WASHINGTON METRO</v>
      </c>
      <c r="E66" s="98" t="str">
        <f>VLOOKUP($A66,'Rate Calculation'!$A$4:$F$208,6,FALSE)</f>
        <v>WASHINGTON METRO</v>
      </c>
      <c r="F66" s="105">
        <f t="shared" si="8"/>
        <v>103.73</v>
      </c>
      <c r="G66" s="105">
        <f t="shared" si="9"/>
        <v>19.829999999999998</v>
      </c>
      <c r="H66" s="105">
        <f t="shared" si="10"/>
        <v>32.32</v>
      </c>
      <c r="I66" s="105">
        <f t="shared" si="11"/>
        <v>185.23</v>
      </c>
      <c r="J66" s="105">
        <f>VLOOKUP($A66,'Rate Calculation'!$A$4:$AZ$208,34,FALSE)</f>
        <v>0</v>
      </c>
      <c r="K66" s="105">
        <f t="shared" si="12"/>
        <v>341.11</v>
      </c>
      <c r="L66" s="164">
        <f t="shared" si="4"/>
        <v>0.98772000000000004</v>
      </c>
      <c r="M66" s="105">
        <f t="shared" si="13"/>
        <v>336.92</v>
      </c>
      <c r="N66" s="105">
        <f>VLOOKUP($A66,'Rate Calculation'!$A$4:$AL$208,38,FALSE)</f>
        <v>24.94</v>
      </c>
      <c r="O66" s="183">
        <f>VLOOKUP($A66,'Rate Calculation'!$A$4:$I$208,9,FALSE)</f>
        <v>1.5469999999999999</v>
      </c>
      <c r="P66" s="183">
        <f t="shared" si="5"/>
        <v>1.4432</v>
      </c>
      <c r="Q66" s="183">
        <f>VLOOKUP(A66,'CMI Data'!$A$4:$C$208,3,FALSE)</f>
        <v>1.7498</v>
      </c>
      <c r="R66" s="246">
        <f>VLOOKUP($A66,FRV!$A$4:$K$208,11,FALSE)</f>
        <v>58400</v>
      </c>
      <c r="S66" s="246">
        <f t="shared" si="6"/>
        <v>47614</v>
      </c>
      <c r="T66" s="246">
        <f>VLOOKUP($A66,FRV!$A$4:$L$208,12,FALSE)</f>
        <v>53915</v>
      </c>
      <c r="U66" s="183">
        <f>Inflation!$G$24</f>
        <v>1.0309999999999999</v>
      </c>
      <c r="V66" s="247">
        <f>VLOOKUP($A66,'Rate Calculation'!A67:X271,24,FALSE)</f>
        <v>100.61</v>
      </c>
      <c r="W66" s="110">
        <f t="shared" si="14"/>
        <v>103.73</v>
      </c>
      <c r="X66" s="110">
        <f>VLOOKUP($A66,'Rate Calculation'!A67:V271,22,FALSE)</f>
        <v>19.23</v>
      </c>
      <c r="Y66" s="110">
        <f t="shared" si="15"/>
        <v>19.829999999999998</v>
      </c>
      <c r="Z66" s="212">
        <f>VLOOKUP($A66,FRV!$A$4:$D$208,4,FALSE)</f>
        <v>45108</v>
      </c>
      <c r="AA66" s="212">
        <f>VLOOKUP($A66,FRV!$A$4:$F$208,6,FALSE)</f>
        <v>45291</v>
      </c>
      <c r="AB66" s="248">
        <f>VLOOKUP($A66,FRV!$A$4:$U$208,13,FALSE)</f>
        <v>17656286</v>
      </c>
      <c r="AC66" s="248">
        <f>VLOOKUP($A66,FRV!$A$4:$U$208,15,FALSE)</f>
        <v>155527</v>
      </c>
      <c r="AD66" s="248">
        <f>VLOOKUP($A66,FRV!$A$4:$U$208,14,FALSE)</f>
        <v>27500</v>
      </c>
      <c r="AE66" s="248">
        <f>VLOOKUP($A66,FRV!$A$4:$U$208,7,FALSE)</f>
        <v>160</v>
      </c>
      <c r="AF66" s="107">
        <f t="shared" si="16"/>
        <v>22211813</v>
      </c>
      <c r="AG66" s="107">
        <f t="shared" si="17"/>
        <v>138824</v>
      </c>
      <c r="AH66" s="107">
        <v>120000</v>
      </c>
      <c r="AI66" s="107">
        <f t="shared" si="18"/>
        <v>120000</v>
      </c>
      <c r="AJ66" s="107">
        <f t="shared" si="19"/>
        <v>19200000</v>
      </c>
      <c r="AK66" s="249">
        <f>IF(VLOOKUP($A66,'Rate Calculation'!$A$4:$D$208,4,FALSE)="baltimore city",0.1,0.08)</f>
        <v>0.08</v>
      </c>
      <c r="AL66" s="107">
        <f t="shared" si="20"/>
        <v>1536000</v>
      </c>
      <c r="AM66" s="105">
        <f>IF(ISERROR(MATCH(A66&amp;AA66,'Days Exceptions'!$C$3:$C$16,0)),ROUND(AL66/(MAX(S66,T66)),2),ROUND(AL66/VLOOKUP(A66,'Days Exceptions'!$A$3:$J$16,8,FALSE),2))</f>
        <v>28.49</v>
      </c>
      <c r="AN66" s="213">
        <f>VLOOKUP($A66,'Rate Calculation'!$A$4:$AF$208,32,FALSE)</f>
        <v>3.83</v>
      </c>
      <c r="AO66" s="109">
        <f t="shared" si="21"/>
        <v>32.32</v>
      </c>
      <c r="AP66" s="247">
        <f>VLOOKUP($A66,'Rate Calculation'!$A$4:$Q$208,17,FALSE)</f>
        <v>149.41</v>
      </c>
      <c r="AQ66" s="247">
        <f t="shared" si="35"/>
        <v>154.04</v>
      </c>
      <c r="AR66" s="247">
        <f>VLOOKUP($A66,'Rate Calculation'!$A$4:$K$208,11,FALSE)</f>
        <v>176.01</v>
      </c>
      <c r="AS66" s="247">
        <f t="shared" si="22"/>
        <v>181.47</v>
      </c>
      <c r="AT66" s="110">
        <f t="shared" si="23"/>
        <v>194.52</v>
      </c>
      <c r="AU66" s="110">
        <f t="shared" si="24"/>
        <v>220.02</v>
      </c>
      <c r="AV66" s="111">
        <f t="shared" si="25"/>
        <v>-34.79</v>
      </c>
      <c r="AW66" s="110">
        <f t="shared" si="26"/>
        <v>185.23</v>
      </c>
      <c r="AX66" s="105">
        <f t="shared" si="27"/>
        <v>174.23</v>
      </c>
      <c r="AY66" s="105">
        <f t="shared" si="28"/>
        <v>209.02</v>
      </c>
      <c r="AZ66" s="105">
        <f t="shared" si="29"/>
        <v>34.79</v>
      </c>
      <c r="BA66" s="105">
        <f t="shared" si="30"/>
        <v>248.5</v>
      </c>
      <c r="BB66" s="105">
        <f t="shared" si="31"/>
        <v>155.88</v>
      </c>
      <c r="BC66" s="110">
        <f t="shared" si="32"/>
        <v>361.86</v>
      </c>
      <c r="BD66" s="110">
        <f t="shared" si="33"/>
        <v>273.44</v>
      </c>
      <c r="BE66" s="110">
        <f t="shared" si="34"/>
        <v>180.82</v>
      </c>
      <c r="BF66" s="105"/>
      <c r="BG66" s="105"/>
      <c r="BH66" s="111"/>
      <c r="BI66" s="105"/>
      <c r="BJ66" s="105"/>
      <c r="BK66" s="109"/>
      <c r="BL66" s="111"/>
      <c r="BM66" s="109"/>
      <c r="BN66" s="109"/>
      <c r="BO66" s="105"/>
      <c r="BP66" s="105"/>
      <c r="BQ66" s="109"/>
      <c r="BR66" s="110"/>
      <c r="BS66" s="110"/>
      <c r="BT66" s="110"/>
      <c r="BU66" s="110"/>
      <c r="BV66" s="110"/>
      <c r="BW66" s="112"/>
      <c r="BX66" s="112"/>
      <c r="BY66" s="110"/>
      <c r="BZ66" s="105"/>
      <c r="CA66" s="105"/>
      <c r="CB66" s="105"/>
      <c r="CC66" s="105"/>
      <c r="CD66" s="105"/>
      <c r="CE66" s="105"/>
    </row>
    <row r="67" spans="1:83" x14ac:dyDescent="0.15">
      <c r="A67" s="103">
        <v>665</v>
      </c>
      <c r="B67" s="98" t="str">
        <f>VLOOKUP($A67,'Rate Calculation'!$A$4:$AQ$208,42,FALSE)</f>
        <v>882346400</v>
      </c>
      <c r="C67" s="98" t="str">
        <f>VLOOKUP($A67,'Rate Calculation'!$A$4:$AQ$208,43,FALSE)</f>
        <v>Complete Care at Annapolis LLC</v>
      </c>
      <c r="D67" s="98" t="str">
        <f>VLOOKUP($A67,'Rate Calculation'!$A$4:$F$208,5,FALSE)</f>
        <v>BALTIMORE METRO</v>
      </c>
      <c r="E67" s="98" t="str">
        <f>VLOOKUP($A67,'Rate Calculation'!$A$4:$F$208,6,FALSE)</f>
        <v>BALTIMORE METRO</v>
      </c>
      <c r="F67" s="105">
        <f t="shared" si="8"/>
        <v>105.18</v>
      </c>
      <c r="G67" s="105">
        <f t="shared" si="9"/>
        <v>21.5</v>
      </c>
      <c r="H67" s="105">
        <f t="shared" si="10"/>
        <v>35.659999999999997</v>
      </c>
      <c r="I67" s="105">
        <f t="shared" si="11"/>
        <v>209.69</v>
      </c>
      <c r="J67" s="105">
        <f>VLOOKUP($A67,'Rate Calculation'!$A$4:$AZ$208,34,FALSE)</f>
        <v>0</v>
      </c>
      <c r="K67" s="105">
        <f t="shared" si="12"/>
        <v>372.03</v>
      </c>
      <c r="L67" s="164">
        <f t="shared" si="4"/>
        <v>0.98772000000000004</v>
      </c>
      <c r="M67" s="105">
        <f t="shared" si="13"/>
        <v>367.46</v>
      </c>
      <c r="N67" s="105">
        <f>VLOOKUP($A67,'Rate Calculation'!$A$4:$AL$208,38,FALSE)</f>
        <v>27.43</v>
      </c>
      <c r="O67" s="183">
        <f>VLOOKUP($A67,'Rate Calculation'!$A$4:$I$208,9,FALSE)</f>
        <v>1.5754999999999999</v>
      </c>
      <c r="P67" s="183">
        <f t="shared" ref="P67:P130" si="38">+SW_CR_CMI</f>
        <v>1.4432</v>
      </c>
      <c r="Q67" s="183">
        <f>VLOOKUP(A67,'CMI Data'!$A$4:$C$208,3,FALSE)</f>
        <v>1.5026999999999999</v>
      </c>
      <c r="R67" s="246">
        <f>VLOOKUP($A67,FRV!$A$4:$K$208,11,FALSE)</f>
        <v>35502</v>
      </c>
      <c r="S67" s="246">
        <f t="shared" ref="S67:S130" si="39">ROUND(R67*Min_Occ,2)</f>
        <v>28945</v>
      </c>
      <c r="T67" s="246">
        <f>VLOOKUP($A67,FRV!$A$4:$L$208,12,FALSE)</f>
        <v>28667</v>
      </c>
      <c r="U67" s="183">
        <f>Inflation!$G$24</f>
        <v>1.0309999999999999</v>
      </c>
      <c r="V67" s="247">
        <f>VLOOKUP($A67,'Rate Calculation'!A68:X272,24,FALSE)</f>
        <v>102.02</v>
      </c>
      <c r="W67" s="110">
        <f t="shared" si="14"/>
        <v>105.18</v>
      </c>
      <c r="X67" s="110">
        <f>VLOOKUP($A67,'Rate Calculation'!A68:V272,22,FALSE)</f>
        <v>20.85</v>
      </c>
      <c r="Y67" s="110">
        <f t="shared" si="15"/>
        <v>21.5</v>
      </c>
      <c r="Z67" s="212">
        <f>VLOOKUP($A67,FRV!$A$4:$D$208,4,FALSE)</f>
        <v>45474</v>
      </c>
      <c r="AA67" s="212">
        <f>VLOOKUP($A67,FRV!$A$4:$F$208,6,FALSE)</f>
        <v>45657</v>
      </c>
      <c r="AB67" s="248">
        <f>VLOOKUP($A67,FRV!$A$4:$U$208,13,FALSE)</f>
        <v>9959458</v>
      </c>
      <c r="AC67" s="248">
        <f>VLOOKUP($A67,FRV!$A$4:$U$208,15,FALSE)</f>
        <v>250633</v>
      </c>
      <c r="AD67" s="248">
        <f>VLOOKUP($A67,FRV!$A$4:$U$208,14,FALSE)</f>
        <v>26500</v>
      </c>
      <c r="AE67" s="248">
        <f>VLOOKUP($A67,FRV!$A$4:$U$208,7,FALSE)</f>
        <v>97</v>
      </c>
      <c r="AF67" s="107">
        <f t="shared" si="16"/>
        <v>12780591</v>
      </c>
      <c r="AG67" s="107">
        <f t="shared" si="17"/>
        <v>131759</v>
      </c>
      <c r="AH67" s="107">
        <v>120000</v>
      </c>
      <c r="AI67" s="107">
        <f t="shared" si="18"/>
        <v>120000</v>
      </c>
      <c r="AJ67" s="107">
        <f t="shared" si="19"/>
        <v>11640000</v>
      </c>
      <c r="AK67" s="249">
        <f>IF(VLOOKUP($A67,'Rate Calculation'!$A$4:$D$208,4,FALSE)="baltimore city",0.1,0.08)</f>
        <v>0.08</v>
      </c>
      <c r="AL67" s="107">
        <f t="shared" si="20"/>
        <v>931200</v>
      </c>
      <c r="AM67" s="105">
        <f>IF(ISERROR(MATCH(A67&amp;AA67,'Days Exceptions'!$C$3:$C$16,0)),ROUND(AL67/(MAX(S67,T67)),2),ROUND(AL67/VLOOKUP(A67,'Days Exceptions'!$A$3:$J$16,8,FALSE),2))</f>
        <v>32.17</v>
      </c>
      <c r="AN67" s="213">
        <f>VLOOKUP($A67,'Rate Calculation'!$A$4:$AF$208,32,FALSE)</f>
        <v>3.49</v>
      </c>
      <c r="AO67" s="109">
        <f t="shared" si="21"/>
        <v>35.659999999999997</v>
      </c>
      <c r="AP67" s="247">
        <f>VLOOKUP($A67,'Rate Calculation'!$A$4:$Q$208,17,FALSE)</f>
        <v>233.63</v>
      </c>
      <c r="AQ67" s="247">
        <f t="shared" si="35"/>
        <v>240.87</v>
      </c>
      <c r="AR67" s="247">
        <f>VLOOKUP($A67,'Rate Calculation'!$A$4:$K$208,11,FALSE)</f>
        <v>195.33</v>
      </c>
      <c r="AS67" s="247">
        <f t="shared" si="22"/>
        <v>201.39</v>
      </c>
      <c r="AT67" s="110">
        <f t="shared" si="23"/>
        <v>219.85</v>
      </c>
      <c r="AU67" s="110">
        <f t="shared" si="24"/>
        <v>209.69</v>
      </c>
      <c r="AV67" s="111">
        <f t="shared" si="25"/>
        <v>0</v>
      </c>
      <c r="AW67" s="110">
        <f t="shared" si="26"/>
        <v>209.69</v>
      </c>
      <c r="AX67" s="105">
        <f t="shared" si="27"/>
        <v>229.74</v>
      </c>
      <c r="AY67" s="105">
        <f t="shared" si="28"/>
        <v>199.21</v>
      </c>
      <c r="AZ67" s="105">
        <f t="shared" si="29"/>
        <v>-30.53</v>
      </c>
      <c r="BA67" s="105">
        <f t="shared" si="30"/>
        <v>267.19</v>
      </c>
      <c r="BB67" s="105">
        <f t="shared" si="31"/>
        <v>162.34</v>
      </c>
      <c r="BC67" s="110">
        <f t="shared" si="32"/>
        <v>394.89</v>
      </c>
      <c r="BD67" s="110">
        <f t="shared" si="33"/>
        <v>294.62</v>
      </c>
      <c r="BE67" s="110">
        <f t="shared" si="34"/>
        <v>189.77</v>
      </c>
      <c r="BF67" s="105"/>
      <c r="BG67" s="105"/>
      <c r="BH67" s="111"/>
      <c r="BI67" s="105"/>
      <c r="BJ67" s="105"/>
      <c r="BK67" s="109"/>
      <c r="BL67" s="111"/>
      <c r="BM67" s="109"/>
      <c r="BN67" s="109"/>
      <c r="BO67" s="105"/>
      <c r="BP67" s="105"/>
      <c r="BQ67" s="109"/>
      <c r="BR67" s="110"/>
      <c r="BS67" s="110"/>
      <c r="BT67" s="110"/>
      <c r="BU67" s="110"/>
      <c r="BV67" s="110"/>
      <c r="BW67" s="112"/>
      <c r="BX67" s="112"/>
      <c r="BY67" s="110"/>
      <c r="BZ67" s="105"/>
      <c r="CA67" s="105"/>
      <c r="CB67" s="105"/>
      <c r="CC67" s="105"/>
      <c r="CD67" s="105"/>
      <c r="CE67" s="105"/>
    </row>
    <row r="68" spans="1:83" x14ac:dyDescent="0.15">
      <c r="A68" s="103">
        <v>126</v>
      </c>
      <c r="B68" s="98" t="str">
        <f>VLOOKUP($A68,'Rate Calculation'!$A$4:$AQ$208,42,FALSE)</f>
        <v>999349500</v>
      </c>
      <c r="C68" s="98" t="str">
        <f>VLOOKUP($A68,'Rate Calculation'!$A$4:$AQ$208,43,FALSE)</f>
        <v>Complete Care at Corsica Hills LLC</v>
      </c>
      <c r="D68" s="98" t="str">
        <f>VLOOKUP($A68,'Rate Calculation'!$A$4:$F$208,5,FALSE)</f>
        <v>EASTERN REGION</v>
      </c>
      <c r="E68" s="98" t="str">
        <f>VLOOKUP($A68,'Rate Calculation'!$A$4:$F$208,6,FALSE)</f>
        <v>NON METRO</v>
      </c>
      <c r="F68" s="105">
        <f t="shared" ref="F68:F131" si="40">+W68</f>
        <v>92.33</v>
      </c>
      <c r="G68" s="105">
        <f t="shared" ref="G68:G131" si="41">+Y68</f>
        <v>20.87</v>
      </c>
      <c r="H68" s="105">
        <f t="shared" ref="H68:H131" si="42">+AO68</f>
        <v>33.15</v>
      </c>
      <c r="I68" s="105">
        <f t="shared" ref="I68:I131" si="43">+AW68</f>
        <v>182.8</v>
      </c>
      <c r="J68" s="105">
        <f>VLOOKUP($A68,'Rate Calculation'!$A$4:$AZ$208,34,FALSE)</f>
        <v>0</v>
      </c>
      <c r="K68" s="105">
        <f t="shared" si="12"/>
        <v>329.15</v>
      </c>
      <c r="L68" s="164">
        <f t="shared" ref="L68:L132" si="44">+_baf</f>
        <v>0.98772000000000004</v>
      </c>
      <c r="M68" s="105">
        <f t="shared" si="13"/>
        <v>325.11</v>
      </c>
      <c r="N68" s="105">
        <f>VLOOKUP($A68,'Rate Calculation'!$A$4:$AL$208,38,FALSE)</f>
        <v>26.34</v>
      </c>
      <c r="O68" s="183">
        <f>VLOOKUP($A68,'Rate Calculation'!$A$4:$I$208,9,FALSE)</f>
        <v>1.4742</v>
      </c>
      <c r="P68" s="183">
        <f t="shared" si="38"/>
        <v>1.4432</v>
      </c>
      <c r="Q68" s="183">
        <f>VLOOKUP(A68,'CMI Data'!$A$4:$C$208,3,FALSE)</f>
        <v>1.4104000000000001</v>
      </c>
      <c r="R68" s="246">
        <f>VLOOKUP($A68,FRV!$A$4:$K$208,11,FALSE)</f>
        <v>43800</v>
      </c>
      <c r="S68" s="246">
        <f t="shared" si="39"/>
        <v>35710</v>
      </c>
      <c r="T68" s="246">
        <f>VLOOKUP($A68,FRV!$A$4:$L$208,12,FALSE)</f>
        <v>36811</v>
      </c>
      <c r="U68" s="183">
        <f>Inflation!$G$24</f>
        <v>1.0309999999999999</v>
      </c>
      <c r="V68" s="247">
        <f>VLOOKUP($A68,'Rate Calculation'!A69:X273,24,FALSE)</f>
        <v>89.55</v>
      </c>
      <c r="W68" s="110">
        <f t="shared" ref="W68:W131" si="45">ROUND(V68*$U68,2)</f>
        <v>92.33</v>
      </c>
      <c r="X68" s="110">
        <f>VLOOKUP($A68,'Rate Calculation'!A69:V273,22,FALSE)</f>
        <v>20.239999999999998</v>
      </c>
      <c r="Y68" s="110">
        <f t="shared" ref="Y68:Y131" si="46">ROUND(X68*$U68,2)</f>
        <v>20.87</v>
      </c>
      <c r="Z68" s="212">
        <f>VLOOKUP($A68,FRV!$A$4:$D$208,4,FALSE)</f>
        <v>45108</v>
      </c>
      <c r="AA68" s="212">
        <f>VLOOKUP($A68,FRV!$A$4:$F$208,6,FALSE)</f>
        <v>45291</v>
      </c>
      <c r="AB68" s="248">
        <f>VLOOKUP($A68,FRV!$A$4:$U$208,13,FALSE)</f>
        <v>12215905</v>
      </c>
      <c r="AC68" s="248">
        <f>VLOOKUP($A68,FRV!$A$4:$U$208,15,FALSE)</f>
        <v>288693</v>
      </c>
      <c r="AD68" s="248">
        <f>VLOOKUP($A68,FRV!$A$4:$U$208,14,FALSE)</f>
        <v>22000</v>
      </c>
      <c r="AE68" s="248">
        <f>VLOOKUP($A68,FRV!$A$4:$U$208,7,FALSE)</f>
        <v>120</v>
      </c>
      <c r="AF68" s="107">
        <f t="shared" ref="AF68:AF131" si="47">ROUND(AB68+AC68+(AD68*AE68),0)</f>
        <v>15144598</v>
      </c>
      <c r="AG68" s="107">
        <f t="shared" ref="AG68:AG131" si="48">ROUND(AF68/AE68,0)</f>
        <v>126205</v>
      </c>
      <c r="AH68" s="107">
        <v>120000</v>
      </c>
      <c r="AI68" s="107">
        <f t="shared" ref="AI68:AI131" si="49">IF(AG68=0,120000,MIN(AH68,AG68))</f>
        <v>120000</v>
      </c>
      <c r="AJ68" s="107">
        <f t="shared" ref="AJ68:AJ131" si="50">AE68*AI68</f>
        <v>14400000</v>
      </c>
      <c r="AK68" s="249">
        <f>IF(VLOOKUP($A68,'Rate Calculation'!$A$4:$D$208,4,FALSE)="baltimore city",0.1,0.08)</f>
        <v>0.08</v>
      </c>
      <c r="AL68" s="107">
        <f t="shared" ref="AL68:AL131" si="51">ROUND(AE68*AI68*AK68,0)</f>
        <v>1152000</v>
      </c>
      <c r="AM68" s="105">
        <f>IF(ISERROR(MATCH(A68&amp;AA68,'Days Exceptions'!$C$3:$C$16,0)),ROUND(AL68/(MAX(S68,T68)),2),ROUND(AL68/VLOOKUP(A68,'Days Exceptions'!$A$3:$J$16,8,FALSE),2))</f>
        <v>31.29</v>
      </c>
      <c r="AN68" s="213">
        <f>VLOOKUP($A68,'Rate Calculation'!$A$4:$AF$208,32,FALSE)</f>
        <v>1.86</v>
      </c>
      <c r="AO68" s="109">
        <f t="shared" ref="AO68:AO131" si="52">+AM68+AN68</f>
        <v>33.15</v>
      </c>
      <c r="AP68" s="247">
        <f>VLOOKUP($A68,'Rate Calculation'!$A$4:$Q$208,17,FALSE)</f>
        <v>175.8</v>
      </c>
      <c r="AQ68" s="247">
        <f t="shared" si="35"/>
        <v>181.25</v>
      </c>
      <c r="AR68" s="247">
        <f>VLOOKUP($A68,'Rate Calculation'!$A$4:$K$208,11,FALSE)</f>
        <v>186.31</v>
      </c>
      <c r="AS68" s="247">
        <f t="shared" ref="AS68:AS131" si="53">ROUND(AR68*U68,2)</f>
        <v>192.09</v>
      </c>
      <c r="AT68" s="110">
        <f t="shared" ref="AT68:AT131" si="54">IF(AP68="NA","NA",ROUND(AS68*(O68/P68),2))</f>
        <v>196.22</v>
      </c>
      <c r="AU68" s="110">
        <f t="shared" ref="AU68:AU131" si="55">IF(O68="NA",ROUND(AS68*Q68,2),ROUND(AT68*(Q68/O68),2))</f>
        <v>187.73</v>
      </c>
      <c r="AV68" s="111">
        <f t="shared" ref="AV68:AV131" si="56">(MAX(0,AZ68))*-1</f>
        <v>-4.93</v>
      </c>
      <c r="AW68" s="110">
        <f t="shared" ref="AW68:AW131" si="57">+AU68+AV68</f>
        <v>182.8</v>
      </c>
      <c r="AX68" s="105">
        <f t="shared" ref="AX68:AX131" si="58">IF(AP68="NA","NA",ROUND(AQ68*(Q68/O68),2))</f>
        <v>173.41</v>
      </c>
      <c r="AY68" s="105">
        <f t="shared" ref="AY68:AY131" si="59">ROUND(AU68*0.95,2)</f>
        <v>178.34</v>
      </c>
      <c r="AZ68" s="105">
        <f t="shared" ref="AZ68:AZ131" si="60">IF(AX68="NA",0,AY68-AX68)</f>
        <v>4.93</v>
      </c>
      <c r="BA68" s="105">
        <f t="shared" ref="BA68:BA131" si="61">F68+G68+H68+ROUND(I68*0.5,2)+J68</f>
        <v>237.75</v>
      </c>
      <c r="BB68" s="105">
        <f t="shared" ref="BB68:BB131" si="62">F68+G68+H68+J68</f>
        <v>146.35</v>
      </c>
      <c r="BC68" s="110">
        <f t="shared" ref="BC68:BC131" si="63">M68+N68</f>
        <v>351.45</v>
      </c>
      <c r="BD68" s="110">
        <f t="shared" ref="BD68:BD131" si="64">N68+BA68</f>
        <v>264.08999999999997</v>
      </c>
      <c r="BE68" s="110">
        <f t="shared" ref="BE68:BE131" si="65">N68+BB68</f>
        <v>172.69</v>
      </c>
      <c r="BF68" s="105"/>
      <c r="BG68" s="105"/>
      <c r="BH68" s="111"/>
      <c r="BI68" s="105"/>
      <c r="BJ68" s="105"/>
      <c r="BK68" s="109"/>
      <c r="BL68" s="111"/>
      <c r="BM68" s="109"/>
      <c r="BN68" s="109"/>
      <c r="BO68" s="105"/>
      <c r="BP68" s="105"/>
      <c r="BQ68" s="109"/>
      <c r="BR68" s="110"/>
      <c r="BS68" s="110"/>
      <c r="BT68" s="110"/>
      <c r="BU68" s="110"/>
      <c r="BV68" s="110"/>
      <c r="BW68" s="112"/>
      <c r="BX68" s="112"/>
      <c r="BY68" s="110"/>
      <c r="BZ68" s="105"/>
      <c r="CA68" s="105"/>
      <c r="CB68" s="105"/>
      <c r="CC68" s="105"/>
      <c r="CD68" s="105"/>
      <c r="CE68" s="105"/>
    </row>
    <row r="69" spans="1:83" x14ac:dyDescent="0.15">
      <c r="A69" s="103">
        <v>48</v>
      </c>
      <c r="B69" s="98" t="str">
        <f>VLOOKUP($A69,'Rate Calculation'!$A$4:$AQ$208,42,FALSE)</f>
        <v>882348100</v>
      </c>
      <c r="C69" s="98" t="str">
        <f>VLOOKUP($A69,'Rate Calculation'!$A$4:$AQ$208,43,FALSE)</f>
        <v>Complete Care at Hagerstown LLC</v>
      </c>
      <c r="D69" s="98" t="str">
        <f>VLOOKUP($A69,'Rate Calculation'!$A$4:$F$208,5,FALSE)</f>
        <v>WESTERN REGION</v>
      </c>
      <c r="E69" s="98" t="str">
        <f>VLOOKUP($A69,'Rate Calculation'!$A$4:$F$208,6,FALSE)</f>
        <v>NON METRO</v>
      </c>
      <c r="F69" s="105">
        <f t="shared" si="40"/>
        <v>92.33</v>
      </c>
      <c r="G69" s="105">
        <f t="shared" si="41"/>
        <v>20.87</v>
      </c>
      <c r="H69" s="105">
        <f t="shared" si="42"/>
        <v>34.04</v>
      </c>
      <c r="I69" s="105">
        <f t="shared" si="43"/>
        <v>195.81</v>
      </c>
      <c r="J69" s="105">
        <f>VLOOKUP($A69,'Rate Calculation'!$A$4:$AZ$208,34,FALSE)</f>
        <v>0</v>
      </c>
      <c r="K69" s="105">
        <f t="shared" ref="K69:K133" si="66">SUM(F69:J69)</f>
        <v>343.05</v>
      </c>
      <c r="L69" s="164">
        <f t="shared" si="44"/>
        <v>0.98772000000000004</v>
      </c>
      <c r="M69" s="105">
        <f t="shared" ref="M69:M133" si="67">ROUND(K69*L69,2)</f>
        <v>338.84</v>
      </c>
      <c r="N69" s="105">
        <f>VLOOKUP($A69,'Rate Calculation'!$A$4:$AL$208,38,FALSE)</f>
        <v>23.98</v>
      </c>
      <c r="O69" s="183">
        <f>VLOOKUP($A69,'Rate Calculation'!$A$4:$I$208,9,FALSE)</f>
        <v>1.6893</v>
      </c>
      <c r="P69" s="183">
        <f t="shared" si="38"/>
        <v>1.4432</v>
      </c>
      <c r="Q69" s="183">
        <f>VLOOKUP(A69,'CMI Data'!$A$4:$C$208,3,FALSE)</f>
        <v>1.6486000000000001</v>
      </c>
      <c r="R69" s="246">
        <f>VLOOKUP($A69,FRV!$A$4:$K$208,11,FALSE)</f>
        <v>62780</v>
      </c>
      <c r="S69" s="246">
        <f t="shared" si="39"/>
        <v>51185</v>
      </c>
      <c r="T69" s="246">
        <f>VLOOKUP($A69,FRV!$A$4:$L$208,12,FALSE)</f>
        <v>28983</v>
      </c>
      <c r="U69" s="183">
        <f>Inflation!$G$24</f>
        <v>1.0309999999999999</v>
      </c>
      <c r="V69" s="247">
        <f>VLOOKUP($A69,'Rate Calculation'!A70:X274,24,FALSE)</f>
        <v>89.55</v>
      </c>
      <c r="W69" s="110">
        <f t="shared" si="45"/>
        <v>92.33</v>
      </c>
      <c r="X69" s="110">
        <f>VLOOKUP($A69,'Rate Calculation'!A70:V274,22,FALSE)</f>
        <v>20.239999999999998</v>
      </c>
      <c r="Y69" s="110">
        <f t="shared" si="46"/>
        <v>20.87</v>
      </c>
      <c r="Z69" s="212">
        <f>VLOOKUP($A69,FRV!$A$4:$D$208,4,FALSE)</f>
        <v>45108</v>
      </c>
      <c r="AA69" s="212">
        <f>VLOOKUP($A69,FRV!$A$4:$F$208,6,FALSE)</f>
        <v>45291</v>
      </c>
      <c r="AB69" s="248">
        <f>VLOOKUP($A69,FRV!$A$4:$U$208,13,FALSE)</f>
        <v>23410389</v>
      </c>
      <c r="AC69" s="248">
        <f>VLOOKUP($A69,FRV!$A$4:$U$208,15,FALSE)</f>
        <v>381879</v>
      </c>
      <c r="AD69" s="248">
        <f>VLOOKUP($A69,FRV!$A$4:$U$208,14,FALSE)</f>
        <v>24000</v>
      </c>
      <c r="AE69" s="248">
        <f>VLOOKUP($A69,FRV!$A$4:$U$208,7,FALSE)</f>
        <v>172</v>
      </c>
      <c r="AF69" s="107">
        <f t="shared" si="47"/>
        <v>27920268</v>
      </c>
      <c r="AG69" s="107">
        <f t="shared" si="48"/>
        <v>162327</v>
      </c>
      <c r="AH69" s="107">
        <v>120000</v>
      </c>
      <c r="AI69" s="107">
        <f t="shared" si="49"/>
        <v>120000</v>
      </c>
      <c r="AJ69" s="107">
        <f t="shared" si="50"/>
        <v>20640000</v>
      </c>
      <c r="AK69" s="249">
        <f>IF(VLOOKUP($A69,'Rate Calculation'!$A$4:$D$208,4,FALSE)="baltimore city",0.1,0.08)</f>
        <v>0.08</v>
      </c>
      <c r="AL69" s="107">
        <f t="shared" si="51"/>
        <v>1651200</v>
      </c>
      <c r="AM69" s="105">
        <f>IF(ISERROR(MATCH(A69&amp;AA69,'Days Exceptions'!$C$3:$C$16,0)),ROUND(AL69/(MAX(S69,T69)),2),ROUND(AL69/VLOOKUP(A69,'Days Exceptions'!$A$3:$J$16,8,FALSE),2))</f>
        <v>32.26</v>
      </c>
      <c r="AN69" s="213">
        <f>VLOOKUP($A69,'Rate Calculation'!$A$4:$AF$208,32,FALSE)</f>
        <v>1.78</v>
      </c>
      <c r="AO69" s="109">
        <f t="shared" si="52"/>
        <v>34.04</v>
      </c>
      <c r="AP69" s="247">
        <f>VLOOKUP($A69,'Rate Calculation'!$A$4:$Q$208,17,FALSE)</f>
        <v>191.83</v>
      </c>
      <c r="AQ69" s="247">
        <f t="shared" si="35"/>
        <v>197.78</v>
      </c>
      <c r="AR69" s="247">
        <f>VLOOKUP($A69,'Rate Calculation'!$A$4:$K$208,11,FALSE)</f>
        <v>166.26</v>
      </c>
      <c r="AS69" s="247">
        <f t="shared" si="53"/>
        <v>171.41</v>
      </c>
      <c r="AT69" s="110">
        <f t="shared" si="54"/>
        <v>200.64</v>
      </c>
      <c r="AU69" s="110">
        <f t="shared" si="55"/>
        <v>195.81</v>
      </c>
      <c r="AV69" s="111">
        <f t="shared" si="56"/>
        <v>0</v>
      </c>
      <c r="AW69" s="110">
        <f t="shared" si="57"/>
        <v>195.81</v>
      </c>
      <c r="AX69" s="105">
        <f t="shared" si="58"/>
        <v>193.01</v>
      </c>
      <c r="AY69" s="105">
        <f t="shared" si="59"/>
        <v>186.02</v>
      </c>
      <c r="AZ69" s="105">
        <f t="shared" si="60"/>
        <v>-6.99</v>
      </c>
      <c r="BA69" s="105">
        <f t="shared" si="61"/>
        <v>245.15</v>
      </c>
      <c r="BB69" s="105">
        <f t="shared" si="62"/>
        <v>147.24</v>
      </c>
      <c r="BC69" s="110">
        <f t="shared" si="63"/>
        <v>362.82</v>
      </c>
      <c r="BD69" s="110">
        <f t="shared" si="64"/>
        <v>269.13</v>
      </c>
      <c r="BE69" s="110">
        <f t="shared" si="65"/>
        <v>171.22</v>
      </c>
      <c r="BF69" s="105"/>
      <c r="BG69" s="105"/>
      <c r="BH69" s="111"/>
      <c r="BI69" s="105"/>
      <c r="BJ69" s="105"/>
      <c r="BK69" s="109"/>
      <c r="BL69" s="111"/>
      <c r="BM69" s="109"/>
      <c r="BN69" s="109"/>
      <c r="BO69" s="105"/>
      <c r="BP69" s="105"/>
      <c r="BQ69" s="109"/>
      <c r="BR69" s="110"/>
      <c r="BS69" s="110"/>
      <c r="BT69" s="110"/>
      <c r="BU69" s="110"/>
      <c r="BV69" s="110"/>
      <c r="BW69" s="112"/>
      <c r="BX69" s="112"/>
      <c r="BY69" s="110"/>
      <c r="BZ69" s="105"/>
      <c r="CA69" s="105"/>
      <c r="CB69" s="105"/>
      <c r="CC69" s="105"/>
      <c r="CD69" s="105"/>
      <c r="CE69" s="105"/>
    </row>
    <row r="70" spans="1:83" x14ac:dyDescent="0.15">
      <c r="A70" s="103">
        <v>232</v>
      </c>
      <c r="B70" s="98" t="str">
        <f>VLOOKUP($A70,'Rate Calculation'!$A$4:$AQ$208,42,FALSE)</f>
        <v>999364900</v>
      </c>
      <c r="C70" s="98" t="str">
        <f>VLOOKUP($A70,'Rate Calculation'!$A$4:$AQ$208,43,FALSE)</f>
        <v>Complete Care at Heritage, LLC</v>
      </c>
      <c r="D70" s="98" t="str">
        <f>VLOOKUP($A70,'Rate Calculation'!$A$4:$F$208,5,FALSE)</f>
        <v>BALTIMORE METRO</v>
      </c>
      <c r="E70" s="98" t="str">
        <f>VLOOKUP($A70,'Rate Calculation'!$A$4:$F$208,6,FALSE)</f>
        <v>BALTIMORE METRO</v>
      </c>
      <c r="F70" s="105">
        <f t="shared" si="40"/>
        <v>105.18</v>
      </c>
      <c r="G70" s="105">
        <f t="shared" si="41"/>
        <v>21.5</v>
      </c>
      <c r="H70" s="105">
        <f t="shared" si="42"/>
        <v>24.04</v>
      </c>
      <c r="I70" s="105">
        <f t="shared" si="43"/>
        <v>168.79</v>
      </c>
      <c r="J70" s="105">
        <f>VLOOKUP($A70,'Rate Calculation'!$A$4:$AZ$208,34,FALSE)</f>
        <v>0</v>
      </c>
      <c r="K70" s="105">
        <f t="shared" si="66"/>
        <v>319.51</v>
      </c>
      <c r="L70" s="164">
        <f t="shared" si="44"/>
        <v>0.98772000000000004</v>
      </c>
      <c r="M70" s="105">
        <f t="shared" si="67"/>
        <v>315.58999999999997</v>
      </c>
      <c r="N70" s="105">
        <f>VLOOKUP($A70,'Rate Calculation'!$A$4:$AL$208,38,FALSE)</f>
        <v>27.05</v>
      </c>
      <c r="O70" s="183">
        <f>VLOOKUP($A70,'Rate Calculation'!$A$4:$I$208,9,FALSE)</f>
        <v>1.5508</v>
      </c>
      <c r="P70" s="183">
        <f t="shared" si="38"/>
        <v>1.4432</v>
      </c>
      <c r="Q70" s="183">
        <f>VLOOKUP(A70,'CMI Data'!$A$4:$C$208,3,FALSE)</f>
        <v>1.4193</v>
      </c>
      <c r="R70" s="246">
        <f>VLOOKUP($A70,FRV!$A$4:$K$208,11,FALSE)</f>
        <v>64782</v>
      </c>
      <c r="S70" s="246">
        <f t="shared" si="39"/>
        <v>52817</v>
      </c>
      <c r="T70" s="246">
        <f>VLOOKUP($A70,FRV!$A$4:$L$208,12,FALSE)</f>
        <v>53933</v>
      </c>
      <c r="U70" s="183">
        <f>Inflation!$G$24</f>
        <v>1.0309999999999999</v>
      </c>
      <c r="V70" s="247">
        <f>VLOOKUP($A70,'Rate Calculation'!A71:X275,24,FALSE)</f>
        <v>102.02</v>
      </c>
      <c r="W70" s="110">
        <f t="shared" si="45"/>
        <v>105.18</v>
      </c>
      <c r="X70" s="110">
        <f>VLOOKUP($A70,'Rate Calculation'!A71:V275,22,FALSE)</f>
        <v>20.85</v>
      </c>
      <c r="Y70" s="110">
        <f t="shared" si="46"/>
        <v>21.5</v>
      </c>
      <c r="Z70" s="212">
        <f>VLOOKUP($A70,FRV!$A$4:$D$208,4,FALSE)</f>
        <v>45474</v>
      </c>
      <c r="AA70" s="212">
        <f>VLOOKUP($A70,FRV!$A$4:$F$208,6,FALSE)</f>
        <v>45657</v>
      </c>
      <c r="AB70" s="248">
        <f>VLOOKUP($A70,FRV!$A$4:$U$208,13,FALSE)</f>
        <v>12306103</v>
      </c>
      <c r="AC70" s="248">
        <f>VLOOKUP($A70,FRV!$A$4:$U$208,15,FALSE)</f>
        <v>353591</v>
      </c>
      <c r="AD70" s="248">
        <f>VLOOKUP($A70,FRV!$A$4:$U$208,14,FALSE)</f>
        <v>16000</v>
      </c>
      <c r="AE70" s="248">
        <f>VLOOKUP($A70,FRV!$A$4:$U$208,7,FALSE)</f>
        <v>177</v>
      </c>
      <c r="AF70" s="107">
        <f t="shared" si="47"/>
        <v>15491694</v>
      </c>
      <c r="AG70" s="107">
        <f t="shared" si="48"/>
        <v>87524</v>
      </c>
      <c r="AH70" s="107">
        <v>120000</v>
      </c>
      <c r="AI70" s="107">
        <f t="shared" si="49"/>
        <v>87524</v>
      </c>
      <c r="AJ70" s="107">
        <f t="shared" si="50"/>
        <v>15491748</v>
      </c>
      <c r="AK70" s="249">
        <f>IF(VLOOKUP($A70,'Rate Calculation'!$A$4:$D$208,4,FALSE)="baltimore city",0.1,0.08)</f>
        <v>0.08</v>
      </c>
      <c r="AL70" s="107">
        <f t="shared" si="51"/>
        <v>1239340</v>
      </c>
      <c r="AM70" s="105">
        <f>IF(ISERROR(MATCH(A70&amp;AA70,'Days Exceptions'!$C$3:$C$16,0)),ROUND(AL70/(MAX(S70,T70)),2),ROUND(AL70/VLOOKUP(A70,'Days Exceptions'!$A$3:$J$16,8,FALSE),2))</f>
        <v>22.98</v>
      </c>
      <c r="AN70" s="213">
        <f>VLOOKUP($A70,'Rate Calculation'!$A$4:$AF$208,32,FALSE)</f>
        <v>1.06</v>
      </c>
      <c r="AO70" s="109">
        <f t="shared" si="52"/>
        <v>24.04</v>
      </c>
      <c r="AP70" s="247">
        <f>VLOOKUP($A70,'Rate Calculation'!$A$4:$Q$208,17,FALSE)</f>
        <v>168.39</v>
      </c>
      <c r="AQ70" s="247">
        <f t="shared" si="35"/>
        <v>173.61</v>
      </c>
      <c r="AR70" s="247">
        <f>VLOOKUP($A70,'Rate Calculation'!$A$4:$K$208,11,FALSE)</f>
        <v>195.33</v>
      </c>
      <c r="AS70" s="247">
        <f t="shared" si="53"/>
        <v>201.39</v>
      </c>
      <c r="AT70" s="110">
        <f t="shared" si="54"/>
        <v>216.4</v>
      </c>
      <c r="AU70" s="110">
        <f t="shared" si="55"/>
        <v>198.05</v>
      </c>
      <c r="AV70" s="111">
        <f t="shared" si="56"/>
        <v>-29.26</v>
      </c>
      <c r="AW70" s="110">
        <f t="shared" si="57"/>
        <v>168.79</v>
      </c>
      <c r="AX70" s="105">
        <f t="shared" si="58"/>
        <v>158.88999999999999</v>
      </c>
      <c r="AY70" s="105">
        <f t="shared" si="59"/>
        <v>188.15</v>
      </c>
      <c r="AZ70" s="105">
        <f t="shared" si="60"/>
        <v>29.26</v>
      </c>
      <c r="BA70" s="105">
        <f t="shared" si="61"/>
        <v>235.12</v>
      </c>
      <c r="BB70" s="105">
        <f t="shared" si="62"/>
        <v>150.72</v>
      </c>
      <c r="BC70" s="110">
        <f t="shared" si="63"/>
        <v>342.64</v>
      </c>
      <c r="BD70" s="110">
        <f t="shared" si="64"/>
        <v>262.17</v>
      </c>
      <c r="BE70" s="110">
        <f t="shared" si="65"/>
        <v>177.77</v>
      </c>
      <c r="BF70" s="105"/>
      <c r="BG70" s="105"/>
      <c r="BH70" s="111"/>
      <c r="BI70" s="105"/>
      <c r="BJ70" s="105"/>
      <c r="BK70" s="109"/>
      <c r="BL70" s="111"/>
      <c r="BM70" s="109"/>
      <c r="BN70" s="109"/>
      <c r="BO70" s="105"/>
      <c r="BP70" s="105"/>
      <c r="BQ70" s="109"/>
      <c r="BR70" s="110"/>
      <c r="BS70" s="110"/>
      <c r="BT70" s="110"/>
      <c r="BU70" s="110"/>
      <c r="BV70" s="110"/>
      <c r="BW70" s="112"/>
      <c r="BX70" s="112"/>
      <c r="BY70" s="110"/>
      <c r="BZ70" s="105"/>
      <c r="CA70" s="105"/>
      <c r="CB70" s="105"/>
      <c r="CC70" s="105"/>
      <c r="CD70" s="105"/>
      <c r="CE70" s="105"/>
    </row>
    <row r="71" spans="1:83" x14ac:dyDescent="0.15">
      <c r="A71" s="103">
        <v>735</v>
      </c>
      <c r="B71" s="98" t="str">
        <f>VLOOKUP($A71,'Rate Calculation'!$A$4:$AQ$208,42,FALSE)</f>
        <v>882347200</v>
      </c>
      <c r="C71" s="98" t="str">
        <f>VLOOKUP($A71,'Rate Calculation'!$A$4:$AQ$208,43,FALSE)</f>
        <v>Complete Care at Hyattsville LLC</v>
      </c>
      <c r="D71" s="98" t="str">
        <f>VLOOKUP($A71,'Rate Calculation'!$A$4:$F$208,5,FALSE)</f>
        <v>WASHINGTON METRO</v>
      </c>
      <c r="E71" s="98" t="str">
        <f>VLOOKUP($A71,'Rate Calculation'!$A$4:$F$208,6,FALSE)</f>
        <v>WASHINGTON METRO</v>
      </c>
      <c r="F71" s="105">
        <f t="shared" si="40"/>
        <v>103.73</v>
      </c>
      <c r="G71" s="105">
        <f t="shared" si="41"/>
        <v>19.829999999999998</v>
      </c>
      <c r="H71" s="105">
        <f t="shared" si="42"/>
        <v>33.369999999999997</v>
      </c>
      <c r="I71" s="105">
        <f t="shared" si="43"/>
        <v>163.52000000000001</v>
      </c>
      <c r="J71" s="105">
        <f>VLOOKUP($A71,'Rate Calculation'!$A$4:$AZ$208,34,FALSE)</f>
        <v>0</v>
      </c>
      <c r="K71" s="105">
        <f t="shared" si="66"/>
        <v>320.45</v>
      </c>
      <c r="L71" s="164">
        <f t="shared" si="44"/>
        <v>0.98772000000000004</v>
      </c>
      <c r="M71" s="105">
        <f t="shared" si="67"/>
        <v>316.51</v>
      </c>
      <c r="N71" s="105">
        <f>VLOOKUP($A71,'Rate Calculation'!$A$4:$AL$208,38,FALSE)</f>
        <v>27.88</v>
      </c>
      <c r="O71" s="183">
        <f>VLOOKUP($A71,'Rate Calculation'!$A$4:$I$208,9,FALSE)</f>
        <v>1.7478</v>
      </c>
      <c r="P71" s="183">
        <f t="shared" si="38"/>
        <v>1.4432</v>
      </c>
      <c r="Q71" s="183">
        <f>VLOOKUP(A71,'CMI Data'!$A$4:$C$208,3,FALSE)</f>
        <v>1.3685</v>
      </c>
      <c r="R71" s="246">
        <f>VLOOKUP($A71,FRV!$A$4:$K$208,11,FALSE)</f>
        <v>102200</v>
      </c>
      <c r="S71" s="246">
        <f t="shared" si="39"/>
        <v>83324</v>
      </c>
      <c r="T71" s="246">
        <f>VLOOKUP($A71,FRV!$A$4:$L$208,12,FALSE)</f>
        <v>92224</v>
      </c>
      <c r="U71" s="183">
        <f>Inflation!$G$24</f>
        <v>1.0309999999999999</v>
      </c>
      <c r="V71" s="247">
        <f>VLOOKUP($A71,'Rate Calculation'!A72:X276,24,FALSE)</f>
        <v>100.61</v>
      </c>
      <c r="W71" s="110">
        <f t="shared" si="45"/>
        <v>103.73</v>
      </c>
      <c r="X71" s="110">
        <f>VLOOKUP($A71,'Rate Calculation'!A72:V276,22,FALSE)</f>
        <v>19.23</v>
      </c>
      <c r="Y71" s="110">
        <f t="shared" si="46"/>
        <v>19.829999999999998</v>
      </c>
      <c r="Z71" s="212">
        <f>VLOOKUP($A71,FRV!$A$4:$D$208,4,FALSE)</f>
        <v>44743</v>
      </c>
      <c r="AA71" s="212">
        <f>VLOOKUP($A71,FRV!$A$4:$F$208,6,FALSE)</f>
        <v>44957</v>
      </c>
      <c r="AB71" s="248">
        <f>VLOOKUP($A71,FRV!$A$4:$U$208,13,FALSE)</f>
        <v>31856512</v>
      </c>
      <c r="AC71" s="248">
        <f>VLOOKUP($A71,FRV!$A$4:$U$208,15,FALSE)</f>
        <v>395988</v>
      </c>
      <c r="AD71" s="248">
        <f>VLOOKUP($A71,FRV!$A$4:$U$208,14,FALSE)</f>
        <v>25000</v>
      </c>
      <c r="AE71" s="248">
        <f>VLOOKUP($A71,FRV!$A$4:$U$208,7,FALSE)</f>
        <v>280</v>
      </c>
      <c r="AF71" s="107">
        <f t="shared" si="47"/>
        <v>39252500</v>
      </c>
      <c r="AG71" s="107">
        <f t="shared" si="48"/>
        <v>140188</v>
      </c>
      <c r="AH71" s="107">
        <v>120000</v>
      </c>
      <c r="AI71" s="107">
        <f t="shared" si="49"/>
        <v>120000</v>
      </c>
      <c r="AJ71" s="107">
        <f t="shared" si="50"/>
        <v>33600000</v>
      </c>
      <c r="AK71" s="249">
        <f>IF(VLOOKUP($A71,'Rate Calculation'!$A$4:$D$208,4,FALSE)="baltimore city",0.1,0.08)</f>
        <v>0.08</v>
      </c>
      <c r="AL71" s="107">
        <f t="shared" si="51"/>
        <v>2688000</v>
      </c>
      <c r="AM71" s="105">
        <f>IF(ISERROR(MATCH(A71&amp;AA71,'Days Exceptions'!$C$3:$C$16,0)),ROUND(AL71/(MAX(S71,T71)),2),ROUND(AL71/VLOOKUP(A71,'Days Exceptions'!$A$3:$J$16,8,FALSE),2))</f>
        <v>29.15</v>
      </c>
      <c r="AN71" s="213">
        <f>VLOOKUP($A71,'Rate Calculation'!$A$4:$AF$208,32,FALSE)</f>
        <v>4.22</v>
      </c>
      <c r="AO71" s="109">
        <f t="shared" si="52"/>
        <v>33.369999999999997</v>
      </c>
      <c r="AP71" s="247">
        <f>VLOOKUP($A71,'Rate Calculation'!$A$4:$Q$208,17,FALSE)</f>
        <v>191.91</v>
      </c>
      <c r="AQ71" s="247">
        <f t="shared" si="35"/>
        <v>197.86</v>
      </c>
      <c r="AR71" s="247">
        <f>VLOOKUP($A71,'Rate Calculation'!$A$4:$K$208,11,FALSE)</f>
        <v>176.01</v>
      </c>
      <c r="AS71" s="247">
        <f t="shared" si="53"/>
        <v>181.47</v>
      </c>
      <c r="AT71" s="110">
        <f t="shared" si="54"/>
        <v>219.77</v>
      </c>
      <c r="AU71" s="110">
        <f t="shared" si="55"/>
        <v>172.08</v>
      </c>
      <c r="AV71" s="111">
        <f t="shared" si="56"/>
        <v>-8.56</v>
      </c>
      <c r="AW71" s="110">
        <f t="shared" si="57"/>
        <v>163.52000000000001</v>
      </c>
      <c r="AX71" s="105">
        <f t="shared" si="58"/>
        <v>154.91999999999999</v>
      </c>
      <c r="AY71" s="105">
        <f t="shared" si="59"/>
        <v>163.47999999999999</v>
      </c>
      <c r="AZ71" s="105">
        <f t="shared" si="60"/>
        <v>8.56</v>
      </c>
      <c r="BA71" s="105">
        <f t="shared" si="61"/>
        <v>238.69</v>
      </c>
      <c r="BB71" s="105">
        <f t="shared" si="62"/>
        <v>156.93</v>
      </c>
      <c r="BC71" s="110">
        <f t="shared" si="63"/>
        <v>344.39</v>
      </c>
      <c r="BD71" s="110">
        <f t="shared" si="64"/>
        <v>266.57</v>
      </c>
      <c r="BE71" s="110">
        <f t="shared" si="65"/>
        <v>184.81</v>
      </c>
      <c r="BF71" s="105"/>
      <c r="BG71" s="105"/>
      <c r="BH71" s="111"/>
      <c r="BI71" s="105"/>
      <c r="BJ71" s="105"/>
      <c r="BK71" s="109"/>
      <c r="BL71" s="111"/>
      <c r="BM71" s="109"/>
      <c r="BN71" s="109"/>
      <c r="BO71" s="105"/>
      <c r="BP71" s="105"/>
      <c r="BQ71" s="109"/>
      <c r="BR71" s="110"/>
      <c r="BS71" s="110"/>
      <c r="BT71" s="110"/>
      <c r="BU71" s="110"/>
      <c r="BV71" s="110"/>
      <c r="BW71" s="112"/>
      <c r="BX71" s="112"/>
      <c r="BY71" s="110"/>
      <c r="BZ71" s="105"/>
      <c r="CA71" s="105"/>
      <c r="CB71" s="105"/>
      <c r="CC71" s="105"/>
      <c r="CD71" s="105"/>
      <c r="CE71" s="105"/>
    </row>
    <row r="72" spans="1:83" x14ac:dyDescent="0.15">
      <c r="A72" s="103">
        <v>262</v>
      </c>
      <c r="B72" s="98" t="str">
        <f>VLOOKUP($A72,'Rate Calculation'!$A$4:$AQ$208,42,FALSE)</f>
        <v>999388600</v>
      </c>
      <c r="C72" s="98" t="str">
        <f>VLOOKUP($A72,'Rate Calculation'!$A$4:$AQ$208,43,FALSE)</f>
        <v>Complete Care at La Plata, LLC</v>
      </c>
      <c r="D72" s="98" t="str">
        <f>VLOOKUP($A72,'Rate Calculation'!$A$4:$F$208,5,FALSE)</f>
        <v>WASHINGTON METRO</v>
      </c>
      <c r="E72" s="98" t="str">
        <f>VLOOKUP($A72,'Rate Calculation'!$A$4:$F$208,6,FALSE)</f>
        <v>WASHINGTON METRO</v>
      </c>
      <c r="F72" s="105">
        <f t="shared" si="40"/>
        <v>103.73</v>
      </c>
      <c r="G72" s="105">
        <f t="shared" si="41"/>
        <v>19.829999999999998</v>
      </c>
      <c r="H72" s="105">
        <f t="shared" si="42"/>
        <v>26.62</v>
      </c>
      <c r="I72" s="105">
        <f t="shared" si="43"/>
        <v>162.37</v>
      </c>
      <c r="J72" s="105">
        <f>VLOOKUP($A72,'Rate Calculation'!$A$4:$AZ$208,34,FALSE)</f>
        <v>0</v>
      </c>
      <c r="K72" s="105">
        <f t="shared" si="66"/>
        <v>312.55</v>
      </c>
      <c r="L72" s="164">
        <f t="shared" si="44"/>
        <v>0.98772000000000004</v>
      </c>
      <c r="M72" s="105">
        <f t="shared" si="67"/>
        <v>308.70999999999998</v>
      </c>
      <c r="N72" s="105">
        <f>VLOOKUP($A72,'Rate Calculation'!$A$4:$AL$208,38,FALSE)</f>
        <v>28.43</v>
      </c>
      <c r="O72" s="183">
        <f>VLOOKUP($A72,'Rate Calculation'!$A$4:$I$208,9,FALSE)</f>
        <v>1.4360999999999999</v>
      </c>
      <c r="P72" s="183">
        <f t="shared" si="38"/>
        <v>1.4432</v>
      </c>
      <c r="Q72" s="183">
        <f>VLOOKUP(A72,'CMI Data'!$A$4:$C$208,3,FALSE)</f>
        <v>1.3751</v>
      </c>
      <c r="R72" s="246">
        <f>VLOOKUP($A72,FRV!$A$4:$K$208,11,FALSE)</f>
        <v>51830</v>
      </c>
      <c r="S72" s="246">
        <f t="shared" si="39"/>
        <v>42257</v>
      </c>
      <c r="T72" s="246">
        <f>VLOOKUP($A72,FRV!$A$4:$L$208,12,FALSE)</f>
        <v>46741</v>
      </c>
      <c r="U72" s="183">
        <f>Inflation!$G$24</f>
        <v>1.0309999999999999</v>
      </c>
      <c r="V72" s="247">
        <f>VLOOKUP($A72,'Rate Calculation'!A73:X277,24,FALSE)</f>
        <v>100.61</v>
      </c>
      <c r="W72" s="110">
        <f t="shared" si="45"/>
        <v>103.73</v>
      </c>
      <c r="X72" s="110">
        <f>VLOOKUP($A72,'Rate Calculation'!A73:V277,22,FALSE)</f>
        <v>19.23</v>
      </c>
      <c r="Y72" s="110">
        <f t="shared" si="46"/>
        <v>19.829999999999998</v>
      </c>
      <c r="Z72" s="212">
        <f>VLOOKUP($A72,FRV!$A$4:$D$208,4,FALSE)</f>
        <v>44743</v>
      </c>
      <c r="AA72" s="212">
        <f>VLOOKUP($A72,FRV!$A$4:$F$208,6,FALSE)</f>
        <v>44926</v>
      </c>
      <c r="AB72" s="248">
        <f>VLOOKUP($A72,FRV!$A$4:$U$208,13,FALSE)</f>
        <v>10639149</v>
      </c>
      <c r="AC72" s="248">
        <f>VLOOKUP($A72,FRV!$A$4:$U$208,15,FALSE)</f>
        <v>241897</v>
      </c>
      <c r="AD72" s="248">
        <f>VLOOKUP($A72,FRV!$A$4:$U$208,14,FALSE)</f>
        <v>20000</v>
      </c>
      <c r="AE72" s="248">
        <f>VLOOKUP($A72,FRV!$A$4:$U$208,7,FALSE)</f>
        <v>142</v>
      </c>
      <c r="AF72" s="107">
        <f t="shared" si="47"/>
        <v>13721046</v>
      </c>
      <c r="AG72" s="107">
        <f t="shared" si="48"/>
        <v>96627</v>
      </c>
      <c r="AH72" s="107">
        <v>120000</v>
      </c>
      <c r="AI72" s="107">
        <f t="shared" si="49"/>
        <v>96627</v>
      </c>
      <c r="AJ72" s="107">
        <f t="shared" si="50"/>
        <v>13721034</v>
      </c>
      <c r="AK72" s="249">
        <f>IF(VLOOKUP($A72,'Rate Calculation'!$A$4:$D$208,4,FALSE)="baltimore city",0.1,0.08)</f>
        <v>0.08</v>
      </c>
      <c r="AL72" s="107">
        <f t="shared" si="51"/>
        <v>1097683</v>
      </c>
      <c r="AM72" s="105">
        <f>IF(ISERROR(MATCH(A72&amp;AA72,'Days Exceptions'!$C$3:$C$16,0)),ROUND(AL72/(MAX(S72,T72)),2),ROUND(AL72/VLOOKUP(A72,'Days Exceptions'!$A$3:$J$16,8,FALSE),2))</f>
        <v>23.48</v>
      </c>
      <c r="AN72" s="213">
        <f>VLOOKUP($A72,'Rate Calculation'!$A$4:$AF$208,32,FALSE)</f>
        <v>3.14</v>
      </c>
      <c r="AO72" s="109">
        <f t="shared" si="52"/>
        <v>26.62</v>
      </c>
      <c r="AP72" s="247">
        <f>VLOOKUP($A72,'Rate Calculation'!$A$4:$Q$208,17,FALSE)</f>
        <v>155.71</v>
      </c>
      <c r="AQ72" s="247">
        <f t="shared" si="35"/>
        <v>160.54</v>
      </c>
      <c r="AR72" s="247">
        <f>VLOOKUP($A72,'Rate Calculation'!$A$4:$K$208,11,FALSE)</f>
        <v>176.01</v>
      </c>
      <c r="AS72" s="247">
        <f t="shared" si="53"/>
        <v>181.47</v>
      </c>
      <c r="AT72" s="110">
        <f t="shared" si="54"/>
        <v>180.58</v>
      </c>
      <c r="AU72" s="110">
        <f t="shared" si="55"/>
        <v>172.91</v>
      </c>
      <c r="AV72" s="111">
        <f t="shared" si="56"/>
        <v>-10.54</v>
      </c>
      <c r="AW72" s="110">
        <f t="shared" si="57"/>
        <v>162.37</v>
      </c>
      <c r="AX72" s="105">
        <f t="shared" si="58"/>
        <v>153.72</v>
      </c>
      <c r="AY72" s="105">
        <f t="shared" si="59"/>
        <v>164.26</v>
      </c>
      <c r="AZ72" s="105">
        <f t="shared" si="60"/>
        <v>10.54</v>
      </c>
      <c r="BA72" s="105">
        <f t="shared" si="61"/>
        <v>231.37</v>
      </c>
      <c r="BB72" s="105">
        <f t="shared" si="62"/>
        <v>150.18</v>
      </c>
      <c r="BC72" s="110">
        <f t="shared" si="63"/>
        <v>337.14</v>
      </c>
      <c r="BD72" s="110">
        <f t="shared" si="64"/>
        <v>259.8</v>
      </c>
      <c r="BE72" s="110">
        <f t="shared" si="65"/>
        <v>178.61</v>
      </c>
      <c r="BF72" s="105"/>
      <c r="BG72" s="105"/>
      <c r="BH72" s="111"/>
      <c r="BI72" s="105"/>
      <c r="BJ72" s="105"/>
      <c r="BK72" s="109"/>
      <c r="BL72" s="111"/>
      <c r="BM72" s="109"/>
      <c r="BN72" s="109"/>
      <c r="BO72" s="105"/>
      <c r="BP72" s="105"/>
      <c r="BQ72" s="109"/>
      <c r="BR72" s="110"/>
      <c r="BS72" s="110"/>
      <c r="BT72" s="110"/>
      <c r="BU72" s="110"/>
      <c r="BV72" s="110"/>
      <c r="BW72" s="112"/>
      <c r="BX72" s="112"/>
      <c r="BY72" s="110"/>
      <c r="BZ72" s="105"/>
      <c r="CA72" s="105"/>
      <c r="CB72" s="105"/>
      <c r="CC72" s="105"/>
      <c r="CD72" s="105"/>
      <c r="CE72" s="105"/>
    </row>
    <row r="73" spans="1:83" x14ac:dyDescent="0.15">
      <c r="A73" s="103">
        <v>342</v>
      </c>
      <c r="B73" s="98" t="str">
        <f>VLOOKUP($A73,'Rate Calculation'!$A$4:$AQ$208,42,FALSE)</f>
        <v>999675300</v>
      </c>
      <c r="C73" s="98" t="str">
        <f>VLOOKUP($A73,'Rate Calculation'!$A$4:$AQ$208,43,FALSE)</f>
        <v>Complete Care at Multi Medical Center, LLC</v>
      </c>
      <c r="D73" s="98" t="str">
        <f>VLOOKUP($A73,'Rate Calculation'!$A$4:$F$208,5,FALSE)</f>
        <v>BALTIMORE METRO</v>
      </c>
      <c r="E73" s="98" t="str">
        <f>VLOOKUP($A73,'Rate Calculation'!$A$4:$F$208,6,FALSE)</f>
        <v>BALTIMORE METRO</v>
      </c>
      <c r="F73" s="105">
        <f t="shared" si="40"/>
        <v>105.18</v>
      </c>
      <c r="G73" s="105">
        <f t="shared" si="41"/>
        <v>21.5</v>
      </c>
      <c r="H73" s="105">
        <f t="shared" si="42"/>
        <v>31.82</v>
      </c>
      <c r="I73" s="105">
        <f t="shared" si="43"/>
        <v>199.5</v>
      </c>
      <c r="J73" s="105">
        <f>VLOOKUP($A73,'Rate Calculation'!$A$4:$AZ$208,34,FALSE)</f>
        <v>0</v>
      </c>
      <c r="K73" s="105">
        <f t="shared" si="66"/>
        <v>358</v>
      </c>
      <c r="L73" s="164">
        <f t="shared" si="44"/>
        <v>0.98772000000000004</v>
      </c>
      <c r="M73" s="105">
        <f t="shared" si="67"/>
        <v>353.6</v>
      </c>
      <c r="N73" s="105">
        <f>VLOOKUP($A73,'Rate Calculation'!$A$4:$AL$208,38,FALSE)</f>
        <v>19.670000000000002</v>
      </c>
      <c r="O73" s="183">
        <f>VLOOKUP($A73,'Rate Calculation'!$A$4:$I$208,9,FALSE)</f>
        <v>1.7596000000000001</v>
      </c>
      <c r="P73" s="183">
        <f t="shared" si="38"/>
        <v>1.4432</v>
      </c>
      <c r="Q73" s="183">
        <f>VLOOKUP(A73,'CMI Data'!$A$4:$C$208,3,FALSE)</f>
        <v>1.4297</v>
      </c>
      <c r="R73" s="246">
        <f>VLOOKUP($A73,FRV!$A$4:$K$208,11,FALSE)</f>
        <v>43070</v>
      </c>
      <c r="S73" s="246">
        <f t="shared" si="39"/>
        <v>35115</v>
      </c>
      <c r="T73" s="246">
        <f>VLOOKUP($A73,FRV!$A$4:$L$208,12,FALSE)</f>
        <v>37659</v>
      </c>
      <c r="U73" s="183">
        <f>Inflation!$G$24</f>
        <v>1.0309999999999999</v>
      </c>
      <c r="V73" s="247">
        <f>VLOOKUP($A73,'Rate Calculation'!A74:X278,24,FALSE)</f>
        <v>102.02</v>
      </c>
      <c r="W73" s="110">
        <f t="shared" si="45"/>
        <v>105.18</v>
      </c>
      <c r="X73" s="110">
        <f>VLOOKUP($A73,'Rate Calculation'!A74:V278,22,FALSE)</f>
        <v>20.85</v>
      </c>
      <c r="Y73" s="110">
        <f t="shared" si="46"/>
        <v>21.5</v>
      </c>
      <c r="Z73" s="212">
        <f>VLOOKUP($A73,FRV!$A$4:$D$208,4,FALSE)</f>
        <v>44743</v>
      </c>
      <c r="AA73" s="212">
        <f>VLOOKUP($A73,FRV!$A$4:$F$208,6,FALSE)</f>
        <v>44926</v>
      </c>
      <c r="AB73" s="248">
        <f>VLOOKUP($A73,FRV!$A$4:$U$208,13,FALSE)</f>
        <v>11665522</v>
      </c>
      <c r="AC73" s="248">
        <f>VLOOKUP($A73,FRV!$A$4:$U$208,15,FALSE)</f>
        <v>260400</v>
      </c>
      <c r="AD73" s="248">
        <f>VLOOKUP($A73,FRV!$A$4:$U$208,14,FALSE)</f>
        <v>22500</v>
      </c>
      <c r="AE73" s="248">
        <f>VLOOKUP($A73,FRV!$A$4:$U$208,7,FALSE)</f>
        <v>118</v>
      </c>
      <c r="AF73" s="107">
        <f t="shared" si="47"/>
        <v>14580922</v>
      </c>
      <c r="AG73" s="107">
        <f t="shared" si="48"/>
        <v>123567</v>
      </c>
      <c r="AH73" s="107">
        <v>120000</v>
      </c>
      <c r="AI73" s="107">
        <f t="shared" si="49"/>
        <v>120000</v>
      </c>
      <c r="AJ73" s="107">
        <f t="shared" si="50"/>
        <v>14160000</v>
      </c>
      <c r="AK73" s="249">
        <f>IF(VLOOKUP($A73,'Rate Calculation'!$A$4:$D$208,4,FALSE)="baltimore city",0.1,0.08)</f>
        <v>0.08</v>
      </c>
      <c r="AL73" s="107">
        <f t="shared" si="51"/>
        <v>1132800</v>
      </c>
      <c r="AM73" s="105">
        <f>IF(ISERROR(MATCH(A73&amp;AA73,'Days Exceptions'!$C$3:$C$16,0)),ROUND(AL73/(MAX(S73,T73)),2),ROUND(AL73/VLOOKUP(A73,'Days Exceptions'!$A$3:$J$16,8,FALSE),2))</f>
        <v>30.08</v>
      </c>
      <c r="AN73" s="213">
        <f>VLOOKUP($A73,'Rate Calculation'!$A$4:$AF$208,32,FALSE)</f>
        <v>1.74</v>
      </c>
      <c r="AO73" s="109">
        <f t="shared" si="52"/>
        <v>31.82</v>
      </c>
      <c r="AP73" s="247">
        <f>VLOOKUP($A73,'Rate Calculation'!$A$4:$Q$208,17,FALSE)</f>
        <v>233.45</v>
      </c>
      <c r="AQ73" s="247">
        <f t="shared" si="35"/>
        <v>240.69</v>
      </c>
      <c r="AR73" s="247">
        <f>VLOOKUP($A73,'Rate Calculation'!$A$4:$K$208,11,FALSE)</f>
        <v>195.33</v>
      </c>
      <c r="AS73" s="247">
        <f t="shared" si="53"/>
        <v>201.39</v>
      </c>
      <c r="AT73" s="110">
        <f t="shared" si="54"/>
        <v>245.54</v>
      </c>
      <c r="AU73" s="110">
        <f t="shared" si="55"/>
        <v>199.5</v>
      </c>
      <c r="AV73" s="111">
        <f t="shared" si="56"/>
        <v>0</v>
      </c>
      <c r="AW73" s="110">
        <f t="shared" si="57"/>
        <v>199.5</v>
      </c>
      <c r="AX73" s="105">
        <f t="shared" si="58"/>
        <v>195.56</v>
      </c>
      <c r="AY73" s="105">
        <f t="shared" si="59"/>
        <v>189.53</v>
      </c>
      <c r="AZ73" s="105">
        <f t="shared" si="60"/>
        <v>-6.03</v>
      </c>
      <c r="BA73" s="105">
        <f t="shared" si="61"/>
        <v>258.25</v>
      </c>
      <c r="BB73" s="105">
        <f t="shared" si="62"/>
        <v>158.5</v>
      </c>
      <c r="BC73" s="110">
        <f t="shared" si="63"/>
        <v>373.27</v>
      </c>
      <c r="BD73" s="110">
        <f t="shared" si="64"/>
        <v>277.92</v>
      </c>
      <c r="BE73" s="110">
        <f t="shared" si="65"/>
        <v>178.17</v>
      </c>
      <c r="BF73" s="105"/>
      <c r="BG73" s="105"/>
      <c r="BH73" s="111"/>
      <c r="BI73" s="105"/>
      <c r="BJ73" s="105"/>
      <c r="BK73" s="109"/>
      <c r="BL73" s="111"/>
      <c r="BM73" s="109"/>
      <c r="BN73" s="109"/>
      <c r="BO73" s="105"/>
      <c r="BP73" s="105"/>
      <c r="BQ73" s="109"/>
      <c r="BR73" s="110"/>
      <c r="BS73" s="110"/>
      <c r="BT73" s="110"/>
      <c r="BU73" s="110"/>
      <c r="BV73" s="110"/>
      <c r="BW73" s="112"/>
      <c r="BX73" s="112"/>
      <c r="BY73" s="110"/>
      <c r="BZ73" s="105"/>
      <c r="CA73" s="105"/>
      <c r="CB73" s="105"/>
      <c r="CC73" s="105"/>
      <c r="CD73" s="105"/>
      <c r="CE73" s="105"/>
    </row>
    <row r="74" spans="1:83" x14ac:dyDescent="0.15">
      <c r="A74" s="103">
        <v>400</v>
      </c>
      <c r="B74" s="98" t="str">
        <f>VLOOKUP($A74,'Rate Calculation'!$A$4:$AQ$208,42,FALSE)</f>
        <v>502592300</v>
      </c>
      <c r="C74" s="98" t="str">
        <f>VLOOKUP($A74,'Rate Calculation'!$A$4:$AQ$208,43,FALSE)</f>
        <v>Complete Care at Severna Park, LLC</v>
      </c>
      <c r="D74" s="98" t="str">
        <f>VLOOKUP($A74,'Rate Calculation'!$A$4:$F$208,5,FALSE)</f>
        <v>BALTIMORE METRO</v>
      </c>
      <c r="E74" s="98" t="str">
        <f>VLOOKUP($A74,'Rate Calculation'!$A$4:$F$208,6,FALSE)</f>
        <v>BALTIMORE METRO</v>
      </c>
      <c r="F74" s="105">
        <f t="shared" si="40"/>
        <v>105.18</v>
      </c>
      <c r="G74" s="105">
        <f t="shared" si="41"/>
        <v>21.5</v>
      </c>
      <c r="H74" s="105">
        <f t="shared" si="42"/>
        <v>26.07</v>
      </c>
      <c r="I74" s="105">
        <f t="shared" si="43"/>
        <v>193.47</v>
      </c>
      <c r="J74" s="105">
        <f>VLOOKUP($A74,'Rate Calculation'!$A$4:$AZ$208,34,FALSE)</f>
        <v>0</v>
      </c>
      <c r="K74" s="105">
        <f t="shared" si="66"/>
        <v>346.22</v>
      </c>
      <c r="L74" s="164">
        <f t="shared" si="44"/>
        <v>0.98772000000000004</v>
      </c>
      <c r="M74" s="105">
        <f t="shared" si="67"/>
        <v>341.97</v>
      </c>
      <c r="N74" s="105">
        <f>VLOOKUP($A74,'Rate Calculation'!$A$4:$AL$208,38,FALSE)</f>
        <v>26.53</v>
      </c>
      <c r="O74" s="183">
        <f>VLOOKUP($A74,'Rate Calculation'!$A$4:$I$208,9,FALSE)</f>
        <v>1.5348999999999999</v>
      </c>
      <c r="P74" s="183">
        <f t="shared" si="38"/>
        <v>1.4432</v>
      </c>
      <c r="Q74" s="183">
        <f>VLOOKUP(A74,'CMI Data'!$A$4:$C$208,3,FALSE)</f>
        <v>1.4254</v>
      </c>
      <c r="R74" s="246">
        <f>VLOOKUP($A74,FRV!$A$4:$K$208,11,FALSE)</f>
        <v>50370</v>
      </c>
      <c r="S74" s="246">
        <f t="shared" si="39"/>
        <v>41067</v>
      </c>
      <c r="T74" s="246">
        <f>VLOOKUP($A74,FRV!$A$4:$L$208,12,FALSE)</f>
        <v>42222</v>
      </c>
      <c r="U74" s="183">
        <f>Inflation!$G$24</f>
        <v>1.0309999999999999</v>
      </c>
      <c r="V74" s="247">
        <f>VLOOKUP($A74,'Rate Calculation'!A75:X279,24,FALSE)</f>
        <v>102.02</v>
      </c>
      <c r="W74" s="110">
        <f t="shared" si="45"/>
        <v>105.18</v>
      </c>
      <c r="X74" s="110">
        <f>VLOOKUP($A74,'Rate Calculation'!A75:V279,22,FALSE)</f>
        <v>20.85</v>
      </c>
      <c r="Y74" s="110">
        <f t="shared" si="46"/>
        <v>21.5</v>
      </c>
      <c r="Z74" s="212">
        <f>VLOOKUP($A74,FRV!$A$4:$D$208,4,FALSE)</f>
        <v>45108</v>
      </c>
      <c r="AA74" s="212">
        <f>VLOOKUP($A74,FRV!$A$4:$F$208,6,FALSE)</f>
        <v>45291</v>
      </c>
      <c r="AB74" s="248">
        <f>VLOOKUP($A74,FRV!$A$4:$U$208,13,FALSE)</f>
        <v>9717427</v>
      </c>
      <c r="AC74" s="248">
        <f>VLOOKUP($A74,FRV!$A$4:$U$208,15,FALSE)</f>
        <v>233539</v>
      </c>
      <c r="AD74" s="248">
        <f>VLOOKUP($A74,FRV!$A$4:$U$208,14,FALSE)</f>
        <v>22000</v>
      </c>
      <c r="AE74" s="248">
        <f>VLOOKUP($A74,FRV!$A$4:$U$208,7,FALSE)</f>
        <v>138</v>
      </c>
      <c r="AF74" s="107">
        <f t="shared" si="47"/>
        <v>12986966</v>
      </c>
      <c r="AG74" s="107">
        <f t="shared" si="48"/>
        <v>94108</v>
      </c>
      <c r="AH74" s="107">
        <v>120000</v>
      </c>
      <c r="AI74" s="107">
        <f t="shared" si="49"/>
        <v>94108</v>
      </c>
      <c r="AJ74" s="107">
        <f t="shared" si="50"/>
        <v>12986904</v>
      </c>
      <c r="AK74" s="249">
        <f>IF(VLOOKUP($A74,'Rate Calculation'!$A$4:$D$208,4,FALSE)="baltimore city",0.1,0.08)</f>
        <v>0.08</v>
      </c>
      <c r="AL74" s="107">
        <f t="shared" si="51"/>
        <v>1038952</v>
      </c>
      <c r="AM74" s="105">
        <f>IF(ISERROR(MATCH(A74&amp;AA74,'Days Exceptions'!$C$3:$C$16,0)),ROUND(AL74/(MAX(S74,T74)),2),ROUND(AL74/VLOOKUP(A74,'Days Exceptions'!$A$3:$J$16,8,FALSE),2))</f>
        <v>24.61</v>
      </c>
      <c r="AN74" s="213">
        <f>VLOOKUP($A74,'Rate Calculation'!$A$4:$AF$208,32,FALSE)</f>
        <v>1.46</v>
      </c>
      <c r="AO74" s="109">
        <f t="shared" si="52"/>
        <v>26.07</v>
      </c>
      <c r="AP74" s="247">
        <f>VLOOKUP($A74,'Rate Calculation'!$A$4:$Q$208,17,FALSE)</f>
        <v>191.68</v>
      </c>
      <c r="AQ74" s="247">
        <f t="shared" ref="AQ74:AQ137" si="68">IF(AP74="NA","NA",ROUND(AP74*U74,2))</f>
        <v>197.62</v>
      </c>
      <c r="AR74" s="247">
        <f>VLOOKUP($A74,'Rate Calculation'!$A$4:$K$208,11,FALSE)</f>
        <v>195.33</v>
      </c>
      <c r="AS74" s="247">
        <f t="shared" si="53"/>
        <v>201.39</v>
      </c>
      <c r="AT74" s="110">
        <f t="shared" si="54"/>
        <v>214.19</v>
      </c>
      <c r="AU74" s="110">
        <f t="shared" si="55"/>
        <v>198.91</v>
      </c>
      <c r="AV74" s="111">
        <f t="shared" si="56"/>
        <v>-5.44</v>
      </c>
      <c r="AW74" s="110">
        <f t="shared" si="57"/>
        <v>193.47</v>
      </c>
      <c r="AX74" s="105">
        <f t="shared" si="58"/>
        <v>183.52</v>
      </c>
      <c r="AY74" s="105">
        <f t="shared" si="59"/>
        <v>188.96</v>
      </c>
      <c r="AZ74" s="105">
        <f t="shared" si="60"/>
        <v>5.44</v>
      </c>
      <c r="BA74" s="105">
        <f t="shared" si="61"/>
        <v>249.49</v>
      </c>
      <c r="BB74" s="105">
        <f t="shared" si="62"/>
        <v>152.75</v>
      </c>
      <c r="BC74" s="110">
        <f t="shared" si="63"/>
        <v>368.5</v>
      </c>
      <c r="BD74" s="110">
        <f t="shared" si="64"/>
        <v>276.02</v>
      </c>
      <c r="BE74" s="110">
        <f t="shared" si="65"/>
        <v>179.28</v>
      </c>
      <c r="BF74" s="105"/>
      <c r="BG74" s="105"/>
      <c r="BH74" s="111"/>
      <c r="BI74" s="105"/>
      <c r="BJ74" s="105"/>
      <c r="BK74" s="109"/>
      <c r="BL74" s="111"/>
      <c r="BM74" s="109"/>
      <c r="BN74" s="109"/>
      <c r="BO74" s="105"/>
      <c r="BP74" s="105"/>
      <c r="BQ74" s="109"/>
      <c r="BR74" s="110"/>
      <c r="BS74" s="110"/>
      <c r="BT74" s="110"/>
      <c r="BU74" s="110"/>
      <c r="BV74" s="110"/>
      <c r="BW74" s="112"/>
      <c r="BX74" s="112"/>
      <c r="BY74" s="110"/>
      <c r="BZ74" s="105"/>
      <c r="CA74" s="105"/>
      <c r="CB74" s="105"/>
      <c r="CC74" s="105"/>
      <c r="CD74" s="105"/>
      <c r="CE74" s="105"/>
    </row>
    <row r="75" spans="1:83" x14ac:dyDescent="0.15">
      <c r="A75" s="103">
        <v>412</v>
      </c>
      <c r="B75" s="98" t="str">
        <f>VLOOKUP($A75,'Rate Calculation'!$A$4:$AQ$208,42,FALSE)</f>
        <v>882349900</v>
      </c>
      <c r="C75" s="98" t="str">
        <f>VLOOKUP($A75,'Rate Calculation'!$A$4:$AQ$208,43,FALSE)</f>
        <v>Complete Care at Springbrook LLC</v>
      </c>
      <c r="D75" s="98" t="str">
        <f>VLOOKUP($A75,'Rate Calculation'!$A$4:$F$208,5,FALSE)</f>
        <v>WASHINGTON METRO</v>
      </c>
      <c r="E75" s="98" t="str">
        <f>VLOOKUP($A75,'Rate Calculation'!$A$4:$F$208,6,FALSE)</f>
        <v>WASHINGTON METRO</v>
      </c>
      <c r="F75" s="105">
        <f t="shared" si="40"/>
        <v>103.73</v>
      </c>
      <c r="G75" s="105">
        <f t="shared" si="41"/>
        <v>19.829999999999998</v>
      </c>
      <c r="H75" s="105">
        <f t="shared" si="42"/>
        <v>35.18</v>
      </c>
      <c r="I75" s="105">
        <f t="shared" si="43"/>
        <v>160.72</v>
      </c>
      <c r="J75" s="105">
        <f>VLOOKUP($A75,'Rate Calculation'!$A$4:$AZ$208,34,FALSE)</f>
        <v>0</v>
      </c>
      <c r="K75" s="105">
        <f t="shared" si="66"/>
        <v>319.45999999999998</v>
      </c>
      <c r="L75" s="164">
        <f t="shared" si="44"/>
        <v>0.98772000000000004</v>
      </c>
      <c r="M75" s="105">
        <f t="shared" si="67"/>
        <v>315.54000000000002</v>
      </c>
      <c r="N75" s="105">
        <f>VLOOKUP($A75,'Rate Calculation'!$A$4:$AL$208,38,FALSE)</f>
        <v>24.67</v>
      </c>
      <c r="O75" s="183">
        <f>VLOOKUP($A75,'Rate Calculation'!$A$4:$I$208,9,FALSE)</f>
        <v>1.4269000000000001</v>
      </c>
      <c r="P75" s="183">
        <f t="shared" si="38"/>
        <v>1.4432</v>
      </c>
      <c r="Q75" s="183">
        <f>VLOOKUP(A75,'CMI Data'!$A$4:$C$208,3,FALSE)</f>
        <v>1.4906999999999999</v>
      </c>
      <c r="R75" s="246">
        <f>VLOOKUP($A75,FRV!$A$4:$K$208,11,FALSE)</f>
        <v>33945</v>
      </c>
      <c r="S75" s="246">
        <f t="shared" si="39"/>
        <v>27675</v>
      </c>
      <c r="T75" s="246">
        <f>VLOOKUP($A75,FRV!$A$4:$L$208,12,FALSE)</f>
        <v>29741</v>
      </c>
      <c r="U75" s="183">
        <f>Inflation!$G$24</f>
        <v>1.0309999999999999</v>
      </c>
      <c r="V75" s="247">
        <f>VLOOKUP($A75,'Rate Calculation'!A76:X280,24,FALSE)</f>
        <v>100.61</v>
      </c>
      <c r="W75" s="110">
        <f t="shared" si="45"/>
        <v>103.73</v>
      </c>
      <c r="X75" s="110">
        <f>VLOOKUP($A75,'Rate Calculation'!A76:V280,22,FALSE)</f>
        <v>19.23</v>
      </c>
      <c r="Y75" s="110">
        <f t="shared" si="46"/>
        <v>19.829999999999998</v>
      </c>
      <c r="Z75" s="212">
        <f>VLOOKUP($A75,FRV!$A$4:$D$208,4,FALSE)</f>
        <v>45108</v>
      </c>
      <c r="AA75" s="212">
        <f>VLOOKUP($A75,FRV!$A$4:$F$208,6,FALSE)</f>
        <v>45291</v>
      </c>
      <c r="AB75" s="248">
        <f>VLOOKUP($A75,FRV!$A$4:$U$208,13,FALSE)</f>
        <v>8326851</v>
      </c>
      <c r="AC75" s="248">
        <f>VLOOKUP($A75,FRV!$A$4:$U$208,15,FALSE)</f>
        <v>98587</v>
      </c>
      <c r="AD75" s="248">
        <f>VLOOKUP($A75,FRV!$A$4:$U$208,14,FALSE)</f>
        <v>27500</v>
      </c>
      <c r="AE75" s="248">
        <f>VLOOKUP($A75,FRV!$A$4:$U$208,7,FALSE)</f>
        <v>93</v>
      </c>
      <c r="AF75" s="107">
        <f t="shared" si="47"/>
        <v>10982938</v>
      </c>
      <c r="AG75" s="107">
        <f t="shared" si="48"/>
        <v>118096</v>
      </c>
      <c r="AH75" s="107">
        <v>120000</v>
      </c>
      <c r="AI75" s="107">
        <f t="shared" si="49"/>
        <v>118096</v>
      </c>
      <c r="AJ75" s="107">
        <f t="shared" si="50"/>
        <v>10982928</v>
      </c>
      <c r="AK75" s="249">
        <f>IF(VLOOKUP($A75,'Rate Calculation'!$A$4:$D$208,4,FALSE)="baltimore city",0.1,0.08)</f>
        <v>0.08</v>
      </c>
      <c r="AL75" s="107">
        <f t="shared" si="51"/>
        <v>878634</v>
      </c>
      <c r="AM75" s="105">
        <f>IF(ISERROR(MATCH(A75&amp;AA75,'Days Exceptions'!$C$3:$C$16,0)),ROUND(AL75/(MAX(S75,T75)),2),ROUND(AL75/VLOOKUP(A75,'Days Exceptions'!$A$3:$J$16,8,FALSE),2))</f>
        <v>29.54</v>
      </c>
      <c r="AN75" s="213">
        <f>VLOOKUP($A75,'Rate Calculation'!$A$4:$AF$208,32,FALSE)</f>
        <v>5.64</v>
      </c>
      <c r="AO75" s="109">
        <f t="shared" si="52"/>
        <v>35.18</v>
      </c>
      <c r="AP75" s="247">
        <f>VLOOKUP($A75,'Rate Calculation'!$A$4:$Q$208,17,FALSE)</f>
        <v>140.51</v>
      </c>
      <c r="AQ75" s="247">
        <f t="shared" si="68"/>
        <v>144.87</v>
      </c>
      <c r="AR75" s="247">
        <f>VLOOKUP($A75,'Rate Calculation'!$A$4:$K$208,11,FALSE)</f>
        <v>176.01</v>
      </c>
      <c r="AS75" s="247">
        <f t="shared" si="53"/>
        <v>181.47</v>
      </c>
      <c r="AT75" s="110">
        <f t="shared" si="54"/>
        <v>179.42</v>
      </c>
      <c r="AU75" s="110">
        <f t="shared" si="55"/>
        <v>187.44</v>
      </c>
      <c r="AV75" s="111">
        <f t="shared" si="56"/>
        <v>-26.72</v>
      </c>
      <c r="AW75" s="110">
        <f t="shared" si="57"/>
        <v>160.72</v>
      </c>
      <c r="AX75" s="105">
        <f t="shared" si="58"/>
        <v>151.35</v>
      </c>
      <c r="AY75" s="105">
        <f t="shared" si="59"/>
        <v>178.07</v>
      </c>
      <c r="AZ75" s="105">
        <f t="shared" si="60"/>
        <v>26.72</v>
      </c>
      <c r="BA75" s="105">
        <f t="shared" si="61"/>
        <v>239.1</v>
      </c>
      <c r="BB75" s="105">
        <f t="shared" si="62"/>
        <v>158.74</v>
      </c>
      <c r="BC75" s="110">
        <f t="shared" si="63"/>
        <v>340.21</v>
      </c>
      <c r="BD75" s="110">
        <f t="shared" si="64"/>
        <v>263.77</v>
      </c>
      <c r="BE75" s="110">
        <f t="shared" si="65"/>
        <v>183.41</v>
      </c>
      <c r="BF75" s="105"/>
      <c r="BG75" s="105"/>
      <c r="BH75" s="111"/>
      <c r="BI75" s="105"/>
      <c r="BJ75" s="105"/>
      <c r="BK75" s="109"/>
      <c r="BL75" s="111"/>
      <c r="BM75" s="109"/>
      <c r="BN75" s="109"/>
      <c r="BO75" s="105"/>
      <c r="BP75" s="105"/>
      <c r="BQ75" s="109"/>
      <c r="BR75" s="110"/>
      <c r="BS75" s="110"/>
      <c r="BT75" s="110"/>
      <c r="BU75" s="110"/>
      <c r="BV75" s="110"/>
      <c r="BW75" s="112"/>
      <c r="BX75" s="112"/>
      <c r="BY75" s="110"/>
      <c r="BZ75" s="105"/>
      <c r="CA75" s="105"/>
      <c r="CB75" s="105"/>
      <c r="CC75" s="105"/>
      <c r="CD75" s="105"/>
      <c r="CE75" s="105"/>
    </row>
    <row r="76" spans="1:83" x14ac:dyDescent="0.15">
      <c r="A76" s="103">
        <v>372</v>
      </c>
      <c r="B76" s="98" t="str">
        <f>VLOOKUP($A76,'Rate Calculation'!$A$4:$AQ$208,42,FALSE)</f>
        <v>882359600</v>
      </c>
      <c r="C76" s="98" t="str">
        <f>VLOOKUP($A76,'Rate Calculation'!$A$4:$AQ$208,43,FALSE)</f>
        <v>Complete Care at Wheaton LLC</v>
      </c>
      <c r="D76" s="98" t="str">
        <f>VLOOKUP($A76,'Rate Calculation'!$A$4:$F$208,5,FALSE)</f>
        <v>WASHINGTON METRO</v>
      </c>
      <c r="E76" s="98" t="str">
        <f>VLOOKUP($A76,'Rate Calculation'!$A$4:$F$208,6,FALSE)</f>
        <v>WASHINGTON METRO</v>
      </c>
      <c r="F76" s="105">
        <f t="shared" si="40"/>
        <v>103.73</v>
      </c>
      <c r="G76" s="105">
        <f t="shared" si="41"/>
        <v>19.829999999999998</v>
      </c>
      <c r="H76" s="105">
        <f t="shared" si="42"/>
        <v>35.89</v>
      </c>
      <c r="I76" s="105">
        <f t="shared" si="43"/>
        <v>160.1</v>
      </c>
      <c r="J76" s="105">
        <f>VLOOKUP($A76,'Rate Calculation'!$A$4:$AZ$208,34,FALSE)</f>
        <v>0</v>
      </c>
      <c r="K76" s="105">
        <f t="shared" si="66"/>
        <v>319.55</v>
      </c>
      <c r="L76" s="164">
        <f t="shared" si="44"/>
        <v>0.98772000000000004</v>
      </c>
      <c r="M76" s="105">
        <f t="shared" si="67"/>
        <v>315.63</v>
      </c>
      <c r="N76" s="105">
        <f>VLOOKUP($A76,'Rate Calculation'!$A$4:$AL$208,38,FALSE)</f>
        <v>29.09</v>
      </c>
      <c r="O76" s="183">
        <f>VLOOKUP($A76,'Rate Calculation'!$A$4:$I$208,9,FALSE)</f>
        <v>1.3557999999999999</v>
      </c>
      <c r="P76" s="183">
        <f t="shared" si="38"/>
        <v>1.4432</v>
      </c>
      <c r="Q76" s="183">
        <f>VLOOKUP(A76,'CMI Data'!$A$4:$C$208,3,FALSE)</f>
        <v>1.3384</v>
      </c>
      <c r="R76" s="246">
        <f>VLOOKUP($A76,FRV!$A$4:$K$208,11,FALSE)</f>
        <v>42340</v>
      </c>
      <c r="S76" s="246">
        <f t="shared" si="39"/>
        <v>34520</v>
      </c>
      <c r="T76" s="246">
        <f>VLOOKUP($A76,FRV!$A$4:$L$208,12,FALSE)</f>
        <v>33025</v>
      </c>
      <c r="U76" s="183">
        <f>Inflation!$G$24</f>
        <v>1.0309999999999999</v>
      </c>
      <c r="V76" s="247">
        <f>VLOOKUP($A76,'Rate Calculation'!A77:X281,24,FALSE)</f>
        <v>100.61</v>
      </c>
      <c r="W76" s="110">
        <f t="shared" si="45"/>
        <v>103.73</v>
      </c>
      <c r="X76" s="110">
        <f>VLOOKUP($A76,'Rate Calculation'!A77:V281,22,FALSE)</f>
        <v>19.23</v>
      </c>
      <c r="Y76" s="110">
        <f t="shared" si="46"/>
        <v>19.829999999999998</v>
      </c>
      <c r="Z76" s="212">
        <f>VLOOKUP($A76,FRV!$A$4:$D$208,4,FALSE)</f>
        <v>44743</v>
      </c>
      <c r="AA76" s="212">
        <f>VLOOKUP($A76,FRV!$A$4:$F$208,6,FALSE)</f>
        <v>44957</v>
      </c>
      <c r="AB76" s="248">
        <f>VLOOKUP($A76,FRV!$A$4:$U$208,13,FALSE)</f>
        <v>11667851</v>
      </c>
      <c r="AC76" s="248">
        <f>VLOOKUP($A76,FRV!$A$4:$U$208,15,FALSE)</f>
        <v>253984</v>
      </c>
      <c r="AD76" s="248">
        <f>VLOOKUP($A76,FRV!$A$4:$U$208,14,FALSE)</f>
        <v>35000</v>
      </c>
      <c r="AE76" s="248">
        <f>VLOOKUP($A76,FRV!$A$4:$U$208,7,FALSE)</f>
        <v>116</v>
      </c>
      <c r="AF76" s="107">
        <f t="shared" si="47"/>
        <v>15981835</v>
      </c>
      <c r="AG76" s="107">
        <f t="shared" si="48"/>
        <v>137774</v>
      </c>
      <c r="AH76" s="107">
        <v>120000</v>
      </c>
      <c r="AI76" s="107">
        <f t="shared" si="49"/>
        <v>120000</v>
      </c>
      <c r="AJ76" s="107">
        <f t="shared" si="50"/>
        <v>13920000</v>
      </c>
      <c r="AK76" s="249">
        <f>IF(VLOOKUP($A76,'Rate Calculation'!$A$4:$D$208,4,FALSE)="baltimore city",0.1,0.08)</f>
        <v>0.08</v>
      </c>
      <c r="AL76" s="107">
        <f t="shared" si="51"/>
        <v>1113600</v>
      </c>
      <c r="AM76" s="105">
        <f>IF(ISERROR(MATCH(A76&amp;AA76,'Days Exceptions'!$C$3:$C$16,0)),ROUND(AL76/(MAX(S76,T76)),2),ROUND(AL76/VLOOKUP(A76,'Days Exceptions'!$A$3:$J$16,8,FALSE),2))</f>
        <v>32.26</v>
      </c>
      <c r="AN76" s="213">
        <f>VLOOKUP($A76,'Rate Calculation'!$A$4:$AF$208,32,FALSE)</f>
        <v>3.63</v>
      </c>
      <c r="AO76" s="109">
        <f t="shared" si="52"/>
        <v>35.89</v>
      </c>
      <c r="AP76" s="247">
        <f>VLOOKUP($A76,'Rate Calculation'!$A$4:$Q$208,17,FALSE)</f>
        <v>149.04</v>
      </c>
      <c r="AQ76" s="247">
        <f t="shared" si="68"/>
        <v>153.66</v>
      </c>
      <c r="AR76" s="247">
        <f>VLOOKUP($A76,'Rate Calculation'!$A$4:$K$208,11,FALSE)</f>
        <v>176.01</v>
      </c>
      <c r="AS76" s="247">
        <f t="shared" si="53"/>
        <v>181.47</v>
      </c>
      <c r="AT76" s="110">
        <f t="shared" si="54"/>
        <v>170.48</v>
      </c>
      <c r="AU76" s="110">
        <f t="shared" si="55"/>
        <v>168.29</v>
      </c>
      <c r="AV76" s="111">
        <f t="shared" si="56"/>
        <v>-8.19</v>
      </c>
      <c r="AW76" s="110">
        <f t="shared" si="57"/>
        <v>160.1</v>
      </c>
      <c r="AX76" s="105">
        <f t="shared" si="58"/>
        <v>151.69</v>
      </c>
      <c r="AY76" s="105">
        <f t="shared" si="59"/>
        <v>159.88</v>
      </c>
      <c r="AZ76" s="105">
        <f t="shared" si="60"/>
        <v>8.19</v>
      </c>
      <c r="BA76" s="105">
        <f t="shared" si="61"/>
        <v>239.5</v>
      </c>
      <c r="BB76" s="105">
        <f t="shared" si="62"/>
        <v>159.44999999999999</v>
      </c>
      <c r="BC76" s="110">
        <f t="shared" si="63"/>
        <v>344.72</v>
      </c>
      <c r="BD76" s="110">
        <f t="shared" si="64"/>
        <v>268.58999999999997</v>
      </c>
      <c r="BE76" s="110">
        <f t="shared" si="65"/>
        <v>188.54</v>
      </c>
      <c r="BF76" s="105"/>
      <c r="BG76" s="105"/>
      <c r="BH76" s="111"/>
      <c r="BI76" s="105"/>
      <c r="BJ76" s="105"/>
      <c r="BK76" s="109"/>
      <c r="BL76" s="111"/>
      <c r="BM76" s="109"/>
      <c r="BN76" s="109"/>
      <c r="BO76" s="105"/>
      <c r="BP76" s="105"/>
      <c r="BQ76" s="109"/>
      <c r="BR76" s="110"/>
      <c r="BS76" s="110"/>
      <c r="BT76" s="110"/>
      <c r="BU76" s="110"/>
      <c r="BV76" s="110"/>
      <c r="BW76" s="112"/>
      <c r="BX76" s="112"/>
      <c r="BY76" s="110"/>
      <c r="BZ76" s="105"/>
      <c r="CA76" s="105"/>
      <c r="CB76" s="105"/>
      <c r="CC76" s="105"/>
      <c r="CD76" s="105"/>
      <c r="CE76" s="105"/>
    </row>
    <row r="77" spans="1:83" x14ac:dyDescent="0.15">
      <c r="A77" s="103">
        <v>374</v>
      </c>
      <c r="B77" s="98" t="str">
        <f>VLOOKUP($A77,'Rate Calculation'!$A$4:$AQ$208,42,FALSE)</f>
        <v>918284500</v>
      </c>
      <c r="C77" s="98" t="str">
        <f>VLOOKUP($A77,'Rate Calculation'!$A$4:$AQ$208,43,FALSE)</f>
        <v>Creekside Center for Rehabilitation and Nursing</v>
      </c>
      <c r="D77" s="98" t="str">
        <f>VLOOKUP($A77,'Rate Calculation'!$A$4:$F$208,5,FALSE)</f>
        <v>WESTERN REGION</v>
      </c>
      <c r="E77" s="98" t="str">
        <f>VLOOKUP($A77,'Rate Calculation'!$A$4:$F$208,6,FALSE)</f>
        <v>NON METRO</v>
      </c>
      <c r="F77" s="105">
        <f t="shared" si="40"/>
        <v>92.33</v>
      </c>
      <c r="G77" s="105">
        <f t="shared" si="41"/>
        <v>20.87</v>
      </c>
      <c r="H77" s="105">
        <f t="shared" si="42"/>
        <v>35.51</v>
      </c>
      <c r="I77" s="105">
        <f t="shared" si="43"/>
        <v>149.82</v>
      </c>
      <c r="J77" s="105">
        <f>VLOOKUP($A77,'Rate Calculation'!$A$4:$AZ$208,34,FALSE)</f>
        <v>0</v>
      </c>
      <c r="K77" s="105">
        <f t="shared" si="66"/>
        <v>298.52999999999997</v>
      </c>
      <c r="L77" s="164">
        <f t="shared" si="44"/>
        <v>0.98772000000000004</v>
      </c>
      <c r="M77" s="105">
        <f t="shared" si="67"/>
        <v>294.86</v>
      </c>
      <c r="N77" s="105">
        <f>VLOOKUP($A77,'Rate Calculation'!$A$4:$AL$208,38,FALSE)</f>
        <v>0</v>
      </c>
      <c r="O77" s="183">
        <f>VLOOKUP($A77,'Rate Calculation'!$A$4:$I$208,9,FALSE)</f>
        <v>1.6573</v>
      </c>
      <c r="P77" s="183">
        <f t="shared" si="38"/>
        <v>1.4432</v>
      </c>
      <c r="Q77" s="183">
        <f>VLOOKUP(A77,'CMI Data'!$A$4:$C$208,3,FALSE)</f>
        <v>1.5674999999999999</v>
      </c>
      <c r="R77" s="246">
        <f>VLOOKUP($A77,FRV!$A$4:$K$208,11,FALSE)</f>
        <v>29200</v>
      </c>
      <c r="S77" s="246">
        <f t="shared" si="39"/>
        <v>23807</v>
      </c>
      <c r="T77" s="246">
        <f>VLOOKUP($A77,FRV!$A$4:$L$208,12,FALSE)</f>
        <v>24915</v>
      </c>
      <c r="U77" s="183">
        <f>Inflation!$G$24</f>
        <v>1.0309999999999999</v>
      </c>
      <c r="V77" s="247">
        <f>VLOOKUP($A77,'Rate Calculation'!A78:X282,24,FALSE)</f>
        <v>89.55</v>
      </c>
      <c r="W77" s="110">
        <f t="shared" si="45"/>
        <v>92.33</v>
      </c>
      <c r="X77" s="110">
        <f>VLOOKUP($A77,'Rate Calculation'!A78:V282,22,FALSE)</f>
        <v>20.239999999999998</v>
      </c>
      <c r="Y77" s="110">
        <f t="shared" si="46"/>
        <v>20.87</v>
      </c>
      <c r="Z77" s="212">
        <f>VLOOKUP($A77,FRV!$A$4:$D$208,4,FALSE)</f>
        <v>44743</v>
      </c>
      <c r="AA77" s="212">
        <f>VLOOKUP($A77,FRV!$A$4:$F$208,6,FALSE)</f>
        <v>44926</v>
      </c>
      <c r="AB77" s="248">
        <f>VLOOKUP($A77,FRV!$A$4:$U$208,13,FALSE)</f>
        <v>8622929</v>
      </c>
      <c r="AC77" s="248">
        <f>VLOOKUP($A77,FRV!$A$4:$U$208,15,FALSE)</f>
        <v>419426</v>
      </c>
      <c r="AD77" s="248">
        <f>VLOOKUP($A77,FRV!$A$4:$U$208,14,FALSE)</f>
        <v>17000</v>
      </c>
      <c r="AE77" s="248">
        <f>VLOOKUP($A77,FRV!$A$4:$U$208,7,FALSE)</f>
        <v>80</v>
      </c>
      <c r="AF77" s="107">
        <f t="shared" si="47"/>
        <v>10402355</v>
      </c>
      <c r="AG77" s="107">
        <f t="shared" si="48"/>
        <v>130029</v>
      </c>
      <c r="AH77" s="107">
        <v>120000</v>
      </c>
      <c r="AI77" s="107">
        <f t="shared" si="49"/>
        <v>120000</v>
      </c>
      <c r="AJ77" s="107">
        <f t="shared" si="50"/>
        <v>9600000</v>
      </c>
      <c r="AK77" s="249">
        <f>IF(VLOOKUP($A77,'Rate Calculation'!$A$4:$D$208,4,FALSE)="baltimore city",0.1,0.08)</f>
        <v>0.08</v>
      </c>
      <c r="AL77" s="107">
        <f t="shared" si="51"/>
        <v>768000</v>
      </c>
      <c r="AM77" s="105">
        <f>IF(ISERROR(MATCH(A77&amp;AA77,'Days Exceptions'!$C$3:$C$16,0)),ROUND(AL77/(MAX(S77,T77)),2),ROUND(AL77/VLOOKUP(A77,'Days Exceptions'!$A$3:$J$16,8,FALSE),2))</f>
        <v>30.82</v>
      </c>
      <c r="AN77" s="213">
        <f>VLOOKUP($A77,'Rate Calculation'!$A$4:$AF$208,32,FALSE)</f>
        <v>4.6900000000000004</v>
      </c>
      <c r="AO77" s="109">
        <f t="shared" si="52"/>
        <v>35.51</v>
      </c>
      <c r="AP77" s="247">
        <f>VLOOKUP($A77,'Rate Calculation'!$A$4:$Q$208,17,FALSE)</f>
        <v>144.09</v>
      </c>
      <c r="AQ77" s="247">
        <f t="shared" si="68"/>
        <v>148.56</v>
      </c>
      <c r="AR77" s="247">
        <f>VLOOKUP($A77,'Rate Calculation'!$A$4:$K$208,11,FALSE)</f>
        <v>166.26</v>
      </c>
      <c r="AS77" s="247">
        <f t="shared" si="53"/>
        <v>171.41</v>
      </c>
      <c r="AT77" s="110">
        <f t="shared" si="54"/>
        <v>196.84</v>
      </c>
      <c r="AU77" s="110">
        <f t="shared" si="55"/>
        <v>186.17</v>
      </c>
      <c r="AV77" s="111">
        <f t="shared" si="56"/>
        <v>-36.35</v>
      </c>
      <c r="AW77" s="110">
        <f t="shared" si="57"/>
        <v>149.82</v>
      </c>
      <c r="AX77" s="105">
        <f t="shared" si="58"/>
        <v>140.51</v>
      </c>
      <c r="AY77" s="105">
        <f t="shared" si="59"/>
        <v>176.86</v>
      </c>
      <c r="AZ77" s="105">
        <f t="shared" si="60"/>
        <v>36.35</v>
      </c>
      <c r="BA77" s="105">
        <f t="shared" si="61"/>
        <v>223.62</v>
      </c>
      <c r="BB77" s="105">
        <f t="shared" si="62"/>
        <v>148.71</v>
      </c>
      <c r="BC77" s="110">
        <f t="shared" si="63"/>
        <v>294.86</v>
      </c>
      <c r="BD77" s="110">
        <f t="shared" si="64"/>
        <v>223.62</v>
      </c>
      <c r="BE77" s="110">
        <f t="shared" si="65"/>
        <v>148.71</v>
      </c>
      <c r="BF77" s="105"/>
      <c r="BG77" s="105"/>
      <c r="BH77" s="111"/>
      <c r="BI77" s="105"/>
      <c r="BJ77" s="105"/>
      <c r="BK77" s="109"/>
      <c r="BL77" s="111"/>
      <c r="BM77" s="109"/>
      <c r="BN77" s="109"/>
      <c r="BO77" s="105"/>
      <c r="BP77" s="105"/>
      <c r="BQ77" s="109"/>
      <c r="BR77" s="110"/>
      <c r="BS77" s="110"/>
      <c r="BT77" s="110"/>
      <c r="BU77" s="110"/>
      <c r="BV77" s="110"/>
      <c r="BW77" s="112"/>
      <c r="BX77" s="112"/>
      <c r="BY77" s="110"/>
      <c r="BZ77" s="105"/>
      <c r="CA77" s="105"/>
      <c r="CB77" s="105"/>
      <c r="CC77" s="105"/>
      <c r="CD77" s="105"/>
      <c r="CE77" s="105"/>
    </row>
    <row r="78" spans="1:83" x14ac:dyDescent="0.15">
      <c r="A78" s="103">
        <v>130</v>
      </c>
      <c r="B78" s="98" t="str">
        <f>VLOOKUP($A78,'Rate Calculation'!$A$4:$AQ$208,42,FALSE)</f>
        <v>333180600</v>
      </c>
      <c r="C78" s="98" t="str">
        <f>VLOOKUP($A78,'Rate Calculation'!$A$4:$AQ$208,43,FALSE)</f>
        <v>Crescent Cities Nursing and Rehabilitation Center</v>
      </c>
      <c r="D78" s="98" t="str">
        <f>VLOOKUP($A78,'Rate Calculation'!$A$4:$F$208,5,FALSE)</f>
        <v>WASHINGTON METRO</v>
      </c>
      <c r="E78" s="98" t="str">
        <f>VLOOKUP($A78,'Rate Calculation'!$A$4:$F$208,6,FALSE)</f>
        <v>WASHINGTON METRO</v>
      </c>
      <c r="F78" s="105">
        <f t="shared" si="40"/>
        <v>103.73</v>
      </c>
      <c r="G78" s="105">
        <f t="shared" si="41"/>
        <v>19.829999999999998</v>
      </c>
      <c r="H78" s="105">
        <f t="shared" si="42"/>
        <v>31.96</v>
      </c>
      <c r="I78" s="105">
        <f t="shared" si="43"/>
        <v>152.72</v>
      </c>
      <c r="J78" s="105">
        <f>VLOOKUP($A78,'Rate Calculation'!$A$4:$AZ$208,34,FALSE)</f>
        <v>0</v>
      </c>
      <c r="K78" s="105">
        <f t="shared" si="66"/>
        <v>308.24</v>
      </c>
      <c r="L78" s="164">
        <f t="shared" si="44"/>
        <v>0.98772000000000004</v>
      </c>
      <c r="M78" s="105">
        <f t="shared" si="67"/>
        <v>304.45</v>
      </c>
      <c r="N78" s="105">
        <f>VLOOKUP($A78,'Rate Calculation'!$A$4:$AL$208,38,FALSE)</f>
        <v>22.2</v>
      </c>
      <c r="O78" s="183">
        <f>VLOOKUP($A78,'Rate Calculation'!$A$4:$I$208,9,FALSE)</f>
        <v>1.5435000000000001</v>
      </c>
      <c r="P78" s="183">
        <f t="shared" si="38"/>
        <v>1.4432</v>
      </c>
      <c r="Q78" s="183">
        <f>VLOOKUP(A78,'CMI Data'!$A$4:$C$208,3,FALSE)</f>
        <v>1.4402999999999999</v>
      </c>
      <c r="R78" s="246">
        <f>VLOOKUP($A78,FRV!$A$4:$K$208,11,FALSE)</f>
        <v>57828</v>
      </c>
      <c r="S78" s="246">
        <f t="shared" si="39"/>
        <v>47147</v>
      </c>
      <c r="T78" s="246">
        <f>VLOOKUP($A78,FRV!$A$4:$L$208,12,FALSE)</f>
        <v>56292</v>
      </c>
      <c r="U78" s="183">
        <f>Inflation!$G$24</f>
        <v>1.0309999999999999</v>
      </c>
      <c r="V78" s="247">
        <f>VLOOKUP($A78,'Rate Calculation'!A79:X283,24,FALSE)</f>
        <v>100.61</v>
      </c>
      <c r="W78" s="110">
        <f t="shared" si="45"/>
        <v>103.73</v>
      </c>
      <c r="X78" s="110">
        <f>VLOOKUP($A78,'Rate Calculation'!A79:V283,22,FALSE)</f>
        <v>19.23</v>
      </c>
      <c r="Y78" s="110">
        <f t="shared" si="46"/>
        <v>19.829999999999998</v>
      </c>
      <c r="Z78" s="212">
        <f>VLOOKUP($A78,FRV!$A$4:$D$208,4,FALSE)</f>
        <v>45474</v>
      </c>
      <c r="AA78" s="212">
        <f>VLOOKUP($A78,FRV!$A$4:$F$208,6,FALSE)</f>
        <v>45657</v>
      </c>
      <c r="AB78" s="248">
        <f>VLOOKUP($A78,FRV!$A$4:$U$208,13,FALSE)</f>
        <v>26123268</v>
      </c>
      <c r="AC78" s="248">
        <f>VLOOKUP($A78,FRV!$A$4:$U$208,15,FALSE)</f>
        <v>307935</v>
      </c>
      <c r="AD78" s="248">
        <f>VLOOKUP($A78,FRV!$A$4:$U$208,14,FALSE)</f>
        <v>27000</v>
      </c>
      <c r="AE78" s="248">
        <f>VLOOKUP($A78,FRV!$A$4:$U$208,7,FALSE)</f>
        <v>158</v>
      </c>
      <c r="AF78" s="107">
        <f t="shared" si="47"/>
        <v>30697203</v>
      </c>
      <c r="AG78" s="107">
        <f t="shared" si="48"/>
        <v>194286</v>
      </c>
      <c r="AH78" s="107">
        <v>120000</v>
      </c>
      <c r="AI78" s="107">
        <f t="shared" si="49"/>
        <v>120000</v>
      </c>
      <c r="AJ78" s="107">
        <f t="shared" si="50"/>
        <v>18960000</v>
      </c>
      <c r="AK78" s="249">
        <f>IF(VLOOKUP($A78,'Rate Calculation'!$A$4:$D$208,4,FALSE)="baltimore city",0.1,0.08)</f>
        <v>0.08</v>
      </c>
      <c r="AL78" s="107">
        <f t="shared" si="51"/>
        <v>1516800</v>
      </c>
      <c r="AM78" s="105">
        <f>IF(ISERROR(MATCH(A78&amp;AA78,'Days Exceptions'!$C$3:$C$16,0)),ROUND(AL78/(MAX(S78,T78)),2),ROUND(AL78/VLOOKUP(A78,'Days Exceptions'!$A$3:$J$16,8,FALSE),2))</f>
        <v>26.95</v>
      </c>
      <c r="AN78" s="213">
        <f>VLOOKUP($A78,'Rate Calculation'!$A$4:$AF$208,32,FALSE)</f>
        <v>5.01</v>
      </c>
      <c r="AO78" s="109">
        <f t="shared" si="52"/>
        <v>31.96</v>
      </c>
      <c r="AP78" s="247">
        <f>VLOOKUP($A78,'Rate Calculation'!$A$4:$Q$208,17,FALSE)</f>
        <v>149.33000000000001</v>
      </c>
      <c r="AQ78" s="247">
        <f t="shared" si="68"/>
        <v>153.96</v>
      </c>
      <c r="AR78" s="247">
        <f>VLOOKUP($A78,'Rate Calculation'!$A$4:$K$208,11,FALSE)</f>
        <v>176.01</v>
      </c>
      <c r="AS78" s="247">
        <f t="shared" si="53"/>
        <v>181.47</v>
      </c>
      <c r="AT78" s="110">
        <f t="shared" si="54"/>
        <v>194.08</v>
      </c>
      <c r="AU78" s="110">
        <f t="shared" si="55"/>
        <v>181.1</v>
      </c>
      <c r="AV78" s="111">
        <f t="shared" si="56"/>
        <v>-28.38</v>
      </c>
      <c r="AW78" s="110">
        <f t="shared" si="57"/>
        <v>152.72</v>
      </c>
      <c r="AX78" s="105">
        <f t="shared" si="58"/>
        <v>143.66999999999999</v>
      </c>
      <c r="AY78" s="105">
        <f t="shared" si="59"/>
        <v>172.05</v>
      </c>
      <c r="AZ78" s="105">
        <f t="shared" si="60"/>
        <v>28.38</v>
      </c>
      <c r="BA78" s="105">
        <f t="shared" si="61"/>
        <v>231.88</v>
      </c>
      <c r="BB78" s="105">
        <f t="shared" si="62"/>
        <v>155.52000000000001</v>
      </c>
      <c r="BC78" s="110">
        <f t="shared" si="63"/>
        <v>326.64999999999998</v>
      </c>
      <c r="BD78" s="110">
        <f t="shared" si="64"/>
        <v>254.08</v>
      </c>
      <c r="BE78" s="110">
        <f t="shared" si="65"/>
        <v>177.72</v>
      </c>
      <c r="BF78" s="105"/>
      <c r="BG78" s="105"/>
      <c r="BH78" s="111"/>
      <c r="BI78" s="105"/>
      <c r="BJ78" s="105"/>
      <c r="BK78" s="109"/>
      <c r="BL78" s="111"/>
      <c r="BM78" s="109"/>
      <c r="BN78" s="109"/>
      <c r="BO78" s="105"/>
      <c r="BP78" s="105"/>
      <c r="BQ78" s="109"/>
      <c r="BR78" s="110"/>
      <c r="BS78" s="110"/>
      <c r="BT78" s="110"/>
      <c r="BU78" s="110"/>
      <c r="BV78" s="110"/>
      <c r="BW78" s="112"/>
      <c r="BX78" s="112"/>
      <c r="BY78" s="110"/>
      <c r="BZ78" s="105"/>
      <c r="CA78" s="105"/>
      <c r="CB78" s="105"/>
      <c r="CC78" s="105"/>
      <c r="CD78" s="105"/>
      <c r="CE78" s="105"/>
    </row>
    <row r="79" spans="1:83" x14ac:dyDescent="0.15">
      <c r="A79" s="103">
        <v>136</v>
      </c>
      <c r="B79" s="98" t="str">
        <f>VLOOKUP($A79,'Rate Calculation'!$A$4:$AQ$208,42,FALSE)</f>
        <v>424483400</v>
      </c>
      <c r="C79" s="98" t="str">
        <f>VLOOKUP($A79,'Rate Calculation'!$A$4:$AQ$208,43,FALSE)</f>
        <v>Cumberland Healthcare Center</v>
      </c>
      <c r="D79" s="98" t="str">
        <f>VLOOKUP($A79,'Rate Calculation'!$A$4:$F$208,5,FALSE)</f>
        <v>WESTERN REGION</v>
      </c>
      <c r="E79" s="98" t="str">
        <f>VLOOKUP($A79,'Rate Calculation'!$A$4:$F$208,6,FALSE)</f>
        <v>NON METRO</v>
      </c>
      <c r="F79" s="105">
        <f t="shared" si="40"/>
        <v>92.33</v>
      </c>
      <c r="G79" s="105">
        <f t="shared" si="41"/>
        <v>20.87</v>
      </c>
      <c r="H79" s="105">
        <f t="shared" si="42"/>
        <v>24.01</v>
      </c>
      <c r="I79" s="105">
        <f t="shared" si="43"/>
        <v>157.53</v>
      </c>
      <c r="J79" s="105">
        <f>VLOOKUP($A79,'Rate Calculation'!$A$4:$AZ$208,34,FALSE)</f>
        <v>0</v>
      </c>
      <c r="K79" s="105">
        <f t="shared" si="66"/>
        <v>294.74</v>
      </c>
      <c r="L79" s="164">
        <f t="shared" si="44"/>
        <v>0.98772000000000004</v>
      </c>
      <c r="M79" s="105">
        <f t="shared" si="67"/>
        <v>291.12</v>
      </c>
      <c r="N79" s="105">
        <f>VLOOKUP($A79,'Rate Calculation'!$A$4:$AL$208,38,FALSE)</f>
        <v>29.3</v>
      </c>
      <c r="O79" s="183">
        <f>VLOOKUP($A79,'Rate Calculation'!$A$4:$I$208,9,FALSE)</f>
        <v>1.4662999999999999</v>
      </c>
      <c r="P79" s="183">
        <f t="shared" si="38"/>
        <v>1.4432</v>
      </c>
      <c r="Q79" s="183">
        <f>VLOOKUP(A79,'CMI Data'!$A$4:$C$208,3,FALSE)</f>
        <v>1.3666</v>
      </c>
      <c r="R79" s="246">
        <f>VLOOKUP($A79,FRV!$A$4:$K$208,11,FALSE)</f>
        <v>48910</v>
      </c>
      <c r="S79" s="246">
        <f t="shared" si="39"/>
        <v>39876</v>
      </c>
      <c r="T79" s="246">
        <f>VLOOKUP($A79,FRV!$A$4:$L$208,12,FALSE)</f>
        <v>32782</v>
      </c>
      <c r="U79" s="183">
        <f>Inflation!$G$24</f>
        <v>1.0309999999999999</v>
      </c>
      <c r="V79" s="247">
        <f>VLOOKUP($A79,'Rate Calculation'!A80:X284,24,FALSE)</f>
        <v>89.55</v>
      </c>
      <c r="W79" s="110">
        <f t="shared" si="45"/>
        <v>92.33</v>
      </c>
      <c r="X79" s="110">
        <f>VLOOKUP($A79,'Rate Calculation'!A80:V284,22,FALSE)</f>
        <v>20.239999999999998</v>
      </c>
      <c r="Y79" s="110">
        <f t="shared" si="46"/>
        <v>20.87</v>
      </c>
      <c r="Z79" s="212">
        <f>VLOOKUP($A79,FRV!$A$4:$D$208,4,FALSE)</f>
        <v>44743</v>
      </c>
      <c r="AA79" s="212">
        <f>VLOOKUP($A79,FRV!$A$4:$F$208,6,FALSE)</f>
        <v>44742</v>
      </c>
      <c r="AB79" s="248">
        <f>VLOOKUP($A79,FRV!$A$4:$U$208,13,FALSE)</f>
        <v>9030523</v>
      </c>
      <c r="AC79" s="248">
        <f>VLOOKUP($A79,FRV!$A$4:$U$208,15,FALSE)</f>
        <v>266076</v>
      </c>
      <c r="AD79" s="248">
        <f>VLOOKUP($A79,FRV!$A$4:$U$208,14,FALSE)</f>
        <v>14000</v>
      </c>
      <c r="AE79" s="248">
        <f>VLOOKUP($A79,FRV!$A$4:$U$208,7,FALSE)</f>
        <v>134</v>
      </c>
      <c r="AF79" s="107">
        <f t="shared" si="47"/>
        <v>11172599</v>
      </c>
      <c r="AG79" s="107">
        <f t="shared" si="48"/>
        <v>83378</v>
      </c>
      <c r="AH79" s="107">
        <v>120000</v>
      </c>
      <c r="AI79" s="107">
        <f t="shared" si="49"/>
        <v>83378</v>
      </c>
      <c r="AJ79" s="107">
        <f t="shared" si="50"/>
        <v>11172652</v>
      </c>
      <c r="AK79" s="249">
        <f>IF(VLOOKUP($A79,'Rate Calculation'!$A$4:$D$208,4,FALSE)="baltimore city",0.1,0.08)</f>
        <v>0.08</v>
      </c>
      <c r="AL79" s="107">
        <f t="shared" si="51"/>
        <v>893812</v>
      </c>
      <c r="AM79" s="105">
        <f>IF(ISERROR(MATCH(A79&amp;AA79,'Days Exceptions'!$C$3:$C$16,0)),ROUND(AL79/(MAX(S79,T79)),2),ROUND(AL79/VLOOKUP(A79,'Days Exceptions'!$A$3:$J$16,8,FALSE),2))</f>
        <v>22.41</v>
      </c>
      <c r="AN79" s="213">
        <f>VLOOKUP($A79,'Rate Calculation'!$A$4:$AF$208,32,FALSE)</f>
        <v>1.6</v>
      </c>
      <c r="AO79" s="109">
        <f t="shared" si="52"/>
        <v>24.01</v>
      </c>
      <c r="AP79" s="247">
        <f>VLOOKUP($A79,'Rate Calculation'!$A$4:$Q$208,17,FALSE)</f>
        <v>155.49</v>
      </c>
      <c r="AQ79" s="247">
        <f t="shared" si="68"/>
        <v>160.31</v>
      </c>
      <c r="AR79" s="247">
        <f>VLOOKUP($A79,'Rate Calculation'!$A$4:$K$208,11,FALSE)</f>
        <v>166.26</v>
      </c>
      <c r="AS79" s="247">
        <f t="shared" si="53"/>
        <v>171.41</v>
      </c>
      <c r="AT79" s="110">
        <f t="shared" si="54"/>
        <v>174.15</v>
      </c>
      <c r="AU79" s="110">
        <f t="shared" si="55"/>
        <v>162.31</v>
      </c>
      <c r="AV79" s="111">
        <f t="shared" si="56"/>
        <v>-4.78</v>
      </c>
      <c r="AW79" s="110">
        <f t="shared" si="57"/>
        <v>157.53</v>
      </c>
      <c r="AX79" s="105">
        <f t="shared" si="58"/>
        <v>149.41</v>
      </c>
      <c r="AY79" s="105">
        <f t="shared" si="59"/>
        <v>154.19</v>
      </c>
      <c r="AZ79" s="105">
        <f t="shared" si="60"/>
        <v>4.78</v>
      </c>
      <c r="BA79" s="105">
        <f t="shared" si="61"/>
        <v>215.98</v>
      </c>
      <c r="BB79" s="105">
        <f t="shared" si="62"/>
        <v>137.21</v>
      </c>
      <c r="BC79" s="110">
        <f t="shared" si="63"/>
        <v>320.42</v>
      </c>
      <c r="BD79" s="110">
        <f t="shared" si="64"/>
        <v>245.28</v>
      </c>
      <c r="BE79" s="110">
        <f t="shared" si="65"/>
        <v>166.51</v>
      </c>
      <c r="BF79" s="105"/>
      <c r="BG79" s="105"/>
      <c r="BH79" s="111"/>
      <c r="BI79" s="105"/>
      <c r="BJ79" s="105"/>
      <c r="BK79" s="109"/>
      <c r="BL79" s="111"/>
      <c r="BM79" s="109"/>
      <c r="BN79" s="109"/>
      <c r="BO79" s="105"/>
      <c r="BP79" s="105"/>
      <c r="BQ79" s="109"/>
      <c r="BR79" s="110"/>
      <c r="BS79" s="110"/>
      <c r="BT79" s="110"/>
      <c r="BU79" s="110"/>
      <c r="BV79" s="110"/>
      <c r="BW79" s="112"/>
      <c r="BX79" s="112"/>
      <c r="BY79" s="110"/>
      <c r="BZ79" s="105"/>
      <c r="CA79" s="105"/>
      <c r="CB79" s="105"/>
      <c r="CC79" s="105"/>
      <c r="CD79" s="105"/>
      <c r="CE79" s="105"/>
    </row>
    <row r="80" spans="1:83" x14ac:dyDescent="0.15">
      <c r="A80" s="103">
        <v>669</v>
      </c>
      <c r="B80" s="98" t="str">
        <f>VLOOKUP($A80,'Rate Calculation'!$A$4:$AQ$208,42,FALSE)</f>
        <v>667107100</v>
      </c>
      <c r="C80" s="98" t="str">
        <f>VLOOKUP($A80,'Rate Calculation'!$A$4:$AQ$208,43,FALSE)</f>
        <v>Denton Nursing and Rehab</v>
      </c>
      <c r="D80" s="98" t="str">
        <f>VLOOKUP($A80,'Rate Calculation'!$A$4:$F$208,5,FALSE)</f>
        <v>EASTERN REGION</v>
      </c>
      <c r="E80" s="98" t="str">
        <f>VLOOKUP($A80,'Rate Calculation'!$A$4:$F$208,6,FALSE)</f>
        <v>NON METRO</v>
      </c>
      <c r="F80" s="105">
        <f t="shared" si="40"/>
        <v>92.33</v>
      </c>
      <c r="G80" s="105">
        <f t="shared" si="41"/>
        <v>20.87</v>
      </c>
      <c r="H80" s="105">
        <f t="shared" si="42"/>
        <v>34.89</v>
      </c>
      <c r="I80" s="105">
        <f t="shared" si="43"/>
        <v>196.86</v>
      </c>
      <c r="J80" s="105">
        <f>VLOOKUP($A80,'Rate Calculation'!$A$4:$AZ$208,34,FALSE)</f>
        <v>0</v>
      </c>
      <c r="K80" s="105">
        <f t="shared" si="66"/>
        <v>344.95</v>
      </c>
      <c r="L80" s="164">
        <f t="shared" si="44"/>
        <v>0.98772000000000004</v>
      </c>
      <c r="M80" s="105">
        <f t="shared" si="67"/>
        <v>340.71</v>
      </c>
      <c r="N80" s="105">
        <f>VLOOKUP($A80,'Rate Calculation'!$A$4:$AL$208,38,FALSE)</f>
        <v>29.96</v>
      </c>
      <c r="O80" s="183">
        <f>VLOOKUP($A80,'Rate Calculation'!$A$4:$I$208,9,FALSE)</f>
        <v>1.4977</v>
      </c>
      <c r="P80" s="183">
        <f t="shared" si="38"/>
        <v>1.4432</v>
      </c>
      <c r="Q80" s="183">
        <f>VLOOKUP(A80,'CMI Data'!$A$4:$C$208,3,FALSE)</f>
        <v>1.5699000000000001</v>
      </c>
      <c r="R80" s="246">
        <f>VLOOKUP($A80,FRV!$A$4:$K$208,11,FALSE)</f>
        <v>36500</v>
      </c>
      <c r="S80" s="246">
        <f t="shared" si="39"/>
        <v>29758</v>
      </c>
      <c r="T80" s="246">
        <f>VLOOKUP($A80,FRV!$A$4:$L$208,12,FALSE)</f>
        <v>30705</v>
      </c>
      <c r="U80" s="183">
        <f>Inflation!$G$24</f>
        <v>1.0309999999999999</v>
      </c>
      <c r="V80" s="247">
        <f>VLOOKUP($A80,'Rate Calculation'!A81:X285,24,FALSE)</f>
        <v>89.55</v>
      </c>
      <c r="W80" s="110">
        <f t="shared" si="45"/>
        <v>92.33</v>
      </c>
      <c r="X80" s="110">
        <f>VLOOKUP($A80,'Rate Calculation'!A81:V285,22,FALSE)</f>
        <v>20.239999999999998</v>
      </c>
      <c r="Y80" s="110">
        <f t="shared" si="46"/>
        <v>20.87</v>
      </c>
      <c r="Z80" s="212">
        <f>VLOOKUP($A80,FRV!$A$4:$D$208,4,FALSE)</f>
        <v>44743</v>
      </c>
      <c r="AA80" s="212">
        <f>VLOOKUP($A80,FRV!$A$4:$F$208,6,FALSE)</f>
        <v>44926</v>
      </c>
      <c r="AB80" s="248">
        <f>VLOOKUP($A80,FRV!$A$4:$U$208,13,FALSE)</f>
        <v>10306430</v>
      </c>
      <c r="AC80" s="248">
        <f>VLOOKUP($A80,FRV!$A$4:$U$208,15,FALSE)</f>
        <v>198458</v>
      </c>
      <c r="AD80" s="248">
        <f>VLOOKUP($A80,FRV!$A$4:$U$208,14,FALSE)</f>
        <v>15000</v>
      </c>
      <c r="AE80" s="248">
        <f>VLOOKUP($A80,FRV!$A$4:$U$208,7,FALSE)</f>
        <v>100</v>
      </c>
      <c r="AF80" s="107">
        <f t="shared" si="47"/>
        <v>12004888</v>
      </c>
      <c r="AG80" s="107">
        <f t="shared" si="48"/>
        <v>120049</v>
      </c>
      <c r="AH80" s="107">
        <v>120000</v>
      </c>
      <c r="AI80" s="107">
        <f t="shared" si="49"/>
        <v>120000</v>
      </c>
      <c r="AJ80" s="107">
        <f t="shared" si="50"/>
        <v>12000000</v>
      </c>
      <c r="AK80" s="249">
        <f>IF(VLOOKUP($A80,'Rate Calculation'!$A$4:$D$208,4,FALSE)="baltimore city",0.1,0.08)</f>
        <v>0.08</v>
      </c>
      <c r="AL80" s="107">
        <f t="shared" si="51"/>
        <v>960000</v>
      </c>
      <c r="AM80" s="105">
        <f>IF(ISERROR(MATCH(A80&amp;AA80,'Days Exceptions'!$C$3:$C$16,0)),ROUND(AL80/(MAX(S80,T80)),2),ROUND(AL80/VLOOKUP(A80,'Days Exceptions'!$A$3:$J$16,8,FALSE),2))</f>
        <v>31.27</v>
      </c>
      <c r="AN80" s="213">
        <f>VLOOKUP($A80,'Rate Calculation'!$A$4:$AF$208,32,FALSE)</f>
        <v>3.62</v>
      </c>
      <c r="AO80" s="109">
        <f t="shared" si="52"/>
        <v>34.89</v>
      </c>
      <c r="AP80" s="247">
        <f>VLOOKUP($A80,'Rate Calculation'!$A$4:$Q$208,17,FALSE)</f>
        <v>172.49</v>
      </c>
      <c r="AQ80" s="247">
        <f t="shared" si="68"/>
        <v>177.84</v>
      </c>
      <c r="AR80" s="247">
        <f>VLOOKUP($A80,'Rate Calculation'!$A$4:$K$208,11,FALSE)</f>
        <v>186.31</v>
      </c>
      <c r="AS80" s="247">
        <f t="shared" si="53"/>
        <v>192.09</v>
      </c>
      <c r="AT80" s="110">
        <f t="shared" si="54"/>
        <v>199.34</v>
      </c>
      <c r="AU80" s="110">
        <f t="shared" si="55"/>
        <v>208.95</v>
      </c>
      <c r="AV80" s="111">
        <f t="shared" si="56"/>
        <v>-12.09</v>
      </c>
      <c r="AW80" s="110">
        <f t="shared" si="57"/>
        <v>196.86</v>
      </c>
      <c r="AX80" s="105">
        <f t="shared" si="58"/>
        <v>186.41</v>
      </c>
      <c r="AY80" s="105">
        <f t="shared" si="59"/>
        <v>198.5</v>
      </c>
      <c r="AZ80" s="105">
        <f t="shared" si="60"/>
        <v>12.09</v>
      </c>
      <c r="BA80" s="105">
        <f t="shared" si="61"/>
        <v>246.52</v>
      </c>
      <c r="BB80" s="105">
        <f t="shared" si="62"/>
        <v>148.09</v>
      </c>
      <c r="BC80" s="110">
        <f t="shared" si="63"/>
        <v>370.67</v>
      </c>
      <c r="BD80" s="110">
        <f t="shared" si="64"/>
        <v>276.48</v>
      </c>
      <c r="BE80" s="110">
        <f t="shared" si="65"/>
        <v>178.05</v>
      </c>
      <c r="BF80" s="105"/>
      <c r="BG80" s="105"/>
      <c r="BH80" s="111"/>
      <c r="BI80" s="105"/>
      <c r="BJ80" s="105"/>
      <c r="BK80" s="109"/>
      <c r="BL80" s="111"/>
      <c r="BM80" s="109"/>
      <c r="BN80" s="109"/>
      <c r="BO80" s="105"/>
      <c r="BP80" s="105"/>
      <c r="BQ80" s="109"/>
      <c r="BR80" s="110"/>
      <c r="BS80" s="110"/>
      <c r="BT80" s="110"/>
      <c r="BU80" s="110"/>
      <c r="BV80" s="110"/>
      <c r="BW80" s="112"/>
      <c r="BX80" s="112"/>
      <c r="BY80" s="110"/>
      <c r="BZ80" s="105"/>
      <c r="CA80" s="105"/>
      <c r="CB80" s="105"/>
      <c r="CC80" s="105"/>
      <c r="CD80" s="105"/>
      <c r="CE80" s="105"/>
    </row>
    <row r="81" spans="1:83" x14ac:dyDescent="0.15">
      <c r="A81" s="103">
        <v>142</v>
      </c>
      <c r="B81" s="98" t="str">
        <f>VLOOKUP($A81,'Rate Calculation'!$A$4:$AQ$208,42,FALSE)</f>
        <v>200128400</v>
      </c>
      <c r="C81" s="98" t="str">
        <f>VLOOKUP($A81,'Rate Calculation'!$A$4:$AQ$208,43,FALSE)</f>
        <v>Devlin Manor Nursing &amp; Rehabilitation Center</v>
      </c>
      <c r="D81" s="98" t="str">
        <f>VLOOKUP($A81,'Rate Calculation'!$A$4:$F$208,5,FALSE)</f>
        <v>WESTERN REGION</v>
      </c>
      <c r="E81" s="98" t="str">
        <f>VLOOKUP($A81,'Rate Calculation'!$A$4:$F$208,6,FALSE)</f>
        <v>NON METRO</v>
      </c>
      <c r="F81" s="105">
        <f t="shared" si="40"/>
        <v>92.33</v>
      </c>
      <c r="G81" s="105">
        <f t="shared" si="41"/>
        <v>20.87</v>
      </c>
      <c r="H81" s="105">
        <f t="shared" si="42"/>
        <v>36.44</v>
      </c>
      <c r="I81" s="105">
        <f t="shared" si="43"/>
        <v>135.59</v>
      </c>
      <c r="J81" s="105">
        <f>VLOOKUP($A81,'Rate Calculation'!$A$4:$AZ$208,34,FALSE)</f>
        <v>0</v>
      </c>
      <c r="K81" s="105">
        <f t="shared" si="66"/>
        <v>285.23</v>
      </c>
      <c r="L81" s="164">
        <f t="shared" si="44"/>
        <v>0.98772000000000004</v>
      </c>
      <c r="M81" s="105">
        <f t="shared" si="67"/>
        <v>281.73</v>
      </c>
      <c r="N81" s="105">
        <f>VLOOKUP($A81,'Rate Calculation'!$A$4:$AL$208,38,FALSE)</f>
        <v>27.59</v>
      </c>
      <c r="O81" s="183">
        <f>VLOOKUP($A81,'Rate Calculation'!$A$4:$I$208,9,FALSE)</f>
        <v>1.4027000000000001</v>
      </c>
      <c r="P81" s="183">
        <f t="shared" si="38"/>
        <v>1.4432</v>
      </c>
      <c r="Q81" s="183">
        <f>VLOOKUP(A81,'CMI Data'!$A$4:$C$208,3,FALSE)</f>
        <v>1.3463000000000001</v>
      </c>
      <c r="R81" s="246">
        <f>VLOOKUP($A81,FRV!$A$4:$K$208,11,FALSE)</f>
        <v>45384</v>
      </c>
      <c r="S81" s="246">
        <f t="shared" si="39"/>
        <v>37002</v>
      </c>
      <c r="T81" s="246">
        <f>VLOOKUP($A81,FRV!$A$4:$L$208,12,FALSE)</f>
        <v>32527</v>
      </c>
      <c r="U81" s="183">
        <f>Inflation!$G$24</f>
        <v>1.0309999999999999</v>
      </c>
      <c r="V81" s="247">
        <f>VLOOKUP($A81,'Rate Calculation'!A82:X286,24,FALSE)</f>
        <v>89.55</v>
      </c>
      <c r="W81" s="110">
        <f t="shared" si="45"/>
        <v>92.33</v>
      </c>
      <c r="X81" s="110">
        <f>VLOOKUP($A81,'Rate Calculation'!A82:V286,22,FALSE)</f>
        <v>20.239999999999998</v>
      </c>
      <c r="Y81" s="110">
        <f t="shared" si="46"/>
        <v>20.87</v>
      </c>
      <c r="Z81" s="212">
        <f>VLOOKUP($A81,FRV!$A$4:$D$208,4,FALSE)</f>
        <v>45474</v>
      </c>
      <c r="AA81" s="212">
        <f>VLOOKUP($A81,FRV!$A$4:$F$208,6,FALSE)</f>
        <v>45657</v>
      </c>
      <c r="AB81" s="248">
        <f>VLOOKUP($A81,FRV!$A$4:$U$208,13,FALSE)</f>
        <v>13420832</v>
      </c>
      <c r="AC81" s="248">
        <f>VLOOKUP($A81,FRV!$A$4:$U$208,15,FALSE)</f>
        <v>568218</v>
      </c>
      <c r="AD81" s="248">
        <f>VLOOKUP($A81,FRV!$A$4:$U$208,14,FALSE)</f>
        <v>12500</v>
      </c>
      <c r="AE81" s="248">
        <f>VLOOKUP($A81,FRV!$A$4:$U$208,7,FALSE)</f>
        <v>124</v>
      </c>
      <c r="AF81" s="107">
        <f t="shared" si="47"/>
        <v>15539050</v>
      </c>
      <c r="AG81" s="107">
        <f t="shared" si="48"/>
        <v>125315</v>
      </c>
      <c r="AH81" s="107">
        <v>120000</v>
      </c>
      <c r="AI81" s="107">
        <f t="shared" si="49"/>
        <v>120000</v>
      </c>
      <c r="AJ81" s="107">
        <f t="shared" si="50"/>
        <v>14880000</v>
      </c>
      <c r="AK81" s="249">
        <f>IF(VLOOKUP($A81,'Rate Calculation'!$A$4:$D$208,4,FALSE)="baltimore city",0.1,0.08)</f>
        <v>0.08</v>
      </c>
      <c r="AL81" s="107">
        <f t="shared" si="51"/>
        <v>1190400</v>
      </c>
      <c r="AM81" s="105">
        <f>IF(ISERROR(MATCH(A81&amp;AA81,'Days Exceptions'!$C$3:$C$16,0)),ROUND(AL81/(MAX(S81,T81)),2),ROUND(AL81/VLOOKUP(A81,'Days Exceptions'!$A$3:$J$16,8,FALSE),2))</f>
        <v>32.17</v>
      </c>
      <c r="AN81" s="213">
        <f>VLOOKUP($A81,'Rate Calculation'!$A$4:$AF$208,32,FALSE)</f>
        <v>4.2699999999999996</v>
      </c>
      <c r="AO81" s="109">
        <f t="shared" si="52"/>
        <v>36.44</v>
      </c>
      <c r="AP81" s="247">
        <f>VLOOKUP($A81,'Rate Calculation'!$A$4:$Q$208,17,FALSE)</f>
        <v>128.94999999999999</v>
      </c>
      <c r="AQ81" s="247">
        <f t="shared" si="68"/>
        <v>132.94999999999999</v>
      </c>
      <c r="AR81" s="247">
        <f>VLOOKUP($A81,'Rate Calculation'!$A$4:$K$208,11,FALSE)</f>
        <v>166.26</v>
      </c>
      <c r="AS81" s="247">
        <f t="shared" si="53"/>
        <v>171.41</v>
      </c>
      <c r="AT81" s="110">
        <f t="shared" si="54"/>
        <v>166.6</v>
      </c>
      <c r="AU81" s="110">
        <f t="shared" si="55"/>
        <v>159.9</v>
      </c>
      <c r="AV81" s="111">
        <f t="shared" si="56"/>
        <v>-24.31</v>
      </c>
      <c r="AW81" s="110">
        <f t="shared" si="57"/>
        <v>135.59</v>
      </c>
      <c r="AX81" s="105">
        <f t="shared" si="58"/>
        <v>127.6</v>
      </c>
      <c r="AY81" s="105">
        <f t="shared" si="59"/>
        <v>151.91</v>
      </c>
      <c r="AZ81" s="105">
        <f t="shared" si="60"/>
        <v>24.31</v>
      </c>
      <c r="BA81" s="105">
        <f t="shared" si="61"/>
        <v>217.44</v>
      </c>
      <c r="BB81" s="105">
        <f t="shared" si="62"/>
        <v>149.63999999999999</v>
      </c>
      <c r="BC81" s="110">
        <f t="shared" si="63"/>
        <v>309.32</v>
      </c>
      <c r="BD81" s="110">
        <f t="shared" si="64"/>
        <v>245.03</v>
      </c>
      <c r="BE81" s="110">
        <f t="shared" si="65"/>
        <v>177.23</v>
      </c>
      <c r="BF81" s="105"/>
      <c r="BG81" s="105"/>
      <c r="BH81" s="111"/>
      <c r="BI81" s="105"/>
      <c r="BJ81" s="105"/>
      <c r="BK81" s="109"/>
      <c r="BL81" s="111"/>
      <c r="BM81" s="109"/>
      <c r="BN81" s="109"/>
      <c r="BO81" s="105"/>
      <c r="BP81" s="105"/>
      <c r="BQ81" s="109"/>
      <c r="BR81" s="110"/>
      <c r="BS81" s="110"/>
      <c r="BT81" s="110"/>
      <c r="BU81" s="110"/>
      <c r="BV81" s="110"/>
      <c r="BW81" s="112"/>
      <c r="BX81" s="112"/>
      <c r="BY81" s="110"/>
      <c r="BZ81" s="105"/>
      <c r="CA81" s="105"/>
      <c r="CB81" s="105"/>
      <c r="CC81" s="105"/>
      <c r="CD81" s="105"/>
      <c r="CE81" s="105"/>
    </row>
    <row r="82" spans="1:83" x14ac:dyDescent="0.15">
      <c r="A82" s="103">
        <v>298</v>
      </c>
      <c r="B82" s="98" t="str">
        <f>VLOOKUP($A82,'Rate Calculation'!$A$4:$AQ$208,42,FALSE)</f>
        <v>818989700</v>
      </c>
      <c r="C82" s="98" t="str">
        <f>VLOOKUP($A82,'Rate Calculation'!$A$4:$AQ$208,43,FALSE)</f>
        <v>Doctors Community Rehab. &amp; Patient Care Center</v>
      </c>
      <c r="D82" s="98" t="str">
        <f>VLOOKUP($A82,'Rate Calculation'!$A$4:$F$208,5,FALSE)</f>
        <v>WASHINGTON METRO</v>
      </c>
      <c r="E82" s="98" t="str">
        <f>VLOOKUP($A82,'Rate Calculation'!$A$4:$F$208,6,FALSE)</f>
        <v>WASHINGTON METRO</v>
      </c>
      <c r="F82" s="105">
        <f t="shared" si="40"/>
        <v>103.73</v>
      </c>
      <c r="G82" s="105">
        <f t="shared" si="41"/>
        <v>19.829999999999998</v>
      </c>
      <c r="H82" s="105">
        <f t="shared" si="42"/>
        <v>33.299999999999997</v>
      </c>
      <c r="I82" s="105">
        <f t="shared" si="43"/>
        <v>167.34</v>
      </c>
      <c r="J82" s="105">
        <f>VLOOKUP($A82,'Rate Calculation'!$A$4:$AZ$208,34,FALSE)</f>
        <v>0</v>
      </c>
      <c r="K82" s="105">
        <f t="shared" si="66"/>
        <v>324.2</v>
      </c>
      <c r="L82" s="164">
        <f t="shared" si="44"/>
        <v>0.98772000000000004</v>
      </c>
      <c r="M82" s="105">
        <f t="shared" si="67"/>
        <v>320.22000000000003</v>
      </c>
      <c r="N82" s="105">
        <f>VLOOKUP($A82,'Rate Calculation'!$A$4:$AL$208,38,FALSE)</f>
        <v>20.82</v>
      </c>
      <c r="O82" s="183">
        <f>VLOOKUP($A82,'Rate Calculation'!$A$4:$I$208,9,FALSE)</f>
        <v>1.4241999999999999</v>
      </c>
      <c r="P82" s="183">
        <f t="shared" si="38"/>
        <v>1.4432</v>
      </c>
      <c r="Q82" s="183">
        <f>VLOOKUP(A82,'CMI Data'!$A$4:$C$208,3,FALSE)</f>
        <v>1.3308</v>
      </c>
      <c r="R82" s="246">
        <f>VLOOKUP($A82,FRV!$A$4:$K$208,11,FALSE)</f>
        <v>47580</v>
      </c>
      <c r="S82" s="246">
        <f t="shared" si="39"/>
        <v>38792</v>
      </c>
      <c r="T82" s="246">
        <f>VLOOKUP($A82,FRV!$A$4:$L$208,12,FALSE)</f>
        <v>46519</v>
      </c>
      <c r="U82" s="183">
        <f>Inflation!$G$24</f>
        <v>1.0309999999999999</v>
      </c>
      <c r="V82" s="247">
        <f>VLOOKUP($A82,'Rate Calculation'!A83:X287,24,FALSE)</f>
        <v>100.61</v>
      </c>
      <c r="W82" s="110">
        <f t="shared" si="45"/>
        <v>103.73</v>
      </c>
      <c r="X82" s="110">
        <f>VLOOKUP($A82,'Rate Calculation'!A83:V287,22,FALSE)</f>
        <v>19.23</v>
      </c>
      <c r="Y82" s="110">
        <f t="shared" si="46"/>
        <v>19.829999999999998</v>
      </c>
      <c r="Z82" s="212">
        <f>VLOOKUP($A82,FRV!$A$4:$D$208,4,FALSE)</f>
        <v>45474</v>
      </c>
      <c r="AA82" s="212">
        <f>VLOOKUP($A82,FRV!$A$4:$F$208,6,FALSE)</f>
        <v>45565</v>
      </c>
      <c r="AB82" s="248">
        <f>VLOOKUP($A82,FRV!$A$4:$U$208,13,FALSE)</f>
        <v>21459135</v>
      </c>
      <c r="AC82" s="248">
        <f>VLOOKUP($A82,FRV!$A$4:$U$208,15,FALSE)</f>
        <v>360665</v>
      </c>
      <c r="AD82" s="248">
        <f>VLOOKUP($A82,FRV!$A$4:$U$208,14,FALSE)</f>
        <v>33500</v>
      </c>
      <c r="AE82" s="248">
        <f>VLOOKUP($A82,FRV!$A$4:$U$208,7,FALSE)</f>
        <v>130</v>
      </c>
      <c r="AF82" s="107">
        <f t="shared" si="47"/>
        <v>26174800</v>
      </c>
      <c r="AG82" s="107">
        <f t="shared" si="48"/>
        <v>201345</v>
      </c>
      <c r="AH82" s="107">
        <v>120000</v>
      </c>
      <c r="AI82" s="107">
        <f t="shared" si="49"/>
        <v>120000</v>
      </c>
      <c r="AJ82" s="107">
        <f t="shared" si="50"/>
        <v>15600000</v>
      </c>
      <c r="AK82" s="249">
        <f>IF(VLOOKUP($A82,'Rate Calculation'!$A$4:$D$208,4,FALSE)="baltimore city",0.1,0.08)</f>
        <v>0.08</v>
      </c>
      <c r="AL82" s="107">
        <f t="shared" si="51"/>
        <v>1248000</v>
      </c>
      <c r="AM82" s="105">
        <f>IF(ISERROR(MATCH(A82&amp;AA82,'Days Exceptions'!$C$3:$C$16,0)),ROUND(AL82/(MAX(S82,T82)),2),ROUND(AL82/VLOOKUP(A82,'Days Exceptions'!$A$3:$J$16,8,FALSE),2))</f>
        <v>26.83</v>
      </c>
      <c r="AN82" s="213">
        <f>VLOOKUP($A82,'Rate Calculation'!$A$4:$AF$208,32,FALSE)</f>
        <v>6.47</v>
      </c>
      <c r="AO82" s="109">
        <f t="shared" si="52"/>
        <v>33.299999999999997</v>
      </c>
      <c r="AP82" s="247">
        <f>VLOOKUP($A82,'Rate Calculation'!$A$4:$Q$208,17,FALSE)</f>
        <v>210.31</v>
      </c>
      <c r="AQ82" s="247">
        <f t="shared" si="68"/>
        <v>216.83</v>
      </c>
      <c r="AR82" s="247">
        <f>VLOOKUP($A82,'Rate Calculation'!$A$4:$K$208,11,FALSE)</f>
        <v>176.01</v>
      </c>
      <c r="AS82" s="247">
        <f t="shared" si="53"/>
        <v>181.47</v>
      </c>
      <c r="AT82" s="110">
        <f t="shared" si="54"/>
        <v>179.08</v>
      </c>
      <c r="AU82" s="110">
        <f t="shared" si="55"/>
        <v>167.34</v>
      </c>
      <c r="AV82" s="111">
        <f t="shared" si="56"/>
        <v>0</v>
      </c>
      <c r="AW82" s="110">
        <f t="shared" si="57"/>
        <v>167.34</v>
      </c>
      <c r="AX82" s="105">
        <f t="shared" si="58"/>
        <v>202.61</v>
      </c>
      <c r="AY82" s="105">
        <f t="shared" si="59"/>
        <v>158.97</v>
      </c>
      <c r="AZ82" s="105">
        <f t="shared" si="60"/>
        <v>-43.64</v>
      </c>
      <c r="BA82" s="105">
        <f t="shared" si="61"/>
        <v>240.53</v>
      </c>
      <c r="BB82" s="105">
        <f t="shared" si="62"/>
        <v>156.86000000000001</v>
      </c>
      <c r="BC82" s="110">
        <f t="shared" si="63"/>
        <v>341.04</v>
      </c>
      <c r="BD82" s="110">
        <f t="shared" si="64"/>
        <v>261.35000000000002</v>
      </c>
      <c r="BE82" s="110">
        <f t="shared" si="65"/>
        <v>177.68</v>
      </c>
      <c r="BF82" s="105"/>
      <c r="BG82" s="105"/>
      <c r="BH82" s="111"/>
      <c r="BI82" s="105"/>
      <c r="BJ82" s="105"/>
      <c r="BK82" s="109"/>
      <c r="BL82" s="111"/>
      <c r="BM82" s="109"/>
      <c r="BN82" s="109"/>
      <c r="BO82" s="105"/>
      <c r="BP82" s="105"/>
      <c r="BQ82" s="109"/>
      <c r="BR82" s="110"/>
      <c r="BS82" s="110"/>
      <c r="BT82" s="110"/>
      <c r="BU82" s="110"/>
      <c r="BV82" s="110"/>
      <c r="BW82" s="112"/>
      <c r="BX82" s="112"/>
      <c r="BY82" s="110"/>
      <c r="BZ82" s="105"/>
      <c r="CA82" s="105"/>
      <c r="CB82" s="105"/>
      <c r="CC82" s="105"/>
      <c r="CD82" s="105"/>
      <c r="CE82" s="105"/>
    </row>
    <row r="83" spans="1:83" x14ac:dyDescent="0.15">
      <c r="A83" s="103">
        <v>146</v>
      </c>
      <c r="B83" s="98" t="str">
        <f>VLOOKUP($A83,'Rate Calculation'!$A$4:$AQ$208,42,FALSE)</f>
        <v>028600100</v>
      </c>
      <c r="C83" s="98" t="str">
        <f>VLOOKUP($A83,'Rate Calculation'!$A$4:$AQ$208,43,FALSE)</f>
        <v>Egle Nursing and Rehabilitation Center</v>
      </c>
      <c r="D83" s="98" t="str">
        <f>VLOOKUP($A83,'Rate Calculation'!$A$4:$F$208,5,FALSE)</f>
        <v>WESTERN REGION</v>
      </c>
      <c r="E83" s="98" t="str">
        <f>VLOOKUP($A83,'Rate Calculation'!$A$4:$F$208,6,FALSE)</f>
        <v>NON METRO</v>
      </c>
      <c r="F83" s="105">
        <f t="shared" si="40"/>
        <v>92.33</v>
      </c>
      <c r="G83" s="105">
        <f t="shared" si="41"/>
        <v>20.87</v>
      </c>
      <c r="H83" s="105">
        <f t="shared" si="42"/>
        <v>28.66</v>
      </c>
      <c r="I83" s="105">
        <f t="shared" si="43"/>
        <v>151.84</v>
      </c>
      <c r="J83" s="105">
        <f>VLOOKUP($A83,'Rate Calculation'!$A$4:$AZ$208,34,FALSE)</f>
        <v>0</v>
      </c>
      <c r="K83" s="105">
        <f t="shared" si="66"/>
        <v>293.7</v>
      </c>
      <c r="L83" s="164">
        <f t="shared" si="44"/>
        <v>0.98772000000000004</v>
      </c>
      <c r="M83" s="105">
        <f t="shared" si="67"/>
        <v>290.08999999999997</v>
      </c>
      <c r="N83" s="105">
        <f>VLOOKUP($A83,'Rate Calculation'!$A$4:$AL$208,38,FALSE)</f>
        <v>28.82</v>
      </c>
      <c r="O83" s="183">
        <f>VLOOKUP($A83,'Rate Calculation'!$A$4:$I$208,9,FALSE)</f>
        <v>1.2323</v>
      </c>
      <c r="P83" s="183">
        <f t="shared" si="38"/>
        <v>1.4432</v>
      </c>
      <c r="Q83" s="183">
        <f>VLOOKUP(A83,'CMI Data'!$A$4:$C$208,3,FALSE)</f>
        <v>1.2784</v>
      </c>
      <c r="R83" s="246">
        <f>VLOOKUP($A83,FRV!$A$4:$K$208,11,FALSE)</f>
        <v>24090</v>
      </c>
      <c r="S83" s="246">
        <f t="shared" si="39"/>
        <v>19641</v>
      </c>
      <c r="T83" s="246">
        <f>VLOOKUP($A83,FRV!$A$4:$L$208,12,FALSE)</f>
        <v>23419</v>
      </c>
      <c r="U83" s="183">
        <f>Inflation!$G$24</f>
        <v>1.0309999999999999</v>
      </c>
      <c r="V83" s="247">
        <f>VLOOKUP($A83,'Rate Calculation'!A84:X288,24,FALSE)</f>
        <v>89.55</v>
      </c>
      <c r="W83" s="110">
        <f t="shared" si="45"/>
        <v>92.33</v>
      </c>
      <c r="X83" s="110">
        <f>VLOOKUP($A83,'Rate Calculation'!A84:V288,22,FALSE)</f>
        <v>20.239999999999998</v>
      </c>
      <c r="Y83" s="110">
        <f t="shared" si="46"/>
        <v>20.87</v>
      </c>
      <c r="Z83" s="212">
        <f>VLOOKUP($A83,FRV!$A$4:$D$208,4,FALSE)</f>
        <v>45108</v>
      </c>
      <c r="AA83" s="212">
        <f>VLOOKUP($A83,FRV!$A$4:$F$208,6,FALSE)</f>
        <v>45291</v>
      </c>
      <c r="AB83" s="248">
        <f>VLOOKUP($A83,FRV!$A$4:$U$208,13,FALSE)</f>
        <v>11266982</v>
      </c>
      <c r="AC83" s="248">
        <f>VLOOKUP($A83,FRV!$A$4:$U$208,15,FALSE)</f>
        <v>167069</v>
      </c>
      <c r="AD83" s="248">
        <f>VLOOKUP($A83,FRV!$A$4:$U$208,14,FALSE)</f>
        <v>11000</v>
      </c>
      <c r="AE83" s="248">
        <f>VLOOKUP($A83,FRV!$A$4:$U$208,7,FALSE)</f>
        <v>66</v>
      </c>
      <c r="AF83" s="107">
        <f t="shared" si="47"/>
        <v>12160051</v>
      </c>
      <c r="AG83" s="107">
        <f t="shared" si="48"/>
        <v>184243</v>
      </c>
      <c r="AH83" s="107">
        <v>120000</v>
      </c>
      <c r="AI83" s="107">
        <f t="shared" si="49"/>
        <v>120000</v>
      </c>
      <c r="AJ83" s="107">
        <f t="shared" si="50"/>
        <v>7920000</v>
      </c>
      <c r="AK83" s="249">
        <f>IF(VLOOKUP($A83,'Rate Calculation'!$A$4:$D$208,4,FALSE)="baltimore city",0.1,0.08)</f>
        <v>0.08</v>
      </c>
      <c r="AL83" s="107">
        <f t="shared" si="51"/>
        <v>633600</v>
      </c>
      <c r="AM83" s="105">
        <f>IF(ISERROR(MATCH(A83&amp;AA83,'Days Exceptions'!$C$3:$C$16,0)),ROUND(AL83/(MAX(S83,T83)),2),ROUND(AL83/VLOOKUP(A83,'Days Exceptions'!$A$3:$J$16,8,FALSE),2))</f>
        <v>27.05</v>
      </c>
      <c r="AN83" s="213">
        <f>VLOOKUP($A83,'Rate Calculation'!$A$4:$AF$208,32,FALSE)</f>
        <v>1.61</v>
      </c>
      <c r="AO83" s="109">
        <f t="shared" si="52"/>
        <v>28.66</v>
      </c>
      <c r="AP83" s="247">
        <f>VLOOKUP($A83,'Rate Calculation'!$A$4:$Q$208,17,FALSE)</f>
        <v>138.94999999999999</v>
      </c>
      <c r="AQ83" s="247">
        <f t="shared" si="68"/>
        <v>143.26</v>
      </c>
      <c r="AR83" s="247">
        <f>VLOOKUP($A83,'Rate Calculation'!$A$4:$K$208,11,FALSE)</f>
        <v>166.26</v>
      </c>
      <c r="AS83" s="247">
        <f t="shared" si="53"/>
        <v>171.41</v>
      </c>
      <c r="AT83" s="110">
        <f t="shared" si="54"/>
        <v>146.36000000000001</v>
      </c>
      <c r="AU83" s="110">
        <f t="shared" si="55"/>
        <v>151.84</v>
      </c>
      <c r="AV83" s="111">
        <f t="shared" si="56"/>
        <v>0</v>
      </c>
      <c r="AW83" s="110">
        <f t="shared" si="57"/>
        <v>151.84</v>
      </c>
      <c r="AX83" s="105">
        <f t="shared" si="58"/>
        <v>148.62</v>
      </c>
      <c r="AY83" s="105">
        <f t="shared" si="59"/>
        <v>144.25</v>
      </c>
      <c r="AZ83" s="105">
        <f t="shared" si="60"/>
        <v>-4.37</v>
      </c>
      <c r="BA83" s="105">
        <f t="shared" si="61"/>
        <v>217.78</v>
      </c>
      <c r="BB83" s="105">
        <f t="shared" si="62"/>
        <v>141.86000000000001</v>
      </c>
      <c r="BC83" s="110">
        <f t="shared" si="63"/>
        <v>318.91000000000003</v>
      </c>
      <c r="BD83" s="110">
        <f t="shared" si="64"/>
        <v>246.6</v>
      </c>
      <c r="BE83" s="110">
        <f t="shared" si="65"/>
        <v>170.68</v>
      </c>
      <c r="BF83" s="105"/>
      <c r="BG83" s="105"/>
      <c r="BH83" s="111"/>
      <c r="BI83" s="105"/>
      <c r="BJ83" s="105"/>
      <c r="BK83" s="109"/>
      <c r="BL83" s="111"/>
      <c r="BM83" s="109"/>
      <c r="BN83" s="109"/>
      <c r="BO83" s="105"/>
      <c r="BP83" s="105"/>
      <c r="BQ83" s="109"/>
      <c r="BR83" s="110"/>
      <c r="BS83" s="110"/>
      <c r="BT83" s="110"/>
      <c r="BU83" s="110"/>
      <c r="BV83" s="110"/>
      <c r="BW83" s="112"/>
      <c r="BX83" s="112"/>
      <c r="BY83" s="110"/>
      <c r="BZ83" s="105"/>
      <c r="CA83" s="105"/>
      <c r="CB83" s="105"/>
      <c r="CC83" s="105"/>
      <c r="CD83" s="105"/>
      <c r="CE83" s="105"/>
    </row>
    <row r="84" spans="1:83" x14ac:dyDescent="0.15">
      <c r="A84" s="103">
        <v>434</v>
      </c>
      <c r="B84" s="98" t="str">
        <f>VLOOKUP($A84,'Rate Calculation'!$A$4:$AQ$208,42,FALSE)</f>
        <v>170031600</v>
      </c>
      <c r="C84" s="98" t="str">
        <f>VLOOKUP($A84,'Rate Calculation'!$A$4:$AQ$208,43,FALSE)</f>
        <v>Elkton Nursing and Rehabilitation Center</v>
      </c>
      <c r="D84" s="98" t="str">
        <f>VLOOKUP($A84,'Rate Calculation'!$A$4:$F$208,5,FALSE)</f>
        <v>BALTIMORE METRO</v>
      </c>
      <c r="E84" s="98" t="str">
        <f>VLOOKUP($A84,'Rate Calculation'!$A$4:$F$208,6,FALSE)</f>
        <v>NON METRO</v>
      </c>
      <c r="F84" s="105">
        <f t="shared" si="40"/>
        <v>92.33</v>
      </c>
      <c r="G84" s="105">
        <f t="shared" si="41"/>
        <v>20.87</v>
      </c>
      <c r="H84" s="105">
        <f t="shared" si="42"/>
        <v>31.35</v>
      </c>
      <c r="I84" s="105">
        <f t="shared" si="43"/>
        <v>168.86</v>
      </c>
      <c r="J84" s="105">
        <f>VLOOKUP($A84,'Rate Calculation'!$A$4:$AZ$208,34,FALSE)</f>
        <v>0</v>
      </c>
      <c r="K84" s="105">
        <f t="shared" si="66"/>
        <v>313.41000000000003</v>
      </c>
      <c r="L84" s="164">
        <f t="shared" si="44"/>
        <v>0.98772000000000004</v>
      </c>
      <c r="M84" s="105">
        <f t="shared" si="67"/>
        <v>309.56</v>
      </c>
      <c r="N84" s="105">
        <f>VLOOKUP($A84,'Rate Calculation'!$A$4:$AL$208,38,FALSE)</f>
        <v>26.03</v>
      </c>
      <c r="O84" s="183">
        <f>VLOOKUP($A84,'Rate Calculation'!$A$4:$I$208,9,FALSE)</f>
        <v>1.4695</v>
      </c>
      <c r="P84" s="183">
        <f t="shared" si="38"/>
        <v>1.4432</v>
      </c>
      <c r="Q84" s="183">
        <f>VLOOKUP(A84,'CMI Data'!$A$4:$C$208,3,FALSE)</f>
        <v>1.3819999999999999</v>
      </c>
      <c r="R84" s="246">
        <f>VLOOKUP($A84,FRV!$A$4:$K$208,11,FALSE)</f>
        <v>64605</v>
      </c>
      <c r="S84" s="246">
        <f t="shared" si="39"/>
        <v>52672</v>
      </c>
      <c r="T84" s="246">
        <f>VLOOKUP($A84,FRV!$A$4:$L$208,12,FALSE)</f>
        <v>61298</v>
      </c>
      <c r="U84" s="183">
        <f>Inflation!$G$24</f>
        <v>1.0309999999999999</v>
      </c>
      <c r="V84" s="247">
        <f>VLOOKUP($A84,'Rate Calculation'!A85:X289,24,FALSE)</f>
        <v>89.55</v>
      </c>
      <c r="W84" s="110">
        <f t="shared" si="45"/>
        <v>92.33</v>
      </c>
      <c r="X84" s="110">
        <f>VLOOKUP($A84,'Rate Calculation'!A85:V289,22,FALSE)</f>
        <v>20.239999999999998</v>
      </c>
      <c r="Y84" s="110">
        <f t="shared" si="46"/>
        <v>20.87</v>
      </c>
      <c r="Z84" s="212">
        <f>VLOOKUP($A84,FRV!$A$4:$D$208,4,FALSE)</f>
        <v>45108</v>
      </c>
      <c r="AA84" s="212">
        <f>VLOOKUP($A84,FRV!$A$4:$F$208,6,FALSE)</f>
        <v>45291</v>
      </c>
      <c r="AB84" s="248">
        <f>VLOOKUP($A84,FRV!$A$4:$U$208,13,FALSE)</f>
        <v>17754164</v>
      </c>
      <c r="AC84" s="248">
        <f>VLOOKUP($A84,FRV!$A$4:$U$208,15,FALSE)</f>
        <v>365686</v>
      </c>
      <c r="AD84" s="248">
        <f>VLOOKUP($A84,FRV!$A$4:$U$208,14,FALSE)</f>
        <v>18500</v>
      </c>
      <c r="AE84" s="248">
        <f>VLOOKUP($A84,FRV!$A$4:$U$208,7,FALSE)</f>
        <v>177</v>
      </c>
      <c r="AF84" s="107">
        <f t="shared" si="47"/>
        <v>21394350</v>
      </c>
      <c r="AG84" s="107">
        <f t="shared" si="48"/>
        <v>120872</v>
      </c>
      <c r="AH84" s="107">
        <v>120000</v>
      </c>
      <c r="AI84" s="107">
        <f t="shared" si="49"/>
        <v>120000</v>
      </c>
      <c r="AJ84" s="107">
        <f t="shared" si="50"/>
        <v>21240000</v>
      </c>
      <c r="AK84" s="249">
        <f>IF(VLOOKUP($A84,'Rate Calculation'!$A$4:$D$208,4,FALSE)="baltimore city",0.1,0.08)</f>
        <v>0.08</v>
      </c>
      <c r="AL84" s="107">
        <f t="shared" si="51"/>
        <v>1699200</v>
      </c>
      <c r="AM84" s="105">
        <f>IF(ISERROR(MATCH(A84&amp;AA84,'Days Exceptions'!$C$3:$C$16,0)),ROUND(AL84/(MAX(S84,T84)),2),ROUND(AL84/VLOOKUP(A84,'Days Exceptions'!$A$3:$J$16,8,FALSE),2))</f>
        <v>27.72</v>
      </c>
      <c r="AN84" s="213">
        <f>VLOOKUP($A84,'Rate Calculation'!$A$4:$AF$208,32,FALSE)</f>
        <v>3.63</v>
      </c>
      <c r="AO84" s="109">
        <f t="shared" si="52"/>
        <v>31.35</v>
      </c>
      <c r="AP84" s="247">
        <f>VLOOKUP($A84,'Rate Calculation'!$A$4:$Q$208,17,FALSE)</f>
        <v>164.21</v>
      </c>
      <c r="AQ84" s="247">
        <f t="shared" si="68"/>
        <v>169.3</v>
      </c>
      <c r="AR84" s="247">
        <f>VLOOKUP($A84,'Rate Calculation'!$A$4:$K$208,11,FALSE)</f>
        <v>195.33</v>
      </c>
      <c r="AS84" s="247">
        <f t="shared" si="53"/>
        <v>201.39</v>
      </c>
      <c r="AT84" s="110">
        <f t="shared" si="54"/>
        <v>205.06</v>
      </c>
      <c r="AU84" s="110">
        <f t="shared" si="55"/>
        <v>192.85</v>
      </c>
      <c r="AV84" s="111">
        <f t="shared" si="56"/>
        <v>-23.99</v>
      </c>
      <c r="AW84" s="110">
        <f t="shared" si="57"/>
        <v>168.86</v>
      </c>
      <c r="AX84" s="105">
        <f t="shared" si="58"/>
        <v>159.22</v>
      </c>
      <c r="AY84" s="105">
        <f t="shared" si="59"/>
        <v>183.21</v>
      </c>
      <c r="AZ84" s="105">
        <f t="shared" si="60"/>
        <v>23.99</v>
      </c>
      <c r="BA84" s="105">
        <f t="shared" si="61"/>
        <v>228.98</v>
      </c>
      <c r="BB84" s="105">
        <f t="shared" si="62"/>
        <v>144.55000000000001</v>
      </c>
      <c r="BC84" s="110">
        <f t="shared" si="63"/>
        <v>335.59</v>
      </c>
      <c r="BD84" s="110">
        <f t="shared" si="64"/>
        <v>255.01</v>
      </c>
      <c r="BE84" s="110">
        <f t="shared" si="65"/>
        <v>170.58</v>
      </c>
      <c r="BF84" s="105"/>
      <c r="BG84" s="105"/>
      <c r="BH84" s="111"/>
      <c r="BI84" s="105"/>
      <c r="BJ84" s="105"/>
      <c r="BK84" s="109"/>
      <c r="BL84" s="111"/>
      <c r="BM84" s="109"/>
      <c r="BN84" s="109"/>
      <c r="BO84" s="105"/>
      <c r="BP84" s="105"/>
      <c r="BQ84" s="109"/>
      <c r="BR84" s="110"/>
      <c r="BS84" s="110"/>
      <c r="BT84" s="110"/>
      <c r="BU84" s="110"/>
      <c r="BV84" s="110"/>
      <c r="BW84" s="112"/>
      <c r="BX84" s="112"/>
      <c r="BY84" s="110"/>
      <c r="BZ84" s="105"/>
      <c r="CA84" s="105"/>
      <c r="CB84" s="105"/>
      <c r="CC84" s="105"/>
      <c r="CD84" s="105"/>
      <c r="CE84" s="105"/>
    </row>
    <row r="85" spans="1:83" x14ac:dyDescent="0.15">
      <c r="A85" s="103">
        <v>733</v>
      </c>
      <c r="B85" s="98" t="str">
        <f>VLOOKUP($A85,'Rate Calculation'!$A$4:$AQ$208,42,FALSE)</f>
        <v>414426100</v>
      </c>
      <c r="C85" s="98" t="str">
        <f>VLOOKUP($A85,'Rate Calculation'!$A$4:$AQ$208,43,FALSE)</f>
        <v>Ellicott City Health and Rehabilitation Center</v>
      </c>
      <c r="D85" s="98" t="str">
        <f>VLOOKUP($A85,'Rate Calculation'!$A$4:$F$208,5,FALSE)</f>
        <v>BALTIMORE METRO</v>
      </c>
      <c r="E85" s="98" t="str">
        <f>VLOOKUP($A85,'Rate Calculation'!$A$4:$F$208,6,FALSE)</f>
        <v>BALTIMORE METRO</v>
      </c>
      <c r="F85" s="105">
        <f t="shared" si="40"/>
        <v>105.18</v>
      </c>
      <c r="G85" s="105">
        <f t="shared" si="41"/>
        <v>21.5</v>
      </c>
      <c r="H85" s="105">
        <f t="shared" si="42"/>
        <v>34.979999999999997</v>
      </c>
      <c r="I85" s="105">
        <f t="shared" si="43"/>
        <v>137.09</v>
      </c>
      <c r="J85" s="105">
        <f>VLOOKUP($A85,'Rate Calculation'!$A$4:$AZ$208,34,FALSE)</f>
        <v>0</v>
      </c>
      <c r="K85" s="105">
        <f t="shared" si="66"/>
        <v>298.75</v>
      </c>
      <c r="L85" s="164">
        <f t="shared" si="44"/>
        <v>0.98772000000000004</v>
      </c>
      <c r="M85" s="105">
        <f t="shared" si="67"/>
        <v>295.08</v>
      </c>
      <c r="N85" s="105">
        <f>VLOOKUP($A85,'Rate Calculation'!$A$4:$AL$208,38,FALSE)</f>
        <v>30.43</v>
      </c>
      <c r="O85" s="183">
        <f>VLOOKUP($A85,'Rate Calculation'!$A$4:$I$208,9,FALSE)</f>
        <v>1.5281</v>
      </c>
      <c r="P85" s="183">
        <f t="shared" si="38"/>
        <v>1.4432</v>
      </c>
      <c r="Q85" s="183">
        <f>VLOOKUP(A85,'CMI Data'!$A$4:$C$208,3,FALSE)</f>
        <v>1.3103</v>
      </c>
      <c r="R85" s="246">
        <f>VLOOKUP($A85,FRV!$A$4:$K$208,11,FALSE)</f>
        <v>66430</v>
      </c>
      <c r="S85" s="246">
        <f t="shared" si="39"/>
        <v>54160</v>
      </c>
      <c r="T85" s="246">
        <f>VLOOKUP($A85,FRV!$A$4:$L$208,12,FALSE)</f>
        <v>55149</v>
      </c>
      <c r="U85" s="183">
        <f>Inflation!$G$24</f>
        <v>1.0309999999999999</v>
      </c>
      <c r="V85" s="247">
        <f>VLOOKUP($A85,'Rate Calculation'!A86:X290,24,FALSE)</f>
        <v>102.02</v>
      </c>
      <c r="W85" s="110">
        <f t="shared" si="45"/>
        <v>105.18</v>
      </c>
      <c r="X85" s="110">
        <f>VLOOKUP($A85,'Rate Calculation'!A86:V290,22,FALSE)</f>
        <v>20.85</v>
      </c>
      <c r="Y85" s="110">
        <f t="shared" si="46"/>
        <v>21.5</v>
      </c>
      <c r="Z85" s="212">
        <f>VLOOKUP($A85,FRV!$A$4:$D$208,4,FALSE)</f>
        <v>45108</v>
      </c>
      <c r="AA85" s="212">
        <f>VLOOKUP($A85,FRV!$A$4:$F$208,6,FALSE)</f>
        <v>45107</v>
      </c>
      <c r="AB85" s="248">
        <f>VLOOKUP($A85,FRV!$A$4:$U$208,13,FALSE)</f>
        <v>18369117</v>
      </c>
      <c r="AC85" s="248">
        <f>VLOOKUP($A85,FRV!$A$4:$U$208,15,FALSE)</f>
        <v>324032</v>
      </c>
      <c r="AD85" s="248">
        <f>VLOOKUP($A85,FRV!$A$4:$U$208,14,FALSE)</f>
        <v>22000</v>
      </c>
      <c r="AE85" s="248">
        <f>VLOOKUP($A85,FRV!$A$4:$U$208,7,FALSE)</f>
        <v>182</v>
      </c>
      <c r="AF85" s="107">
        <f t="shared" si="47"/>
        <v>22697149</v>
      </c>
      <c r="AG85" s="107">
        <f t="shared" si="48"/>
        <v>124710</v>
      </c>
      <c r="AH85" s="107">
        <v>120000</v>
      </c>
      <c r="AI85" s="107">
        <f t="shared" si="49"/>
        <v>120000</v>
      </c>
      <c r="AJ85" s="107">
        <f t="shared" si="50"/>
        <v>21840000</v>
      </c>
      <c r="AK85" s="249">
        <f>IF(VLOOKUP($A85,'Rate Calculation'!$A$4:$D$208,4,FALSE)="baltimore city",0.1,0.08)</f>
        <v>0.08</v>
      </c>
      <c r="AL85" s="107">
        <f t="shared" si="51"/>
        <v>1747200</v>
      </c>
      <c r="AM85" s="105">
        <f>IF(ISERROR(MATCH(A85&amp;AA85,'Days Exceptions'!$C$3:$C$16,0)),ROUND(AL85/(MAX(S85,T85)),2),ROUND(AL85/VLOOKUP(A85,'Days Exceptions'!$A$3:$J$16,8,FALSE),2))</f>
        <v>31.68</v>
      </c>
      <c r="AN85" s="213">
        <f>VLOOKUP($A85,'Rate Calculation'!$A$4:$AF$208,32,FALSE)</f>
        <v>3.3</v>
      </c>
      <c r="AO85" s="109">
        <f t="shared" si="52"/>
        <v>34.979999999999997</v>
      </c>
      <c r="AP85" s="247">
        <f>VLOOKUP($A85,'Rate Calculation'!$A$4:$Q$208,17,FALSE)</f>
        <v>144.72999999999999</v>
      </c>
      <c r="AQ85" s="247">
        <f t="shared" si="68"/>
        <v>149.22</v>
      </c>
      <c r="AR85" s="247">
        <f>VLOOKUP($A85,'Rate Calculation'!$A$4:$K$208,11,FALSE)</f>
        <v>195.33</v>
      </c>
      <c r="AS85" s="247">
        <f t="shared" si="53"/>
        <v>201.39</v>
      </c>
      <c r="AT85" s="110">
        <f t="shared" si="54"/>
        <v>213.24</v>
      </c>
      <c r="AU85" s="110">
        <f t="shared" si="55"/>
        <v>182.85</v>
      </c>
      <c r="AV85" s="111">
        <f t="shared" si="56"/>
        <v>-45.76</v>
      </c>
      <c r="AW85" s="110">
        <f t="shared" si="57"/>
        <v>137.09</v>
      </c>
      <c r="AX85" s="105">
        <f t="shared" si="58"/>
        <v>127.95</v>
      </c>
      <c r="AY85" s="105">
        <f t="shared" si="59"/>
        <v>173.71</v>
      </c>
      <c r="AZ85" s="105">
        <f t="shared" si="60"/>
        <v>45.76</v>
      </c>
      <c r="BA85" s="105">
        <f t="shared" si="61"/>
        <v>230.21</v>
      </c>
      <c r="BB85" s="105">
        <f t="shared" si="62"/>
        <v>161.66</v>
      </c>
      <c r="BC85" s="110">
        <f t="shared" si="63"/>
        <v>325.51</v>
      </c>
      <c r="BD85" s="110">
        <f t="shared" si="64"/>
        <v>260.64</v>
      </c>
      <c r="BE85" s="110">
        <f t="shared" si="65"/>
        <v>192.09</v>
      </c>
      <c r="BF85" s="105"/>
      <c r="BG85" s="105"/>
      <c r="BH85" s="111"/>
      <c r="BI85" s="105"/>
      <c r="BJ85" s="105"/>
      <c r="BK85" s="109"/>
      <c r="BL85" s="111"/>
      <c r="BM85" s="109"/>
      <c r="BN85" s="109"/>
      <c r="BO85" s="105"/>
      <c r="BP85" s="105"/>
      <c r="BQ85" s="109"/>
      <c r="BR85" s="110"/>
      <c r="BS85" s="110"/>
      <c r="BT85" s="110"/>
      <c r="BU85" s="110"/>
      <c r="BV85" s="110"/>
      <c r="BW85" s="112"/>
      <c r="BX85" s="112"/>
      <c r="BY85" s="110"/>
      <c r="BZ85" s="105"/>
      <c r="CA85" s="105"/>
      <c r="CB85" s="105"/>
      <c r="CC85" s="105"/>
      <c r="CD85" s="105"/>
      <c r="CE85" s="105"/>
    </row>
    <row r="86" spans="1:83" x14ac:dyDescent="0.15">
      <c r="A86" s="103">
        <v>1132</v>
      </c>
      <c r="B86" s="98" t="str">
        <f>VLOOKUP($A86,'Rate Calculation'!$A$4:$AQ$208,42,FALSE)</f>
        <v>418760100</v>
      </c>
      <c r="C86" s="98" t="str">
        <f>VLOOKUP($A86,'Rate Calculation'!$A$4:$AQ$208,43,FALSE)</f>
        <v>Encore at Turf Valley</v>
      </c>
      <c r="D86" s="98" t="str">
        <f>VLOOKUP($A86,'Rate Calculation'!$A$4:$F$208,5,FALSE)</f>
        <v>BALTIMORE METRO</v>
      </c>
      <c r="E86" s="98" t="str">
        <f>VLOOKUP($A86,'Rate Calculation'!$A$4:$F$208,6,FALSE)</f>
        <v>BALTIMORE METRO</v>
      </c>
      <c r="F86" s="105">
        <f t="shared" si="40"/>
        <v>105.18</v>
      </c>
      <c r="G86" s="105">
        <f t="shared" si="41"/>
        <v>21.5</v>
      </c>
      <c r="H86" s="105">
        <f t="shared" si="42"/>
        <v>31.61</v>
      </c>
      <c r="I86" s="105">
        <f t="shared" si="43"/>
        <v>210.66</v>
      </c>
      <c r="J86" s="105">
        <f>VLOOKUP($A86,'Rate Calculation'!$A$4:$AZ$208,34,FALSE)</f>
        <v>0</v>
      </c>
      <c r="K86" s="105">
        <f t="shared" si="66"/>
        <v>368.95</v>
      </c>
      <c r="L86" s="164">
        <f t="shared" si="44"/>
        <v>0.98772000000000004</v>
      </c>
      <c r="M86" s="105">
        <f t="shared" si="67"/>
        <v>364.42</v>
      </c>
      <c r="N86" s="105">
        <f>VLOOKUP($A86,'Rate Calculation'!$A$4:$AL$208,38,FALSE)</f>
        <v>23.54</v>
      </c>
      <c r="O86" s="183">
        <f>VLOOKUP($A86,'Rate Calculation'!$A$4:$I$208,9,FALSE)</f>
        <v>1.5972</v>
      </c>
      <c r="P86" s="183">
        <f t="shared" si="38"/>
        <v>1.4432</v>
      </c>
      <c r="Q86" s="183">
        <f>VLOOKUP(A86,'CMI Data'!$A$4:$C$208,3,FALSE)</f>
        <v>1.5096000000000001</v>
      </c>
      <c r="R86" s="246">
        <f>VLOOKUP($A86,FRV!$A$4:$K$208,11,FALSE)</f>
        <v>33306</v>
      </c>
      <c r="S86" s="246">
        <f t="shared" si="39"/>
        <v>27154</v>
      </c>
      <c r="T86" s="246">
        <f>VLOOKUP($A86,FRV!$A$4:$L$208,12,FALSE)</f>
        <v>29965</v>
      </c>
      <c r="U86" s="183">
        <f>Inflation!$G$24</f>
        <v>1.0309999999999999</v>
      </c>
      <c r="V86" s="247">
        <f>VLOOKUP($A86,'Rate Calculation'!A87:X291,24,FALSE)</f>
        <v>102.02</v>
      </c>
      <c r="W86" s="110">
        <f t="shared" si="45"/>
        <v>105.18</v>
      </c>
      <c r="X86" s="110">
        <f>VLOOKUP($A86,'Rate Calculation'!A87:V291,22,FALSE)</f>
        <v>20.85</v>
      </c>
      <c r="Y86" s="110">
        <f t="shared" si="46"/>
        <v>21.5</v>
      </c>
      <c r="Z86" s="212">
        <f>VLOOKUP($A86,FRV!$A$4:$D$208,4,FALSE)</f>
        <v>45474</v>
      </c>
      <c r="AA86" s="212">
        <f>VLOOKUP($A86,FRV!$A$4:$F$208,6,FALSE)</f>
        <v>45657</v>
      </c>
      <c r="AB86" s="248">
        <f>VLOOKUP($A86,FRV!$A$4:$U$208,13,FALSE)</f>
        <v>17791976</v>
      </c>
      <c r="AC86" s="248">
        <f>VLOOKUP($A86,FRV!$A$4:$U$208,15,FALSE)</f>
        <v>245711</v>
      </c>
      <c r="AD86" s="248">
        <f>VLOOKUP($A86,FRV!$A$4:$U$208,14,FALSE)</f>
        <v>22000</v>
      </c>
      <c r="AE86" s="248">
        <f>VLOOKUP($A86,FRV!$A$4:$U$208,7,FALSE)</f>
        <v>91</v>
      </c>
      <c r="AF86" s="107">
        <f t="shared" si="47"/>
        <v>20039687</v>
      </c>
      <c r="AG86" s="107">
        <f t="shared" si="48"/>
        <v>220216</v>
      </c>
      <c r="AH86" s="107">
        <v>120000</v>
      </c>
      <c r="AI86" s="107">
        <f t="shared" si="49"/>
        <v>120000</v>
      </c>
      <c r="AJ86" s="107">
        <f t="shared" si="50"/>
        <v>10920000</v>
      </c>
      <c r="AK86" s="249">
        <f>IF(VLOOKUP($A86,'Rate Calculation'!$A$4:$D$208,4,FALSE)="baltimore city",0.1,0.08)</f>
        <v>0.08</v>
      </c>
      <c r="AL86" s="107">
        <f t="shared" si="51"/>
        <v>873600</v>
      </c>
      <c r="AM86" s="105">
        <f>IF(ISERROR(MATCH(A86&amp;AA86,'Days Exceptions'!$C$3:$C$16,0)),ROUND(AL86/(MAX(S86,T86)),2),ROUND(AL86/VLOOKUP(A86,'Days Exceptions'!$A$3:$J$16,8,FALSE),2))</f>
        <v>29.15</v>
      </c>
      <c r="AN86" s="213">
        <f>VLOOKUP($A86,'Rate Calculation'!$A$4:$AF$208,32,FALSE)</f>
        <v>2.46</v>
      </c>
      <c r="AO86" s="109">
        <f t="shared" si="52"/>
        <v>31.61</v>
      </c>
      <c r="AP86" s="247">
        <f>VLOOKUP($A86,'Rate Calculation'!$A$4:$Q$208,17,FALSE)</f>
        <v>207.72</v>
      </c>
      <c r="AQ86" s="247">
        <f t="shared" si="68"/>
        <v>214.16</v>
      </c>
      <c r="AR86" s="247">
        <f>VLOOKUP($A86,'Rate Calculation'!$A$4:$K$208,11,FALSE)</f>
        <v>195.33</v>
      </c>
      <c r="AS86" s="247">
        <f t="shared" si="53"/>
        <v>201.39</v>
      </c>
      <c r="AT86" s="110">
        <f t="shared" si="54"/>
        <v>222.88</v>
      </c>
      <c r="AU86" s="110">
        <f t="shared" si="55"/>
        <v>210.66</v>
      </c>
      <c r="AV86" s="111">
        <f t="shared" si="56"/>
        <v>0</v>
      </c>
      <c r="AW86" s="110">
        <f t="shared" si="57"/>
        <v>210.66</v>
      </c>
      <c r="AX86" s="105">
        <f t="shared" si="58"/>
        <v>202.41</v>
      </c>
      <c r="AY86" s="105">
        <f t="shared" si="59"/>
        <v>200.13</v>
      </c>
      <c r="AZ86" s="105">
        <f t="shared" si="60"/>
        <v>-2.2799999999999998</v>
      </c>
      <c r="BA86" s="105">
        <f t="shared" si="61"/>
        <v>263.62</v>
      </c>
      <c r="BB86" s="105">
        <f t="shared" si="62"/>
        <v>158.29</v>
      </c>
      <c r="BC86" s="110">
        <f t="shared" si="63"/>
        <v>387.96</v>
      </c>
      <c r="BD86" s="110">
        <f t="shared" si="64"/>
        <v>287.16000000000003</v>
      </c>
      <c r="BE86" s="110">
        <f t="shared" si="65"/>
        <v>181.83</v>
      </c>
      <c r="BF86" s="105"/>
      <c r="BG86" s="105"/>
      <c r="BH86" s="111"/>
      <c r="BI86" s="105"/>
      <c r="BJ86" s="105"/>
      <c r="BK86" s="109"/>
      <c r="BL86" s="111"/>
      <c r="BM86" s="109"/>
      <c r="BN86" s="109"/>
      <c r="BO86" s="105"/>
      <c r="BP86" s="105"/>
      <c r="BQ86" s="109"/>
      <c r="BR86" s="110"/>
      <c r="BS86" s="110"/>
      <c r="BT86" s="110"/>
      <c r="BU86" s="110"/>
      <c r="BV86" s="110"/>
      <c r="BW86" s="112"/>
      <c r="BX86" s="112"/>
      <c r="BY86" s="110"/>
      <c r="BZ86" s="105"/>
      <c r="CA86" s="105"/>
      <c r="CB86" s="105"/>
      <c r="CC86" s="105"/>
      <c r="CD86" s="105"/>
      <c r="CE86" s="105"/>
    </row>
    <row r="87" spans="1:83" x14ac:dyDescent="0.15">
      <c r="A87" s="103">
        <v>150</v>
      </c>
      <c r="B87" s="98" t="str">
        <f>VLOOKUP($A87,'Rate Calculation'!$A$4:$AQ$208,42,FALSE)</f>
        <v>217287900</v>
      </c>
      <c r="C87" s="98" t="str">
        <f>VLOOKUP($A87,'Rate Calculation'!$A$4:$AQ$208,43,FALSE)</f>
        <v>Fahrney-Keedy Memorial Home for the Aged, Inc.</v>
      </c>
      <c r="D87" s="98" t="str">
        <f>VLOOKUP($A87,'Rate Calculation'!$A$4:$F$208,5,FALSE)</f>
        <v>WESTERN REGION</v>
      </c>
      <c r="E87" s="98" t="str">
        <f>VLOOKUP($A87,'Rate Calculation'!$A$4:$F$208,6,FALSE)</f>
        <v>NON METRO</v>
      </c>
      <c r="F87" s="105">
        <f t="shared" si="40"/>
        <v>92.33</v>
      </c>
      <c r="G87" s="105">
        <f t="shared" si="41"/>
        <v>20.87</v>
      </c>
      <c r="H87" s="105">
        <f t="shared" si="42"/>
        <v>32.659999999999997</v>
      </c>
      <c r="I87" s="105">
        <f t="shared" si="43"/>
        <v>161.56</v>
      </c>
      <c r="J87" s="105">
        <f>VLOOKUP($A87,'Rate Calculation'!$A$4:$AZ$208,34,FALSE)</f>
        <v>0</v>
      </c>
      <c r="K87" s="105">
        <f t="shared" si="66"/>
        <v>307.42</v>
      </c>
      <c r="L87" s="164">
        <f t="shared" si="44"/>
        <v>0.98772000000000004</v>
      </c>
      <c r="M87" s="105">
        <f t="shared" si="67"/>
        <v>303.64</v>
      </c>
      <c r="N87" s="105">
        <f>VLOOKUP($A87,'Rate Calculation'!$A$4:$AL$208,38,FALSE)</f>
        <v>0</v>
      </c>
      <c r="O87" s="183">
        <f>VLOOKUP($A87,'Rate Calculation'!$A$4:$I$208,9,FALSE)</f>
        <v>1.4215</v>
      </c>
      <c r="P87" s="183">
        <f t="shared" si="38"/>
        <v>1.4432</v>
      </c>
      <c r="Q87" s="183">
        <f>VLOOKUP(A87,'CMI Data'!$A$4:$C$208,3,FALSE)</f>
        <v>1.3603000000000001</v>
      </c>
      <c r="R87" s="246">
        <f>VLOOKUP($A87,FRV!$A$4:$K$208,11,FALSE)</f>
        <v>36412</v>
      </c>
      <c r="S87" s="246">
        <f t="shared" si="39"/>
        <v>29687</v>
      </c>
      <c r="T87" s="246">
        <f>VLOOKUP($A87,FRV!$A$4:$L$208,12,FALSE)</f>
        <v>27573</v>
      </c>
      <c r="U87" s="183">
        <f>Inflation!$G$24</f>
        <v>1.0309999999999999</v>
      </c>
      <c r="V87" s="247">
        <f>VLOOKUP($A87,'Rate Calculation'!A88:X292,24,FALSE)</f>
        <v>89.55</v>
      </c>
      <c r="W87" s="110">
        <f t="shared" si="45"/>
        <v>92.33</v>
      </c>
      <c r="X87" s="110">
        <f>VLOOKUP($A87,'Rate Calculation'!A88:V292,22,FALSE)</f>
        <v>20.239999999999998</v>
      </c>
      <c r="Y87" s="110">
        <f t="shared" si="46"/>
        <v>20.87</v>
      </c>
      <c r="Z87" s="212">
        <f>VLOOKUP($A87,FRV!$A$4:$D$208,4,FALSE)</f>
        <v>45108</v>
      </c>
      <c r="AA87" s="212">
        <f>VLOOKUP($A87,FRV!$A$4:$F$208,6,FALSE)</f>
        <v>45291</v>
      </c>
      <c r="AB87" s="248">
        <f>VLOOKUP($A87,FRV!$A$4:$U$208,13,FALSE)</f>
        <v>10982585</v>
      </c>
      <c r="AC87" s="248">
        <f>VLOOKUP($A87,FRV!$A$4:$U$208,15,FALSE)</f>
        <v>149434</v>
      </c>
      <c r="AD87" s="248">
        <f>VLOOKUP($A87,FRV!$A$4:$U$208,14,FALSE)</f>
        <v>17500</v>
      </c>
      <c r="AE87" s="248">
        <f>VLOOKUP($A87,FRV!$A$4:$U$208,7,FALSE)</f>
        <v>101</v>
      </c>
      <c r="AF87" s="107">
        <f t="shared" si="47"/>
        <v>12899519</v>
      </c>
      <c r="AG87" s="107">
        <f t="shared" si="48"/>
        <v>127718</v>
      </c>
      <c r="AH87" s="107">
        <v>120000</v>
      </c>
      <c r="AI87" s="107">
        <f t="shared" si="49"/>
        <v>120000</v>
      </c>
      <c r="AJ87" s="107">
        <f t="shared" si="50"/>
        <v>12120000</v>
      </c>
      <c r="AK87" s="249">
        <f>IF(VLOOKUP($A87,'Rate Calculation'!$A$4:$D$208,4,FALSE)="baltimore city",0.1,0.08)</f>
        <v>0.08</v>
      </c>
      <c r="AL87" s="107">
        <f t="shared" si="51"/>
        <v>969600</v>
      </c>
      <c r="AM87" s="105">
        <f>IF(ISERROR(MATCH(A87&amp;AA87,'Days Exceptions'!$C$3:$C$16,0)),ROUND(AL87/(MAX(S87,T87)),2),ROUND(AL87/VLOOKUP(A87,'Days Exceptions'!$A$3:$J$16,8,FALSE),2))</f>
        <v>32.659999999999997</v>
      </c>
      <c r="AN87" s="213">
        <f>VLOOKUP($A87,'Rate Calculation'!$A$4:$AF$208,32,FALSE)</f>
        <v>0</v>
      </c>
      <c r="AO87" s="109">
        <f t="shared" si="52"/>
        <v>32.659999999999997</v>
      </c>
      <c r="AP87" s="247">
        <f>VLOOKUP($A87,'Rate Calculation'!$A$4:$Q$208,17,FALSE)</f>
        <v>274.77</v>
      </c>
      <c r="AQ87" s="247">
        <f t="shared" si="68"/>
        <v>283.29000000000002</v>
      </c>
      <c r="AR87" s="247">
        <f>VLOOKUP($A87,'Rate Calculation'!$A$4:$K$208,11,FALSE)</f>
        <v>166.26</v>
      </c>
      <c r="AS87" s="247">
        <f t="shared" si="53"/>
        <v>171.41</v>
      </c>
      <c r="AT87" s="110">
        <f t="shared" si="54"/>
        <v>168.83</v>
      </c>
      <c r="AU87" s="110">
        <f t="shared" si="55"/>
        <v>161.56</v>
      </c>
      <c r="AV87" s="111">
        <f t="shared" si="56"/>
        <v>0</v>
      </c>
      <c r="AW87" s="110">
        <f t="shared" si="57"/>
        <v>161.56</v>
      </c>
      <c r="AX87" s="105">
        <f t="shared" si="58"/>
        <v>271.08999999999997</v>
      </c>
      <c r="AY87" s="105">
        <f t="shared" si="59"/>
        <v>153.47999999999999</v>
      </c>
      <c r="AZ87" s="105">
        <f t="shared" si="60"/>
        <v>-117.61</v>
      </c>
      <c r="BA87" s="105">
        <f t="shared" si="61"/>
        <v>226.64</v>
      </c>
      <c r="BB87" s="105">
        <f t="shared" si="62"/>
        <v>145.86000000000001</v>
      </c>
      <c r="BC87" s="110">
        <f t="shared" si="63"/>
        <v>303.64</v>
      </c>
      <c r="BD87" s="110">
        <f t="shared" si="64"/>
        <v>226.64</v>
      </c>
      <c r="BE87" s="110">
        <f t="shared" si="65"/>
        <v>145.86000000000001</v>
      </c>
      <c r="BF87" s="105"/>
      <c r="BG87" s="105"/>
      <c r="BH87" s="111"/>
      <c r="BI87" s="105"/>
      <c r="BJ87" s="105"/>
      <c r="BK87" s="109"/>
      <c r="BL87" s="111"/>
      <c r="BM87" s="109"/>
      <c r="BN87" s="109"/>
      <c r="BO87" s="105"/>
      <c r="BP87" s="105"/>
      <c r="BQ87" s="109"/>
      <c r="BR87" s="110"/>
      <c r="BS87" s="110"/>
      <c r="BT87" s="110"/>
      <c r="BU87" s="110"/>
      <c r="BV87" s="110"/>
      <c r="BW87" s="112"/>
      <c r="BX87" s="112"/>
      <c r="BY87" s="110"/>
      <c r="BZ87" s="105"/>
      <c r="CA87" s="105"/>
      <c r="CB87" s="105"/>
      <c r="CC87" s="105"/>
      <c r="CD87" s="105"/>
      <c r="CE87" s="105"/>
    </row>
    <row r="88" spans="1:83" x14ac:dyDescent="0.15">
      <c r="A88" s="103">
        <v>152</v>
      </c>
      <c r="B88" s="98" t="str">
        <f>VLOOKUP($A88,'Rate Calculation'!$A$4:$AQ$208,42,FALSE)</f>
        <v>300157100</v>
      </c>
      <c r="C88" s="98" t="str">
        <f>VLOOKUP($A88,'Rate Calculation'!$A$4:$AQ$208,43,FALSE)</f>
        <v>Fairfield Nursing and Rehabilitation Center</v>
      </c>
      <c r="D88" s="98" t="str">
        <f>VLOOKUP($A88,'Rate Calculation'!$A$4:$F$208,5,FALSE)</f>
        <v>BALTIMORE METRO</v>
      </c>
      <c r="E88" s="98" t="str">
        <f>VLOOKUP($A88,'Rate Calculation'!$A$4:$F$208,6,FALSE)</f>
        <v>BALTIMORE METRO</v>
      </c>
      <c r="F88" s="105">
        <f t="shared" si="40"/>
        <v>105.18</v>
      </c>
      <c r="G88" s="105">
        <f t="shared" si="41"/>
        <v>21.5</v>
      </c>
      <c r="H88" s="105">
        <f t="shared" si="42"/>
        <v>35.33</v>
      </c>
      <c r="I88" s="105">
        <f t="shared" si="43"/>
        <v>155.75</v>
      </c>
      <c r="J88" s="105">
        <f>VLOOKUP($A88,'Rate Calculation'!$A$4:$AZ$208,34,FALSE)</f>
        <v>0</v>
      </c>
      <c r="K88" s="105">
        <f t="shared" si="66"/>
        <v>317.76</v>
      </c>
      <c r="L88" s="164">
        <f t="shared" si="44"/>
        <v>0.98772000000000004</v>
      </c>
      <c r="M88" s="105">
        <f t="shared" si="67"/>
        <v>313.86</v>
      </c>
      <c r="N88" s="105">
        <f>VLOOKUP($A88,'Rate Calculation'!$A$4:$AL$208,38,FALSE)</f>
        <v>25.09</v>
      </c>
      <c r="O88" s="183">
        <f>VLOOKUP($A88,'Rate Calculation'!$A$4:$I$208,9,FALSE)</f>
        <v>1.2948</v>
      </c>
      <c r="P88" s="183">
        <f t="shared" si="38"/>
        <v>1.4432</v>
      </c>
      <c r="Q88" s="183">
        <f>VLOOKUP(A88,'CMI Data'!$A$4:$C$208,3,FALSE)</f>
        <v>1.2233000000000001</v>
      </c>
      <c r="R88" s="246">
        <f>VLOOKUP($A88,FRV!$A$4:$K$208,11,FALSE)</f>
        <v>35040</v>
      </c>
      <c r="S88" s="246">
        <f t="shared" si="39"/>
        <v>28568</v>
      </c>
      <c r="T88" s="246">
        <f>VLOOKUP($A88,FRV!$A$4:$L$208,12,FALSE)</f>
        <v>27349</v>
      </c>
      <c r="U88" s="183">
        <f>Inflation!$G$24</f>
        <v>1.0309999999999999</v>
      </c>
      <c r="V88" s="247">
        <f>VLOOKUP($A88,'Rate Calculation'!A89:X293,24,FALSE)</f>
        <v>102.02</v>
      </c>
      <c r="W88" s="110">
        <f t="shared" si="45"/>
        <v>105.18</v>
      </c>
      <c r="X88" s="110">
        <f>VLOOKUP($A88,'Rate Calculation'!A89:V293,22,FALSE)</f>
        <v>20.85</v>
      </c>
      <c r="Y88" s="110">
        <f t="shared" si="46"/>
        <v>21.5</v>
      </c>
      <c r="Z88" s="212">
        <f>VLOOKUP($A88,FRV!$A$4:$D$208,4,FALSE)</f>
        <v>44743</v>
      </c>
      <c r="AA88" s="212">
        <f>VLOOKUP($A88,FRV!$A$4:$F$208,6,FALSE)</f>
        <v>44926</v>
      </c>
      <c r="AB88" s="248">
        <f>VLOOKUP($A88,FRV!$A$4:$U$208,13,FALSE)</f>
        <v>13409251</v>
      </c>
      <c r="AC88" s="248">
        <f>VLOOKUP($A88,FRV!$A$4:$U$208,15,FALSE)</f>
        <v>305973</v>
      </c>
      <c r="AD88" s="248">
        <f>VLOOKUP($A88,FRV!$A$4:$U$208,14,FALSE)</f>
        <v>30000</v>
      </c>
      <c r="AE88" s="248">
        <f>VLOOKUP($A88,FRV!$A$4:$U$208,7,FALSE)</f>
        <v>96</v>
      </c>
      <c r="AF88" s="107">
        <f t="shared" si="47"/>
        <v>16595224</v>
      </c>
      <c r="AG88" s="107">
        <f t="shared" si="48"/>
        <v>172867</v>
      </c>
      <c r="AH88" s="107">
        <v>120000</v>
      </c>
      <c r="AI88" s="107">
        <f t="shared" si="49"/>
        <v>120000</v>
      </c>
      <c r="AJ88" s="107">
        <f t="shared" si="50"/>
        <v>11520000</v>
      </c>
      <c r="AK88" s="249">
        <f>IF(VLOOKUP($A88,'Rate Calculation'!$A$4:$D$208,4,FALSE)="baltimore city",0.1,0.08)</f>
        <v>0.08</v>
      </c>
      <c r="AL88" s="107">
        <f t="shared" si="51"/>
        <v>921600</v>
      </c>
      <c r="AM88" s="105">
        <f>IF(ISERROR(MATCH(A88&amp;AA88,'Days Exceptions'!$C$3:$C$16,0)),ROUND(AL88/(MAX(S88,T88)),2),ROUND(AL88/VLOOKUP(A88,'Days Exceptions'!$A$3:$J$16,8,FALSE),2))</f>
        <v>32.26</v>
      </c>
      <c r="AN88" s="213">
        <f>VLOOKUP($A88,'Rate Calculation'!$A$4:$AF$208,32,FALSE)</f>
        <v>3.07</v>
      </c>
      <c r="AO88" s="109">
        <f t="shared" si="52"/>
        <v>35.33</v>
      </c>
      <c r="AP88" s="247">
        <f>VLOOKUP($A88,'Rate Calculation'!$A$4:$Q$208,17,FALSE)</f>
        <v>151.13</v>
      </c>
      <c r="AQ88" s="247">
        <f t="shared" si="68"/>
        <v>155.82</v>
      </c>
      <c r="AR88" s="247">
        <f>VLOOKUP($A88,'Rate Calculation'!$A$4:$K$208,11,FALSE)</f>
        <v>195.33</v>
      </c>
      <c r="AS88" s="247">
        <f t="shared" si="53"/>
        <v>201.39</v>
      </c>
      <c r="AT88" s="110">
        <f t="shared" si="54"/>
        <v>180.68</v>
      </c>
      <c r="AU88" s="110">
        <f t="shared" si="55"/>
        <v>170.7</v>
      </c>
      <c r="AV88" s="111">
        <f t="shared" si="56"/>
        <v>-14.95</v>
      </c>
      <c r="AW88" s="110">
        <f t="shared" si="57"/>
        <v>155.75</v>
      </c>
      <c r="AX88" s="105">
        <f t="shared" si="58"/>
        <v>147.22</v>
      </c>
      <c r="AY88" s="105">
        <f t="shared" si="59"/>
        <v>162.16999999999999</v>
      </c>
      <c r="AZ88" s="105">
        <f t="shared" si="60"/>
        <v>14.95</v>
      </c>
      <c r="BA88" s="105">
        <f t="shared" si="61"/>
        <v>239.89</v>
      </c>
      <c r="BB88" s="105">
        <f t="shared" si="62"/>
        <v>162.01</v>
      </c>
      <c r="BC88" s="110">
        <f t="shared" si="63"/>
        <v>338.95</v>
      </c>
      <c r="BD88" s="110">
        <f t="shared" si="64"/>
        <v>264.98</v>
      </c>
      <c r="BE88" s="110">
        <f t="shared" si="65"/>
        <v>187.1</v>
      </c>
      <c r="BF88" s="105"/>
      <c r="BG88" s="105"/>
      <c r="BH88" s="111"/>
      <c r="BI88" s="105"/>
      <c r="BJ88" s="105"/>
      <c r="BK88" s="109"/>
      <c r="BL88" s="111"/>
      <c r="BM88" s="109"/>
      <c r="BN88" s="109"/>
      <c r="BO88" s="105"/>
      <c r="BP88" s="105"/>
      <c r="BQ88" s="109"/>
      <c r="BR88" s="110"/>
      <c r="BS88" s="110"/>
      <c r="BT88" s="110"/>
      <c r="BU88" s="110"/>
      <c r="BV88" s="110"/>
      <c r="BW88" s="112"/>
      <c r="BX88" s="112"/>
      <c r="BY88" s="110"/>
      <c r="BZ88" s="105"/>
      <c r="CA88" s="105"/>
      <c r="CB88" s="105"/>
      <c r="CC88" s="105"/>
      <c r="CD88" s="105"/>
      <c r="CE88" s="105"/>
    </row>
    <row r="89" spans="1:83" x14ac:dyDescent="0.15">
      <c r="A89" s="103">
        <v>1324</v>
      </c>
      <c r="B89" s="98" t="str">
        <f>VLOOKUP($A89,'Rate Calculation'!$A$4:$AQ$208,42,FALSE)</f>
        <v>424902000</v>
      </c>
      <c r="C89" s="98" t="str">
        <f>VLOOKUP($A89,'Rate Calculation'!$A$4:$AQ$208,43,FALSE)</f>
        <v>Fairhaven</v>
      </c>
      <c r="D89" s="98" t="str">
        <f>VLOOKUP($A89,'Rate Calculation'!$A$4:$F$208,5,FALSE)</f>
        <v>BALTIMORE METRO</v>
      </c>
      <c r="E89" s="98" t="str">
        <f>VLOOKUP($A89,'Rate Calculation'!$A$4:$F$208,6,FALSE)</f>
        <v>BALTIMORE METRO</v>
      </c>
      <c r="F89" s="105">
        <f t="shared" si="40"/>
        <v>105.18</v>
      </c>
      <c r="G89" s="105">
        <f t="shared" si="41"/>
        <v>21.5</v>
      </c>
      <c r="H89" s="105">
        <f t="shared" si="42"/>
        <v>33.229999999999997</v>
      </c>
      <c r="I89" s="105">
        <f t="shared" si="43"/>
        <v>129.99</v>
      </c>
      <c r="J89" s="105">
        <f>VLOOKUP($A89,'Rate Calculation'!$A$4:$AZ$208,34,FALSE)</f>
        <v>0</v>
      </c>
      <c r="K89" s="105">
        <f t="shared" si="66"/>
        <v>289.89999999999998</v>
      </c>
      <c r="L89" s="164">
        <f t="shared" si="44"/>
        <v>0.98772000000000004</v>
      </c>
      <c r="M89" s="105">
        <f t="shared" si="67"/>
        <v>286.33999999999997</v>
      </c>
      <c r="N89" s="105">
        <f>VLOOKUP($A89,'Rate Calculation'!$A$4:$AL$208,38,FALSE)</f>
        <v>0</v>
      </c>
      <c r="O89" s="183">
        <f>VLOOKUP($A89,'Rate Calculation'!$A$4:$I$208,9,FALSE)</f>
        <v>1.2156</v>
      </c>
      <c r="P89" s="183">
        <f t="shared" si="38"/>
        <v>1.4432</v>
      </c>
      <c r="Q89" s="183">
        <f>VLOOKUP(A89,'CMI Data'!$A$4:$C$208,3,FALSE)</f>
        <v>0.93149999999999999</v>
      </c>
      <c r="R89" s="246">
        <f>VLOOKUP($A89,FRV!$A$4:$K$208,11,FALSE)</f>
        <v>28835</v>
      </c>
      <c r="S89" s="246">
        <f t="shared" si="39"/>
        <v>23509</v>
      </c>
      <c r="T89" s="246">
        <f>VLOOKUP($A89,FRV!$A$4:$L$208,12,FALSE)</f>
        <v>15164</v>
      </c>
      <c r="U89" s="183">
        <f>Inflation!$G$24</f>
        <v>1.0309999999999999</v>
      </c>
      <c r="V89" s="247">
        <f>VLOOKUP($A89,'Rate Calculation'!A90:X294,24,FALSE)</f>
        <v>102.02</v>
      </c>
      <c r="W89" s="110">
        <f t="shared" si="45"/>
        <v>105.18</v>
      </c>
      <c r="X89" s="110">
        <f>VLOOKUP($A89,'Rate Calculation'!A90:V294,22,FALSE)</f>
        <v>20.85</v>
      </c>
      <c r="Y89" s="110">
        <f t="shared" si="46"/>
        <v>21.5</v>
      </c>
      <c r="Z89" s="212">
        <f>VLOOKUP($A89,FRV!$A$4:$D$208,4,FALSE)</f>
        <v>45108</v>
      </c>
      <c r="AA89" s="212">
        <f>VLOOKUP($A89,FRV!$A$4:$F$208,6,FALSE)</f>
        <v>45291</v>
      </c>
      <c r="AB89" s="248">
        <f>VLOOKUP($A89,FRV!$A$4:$U$208,13,FALSE)</f>
        <v>8154529</v>
      </c>
      <c r="AC89" s="248">
        <f>VLOOKUP($A89,FRV!$A$4:$U$208,15,FALSE)</f>
        <v>158162</v>
      </c>
      <c r="AD89" s="248">
        <f>VLOOKUP($A89,FRV!$A$4:$U$208,14,FALSE)</f>
        <v>21000</v>
      </c>
      <c r="AE89" s="248">
        <f>VLOOKUP($A89,FRV!$A$4:$U$208,7,FALSE)</f>
        <v>79</v>
      </c>
      <c r="AF89" s="107">
        <f t="shared" si="47"/>
        <v>9971691</v>
      </c>
      <c r="AG89" s="107">
        <f t="shared" si="48"/>
        <v>126224</v>
      </c>
      <c r="AH89" s="107">
        <v>120000</v>
      </c>
      <c r="AI89" s="107">
        <f t="shared" si="49"/>
        <v>120000</v>
      </c>
      <c r="AJ89" s="107">
        <f t="shared" si="50"/>
        <v>9480000</v>
      </c>
      <c r="AK89" s="249">
        <f>IF(VLOOKUP($A89,'Rate Calculation'!$A$4:$D$208,4,FALSE)="baltimore city",0.1,0.08)</f>
        <v>0.08</v>
      </c>
      <c r="AL89" s="107">
        <f t="shared" si="51"/>
        <v>758400</v>
      </c>
      <c r="AM89" s="105">
        <f>IF(ISERROR(MATCH(A89&amp;AA89,'Days Exceptions'!$C$3:$C$16,0)),ROUND(AL89/(MAX(S89,T89)),2),ROUND(AL89/VLOOKUP(A89,'Days Exceptions'!$A$3:$J$16,8,FALSE),2))</f>
        <v>32.26</v>
      </c>
      <c r="AN89" s="213">
        <f>VLOOKUP($A89,'Rate Calculation'!$A$4:$AF$208,32,FALSE)</f>
        <v>0.97</v>
      </c>
      <c r="AO89" s="109">
        <f t="shared" si="52"/>
        <v>33.229999999999997</v>
      </c>
      <c r="AP89" s="247">
        <f>VLOOKUP($A89,'Rate Calculation'!$A$4:$Q$208,17,FALSE)</f>
        <v>244.46</v>
      </c>
      <c r="AQ89" s="247">
        <f t="shared" si="68"/>
        <v>252.04</v>
      </c>
      <c r="AR89" s="247">
        <f>VLOOKUP($A89,'Rate Calculation'!$A$4:$K$208,11,FALSE)</f>
        <v>195.33</v>
      </c>
      <c r="AS89" s="247">
        <f t="shared" si="53"/>
        <v>201.39</v>
      </c>
      <c r="AT89" s="110">
        <f t="shared" si="54"/>
        <v>169.63</v>
      </c>
      <c r="AU89" s="110">
        <f t="shared" si="55"/>
        <v>129.99</v>
      </c>
      <c r="AV89" s="111">
        <f t="shared" si="56"/>
        <v>0</v>
      </c>
      <c r="AW89" s="110">
        <f t="shared" si="57"/>
        <v>129.99</v>
      </c>
      <c r="AX89" s="105">
        <f t="shared" si="58"/>
        <v>193.14</v>
      </c>
      <c r="AY89" s="105">
        <f t="shared" si="59"/>
        <v>123.49</v>
      </c>
      <c r="AZ89" s="105">
        <f t="shared" si="60"/>
        <v>-69.650000000000006</v>
      </c>
      <c r="BA89" s="105">
        <f t="shared" si="61"/>
        <v>224.91</v>
      </c>
      <c r="BB89" s="105">
        <f t="shared" si="62"/>
        <v>159.91</v>
      </c>
      <c r="BC89" s="110">
        <f t="shared" si="63"/>
        <v>286.33999999999997</v>
      </c>
      <c r="BD89" s="110">
        <f t="shared" si="64"/>
        <v>224.91</v>
      </c>
      <c r="BE89" s="110">
        <f t="shared" si="65"/>
        <v>159.91</v>
      </c>
      <c r="BF89" s="105"/>
      <c r="BG89" s="105"/>
      <c r="BH89" s="111"/>
      <c r="BI89" s="105"/>
      <c r="BJ89" s="105"/>
      <c r="BK89" s="109"/>
      <c r="BL89" s="111"/>
      <c r="BM89" s="109"/>
      <c r="BN89" s="109"/>
      <c r="BO89" s="105"/>
      <c r="BP89" s="105"/>
      <c r="BQ89" s="109"/>
      <c r="BR89" s="110"/>
      <c r="BS89" s="110"/>
      <c r="BT89" s="110"/>
      <c r="BU89" s="110"/>
      <c r="BV89" s="110"/>
      <c r="BW89" s="112"/>
      <c r="BX89" s="112"/>
      <c r="BY89" s="110"/>
      <c r="BZ89" s="105"/>
      <c r="CA89" s="105"/>
      <c r="CB89" s="105"/>
      <c r="CC89" s="105"/>
      <c r="CD89" s="105"/>
      <c r="CE89" s="105"/>
    </row>
    <row r="90" spans="1:83" x14ac:dyDescent="0.15">
      <c r="A90" s="103">
        <v>26</v>
      </c>
      <c r="B90" s="98" t="str">
        <f>VLOOKUP($A90,'Rate Calculation'!$A$4:$AQ$208,42,FALSE)</f>
        <v>553206000</v>
      </c>
      <c r="C90" s="98" t="str">
        <f>VLOOKUP($A90,'Rate Calculation'!$A$4:$AQ$208,43,FALSE)</f>
        <v>Fairland Center</v>
      </c>
      <c r="D90" s="98" t="str">
        <f>VLOOKUP($A90,'Rate Calculation'!$A$4:$F$208,5,FALSE)</f>
        <v>WASHINGTON METRO</v>
      </c>
      <c r="E90" s="98" t="str">
        <f>VLOOKUP($A90,'Rate Calculation'!$A$4:$F$208,6,FALSE)</f>
        <v>WASHINGTON METRO</v>
      </c>
      <c r="F90" s="105">
        <f t="shared" si="40"/>
        <v>103.73</v>
      </c>
      <c r="G90" s="105">
        <f t="shared" si="41"/>
        <v>19.829999999999998</v>
      </c>
      <c r="H90" s="105">
        <f t="shared" si="42"/>
        <v>33.049999999999997</v>
      </c>
      <c r="I90" s="105">
        <f t="shared" si="43"/>
        <v>190.51</v>
      </c>
      <c r="J90" s="105">
        <f>VLOOKUP($A90,'Rate Calculation'!$A$4:$AZ$208,34,FALSE)</f>
        <v>0</v>
      </c>
      <c r="K90" s="105">
        <f t="shared" si="66"/>
        <v>347.12</v>
      </c>
      <c r="L90" s="164">
        <f t="shared" si="44"/>
        <v>0.98772000000000004</v>
      </c>
      <c r="M90" s="105">
        <f t="shared" si="67"/>
        <v>342.86</v>
      </c>
      <c r="N90" s="105">
        <f>VLOOKUP($A90,'Rate Calculation'!$A$4:$AL$208,38,FALSE)</f>
        <v>28.92</v>
      </c>
      <c r="O90" s="183">
        <f>VLOOKUP($A90,'Rate Calculation'!$A$4:$I$208,9,FALSE)</f>
        <v>1.9835</v>
      </c>
      <c r="P90" s="183">
        <f t="shared" si="38"/>
        <v>1.4432</v>
      </c>
      <c r="Q90" s="183">
        <f>VLOOKUP(A90,'CMI Data'!$A$4:$C$208,3,FALSE)</f>
        <v>1.5150999999999999</v>
      </c>
      <c r="R90" s="246">
        <f>VLOOKUP($A90,FRV!$A$4:$K$208,11,FALSE)</f>
        <v>33580</v>
      </c>
      <c r="S90" s="246">
        <f t="shared" si="39"/>
        <v>27378</v>
      </c>
      <c r="T90" s="246">
        <f>VLOOKUP($A90,FRV!$A$4:$L$208,12,FALSE)</f>
        <v>29732</v>
      </c>
      <c r="U90" s="183">
        <f>Inflation!$G$24</f>
        <v>1.0309999999999999</v>
      </c>
      <c r="V90" s="247">
        <f>VLOOKUP($A90,'Rate Calculation'!A91:X295,24,FALSE)</f>
        <v>100.61</v>
      </c>
      <c r="W90" s="110">
        <f t="shared" si="45"/>
        <v>103.73</v>
      </c>
      <c r="X90" s="110">
        <f>VLOOKUP($A90,'Rate Calculation'!A91:V295,22,FALSE)</f>
        <v>19.23</v>
      </c>
      <c r="Y90" s="110">
        <f t="shared" si="46"/>
        <v>19.829999999999998</v>
      </c>
      <c r="Z90" s="212">
        <f>VLOOKUP($A90,FRV!$A$4:$D$208,4,FALSE)</f>
        <v>45108</v>
      </c>
      <c r="AA90" s="212">
        <f>VLOOKUP($A90,FRV!$A$4:$F$208,6,FALSE)</f>
        <v>45291</v>
      </c>
      <c r="AB90" s="248">
        <f>VLOOKUP($A90,FRV!$A$4:$U$208,13,FALSE)</f>
        <v>8790316</v>
      </c>
      <c r="AC90" s="248">
        <f>VLOOKUP($A90,FRV!$A$4:$U$208,15,FALSE)</f>
        <v>181428</v>
      </c>
      <c r="AD90" s="248">
        <f>VLOOKUP($A90,FRV!$A$4:$U$208,14,FALSE)</f>
        <v>27500</v>
      </c>
      <c r="AE90" s="248">
        <f>VLOOKUP($A90,FRV!$A$4:$U$208,7,FALSE)</f>
        <v>92</v>
      </c>
      <c r="AF90" s="107">
        <f t="shared" si="47"/>
        <v>11501744</v>
      </c>
      <c r="AG90" s="107">
        <f t="shared" si="48"/>
        <v>125019</v>
      </c>
      <c r="AH90" s="107">
        <v>120000</v>
      </c>
      <c r="AI90" s="107">
        <f t="shared" si="49"/>
        <v>120000</v>
      </c>
      <c r="AJ90" s="107">
        <f t="shared" si="50"/>
        <v>11040000</v>
      </c>
      <c r="AK90" s="249">
        <f>IF(VLOOKUP($A90,'Rate Calculation'!$A$4:$D$208,4,FALSE)="baltimore city",0.1,0.08)</f>
        <v>0.08</v>
      </c>
      <c r="AL90" s="107">
        <f t="shared" si="51"/>
        <v>883200</v>
      </c>
      <c r="AM90" s="105">
        <f>IF(ISERROR(MATCH(A90&amp;AA90,'Days Exceptions'!$C$3:$C$16,0)),ROUND(AL90/(MAX(S90,T90)),2),ROUND(AL90/VLOOKUP(A90,'Days Exceptions'!$A$3:$J$16,8,FALSE),2))</f>
        <v>29.71</v>
      </c>
      <c r="AN90" s="213">
        <f>VLOOKUP($A90,'Rate Calculation'!$A$4:$AF$208,32,FALSE)</f>
        <v>3.34</v>
      </c>
      <c r="AO90" s="109">
        <f t="shared" si="52"/>
        <v>33.049999999999997</v>
      </c>
      <c r="AP90" s="247">
        <f>VLOOKUP($A90,'Rate Calculation'!$A$4:$Q$208,17,FALSE)</f>
        <v>256.24</v>
      </c>
      <c r="AQ90" s="247">
        <f t="shared" si="68"/>
        <v>264.18</v>
      </c>
      <c r="AR90" s="247">
        <f>VLOOKUP($A90,'Rate Calculation'!$A$4:$K$208,11,FALSE)</f>
        <v>176.01</v>
      </c>
      <c r="AS90" s="247">
        <f t="shared" si="53"/>
        <v>181.47</v>
      </c>
      <c r="AT90" s="110">
        <f t="shared" si="54"/>
        <v>249.41</v>
      </c>
      <c r="AU90" s="110">
        <f t="shared" si="55"/>
        <v>190.51</v>
      </c>
      <c r="AV90" s="111">
        <f t="shared" si="56"/>
        <v>0</v>
      </c>
      <c r="AW90" s="110">
        <f t="shared" si="57"/>
        <v>190.51</v>
      </c>
      <c r="AX90" s="105">
        <f t="shared" si="58"/>
        <v>201.79</v>
      </c>
      <c r="AY90" s="105">
        <f t="shared" si="59"/>
        <v>180.98</v>
      </c>
      <c r="AZ90" s="105">
        <f t="shared" si="60"/>
        <v>-20.81</v>
      </c>
      <c r="BA90" s="105">
        <f t="shared" si="61"/>
        <v>251.87</v>
      </c>
      <c r="BB90" s="105">
        <f t="shared" si="62"/>
        <v>156.61000000000001</v>
      </c>
      <c r="BC90" s="110">
        <f t="shared" si="63"/>
        <v>371.78</v>
      </c>
      <c r="BD90" s="110">
        <f t="shared" si="64"/>
        <v>280.79000000000002</v>
      </c>
      <c r="BE90" s="110">
        <f t="shared" si="65"/>
        <v>185.53</v>
      </c>
      <c r="BF90" s="105"/>
      <c r="BG90" s="105"/>
      <c r="BH90" s="111"/>
      <c r="BI90" s="105"/>
      <c r="BJ90" s="105"/>
      <c r="BK90" s="109"/>
      <c r="BL90" s="111"/>
      <c r="BM90" s="109"/>
      <c r="BN90" s="109"/>
      <c r="BO90" s="105"/>
      <c r="BP90" s="105"/>
      <c r="BQ90" s="109"/>
      <c r="BR90" s="110"/>
      <c r="BS90" s="110"/>
      <c r="BT90" s="110"/>
      <c r="BU90" s="110"/>
      <c r="BV90" s="110"/>
      <c r="BW90" s="112"/>
      <c r="BX90" s="112"/>
      <c r="BY90" s="110"/>
      <c r="BZ90" s="105"/>
      <c r="CA90" s="105"/>
      <c r="CB90" s="105"/>
      <c r="CC90" s="105"/>
      <c r="CD90" s="105"/>
      <c r="CE90" s="105"/>
    </row>
    <row r="91" spans="1:83" x14ac:dyDescent="0.15">
      <c r="A91" s="103">
        <v>729</v>
      </c>
      <c r="B91" s="98" t="str">
        <f>VLOOKUP($A91,'Rate Calculation'!$A$4:$AQ$208,42,FALSE)</f>
        <v>414424400</v>
      </c>
      <c r="C91" s="98" t="str">
        <f>VLOOKUP($A91,'Rate Calculation'!$A$4:$AQ$208,43,FALSE)</f>
        <v>Fayette Health and Rehabilitation Center</v>
      </c>
      <c r="D91" s="98" t="str">
        <f>VLOOKUP($A91,'Rate Calculation'!$A$4:$F$208,5,FALSE)</f>
        <v>BALTIMORE METRO</v>
      </c>
      <c r="E91" s="98" t="str">
        <f>VLOOKUP($A91,'Rate Calculation'!$A$4:$F$208,6,FALSE)</f>
        <v>BALTIMORE CITY</v>
      </c>
      <c r="F91" s="105">
        <f t="shared" si="40"/>
        <v>117.69</v>
      </c>
      <c r="G91" s="105">
        <f t="shared" si="41"/>
        <v>25.66</v>
      </c>
      <c r="H91" s="105">
        <f t="shared" si="42"/>
        <v>38.68</v>
      </c>
      <c r="I91" s="105">
        <f t="shared" si="43"/>
        <v>139.72999999999999</v>
      </c>
      <c r="J91" s="105">
        <f>VLOOKUP($A91,'Rate Calculation'!$A$4:$AZ$208,34,FALSE)</f>
        <v>0</v>
      </c>
      <c r="K91" s="105">
        <f t="shared" si="66"/>
        <v>321.76</v>
      </c>
      <c r="L91" s="164">
        <f t="shared" si="44"/>
        <v>0.98772000000000004</v>
      </c>
      <c r="M91" s="105">
        <f t="shared" si="67"/>
        <v>317.81</v>
      </c>
      <c r="N91" s="105">
        <f>VLOOKUP($A91,'Rate Calculation'!$A$4:$AL$208,38,FALSE)</f>
        <v>31.98</v>
      </c>
      <c r="O91" s="183">
        <f>VLOOKUP($A91,'Rate Calculation'!$A$4:$I$208,9,FALSE)</f>
        <v>1.5144</v>
      </c>
      <c r="P91" s="183">
        <f t="shared" si="38"/>
        <v>1.4432</v>
      </c>
      <c r="Q91" s="183">
        <f>VLOOKUP(A91,'CMI Data'!$A$4:$C$208,3,FALSE)</f>
        <v>1.2987</v>
      </c>
      <c r="R91" s="246">
        <f>VLOOKUP($A91,FRV!$A$4:$K$208,11,FALSE)</f>
        <v>56940</v>
      </c>
      <c r="S91" s="246">
        <f t="shared" si="39"/>
        <v>46423</v>
      </c>
      <c r="T91" s="246">
        <f>VLOOKUP($A91,FRV!$A$4:$L$208,12,FALSE)</f>
        <v>43910</v>
      </c>
      <c r="U91" s="183">
        <f>Inflation!$G$24</f>
        <v>1.0309999999999999</v>
      </c>
      <c r="V91" s="247">
        <f>VLOOKUP($A91,'Rate Calculation'!A92:X296,24,FALSE)</f>
        <v>114.15</v>
      </c>
      <c r="W91" s="110">
        <f t="shared" si="45"/>
        <v>117.69</v>
      </c>
      <c r="X91" s="110">
        <f>VLOOKUP($A91,'Rate Calculation'!A92:V296,22,FALSE)</f>
        <v>24.89</v>
      </c>
      <c r="Y91" s="110">
        <f t="shared" si="46"/>
        <v>25.66</v>
      </c>
      <c r="Z91" s="212">
        <f>VLOOKUP($A91,FRV!$A$4:$D$208,4,FALSE)</f>
        <v>44743</v>
      </c>
      <c r="AA91" s="212">
        <f>VLOOKUP($A91,FRV!$A$4:$F$208,6,FALSE)</f>
        <v>44742</v>
      </c>
      <c r="AB91" s="248">
        <f>VLOOKUP($A91,FRV!$A$4:$U$208,13,FALSE)</f>
        <v>14871339</v>
      </c>
      <c r="AC91" s="248">
        <f>VLOOKUP($A91,FRV!$A$4:$U$208,15,FALSE)</f>
        <v>332083</v>
      </c>
      <c r="AD91" s="248">
        <f>VLOOKUP($A91,FRV!$A$4:$U$208,14,FALSE)</f>
        <v>12000</v>
      </c>
      <c r="AE91" s="248">
        <f>VLOOKUP($A91,FRV!$A$4:$U$208,7,FALSE)</f>
        <v>156</v>
      </c>
      <c r="AF91" s="107">
        <f t="shared" si="47"/>
        <v>17075422</v>
      </c>
      <c r="AG91" s="107">
        <f t="shared" si="48"/>
        <v>109458</v>
      </c>
      <c r="AH91" s="107">
        <v>120000</v>
      </c>
      <c r="AI91" s="107">
        <f t="shared" si="49"/>
        <v>109458</v>
      </c>
      <c r="AJ91" s="107">
        <f t="shared" si="50"/>
        <v>17075448</v>
      </c>
      <c r="AK91" s="249">
        <f>IF(VLOOKUP($A91,'Rate Calculation'!$A$4:$D$208,4,FALSE)="baltimore city",0.1,0.08)</f>
        <v>0.1</v>
      </c>
      <c r="AL91" s="107">
        <f t="shared" si="51"/>
        <v>1707545</v>
      </c>
      <c r="AM91" s="105">
        <f>IF(ISERROR(MATCH(A91&amp;AA91,'Days Exceptions'!$C$3:$C$16,0)),ROUND(AL91/(MAX(S91,T91)),2),ROUND(AL91/VLOOKUP(A91,'Days Exceptions'!$A$3:$J$16,8,FALSE),2))</f>
        <v>36.78</v>
      </c>
      <c r="AN91" s="213">
        <f>VLOOKUP($A91,'Rate Calculation'!$A$4:$AF$208,32,FALSE)</f>
        <v>1.9</v>
      </c>
      <c r="AO91" s="109">
        <f t="shared" si="52"/>
        <v>38.68</v>
      </c>
      <c r="AP91" s="247">
        <f>VLOOKUP($A91,'Rate Calculation'!$A$4:$Q$208,17,FALSE)</f>
        <v>147.79</v>
      </c>
      <c r="AQ91" s="247">
        <f t="shared" si="68"/>
        <v>152.37</v>
      </c>
      <c r="AR91" s="247">
        <f>VLOOKUP($A91,'Rate Calculation'!$A$4:$K$208,11,FALSE)</f>
        <v>195.33</v>
      </c>
      <c r="AS91" s="247">
        <f t="shared" si="53"/>
        <v>201.39</v>
      </c>
      <c r="AT91" s="110">
        <f t="shared" si="54"/>
        <v>211.33</v>
      </c>
      <c r="AU91" s="110">
        <f t="shared" si="55"/>
        <v>181.23</v>
      </c>
      <c r="AV91" s="111">
        <f t="shared" si="56"/>
        <v>-41.5</v>
      </c>
      <c r="AW91" s="110">
        <f t="shared" si="57"/>
        <v>139.72999999999999</v>
      </c>
      <c r="AX91" s="105">
        <f t="shared" si="58"/>
        <v>130.66999999999999</v>
      </c>
      <c r="AY91" s="105">
        <f t="shared" si="59"/>
        <v>172.17</v>
      </c>
      <c r="AZ91" s="105">
        <f t="shared" si="60"/>
        <v>41.5</v>
      </c>
      <c r="BA91" s="105">
        <f t="shared" si="61"/>
        <v>251.9</v>
      </c>
      <c r="BB91" s="105">
        <f t="shared" si="62"/>
        <v>182.03</v>
      </c>
      <c r="BC91" s="110">
        <f t="shared" si="63"/>
        <v>349.79</v>
      </c>
      <c r="BD91" s="110">
        <f t="shared" si="64"/>
        <v>283.88</v>
      </c>
      <c r="BE91" s="110">
        <f t="shared" si="65"/>
        <v>214.01</v>
      </c>
      <c r="BF91" s="105"/>
      <c r="BG91" s="105"/>
      <c r="BH91" s="111"/>
      <c r="BI91" s="105"/>
      <c r="BJ91" s="105"/>
      <c r="BK91" s="109"/>
      <c r="BL91" s="111"/>
      <c r="BM91" s="109"/>
      <c r="BN91" s="109"/>
      <c r="BO91" s="105"/>
      <c r="BP91" s="105"/>
      <c r="BQ91" s="109"/>
      <c r="BR91" s="110"/>
      <c r="BS91" s="110"/>
      <c r="BT91" s="110"/>
      <c r="BU91" s="110"/>
      <c r="BV91" s="110"/>
      <c r="BW91" s="112"/>
      <c r="BX91" s="112"/>
      <c r="BY91" s="110"/>
      <c r="BZ91" s="105"/>
      <c r="CA91" s="105"/>
      <c r="CB91" s="105"/>
      <c r="CC91" s="105"/>
      <c r="CD91" s="105"/>
      <c r="CE91" s="105"/>
    </row>
    <row r="92" spans="1:83" x14ac:dyDescent="0.15">
      <c r="A92" s="103">
        <v>156</v>
      </c>
      <c r="B92" s="98" t="str">
        <f>VLOOKUP($A92,'Rate Calculation'!$A$4:$AQ$208,42,FALSE)</f>
        <v>424420600</v>
      </c>
      <c r="C92" s="98" t="str">
        <f>VLOOKUP($A92,'Rate Calculation'!$A$4:$AQ$208,43,FALSE)</f>
        <v>Forest Haven Nursing and Rehabilitation Center</v>
      </c>
      <c r="D92" s="98" t="str">
        <f>VLOOKUP($A92,'Rate Calculation'!$A$4:$F$208,5,FALSE)</f>
        <v>BALTIMORE METRO</v>
      </c>
      <c r="E92" s="98" t="str">
        <f>VLOOKUP($A92,'Rate Calculation'!$A$4:$F$208,6,FALSE)</f>
        <v>BALTIMORE METRO</v>
      </c>
      <c r="F92" s="105">
        <f t="shared" si="40"/>
        <v>105.18</v>
      </c>
      <c r="G92" s="105">
        <f t="shared" si="41"/>
        <v>21.5</v>
      </c>
      <c r="H92" s="105">
        <f t="shared" si="42"/>
        <v>28.64</v>
      </c>
      <c r="I92" s="105">
        <f t="shared" si="43"/>
        <v>157.77000000000001</v>
      </c>
      <c r="J92" s="105">
        <f>VLOOKUP($A92,'Rate Calculation'!$A$4:$AZ$208,34,FALSE)</f>
        <v>0</v>
      </c>
      <c r="K92" s="105">
        <f t="shared" si="66"/>
        <v>313.08999999999997</v>
      </c>
      <c r="L92" s="164">
        <f t="shared" si="44"/>
        <v>0.98772000000000004</v>
      </c>
      <c r="M92" s="105">
        <f t="shared" si="67"/>
        <v>309.25</v>
      </c>
      <c r="N92" s="105">
        <f>VLOOKUP($A92,'Rate Calculation'!$A$4:$AL$208,38,FALSE)</f>
        <v>32.299999999999997</v>
      </c>
      <c r="O92" s="183">
        <f>VLOOKUP($A92,'Rate Calculation'!$A$4:$I$208,9,FALSE)</f>
        <v>1.0639000000000001</v>
      </c>
      <c r="P92" s="183">
        <f t="shared" si="38"/>
        <v>1.4432</v>
      </c>
      <c r="Q92" s="183">
        <f>VLOOKUP(A92,'CMI Data'!$A$4:$C$208,3,FALSE)</f>
        <v>1.1306</v>
      </c>
      <c r="R92" s="246">
        <f>VLOOKUP($A92,FRV!$A$4:$K$208,11,FALSE)</f>
        <v>60955</v>
      </c>
      <c r="S92" s="246">
        <f t="shared" si="39"/>
        <v>49697</v>
      </c>
      <c r="T92" s="246">
        <f>VLOOKUP($A92,FRV!$A$4:$L$208,12,FALSE)</f>
        <v>45458</v>
      </c>
      <c r="U92" s="183">
        <f>Inflation!$G$24</f>
        <v>1.0309999999999999</v>
      </c>
      <c r="V92" s="247">
        <f>VLOOKUP($A92,'Rate Calculation'!A93:X297,24,FALSE)</f>
        <v>102.02</v>
      </c>
      <c r="W92" s="110">
        <f t="shared" si="45"/>
        <v>105.18</v>
      </c>
      <c r="X92" s="110">
        <f>VLOOKUP($A92,'Rate Calculation'!A93:V297,22,FALSE)</f>
        <v>20.85</v>
      </c>
      <c r="Y92" s="110">
        <f t="shared" si="46"/>
        <v>21.5</v>
      </c>
      <c r="Z92" s="212">
        <f>VLOOKUP($A92,FRV!$A$4:$D$208,4,FALSE)</f>
        <v>44743</v>
      </c>
      <c r="AA92" s="212">
        <f>VLOOKUP($A92,FRV!$A$4:$F$208,6,FALSE)</f>
        <v>44926</v>
      </c>
      <c r="AB92" s="248">
        <f>VLOOKUP($A92,FRV!$A$4:$U$208,13,FALSE)</f>
        <v>13496556</v>
      </c>
      <c r="AC92" s="248">
        <f>VLOOKUP($A92,FRV!$A$4:$U$208,15,FALSE)</f>
        <v>412849</v>
      </c>
      <c r="AD92" s="248">
        <f>VLOOKUP($A92,FRV!$A$4:$U$208,14,FALSE)</f>
        <v>20000</v>
      </c>
      <c r="AE92" s="248">
        <f>VLOOKUP($A92,FRV!$A$4:$U$208,7,FALSE)</f>
        <v>167</v>
      </c>
      <c r="AF92" s="107">
        <f t="shared" si="47"/>
        <v>17249405</v>
      </c>
      <c r="AG92" s="107">
        <f t="shared" si="48"/>
        <v>103290</v>
      </c>
      <c r="AH92" s="107">
        <v>120000</v>
      </c>
      <c r="AI92" s="107">
        <f t="shared" si="49"/>
        <v>103290</v>
      </c>
      <c r="AJ92" s="107">
        <f t="shared" si="50"/>
        <v>17249430</v>
      </c>
      <c r="AK92" s="249">
        <f>IF(VLOOKUP($A92,'Rate Calculation'!$A$4:$D$208,4,FALSE)="baltimore city",0.1,0.08)</f>
        <v>0.08</v>
      </c>
      <c r="AL92" s="107">
        <f t="shared" si="51"/>
        <v>1379954</v>
      </c>
      <c r="AM92" s="105">
        <f>IF(ISERROR(MATCH(A92&amp;AA92,'Days Exceptions'!$C$3:$C$16,0)),ROUND(AL92/(MAX(S92,T92)),2),ROUND(AL92/VLOOKUP(A92,'Days Exceptions'!$A$3:$J$16,8,FALSE),2))</f>
        <v>27.77</v>
      </c>
      <c r="AN92" s="213">
        <f>VLOOKUP($A92,'Rate Calculation'!$A$4:$AF$208,32,FALSE)</f>
        <v>0.87</v>
      </c>
      <c r="AO92" s="109">
        <f t="shared" si="52"/>
        <v>28.64</v>
      </c>
      <c r="AP92" s="247">
        <f>VLOOKUP($A92,'Rate Calculation'!$A$4:$Q$208,17,FALSE)</f>
        <v>152.01</v>
      </c>
      <c r="AQ92" s="247">
        <f t="shared" si="68"/>
        <v>156.72</v>
      </c>
      <c r="AR92" s="247">
        <f>VLOOKUP($A92,'Rate Calculation'!$A$4:$K$208,11,FALSE)</f>
        <v>195.33</v>
      </c>
      <c r="AS92" s="247">
        <f t="shared" si="53"/>
        <v>201.39</v>
      </c>
      <c r="AT92" s="110">
        <f t="shared" si="54"/>
        <v>148.46</v>
      </c>
      <c r="AU92" s="110">
        <f t="shared" si="55"/>
        <v>157.77000000000001</v>
      </c>
      <c r="AV92" s="111">
        <f t="shared" si="56"/>
        <v>0</v>
      </c>
      <c r="AW92" s="110">
        <f t="shared" si="57"/>
        <v>157.77000000000001</v>
      </c>
      <c r="AX92" s="105">
        <f t="shared" si="58"/>
        <v>166.55</v>
      </c>
      <c r="AY92" s="105">
        <f t="shared" si="59"/>
        <v>149.88</v>
      </c>
      <c r="AZ92" s="105">
        <f t="shared" si="60"/>
        <v>-16.670000000000002</v>
      </c>
      <c r="BA92" s="105">
        <f t="shared" si="61"/>
        <v>234.21</v>
      </c>
      <c r="BB92" s="105">
        <f t="shared" si="62"/>
        <v>155.32</v>
      </c>
      <c r="BC92" s="110">
        <f t="shared" si="63"/>
        <v>341.55</v>
      </c>
      <c r="BD92" s="110">
        <f t="shared" si="64"/>
        <v>266.51</v>
      </c>
      <c r="BE92" s="110">
        <f t="shared" si="65"/>
        <v>187.62</v>
      </c>
      <c r="BF92" s="105"/>
      <c r="BG92" s="105"/>
      <c r="BH92" s="111"/>
      <c r="BI92" s="105"/>
      <c r="BJ92" s="105"/>
      <c r="BK92" s="109"/>
      <c r="BL92" s="111"/>
      <c r="BM92" s="109"/>
      <c r="BN92" s="109"/>
      <c r="BO92" s="105"/>
      <c r="BP92" s="105"/>
      <c r="BQ92" s="109"/>
      <c r="BR92" s="110"/>
      <c r="BS92" s="110"/>
      <c r="BT92" s="110"/>
      <c r="BU92" s="110"/>
      <c r="BV92" s="110"/>
      <c r="BW92" s="112"/>
      <c r="BX92" s="112"/>
      <c r="BY92" s="110"/>
      <c r="BZ92" s="105"/>
      <c r="CA92" s="105"/>
      <c r="CB92" s="105"/>
      <c r="CC92" s="105"/>
      <c r="CD92" s="105"/>
      <c r="CE92" s="105"/>
    </row>
    <row r="93" spans="1:83" x14ac:dyDescent="0.15">
      <c r="A93" s="103">
        <v>697</v>
      </c>
      <c r="B93" s="98" t="str">
        <f>VLOOKUP($A93,'Rate Calculation'!$A$4:$AQ$208,42,FALSE)</f>
        <v>414431700</v>
      </c>
      <c r="C93" s="98" t="str">
        <f>VLOOKUP($A93,'Rate Calculation'!$A$4:$AQ$208,43,FALSE)</f>
        <v>Forestville Health and Rehabilitation Center</v>
      </c>
      <c r="D93" s="98" t="str">
        <f>VLOOKUP($A93,'Rate Calculation'!$A$4:$F$208,5,FALSE)</f>
        <v>WASHINGTON METRO</v>
      </c>
      <c r="E93" s="98" t="str">
        <f>VLOOKUP($A93,'Rate Calculation'!$A$4:$F$208,6,FALSE)</f>
        <v>WASHINGTON METRO</v>
      </c>
      <c r="F93" s="105">
        <f t="shared" si="40"/>
        <v>103.73</v>
      </c>
      <c r="G93" s="105">
        <f t="shared" si="41"/>
        <v>19.829999999999998</v>
      </c>
      <c r="H93" s="105">
        <f t="shared" si="42"/>
        <v>28.02</v>
      </c>
      <c r="I93" s="105">
        <f t="shared" si="43"/>
        <v>135.62</v>
      </c>
      <c r="J93" s="105">
        <f>VLOOKUP($A93,'Rate Calculation'!$A$4:$AZ$208,34,FALSE)</f>
        <v>0</v>
      </c>
      <c r="K93" s="105">
        <f t="shared" si="66"/>
        <v>287.2</v>
      </c>
      <c r="L93" s="164">
        <f t="shared" si="44"/>
        <v>0.98772000000000004</v>
      </c>
      <c r="M93" s="105">
        <f t="shared" si="67"/>
        <v>283.67</v>
      </c>
      <c r="N93" s="105">
        <f>VLOOKUP($A93,'Rate Calculation'!$A$4:$AL$208,38,FALSE)</f>
        <v>31.33</v>
      </c>
      <c r="O93" s="183">
        <f>VLOOKUP($A93,'Rate Calculation'!$A$4:$I$208,9,FALSE)</f>
        <v>1.3947000000000001</v>
      </c>
      <c r="P93" s="183">
        <f t="shared" si="38"/>
        <v>1.4432</v>
      </c>
      <c r="Q93" s="183">
        <f>VLOOKUP(A93,'CMI Data'!$A$4:$C$208,3,FALSE)</f>
        <v>1.2648999999999999</v>
      </c>
      <c r="R93" s="246">
        <f>VLOOKUP($A93,FRV!$A$4:$K$208,11,FALSE)</f>
        <v>59292</v>
      </c>
      <c r="S93" s="246">
        <f t="shared" si="39"/>
        <v>48341</v>
      </c>
      <c r="T93" s="246">
        <f>VLOOKUP($A93,FRV!$A$4:$L$208,12,FALSE)</f>
        <v>57219</v>
      </c>
      <c r="U93" s="183">
        <f>Inflation!$G$24</f>
        <v>1.0309999999999999</v>
      </c>
      <c r="V93" s="247">
        <f>VLOOKUP($A93,'Rate Calculation'!A94:X298,24,FALSE)</f>
        <v>100.61</v>
      </c>
      <c r="W93" s="110">
        <f t="shared" si="45"/>
        <v>103.73</v>
      </c>
      <c r="X93" s="110">
        <f>VLOOKUP($A93,'Rate Calculation'!A94:V298,22,FALSE)</f>
        <v>19.23</v>
      </c>
      <c r="Y93" s="110">
        <f t="shared" si="46"/>
        <v>19.829999999999998</v>
      </c>
      <c r="Z93" s="212">
        <f>VLOOKUP($A93,FRV!$A$4:$D$208,4,FALSE)</f>
        <v>45474</v>
      </c>
      <c r="AA93" s="212">
        <f>VLOOKUP($A93,FRV!$A$4:$F$208,6,FALSE)</f>
        <v>45473</v>
      </c>
      <c r="AB93" s="248">
        <f>VLOOKUP($A93,FRV!$A$4:$U$208,13,FALSE)</f>
        <v>13657840</v>
      </c>
      <c r="AC93" s="248">
        <f>VLOOKUP($A93,FRV!$A$4:$U$208,15,FALSE)</f>
        <v>251893</v>
      </c>
      <c r="AD93" s="248">
        <f>VLOOKUP($A93,FRV!$A$4:$U$208,14,FALSE)</f>
        <v>26000</v>
      </c>
      <c r="AE93" s="248">
        <f>VLOOKUP($A93,FRV!$A$4:$U$208,7,FALSE)</f>
        <v>162</v>
      </c>
      <c r="AF93" s="107">
        <f t="shared" si="47"/>
        <v>18121733</v>
      </c>
      <c r="AG93" s="107">
        <f t="shared" si="48"/>
        <v>111863</v>
      </c>
      <c r="AH93" s="107">
        <v>120000</v>
      </c>
      <c r="AI93" s="107">
        <f t="shared" si="49"/>
        <v>111863</v>
      </c>
      <c r="AJ93" s="107">
        <f t="shared" si="50"/>
        <v>18121806</v>
      </c>
      <c r="AK93" s="249">
        <f>IF(VLOOKUP($A93,'Rate Calculation'!$A$4:$D$208,4,FALSE)="baltimore city",0.1,0.08)</f>
        <v>0.08</v>
      </c>
      <c r="AL93" s="107">
        <f t="shared" si="51"/>
        <v>1449744</v>
      </c>
      <c r="AM93" s="105">
        <f>IF(ISERROR(MATCH(A93&amp;AA93,'Days Exceptions'!$C$3:$C$16,0)),ROUND(AL93/(MAX(S93,T93)),2),ROUND(AL93/VLOOKUP(A93,'Days Exceptions'!$A$3:$J$16,8,FALSE),2))</f>
        <v>25.34</v>
      </c>
      <c r="AN93" s="213">
        <f>VLOOKUP($A93,'Rate Calculation'!$A$4:$AF$208,32,FALSE)</f>
        <v>2.68</v>
      </c>
      <c r="AO93" s="109">
        <f t="shared" si="52"/>
        <v>28.02</v>
      </c>
      <c r="AP93" s="247">
        <f>VLOOKUP($A93,'Rate Calculation'!$A$4:$Q$208,17,FALSE)</f>
        <v>136.54</v>
      </c>
      <c r="AQ93" s="247">
        <f t="shared" si="68"/>
        <v>140.77000000000001</v>
      </c>
      <c r="AR93" s="247">
        <f>VLOOKUP($A93,'Rate Calculation'!$A$4:$K$208,11,FALSE)</f>
        <v>176.01</v>
      </c>
      <c r="AS93" s="247">
        <f t="shared" si="53"/>
        <v>181.47</v>
      </c>
      <c r="AT93" s="110">
        <f t="shared" si="54"/>
        <v>175.37</v>
      </c>
      <c r="AU93" s="110">
        <f t="shared" si="55"/>
        <v>159.05000000000001</v>
      </c>
      <c r="AV93" s="111">
        <f t="shared" si="56"/>
        <v>-23.43</v>
      </c>
      <c r="AW93" s="110">
        <f t="shared" si="57"/>
        <v>135.62</v>
      </c>
      <c r="AX93" s="105">
        <f t="shared" si="58"/>
        <v>127.67</v>
      </c>
      <c r="AY93" s="105">
        <f t="shared" si="59"/>
        <v>151.1</v>
      </c>
      <c r="AZ93" s="105">
        <f t="shared" si="60"/>
        <v>23.43</v>
      </c>
      <c r="BA93" s="105">
        <f t="shared" si="61"/>
        <v>219.39</v>
      </c>
      <c r="BB93" s="105">
        <f t="shared" si="62"/>
        <v>151.58000000000001</v>
      </c>
      <c r="BC93" s="110">
        <f t="shared" si="63"/>
        <v>315</v>
      </c>
      <c r="BD93" s="110">
        <f t="shared" si="64"/>
        <v>250.72</v>
      </c>
      <c r="BE93" s="110">
        <f t="shared" si="65"/>
        <v>182.91</v>
      </c>
      <c r="BF93" s="105"/>
      <c r="BG93" s="105"/>
      <c r="BH93" s="111"/>
      <c r="BI93" s="105"/>
      <c r="BJ93" s="105"/>
      <c r="BK93" s="109"/>
      <c r="BL93" s="111"/>
      <c r="BM93" s="109"/>
      <c r="BN93" s="109"/>
      <c r="BO93" s="105"/>
      <c r="BP93" s="105"/>
      <c r="BQ93" s="109"/>
      <c r="BR93" s="110"/>
      <c r="BS93" s="110"/>
      <c r="BT93" s="110"/>
      <c r="BU93" s="110"/>
      <c r="BV93" s="110"/>
      <c r="BW93" s="112"/>
      <c r="BX93" s="112"/>
      <c r="BY93" s="110"/>
      <c r="BZ93" s="105"/>
      <c r="CA93" s="105"/>
      <c r="CB93" s="105"/>
      <c r="CC93" s="105"/>
      <c r="CD93" s="105"/>
      <c r="CE93" s="105"/>
    </row>
    <row r="94" spans="1:83" x14ac:dyDescent="0.15">
      <c r="A94" s="103">
        <v>727</v>
      </c>
      <c r="B94" s="98" t="str">
        <f>VLOOKUP($A94,'Rate Calculation'!$A$4:$AQ$208,42,FALSE)</f>
        <v>414429500</v>
      </c>
      <c r="C94" s="98" t="str">
        <f>VLOOKUP($A94,'Rate Calculation'!$A$4:$AQ$208,43,FALSE)</f>
        <v>Fort Washington Health and Rehabilitation Center</v>
      </c>
      <c r="D94" s="98" t="str">
        <f>VLOOKUP($A94,'Rate Calculation'!$A$4:$F$208,5,FALSE)</f>
        <v>WASHINGTON METRO</v>
      </c>
      <c r="E94" s="98" t="str">
        <f>VLOOKUP($A94,'Rate Calculation'!$A$4:$F$208,6,FALSE)</f>
        <v>WASHINGTON METRO</v>
      </c>
      <c r="F94" s="105">
        <f t="shared" si="40"/>
        <v>103.73</v>
      </c>
      <c r="G94" s="105">
        <f t="shared" si="41"/>
        <v>19.829999999999998</v>
      </c>
      <c r="H94" s="105">
        <f t="shared" si="42"/>
        <v>30.04</v>
      </c>
      <c r="I94" s="105">
        <f t="shared" si="43"/>
        <v>165.98</v>
      </c>
      <c r="J94" s="105">
        <f>VLOOKUP($A94,'Rate Calculation'!$A$4:$AZ$208,34,FALSE)</f>
        <v>0</v>
      </c>
      <c r="K94" s="105">
        <f t="shared" si="66"/>
        <v>319.58</v>
      </c>
      <c r="L94" s="164">
        <f t="shared" si="44"/>
        <v>0.98772000000000004</v>
      </c>
      <c r="M94" s="105">
        <f t="shared" si="67"/>
        <v>315.66000000000003</v>
      </c>
      <c r="N94" s="105">
        <f>VLOOKUP($A94,'Rate Calculation'!$A$4:$AL$208,38,FALSE)</f>
        <v>30.36</v>
      </c>
      <c r="O94" s="183">
        <f>VLOOKUP($A94,'Rate Calculation'!$A$4:$I$208,9,FALSE)</f>
        <v>1.3194999999999999</v>
      </c>
      <c r="P94" s="183">
        <f t="shared" si="38"/>
        <v>1.4432</v>
      </c>
      <c r="Q94" s="183">
        <f>VLOOKUP(A94,'CMI Data'!$A$4:$C$208,3,FALSE)</f>
        <v>1.32</v>
      </c>
      <c r="R94" s="246">
        <f>VLOOKUP($A94,FRV!$A$4:$K$208,11,FALSE)</f>
        <v>54750</v>
      </c>
      <c r="S94" s="246">
        <f t="shared" si="39"/>
        <v>44638</v>
      </c>
      <c r="T94" s="246">
        <f>VLOOKUP($A94,FRV!$A$4:$L$208,12,FALSE)</f>
        <v>52538</v>
      </c>
      <c r="U94" s="183">
        <f>Inflation!$G$24</f>
        <v>1.0309999999999999</v>
      </c>
      <c r="V94" s="247">
        <f>VLOOKUP($A94,'Rate Calculation'!A95:X299,24,FALSE)</f>
        <v>100.61</v>
      </c>
      <c r="W94" s="110">
        <f t="shared" si="45"/>
        <v>103.73</v>
      </c>
      <c r="X94" s="110">
        <f>VLOOKUP($A94,'Rate Calculation'!A95:V299,22,FALSE)</f>
        <v>19.23</v>
      </c>
      <c r="Y94" s="110">
        <f t="shared" si="46"/>
        <v>19.829999999999998</v>
      </c>
      <c r="Z94" s="212">
        <f>VLOOKUP($A94,FRV!$A$4:$D$208,4,FALSE)</f>
        <v>45108</v>
      </c>
      <c r="AA94" s="212">
        <f>VLOOKUP($A94,FRV!$A$4:$F$208,6,FALSE)</f>
        <v>45107</v>
      </c>
      <c r="AB94" s="248">
        <f>VLOOKUP($A94,FRV!$A$4:$U$208,13,FALSE)</f>
        <v>13884254</v>
      </c>
      <c r="AC94" s="248">
        <f>VLOOKUP($A94,FRV!$A$4:$U$208,15,FALSE)</f>
        <v>227728</v>
      </c>
      <c r="AD94" s="248">
        <f>VLOOKUP($A94,FRV!$A$4:$U$208,14,FALSE)</f>
        <v>22000</v>
      </c>
      <c r="AE94" s="248">
        <f>VLOOKUP($A94,FRV!$A$4:$U$208,7,FALSE)</f>
        <v>150</v>
      </c>
      <c r="AF94" s="107">
        <f t="shared" si="47"/>
        <v>17411982</v>
      </c>
      <c r="AG94" s="107">
        <f t="shared" si="48"/>
        <v>116080</v>
      </c>
      <c r="AH94" s="107">
        <v>120000</v>
      </c>
      <c r="AI94" s="107">
        <f t="shared" si="49"/>
        <v>116080</v>
      </c>
      <c r="AJ94" s="107">
        <f t="shared" si="50"/>
        <v>17412000</v>
      </c>
      <c r="AK94" s="249">
        <f>IF(VLOOKUP($A94,'Rate Calculation'!$A$4:$D$208,4,FALSE)="baltimore city",0.1,0.08)</f>
        <v>0.08</v>
      </c>
      <c r="AL94" s="107">
        <f t="shared" si="51"/>
        <v>1392960</v>
      </c>
      <c r="AM94" s="105">
        <f>IF(ISERROR(MATCH(A94&amp;AA94,'Days Exceptions'!$C$3:$C$16,0)),ROUND(AL94/(MAX(S94,T94)),2),ROUND(AL94/VLOOKUP(A94,'Days Exceptions'!$A$3:$J$16,8,FALSE),2))</f>
        <v>26.51</v>
      </c>
      <c r="AN94" s="213">
        <f>VLOOKUP($A94,'Rate Calculation'!$A$4:$AF$208,32,FALSE)</f>
        <v>3.53</v>
      </c>
      <c r="AO94" s="109">
        <f t="shared" si="52"/>
        <v>30.04</v>
      </c>
      <c r="AP94" s="247">
        <f>VLOOKUP($A94,'Rate Calculation'!$A$4:$Q$208,17,FALSE)</f>
        <v>157.01</v>
      </c>
      <c r="AQ94" s="247">
        <f t="shared" si="68"/>
        <v>161.88</v>
      </c>
      <c r="AR94" s="247">
        <f>VLOOKUP($A94,'Rate Calculation'!$A$4:$K$208,11,FALSE)</f>
        <v>176.01</v>
      </c>
      <c r="AS94" s="247">
        <f t="shared" si="53"/>
        <v>181.47</v>
      </c>
      <c r="AT94" s="110">
        <f t="shared" si="54"/>
        <v>165.92</v>
      </c>
      <c r="AU94" s="110">
        <f t="shared" si="55"/>
        <v>165.98</v>
      </c>
      <c r="AV94" s="111">
        <f t="shared" si="56"/>
        <v>0</v>
      </c>
      <c r="AW94" s="110">
        <f t="shared" si="57"/>
        <v>165.98</v>
      </c>
      <c r="AX94" s="105">
        <f t="shared" si="58"/>
        <v>161.94</v>
      </c>
      <c r="AY94" s="105">
        <f t="shared" si="59"/>
        <v>157.68</v>
      </c>
      <c r="AZ94" s="105">
        <f t="shared" si="60"/>
        <v>-4.26</v>
      </c>
      <c r="BA94" s="105">
        <f t="shared" si="61"/>
        <v>236.59</v>
      </c>
      <c r="BB94" s="105">
        <f t="shared" si="62"/>
        <v>153.6</v>
      </c>
      <c r="BC94" s="110">
        <f t="shared" si="63"/>
        <v>346.02</v>
      </c>
      <c r="BD94" s="110">
        <f t="shared" si="64"/>
        <v>266.95</v>
      </c>
      <c r="BE94" s="110">
        <f t="shared" si="65"/>
        <v>183.96</v>
      </c>
      <c r="BF94" s="105"/>
      <c r="BG94" s="105"/>
      <c r="BH94" s="111"/>
      <c r="BI94" s="105"/>
      <c r="BJ94" s="105"/>
      <c r="BK94" s="109"/>
      <c r="BL94" s="111"/>
      <c r="BM94" s="109"/>
      <c r="BN94" s="109"/>
      <c r="BO94" s="105"/>
      <c r="BP94" s="105"/>
      <c r="BQ94" s="109"/>
      <c r="BR94" s="110"/>
      <c r="BS94" s="110"/>
      <c r="BT94" s="110"/>
      <c r="BU94" s="110"/>
      <c r="BV94" s="110"/>
      <c r="BW94" s="112"/>
      <c r="BX94" s="112"/>
      <c r="BY94" s="110"/>
      <c r="BZ94" s="105"/>
      <c r="CA94" s="105"/>
      <c r="CB94" s="105"/>
      <c r="CC94" s="105"/>
      <c r="CD94" s="105"/>
      <c r="CE94" s="105"/>
    </row>
    <row r="95" spans="1:83" x14ac:dyDescent="0.15">
      <c r="A95" s="103">
        <v>164</v>
      </c>
      <c r="B95" s="98" t="str">
        <f>VLOOKUP($A95,'Rate Calculation'!$A$4:$AQ$208,42,FALSE)</f>
        <v>883459800</v>
      </c>
      <c r="C95" s="98" t="str">
        <f>VLOOKUP($A95,'Rate Calculation'!$A$4:$AQ$208,43,FALSE)</f>
        <v>Fox Chase Healthcare</v>
      </c>
      <c r="D95" s="98" t="str">
        <f>VLOOKUP($A95,'Rate Calculation'!$A$4:$F$208,5,FALSE)</f>
        <v>WASHINGTON METRO</v>
      </c>
      <c r="E95" s="98" t="str">
        <f>VLOOKUP($A95,'Rate Calculation'!$A$4:$F$208,6,FALSE)</f>
        <v>WASHINGTON METRO</v>
      </c>
      <c r="F95" s="105">
        <f t="shared" si="40"/>
        <v>103.73</v>
      </c>
      <c r="G95" s="105">
        <f t="shared" si="41"/>
        <v>19.829999999999998</v>
      </c>
      <c r="H95" s="105">
        <f t="shared" si="42"/>
        <v>31.53</v>
      </c>
      <c r="I95" s="105">
        <f t="shared" si="43"/>
        <v>107.59</v>
      </c>
      <c r="J95" s="105">
        <f>VLOOKUP($A95,'Rate Calculation'!$A$4:$AZ$208,34,FALSE)</f>
        <v>0</v>
      </c>
      <c r="K95" s="105">
        <f t="shared" si="66"/>
        <v>262.68</v>
      </c>
      <c r="L95" s="164">
        <f t="shared" si="44"/>
        <v>0.98772000000000004</v>
      </c>
      <c r="M95" s="105">
        <f t="shared" si="67"/>
        <v>259.45</v>
      </c>
      <c r="N95" s="105">
        <f>VLOOKUP($A95,'Rate Calculation'!$A$4:$AL$208,38,FALSE)</f>
        <v>29.08</v>
      </c>
      <c r="O95" s="183">
        <f>VLOOKUP($A95,'Rate Calculation'!$A$4:$I$208,9,FALSE)</f>
        <v>1.3505</v>
      </c>
      <c r="P95" s="183">
        <f t="shared" si="38"/>
        <v>1.4432</v>
      </c>
      <c r="Q95" s="183">
        <f>VLOOKUP(A95,'CMI Data'!$A$4:$C$208,3,FALSE)</f>
        <v>1.0709</v>
      </c>
      <c r="R95" s="246">
        <f>VLOOKUP($A95,FRV!$A$4:$K$208,11,FALSE)</f>
        <v>27084</v>
      </c>
      <c r="S95" s="246">
        <f t="shared" si="39"/>
        <v>22082</v>
      </c>
      <c r="T95" s="246">
        <f>VLOOKUP($A95,FRV!$A$4:$L$208,12,FALSE)</f>
        <v>24804</v>
      </c>
      <c r="U95" s="183">
        <f>Inflation!$G$24</f>
        <v>1.0309999999999999</v>
      </c>
      <c r="V95" s="247">
        <f>VLOOKUP($A95,'Rate Calculation'!A96:X300,24,FALSE)</f>
        <v>100.61</v>
      </c>
      <c r="W95" s="110">
        <f t="shared" si="45"/>
        <v>103.73</v>
      </c>
      <c r="X95" s="110">
        <f>VLOOKUP($A95,'Rate Calculation'!A96:V300,22,FALSE)</f>
        <v>19.23</v>
      </c>
      <c r="Y95" s="110">
        <f t="shared" si="46"/>
        <v>19.829999999999998</v>
      </c>
      <c r="Z95" s="212">
        <f>VLOOKUP($A95,FRV!$A$4:$D$208,4,FALSE)</f>
        <v>45474</v>
      </c>
      <c r="AA95" s="212">
        <f>VLOOKUP($A95,FRV!$A$4:$F$208,6,FALSE)</f>
        <v>45657</v>
      </c>
      <c r="AB95" s="248">
        <f>VLOOKUP($A95,FRV!$A$4:$U$208,13,FALSE)</f>
        <v>8968025</v>
      </c>
      <c r="AC95" s="248">
        <f>VLOOKUP($A95,FRV!$A$4:$U$208,15,FALSE)</f>
        <v>173360</v>
      </c>
      <c r="AD95" s="248">
        <f>VLOOKUP($A95,FRV!$A$4:$U$208,14,FALSE)</f>
        <v>35500</v>
      </c>
      <c r="AE95" s="248">
        <f>VLOOKUP($A95,FRV!$A$4:$U$208,7,FALSE)</f>
        <v>74</v>
      </c>
      <c r="AF95" s="107">
        <f t="shared" si="47"/>
        <v>11768385</v>
      </c>
      <c r="AG95" s="107">
        <f t="shared" si="48"/>
        <v>159032</v>
      </c>
      <c r="AH95" s="107">
        <v>120000</v>
      </c>
      <c r="AI95" s="107">
        <f t="shared" si="49"/>
        <v>120000</v>
      </c>
      <c r="AJ95" s="107">
        <f t="shared" si="50"/>
        <v>8880000</v>
      </c>
      <c r="AK95" s="249">
        <f>IF(VLOOKUP($A95,'Rate Calculation'!$A$4:$D$208,4,FALSE)="baltimore city",0.1,0.08)</f>
        <v>0.08</v>
      </c>
      <c r="AL95" s="107">
        <f t="shared" si="51"/>
        <v>710400</v>
      </c>
      <c r="AM95" s="105">
        <f>IF(ISERROR(MATCH(A95&amp;AA95,'Days Exceptions'!$C$3:$C$16,0)),ROUND(AL95/(MAX(S95,T95)),2),ROUND(AL95/VLOOKUP(A95,'Days Exceptions'!$A$3:$J$16,8,FALSE),2))</f>
        <v>28.64</v>
      </c>
      <c r="AN95" s="213">
        <f>VLOOKUP($A95,'Rate Calculation'!$A$4:$AF$208,32,FALSE)</f>
        <v>2.89</v>
      </c>
      <c r="AO95" s="109">
        <f t="shared" si="52"/>
        <v>31.53</v>
      </c>
      <c r="AP95" s="247">
        <f>VLOOKUP($A95,'Rate Calculation'!$A$4:$Q$208,17,FALSE)</f>
        <v>123.37</v>
      </c>
      <c r="AQ95" s="247">
        <f t="shared" si="68"/>
        <v>127.19</v>
      </c>
      <c r="AR95" s="247">
        <f>VLOOKUP($A95,'Rate Calculation'!$A$4:$K$208,11,FALSE)</f>
        <v>176.01</v>
      </c>
      <c r="AS95" s="247">
        <f t="shared" si="53"/>
        <v>181.47</v>
      </c>
      <c r="AT95" s="110">
        <f t="shared" si="54"/>
        <v>169.81</v>
      </c>
      <c r="AU95" s="110">
        <f t="shared" si="55"/>
        <v>134.65</v>
      </c>
      <c r="AV95" s="111">
        <f t="shared" si="56"/>
        <v>-27.06</v>
      </c>
      <c r="AW95" s="110">
        <f t="shared" si="57"/>
        <v>107.59</v>
      </c>
      <c r="AX95" s="105">
        <f t="shared" si="58"/>
        <v>100.86</v>
      </c>
      <c r="AY95" s="105">
        <f t="shared" si="59"/>
        <v>127.92</v>
      </c>
      <c r="AZ95" s="105">
        <f t="shared" si="60"/>
        <v>27.06</v>
      </c>
      <c r="BA95" s="105">
        <f t="shared" si="61"/>
        <v>208.89</v>
      </c>
      <c r="BB95" s="105">
        <f t="shared" si="62"/>
        <v>155.09</v>
      </c>
      <c r="BC95" s="110">
        <f t="shared" si="63"/>
        <v>288.52999999999997</v>
      </c>
      <c r="BD95" s="110">
        <f t="shared" si="64"/>
        <v>237.97</v>
      </c>
      <c r="BE95" s="110">
        <f t="shared" si="65"/>
        <v>184.17</v>
      </c>
      <c r="BF95" s="105"/>
      <c r="BG95" s="105"/>
      <c r="BH95" s="111"/>
      <c r="BI95" s="105"/>
      <c r="BJ95" s="105"/>
      <c r="BK95" s="109"/>
      <c r="BL95" s="111"/>
      <c r="BM95" s="109"/>
      <c r="BN95" s="109"/>
      <c r="BO95" s="105"/>
      <c r="BP95" s="105"/>
      <c r="BQ95" s="109"/>
      <c r="BR95" s="110"/>
      <c r="BS95" s="110"/>
      <c r="BT95" s="110"/>
      <c r="BU95" s="110"/>
      <c r="BV95" s="110"/>
      <c r="BW95" s="112"/>
      <c r="BX95" s="112"/>
      <c r="BY95" s="110"/>
      <c r="BZ95" s="105"/>
      <c r="CA95" s="105"/>
      <c r="CB95" s="105"/>
      <c r="CC95" s="105"/>
      <c r="CD95" s="105"/>
      <c r="CE95" s="105"/>
    </row>
    <row r="96" spans="1:83" x14ac:dyDescent="0.15">
      <c r="A96" s="103">
        <v>168</v>
      </c>
      <c r="B96" s="98" t="str">
        <f>VLOOKUP($A96,'Rate Calculation'!$A$4:$AQ$208,42,FALSE)</f>
        <v>030177900</v>
      </c>
      <c r="C96" s="98" t="str">
        <f>VLOOKUP($A96,'Rate Calculation'!$A$4:$AQ$208,43,FALSE)</f>
        <v>Franklin Woods Center - Genesis HealthCare, Inc.</v>
      </c>
      <c r="D96" s="98" t="str">
        <f>VLOOKUP($A96,'Rate Calculation'!$A$4:$F$208,5,FALSE)</f>
        <v>BALTIMORE METRO</v>
      </c>
      <c r="E96" s="98" t="str">
        <f>VLOOKUP($A96,'Rate Calculation'!$A$4:$F$208,6,FALSE)</f>
        <v>BALTIMORE METRO</v>
      </c>
      <c r="F96" s="105">
        <f t="shared" si="40"/>
        <v>105.18</v>
      </c>
      <c r="G96" s="105">
        <f t="shared" si="41"/>
        <v>21.5</v>
      </c>
      <c r="H96" s="105">
        <f t="shared" si="42"/>
        <v>30.02</v>
      </c>
      <c r="I96" s="105">
        <f t="shared" si="43"/>
        <v>206.21</v>
      </c>
      <c r="J96" s="105">
        <f>VLOOKUP($A96,'Rate Calculation'!$A$4:$AZ$208,34,FALSE)</f>
        <v>0</v>
      </c>
      <c r="K96" s="105">
        <f t="shared" si="66"/>
        <v>362.91</v>
      </c>
      <c r="L96" s="164">
        <f t="shared" si="44"/>
        <v>0.98772000000000004</v>
      </c>
      <c r="M96" s="105">
        <f t="shared" si="67"/>
        <v>358.45</v>
      </c>
      <c r="N96" s="105">
        <f>VLOOKUP($A96,'Rate Calculation'!$A$4:$AL$208,38,FALSE)</f>
        <v>16.2</v>
      </c>
      <c r="O96" s="183">
        <f>VLOOKUP($A96,'Rate Calculation'!$A$4:$I$208,9,FALSE)</f>
        <v>1.4438</v>
      </c>
      <c r="P96" s="183">
        <f t="shared" si="38"/>
        <v>1.4432</v>
      </c>
      <c r="Q96" s="183">
        <f>VLOOKUP(A96,'CMI Data'!$A$4:$C$208,3,FALSE)</f>
        <v>1.4778</v>
      </c>
      <c r="R96" s="246">
        <f>VLOOKUP($A96,FRV!$A$4:$K$208,11,FALSE)</f>
        <v>42705</v>
      </c>
      <c r="S96" s="246">
        <f t="shared" si="39"/>
        <v>34817</v>
      </c>
      <c r="T96" s="246">
        <f>VLOOKUP($A96,FRV!$A$4:$L$208,12,FALSE)</f>
        <v>39895</v>
      </c>
      <c r="U96" s="183">
        <f>Inflation!$G$24</f>
        <v>1.0309999999999999</v>
      </c>
      <c r="V96" s="247">
        <f>VLOOKUP($A96,'Rate Calculation'!A97:X301,24,FALSE)</f>
        <v>102.02</v>
      </c>
      <c r="W96" s="110">
        <f t="shared" si="45"/>
        <v>105.18</v>
      </c>
      <c r="X96" s="110">
        <f>VLOOKUP($A96,'Rate Calculation'!A97:V301,22,FALSE)</f>
        <v>20.85</v>
      </c>
      <c r="Y96" s="110">
        <f t="shared" si="46"/>
        <v>21.5</v>
      </c>
      <c r="Z96" s="212">
        <f>VLOOKUP($A96,FRV!$A$4:$D$208,4,FALSE)</f>
        <v>44743</v>
      </c>
      <c r="AA96" s="212">
        <f>VLOOKUP($A96,FRV!$A$4:$F$208,6,FALSE)</f>
        <v>44926</v>
      </c>
      <c r="AB96" s="248">
        <f>VLOOKUP($A96,FRV!$A$4:$U$208,13,FALSE)</f>
        <v>16681426</v>
      </c>
      <c r="AC96" s="248">
        <f>VLOOKUP($A96,FRV!$A$4:$U$208,15,FALSE)</f>
        <v>338921</v>
      </c>
      <c r="AD96" s="248">
        <f>VLOOKUP($A96,FRV!$A$4:$U$208,14,FALSE)</f>
        <v>25000</v>
      </c>
      <c r="AE96" s="248">
        <f>VLOOKUP($A96,FRV!$A$4:$U$208,7,FALSE)</f>
        <v>117</v>
      </c>
      <c r="AF96" s="107">
        <f t="shared" si="47"/>
        <v>19945347</v>
      </c>
      <c r="AG96" s="107">
        <f t="shared" si="48"/>
        <v>170473</v>
      </c>
      <c r="AH96" s="107">
        <v>120000</v>
      </c>
      <c r="AI96" s="107">
        <f t="shared" si="49"/>
        <v>120000</v>
      </c>
      <c r="AJ96" s="107">
        <f t="shared" si="50"/>
        <v>14040000</v>
      </c>
      <c r="AK96" s="249">
        <f>IF(VLOOKUP($A96,'Rate Calculation'!$A$4:$D$208,4,FALSE)="baltimore city",0.1,0.08)</f>
        <v>0.08</v>
      </c>
      <c r="AL96" s="107">
        <f t="shared" si="51"/>
        <v>1123200</v>
      </c>
      <c r="AM96" s="105">
        <f>IF(ISERROR(MATCH(A96&amp;AA96,'Days Exceptions'!$C$3:$C$16,0)),ROUND(AL96/(MAX(S96,T96)),2),ROUND(AL96/VLOOKUP(A96,'Days Exceptions'!$A$3:$J$16,8,FALSE),2))</f>
        <v>28.15</v>
      </c>
      <c r="AN96" s="213">
        <f>VLOOKUP($A96,'Rate Calculation'!$A$4:$AF$208,32,FALSE)</f>
        <v>1.87</v>
      </c>
      <c r="AO96" s="109">
        <f t="shared" si="52"/>
        <v>30.02</v>
      </c>
      <c r="AP96" s="247">
        <f>VLOOKUP($A96,'Rate Calculation'!$A$4:$Q$208,17,FALSE)</f>
        <v>185.84</v>
      </c>
      <c r="AQ96" s="247">
        <f t="shared" si="68"/>
        <v>191.6</v>
      </c>
      <c r="AR96" s="247">
        <f>VLOOKUP($A96,'Rate Calculation'!$A$4:$K$208,11,FALSE)</f>
        <v>195.33</v>
      </c>
      <c r="AS96" s="247">
        <f t="shared" si="53"/>
        <v>201.39</v>
      </c>
      <c r="AT96" s="110">
        <f t="shared" si="54"/>
        <v>201.47</v>
      </c>
      <c r="AU96" s="110">
        <f t="shared" si="55"/>
        <v>206.21</v>
      </c>
      <c r="AV96" s="111">
        <f t="shared" si="56"/>
        <v>0</v>
      </c>
      <c r="AW96" s="110">
        <f t="shared" si="57"/>
        <v>206.21</v>
      </c>
      <c r="AX96" s="105">
        <f t="shared" si="58"/>
        <v>196.11</v>
      </c>
      <c r="AY96" s="105">
        <f t="shared" si="59"/>
        <v>195.9</v>
      </c>
      <c r="AZ96" s="105">
        <f t="shared" si="60"/>
        <v>-0.21</v>
      </c>
      <c r="BA96" s="105">
        <f t="shared" si="61"/>
        <v>259.81</v>
      </c>
      <c r="BB96" s="105">
        <f t="shared" si="62"/>
        <v>156.69999999999999</v>
      </c>
      <c r="BC96" s="110">
        <f t="shared" si="63"/>
        <v>374.65</v>
      </c>
      <c r="BD96" s="110">
        <f t="shared" si="64"/>
        <v>276.01</v>
      </c>
      <c r="BE96" s="110">
        <f t="shared" si="65"/>
        <v>172.9</v>
      </c>
      <c r="BF96" s="105"/>
      <c r="BG96" s="105"/>
      <c r="BH96" s="111"/>
      <c r="BI96" s="105"/>
      <c r="BJ96" s="105"/>
      <c r="BK96" s="109"/>
      <c r="BL96" s="111"/>
      <c r="BM96" s="109"/>
      <c r="BN96" s="109"/>
      <c r="BO96" s="105"/>
      <c r="BP96" s="105"/>
      <c r="BQ96" s="109"/>
      <c r="BR96" s="110"/>
      <c r="BS96" s="110"/>
      <c r="BT96" s="110"/>
      <c r="BU96" s="110"/>
      <c r="BV96" s="110"/>
      <c r="BW96" s="112"/>
      <c r="BX96" s="112"/>
      <c r="BY96" s="110"/>
      <c r="BZ96" s="105"/>
      <c r="CA96" s="105"/>
      <c r="CB96" s="105"/>
      <c r="CC96" s="105"/>
      <c r="CD96" s="105"/>
      <c r="CE96" s="105"/>
    </row>
    <row r="97" spans="1:83" x14ac:dyDescent="0.15">
      <c r="A97" s="103">
        <v>62</v>
      </c>
      <c r="B97" s="98" t="str">
        <f>VLOOKUP($A97,'Rate Calculation'!$A$4:$AQ$208,42,FALSE)</f>
        <v>226382300</v>
      </c>
      <c r="C97" s="98" t="str">
        <f>VLOOKUP($A97,'Rate Calculation'!$A$4:$AQ$208,43,FALSE)</f>
        <v>Frederick Crossing of Journey</v>
      </c>
      <c r="D97" s="98" t="str">
        <f>VLOOKUP($A97,'Rate Calculation'!$A$4:$F$208,5,FALSE)</f>
        <v>WASHINGTON METRO</v>
      </c>
      <c r="E97" s="98" t="str">
        <f>VLOOKUP($A97,'Rate Calculation'!$A$4:$F$208,6,FALSE)</f>
        <v>NON METRO</v>
      </c>
      <c r="F97" s="105">
        <f t="shared" si="40"/>
        <v>92.33</v>
      </c>
      <c r="G97" s="105">
        <f t="shared" si="41"/>
        <v>20.87</v>
      </c>
      <c r="H97" s="105">
        <f t="shared" si="42"/>
        <v>29.16</v>
      </c>
      <c r="I97" s="105">
        <f t="shared" si="43"/>
        <v>163.16999999999999</v>
      </c>
      <c r="J97" s="105">
        <f>VLOOKUP($A97,'Rate Calculation'!$A$4:$AZ$208,34,FALSE)</f>
        <v>0</v>
      </c>
      <c r="K97" s="105">
        <f t="shared" si="66"/>
        <v>305.52999999999997</v>
      </c>
      <c r="L97" s="164">
        <f t="shared" si="44"/>
        <v>0.98772000000000004</v>
      </c>
      <c r="M97" s="105">
        <f t="shared" si="67"/>
        <v>301.77999999999997</v>
      </c>
      <c r="N97" s="105">
        <f>VLOOKUP($A97,'Rate Calculation'!$A$4:$AL$208,38,FALSE)</f>
        <v>29.9</v>
      </c>
      <c r="O97" s="183">
        <f>VLOOKUP($A97,'Rate Calculation'!$A$4:$I$208,9,FALSE)</f>
        <v>1.4196</v>
      </c>
      <c r="P97" s="183">
        <f t="shared" si="38"/>
        <v>1.4432</v>
      </c>
      <c r="Q97" s="183">
        <f>VLOOKUP(A97,'CMI Data'!$A$4:$C$208,3,FALSE)</f>
        <v>1.2977000000000001</v>
      </c>
      <c r="R97" s="246">
        <f>VLOOKUP($A97,FRV!$A$4:$K$208,11,FALSE)</f>
        <v>43800</v>
      </c>
      <c r="S97" s="246">
        <f t="shared" si="39"/>
        <v>35710</v>
      </c>
      <c r="T97" s="246">
        <f>VLOOKUP($A97,FRV!$A$4:$L$208,12,FALSE)</f>
        <v>36134</v>
      </c>
      <c r="U97" s="183">
        <f>Inflation!$G$24</f>
        <v>1.0309999999999999</v>
      </c>
      <c r="V97" s="247">
        <f>VLOOKUP($A97,'Rate Calculation'!A98:X302,24,FALSE)</f>
        <v>89.55</v>
      </c>
      <c r="W97" s="110">
        <f t="shared" si="45"/>
        <v>92.33</v>
      </c>
      <c r="X97" s="110">
        <f>VLOOKUP($A97,'Rate Calculation'!A98:V302,22,FALSE)</f>
        <v>20.239999999999998</v>
      </c>
      <c r="Y97" s="110">
        <f t="shared" si="46"/>
        <v>20.87</v>
      </c>
      <c r="Z97" s="212">
        <f>VLOOKUP($A97,FRV!$A$4:$D$208,4,FALSE)</f>
        <v>44743</v>
      </c>
      <c r="AA97" s="212">
        <f>VLOOKUP($A97,FRV!$A$4:$F$208,6,FALSE)</f>
        <v>44926</v>
      </c>
      <c r="AB97" s="248">
        <f>VLOOKUP($A97,FRV!$A$4:$U$208,13,FALSE)</f>
        <v>9339530</v>
      </c>
      <c r="AC97" s="248">
        <f>VLOOKUP($A97,FRV!$A$4:$U$208,15,FALSE)</f>
        <v>300861</v>
      </c>
      <c r="AD97" s="248">
        <f>VLOOKUP($A97,FRV!$A$4:$U$208,14,FALSE)</f>
        <v>20000</v>
      </c>
      <c r="AE97" s="248">
        <f>VLOOKUP($A97,FRV!$A$4:$U$208,7,FALSE)</f>
        <v>120</v>
      </c>
      <c r="AF97" s="107">
        <f t="shared" si="47"/>
        <v>12040391</v>
      </c>
      <c r="AG97" s="107">
        <f t="shared" si="48"/>
        <v>100337</v>
      </c>
      <c r="AH97" s="107">
        <v>120000</v>
      </c>
      <c r="AI97" s="107">
        <f t="shared" si="49"/>
        <v>100337</v>
      </c>
      <c r="AJ97" s="107">
        <f t="shared" si="50"/>
        <v>12040440</v>
      </c>
      <c r="AK97" s="249">
        <f>IF(VLOOKUP($A97,'Rate Calculation'!$A$4:$D$208,4,FALSE)="baltimore city",0.1,0.08)</f>
        <v>0.08</v>
      </c>
      <c r="AL97" s="107">
        <f t="shared" si="51"/>
        <v>963235</v>
      </c>
      <c r="AM97" s="105">
        <f>IF(ISERROR(MATCH(A97&amp;AA97,'Days Exceptions'!$C$3:$C$16,0)),ROUND(AL97/(MAX(S97,T97)),2),ROUND(AL97/VLOOKUP(A97,'Days Exceptions'!$A$3:$J$16,8,FALSE),2))</f>
        <v>26.66</v>
      </c>
      <c r="AN97" s="213">
        <f>VLOOKUP($A97,'Rate Calculation'!$A$4:$AF$208,32,FALSE)</f>
        <v>2.5</v>
      </c>
      <c r="AO97" s="109">
        <f t="shared" si="52"/>
        <v>29.16</v>
      </c>
      <c r="AP97" s="247">
        <f>VLOOKUP($A97,'Rate Calculation'!$A$4:$Q$208,17,FALSE)</f>
        <v>167.92</v>
      </c>
      <c r="AQ97" s="247">
        <f t="shared" si="68"/>
        <v>173.13</v>
      </c>
      <c r="AR97" s="247">
        <f>VLOOKUP($A97,'Rate Calculation'!$A$4:$K$208,11,FALSE)</f>
        <v>176.01</v>
      </c>
      <c r="AS97" s="247">
        <f t="shared" si="53"/>
        <v>181.47</v>
      </c>
      <c r="AT97" s="110">
        <f t="shared" si="54"/>
        <v>178.5</v>
      </c>
      <c r="AU97" s="110">
        <f t="shared" si="55"/>
        <v>163.16999999999999</v>
      </c>
      <c r="AV97" s="111">
        <f t="shared" si="56"/>
        <v>0</v>
      </c>
      <c r="AW97" s="110">
        <f t="shared" si="57"/>
        <v>163.16999999999999</v>
      </c>
      <c r="AX97" s="105">
        <f t="shared" si="58"/>
        <v>158.26</v>
      </c>
      <c r="AY97" s="105">
        <f t="shared" si="59"/>
        <v>155.01</v>
      </c>
      <c r="AZ97" s="105">
        <f t="shared" si="60"/>
        <v>-3.25</v>
      </c>
      <c r="BA97" s="105">
        <f t="shared" si="61"/>
        <v>223.95</v>
      </c>
      <c r="BB97" s="105">
        <f t="shared" si="62"/>
        <v>142.36000000000001</v>
      </c>
      <c r="BC97" s="110">
        <f t="shared" si="63"/>
        <v>331.68</v>
      </c>
      <c r="BD97" s="110">
        <f t="shared" si="64"/>
        <v>253.85</v>
      </c>
      <c r="BE97" s="110">
        <f t="shared" si="65"/>
        <v>172.26</v>
      </c>
      <c r="BF97" s="105"/>
      <c r="BG97" s="105"/>
      <c r="BH97" s="111"/>
      <c r="BI97" s="105"/>
      <c r="BJ97" s="105"/>
      <c r="BK97" s="109"/>
      <c r="BL97" s="111"/>
      <c r="BM97" s="109"/>
      <c r="BN97" s="109"/>
      <c r="BO97" s="105"/>
      <c r="BP97" s="105"/>
      <c r="BQ97" s="109"/>
      <c r="BR97" s="110"/>
      <c r="BS97" s="110"/>
      <c r="BT97" s="110"/>
      <c r="BU97" s="110"/>
      <c r="BV97" s="110"/>
      <c r="BW97" s="112"/>
      <c r="BX97" s="112"/>
      <c r="BY97" s="110"/>
      <c r="BZ97" s="105"/>
      <c r="CA97" s="105"/>
      <c r="CB97" s="105"/>
      <c r="CC97" s="105"/>
      <c r="CD97" s="105"/>
      <c r="CE97" s="105"/>
    </row>
    <row r="98" spans="1:83" x14ac:dyDescent="0.15">
      <c r="A98" s="103">
        <v>172</v>
      </c>
      <c r="B98" s="98" t="str">
        <f>VLOOKUP($A98,'Rate Calculation'!$A$4:$AQ$208,42,FALSE)</f>
        <v>267458100</v>
      </c>
      <c r="C98" s="98" t="str">
        <f>VLOOKUP($A98,'Rate Calculation'!$A$4:$AQ$208,43,FALSE)</f>
        <v>Frederick Villa Healthcare</v>
      </c>
      <c r="D98" s="98" t="str">
        <f>VLOOKUP($A98,'Rate Calculation'!$A$4:$F$208,5,FALSE)</f>
        <v>BALTIMORE METRO</v>
      </c>
      <c r="E98" s="98" t="str">
        <f>VLOOKUP($A98,'Rate Calculation'!$A$4:$F$208,6,FALSE)</f>
        <v>BALTIMORE METRO</v>
      </c>
      <c r="F98" s="105">
        <f t="shared" si="40"/>
        <v>105.18</v>
      </c>
      <c r="G98" s="105">
        <f t="shared" si="41"/>
        <v>21.5</v>
      </c>
      <c r="H98" s="105">
        <f t="shared" si="42"/>
        <v>28.36</v>
      </c>
      <c r="I98" s="105">
        <f t="shared" si="43"/>
        <v>134.71</v>
      </c>
      <c r="J98" s="105">
        <f>VLOOKUP($A98,'Rate Calculation'!$A$4:$AZ$208,34,FALSE)</f>
        <v>0</v>
      </c>
      <c r="K98" s="105">
        <f t="shared" si="66"/>
        <v>289.75</v>
      </c>
      <c r="L98" s="164">
        <f t="shared" si="44"/>
        <v>0.98772000000000004</v>
      </c>
      <c r="M98" s="105">
        <f t="shared" si="67"/>
        <v>286.19</v>
      </c>
      <c r="N98" s="105">
        <f>VLOOKUP($A98,'Rate Calculation'!$A$4:$AL$208,38,FALSE)</f>
        <v>30.1</v>
      </c>
      <c r="O98" s="183">
        <f>VLOOKUP($A98,'Rate Calculation'!$A$4:$I$208,9,FALSE)</f>
        <v>1.4167000000000001</v>
      </c>
      <c r="P98" s="183">
        <f t="shared" si="38"/>
        <v>1.4432</v>
      </c>
      <c r="Q98" s="183">
        <f>VLOOKUP(A98,'CMI Data'!$A$4:$C$208,3,FALSE)</f>
        <v>1.2310000000000001</v>
      </c>
      <c r="R98" s="246">
        <f>VLOOKUP($A98,FRV!$A$4:$K$208,11,FALSE)</f>
        <v>45625</v>
      </c>
      <c r="S98" s="246">
        <f t="shared" si="39"/>
        <v>37198</v>
      </c>
      <c r="T98" s="246">
        <f>VLOOKUP($A98,FRV!$A$4:$L$208,12,FALSE)</f>
        <v>36262</v>
      </c>
      <c r="U98" s="183">
        <f>Inflation!$G$24</f>
        <v>1.0309999999999999</v>
      </c>
      <c r="V98" s="247">
        <f>VLOOKUP($A98,'Rate Calculation'!A99:X303,24,FALSE)</f>
        <v>102.02</v>
      </c>
      <c r="W98" s="110">
        <f t="shared" si="45"/>
        <v>105.18</v>
      </c>
      <c r="X98" s="110">
        <f>VLOOKUP($A98,'Rate Calculation'!A99:V303,22,FALSE)</f>
        <v>20.85</v>
      </c>
      <c r="Y98" s="110">
        <f t="shared" si="46"/>
        <v>21.5</v>
      </c>
      <c r="Z98" s="212">
        <f>VLOOKUP($A98,FRV!$A$4:$D$208,4,FALSE)</f>
        <v>44743</v>
      </c>
      <c r="AA98" s="212">
        <f>VLOOKUP($A98,FRV!$A$4:$F$208,6,FALSE)</f>
        <v>44926</v>
      </c>
      <c r="AB98" s="248">
        <f>VLOOKUP($A98,FRV!$A$4:$U$208,13,FALSE)</f>
        <v>9464605</v>
      </c>
      <c r="AC98" s="248">
        <f>VLOOKUP($A98,FRV!$A$4:$U$208,15,FALSE)</f>
        <v>303726</v>
      </c>
      <c r="AD98" s="248">
        <f>VLOOKUP($A98,FRV!$A$4:$U$208,14,FALSE)</f>
        <v>22500</v>
      </c>
      <c r="AE98" s="248">
        <f>VLOOKUP($A98,FRV!$A$4:$U$208,7,FALSE)</f>
        <v>125</v>
      </c>
      <c r="AF98" s="107">
        <f t="shared" si="47"/>
        <v>12580831</v>
      </c>
      <c r="AG98" s="107">
        <f t="shared" si="48"/>
        <v>100647</v>
      </c>
      <c r="AH98" s="107">
        <v>120000</v>
      </c>
      <c r="AI98" s="107">
        <f t="shared" si="49"/>
        <v>100647</v>
      </c>
      <c r="AJ98" s="107">
        <f t="shared" si="50"/>
        <v>12580875</v>
      </c>
      <c r="AK98" s="249">
        <f>IF(VLOOKUP($A98,'Rate Calculation'!$A$4:$D$208,4,FALSE)="baltimore city",0.1,0.08)</f>
        <v>0.08</v>
      </c>
      <c r="AL98" s="107">
        <f t="shared" si="51"/>
        <v>1006470</v>
      </c>
      <c r="AM98" s="105">
        <f>IF(ISERROR(MATCH(A98&amp;AA98,'Days Exceptions'!$C$3:$C$16,0)),ROUND(AL98/(MAX(S98,T98)),2),ROUND(AL98/VLOOKUP(A98,'Days Exceptions'!$A$3:$J$16,8,FALSE),2))</f>
        <v>27.06</v>
      </c>
      <c r="AN98" s="213">
        <f>VLOOKUP($A98,'Rate Calculation'!$A$4:$AF$208,32,FALSE)</f>
        <v>1.3</v>
      </c>
      <c r="AO98" s="109">
        <f t="shared" si="52"/>
        <v>28.36</v>
      </c>
      <c r="AP98" s="247">
        <f>VLOOKUP($A98,'Rate Calculation'!$A$4:$Q$208,17,FALSE)</f>
        <v>140.79</v>
      </c>
      <c r="AQ98" s="247">
        <f t="shared" si="68"/>
        <v>145.15</v>
      </c>
      <c r="AR98" s="247">
        <f>VLOOKUP($A98,'Rate Calculation'!$A$4:$K$208,11,FALSE)</f>
        <v>195.33</v>
      </c>
      <c r="AS98" s="247">
        <f t="shared" si="53"/>
        <v>201.39</v>
      </c>
      <c r="AT98" s="110">
        <f t="shared" si="54"/>
        <v>197.69</v>
      </c>
      <c r="AU98" s="110">
        <f t="shared" si="55"/>
        <v>171.78</v>
      </c>
      <c r="AV98" s="111">
        <f t="shared" si="56"/>
        <v>-37.07</v>
      </c>
      <c r="AW98" s="110">
        <f t="shared" si="57"/>
        <v>134.71</v>
      </c>
      <c r="AX98" s="105">
        <f t="shared" si="58"/>
        <v>126.12</v>
      </c>
      <c r="AY98" s="105">
        <f t="shared" si="59"/>
        <v>163.19</v>
      </c>
      <c r="AZ98" s="105">
        <f t="shared" si="60"/>
        <v>37.07</v>
      </c>
      <c r="BA98" s="105">
        <f t="shared" si="61"/>
        <v>222.4</v>
      </c>
      <c r="BB98" s="105">
        <f t="shared" si="62"/>
        <v>155.04</v>
      </c>
      <c r="BC98" s="110">
        <f t="shared" si="63"/>
        <v>316.29000000000002</v>
      </c>
      <c r="BD98" s="110">
        <f t="shared" si="64"/>
        <v>252.5</v>
      </c>
      <c r="BE98" s="110">
        <f t="shared" si="65"/>
        <v>185.14</v>
      </c>
      <c r="BF98" s="105"/>
      <c r="BG98" s="105"/>
      <c r="BH98" s="111"/>
      <c r="BI98" s="105"/>
      <c r="BJ98" s="105"/>
      <c r="BK98" s="109"/>
      <c r="BL98" s="111"/>
      <c r="BM98" s="109"/>
      <c r="BN98" s="109"/>
      <c r="BO98" s="105"/>
      <c r="BP98" s="105"/>
      <c r="BQ98" s="109"/>
      <c r="BR98" s="110"/>
      <c r="BS98" s="110"/>
      <c r="BT98" s="110"/>
      <c r="BU98" s="110"/>
      <c r="BV98" s="110"/>
      <c r="BW98" s="112"/>
      <c r="BX98" s="112"/>
      <c r="BY98" s="110"/>
      <c r="BZ98" s="105"/>
      <c r="CA98" s="105"/>
      <c r="CB98" s="105"/>
      <c r="CC98" s="105"/>
      <c r="CD98" s="105"/>
      <c r="CE98" s="105"/>
    </row>
    <row r="99" spans="1:83" x14ac:dyDescent="0.15">
      <c r="A99" s="103">
        <v>174</v>
      </c>
      <c r="B99" s="98" t="str">
        <f>VLOOKUP($A99,'Rate Calculation'!$A$4:$AQ$208,42,FALSE)</f>
        <v>155517100</v>
      </c>
      <c r="C99" s="98" t="str">
        <f>VLOOKUP($A99,'Rate Calculation'!$A$4:$AQ$208,43,FALSE)</f>
        <v>Friends Nursing Home, Inc.</v>
      </c>
      <c r="D99" s="98" t="str">
        <f>VLOOKUP($A99,'Rate Calculation'!$A$4:$F$208,5,FALSE)</f>
        <v>WASHINGTON METRO</v>
      </c>
      <c r="E99" s="98" t="str">
        <f>VLOOKUP($A99,'Rate Calculation'!$A$4:$F$208,6,FALSE)</f>
        <v>WASHINGTON METRO</v>
      </c>
      <c r="F99" s="105">
        <f t="shared" si="40"/>
        <v>103.73</v>
      </c>
      <c r="G99" s="105">
        <f t="shared" si="41"/>
        <v>19.829999999999998</v>
      </c>
      <c r="H99" s="105">
        <f t="shared" si="42"/>
        <v>33.11</v>
      </c>
      <c r="I99" s="105">
        <f t="shared" si="43"/>
        <v>141.56</v>
      </c>
      <c r="J99" s="105">
        <f>VLOOKUP($A99,'Rate Calculation'!$A$4:$AZ$208,34,FALSE)</f>
        <v>0</v>
      </c>
      <c r="K99" s="105">
        <f t="shared" si="66"/>
        <v>298.23</v>
      </c>
      <c r="L99" s="164">
        <f t="shared" si="44"/>
        <v>0.98772000000000004</v>
      </c>
      <c r="M99" s="105">
        <f t="shared" si="67"/>
        <v>294.57</v>
      </c>
      <c r="N99" s="105">
        <f>VLOOKUP($A99,'Rate Calculation'!$A$4:$AL$208,38,FALSE)</f>
        <v>0</v>
      </c>
      <c r="O99" s="183">
        <f>VLOOKUP($A99,'Rate Calculation'!$A$4:$I$208,9,FALSE)</f>
        <v>1.3363</v>
      </c>
      <c r="P99" s="183">
        <f t="shared" si="38"/>
        <v>1.4432</v>
      </c>
      <c r="Q99" s="183">
        <f>VLOOKUP(A99,'CMI Data'!$A$4:$C$208,3,FALSE)</f>
        <v>1.1257999999999999</v>
      </c>
      <c r="R99" s="246">
        <f>VLOOKUP($A99,FRV!$A$4:$K$208,11,FALSE)</f>
        <v>29930</v>
      </c>
      <c r="S99" s="246">
        <f t="shared" si="39"/>
        <v>24402</v>
      </c>
      <c r="T99" s="246">
        <f>VLOOKUP($A99,FRV!$A$4:$L$208,12,FALSE)</f>
        <v>20772</v>
      </c>
      <c r="U99" s="183">
        <f>Inflation!$G$24</f>
        <v>1.0309999999999999</v>
      </c>
      <c r="V99" s="247">
        <f>VLOOKUP($A99,'Rate Calculation'!A100:X304,24,FALSE)</f>
        <v>100.61</v>
      </c>
      <c r="W99" s="110">
        <f t="shared" si="45"/>
        <v>103.73</v>
      </c>
      <c r="X99" s="110">
        <f>VLOOKUP($A99,'Rate Calculation'!A100:V304,22,FALSE)</f>
        <v>19.23</v>
      </c>
      <c r="Y99" s="110">
        <f t="shared" si="46"/>
        <v>19.829999999999998</v>
      </c>
      <c r="Z99" s="212">
        <f>VLOOKUP($A99,FRV!$A$4:$D$208,4,FALSE)</f>
        <v>45108</v>
      </c>
      <c r="AA99" s="212">
        <f>VLOOKUP($A99,FRV!$A$4:$F$208,6,FALSE)</f>
        <v>45107</v>
      </c>
      <c r="AB99" s="248">
        <f>VLOOKUP($A99,FRV!$A$4:$U$208,13,FALSE)</f>
        <v>11161830</v>
      </c>
      <c r="AC99" s="248">
        <f>VLOOKUP($A99,FRV!$A$4:$U$208,15,FALSE)</f>
        <v>216637</v>
      </c>
      <c r="AD99" s="248">
        <f>VLOOKUP($A99,FRV!$A$4:$U$208,14,FALSE)</f>
        <v>35000</v>
      </c>
      <c r="AE99" s="248">
        <f>VLOOKUP($A99,FRV!$A$4:$U$208,7,FALSE)</f>
        <v>82</v>
      </c>
      <c r="AF99" s="107">
        <f t="shared" si="47"/>
        <v>14248467</v>
      </c>
      <c r="AG99" s="107">
        <f t="shared" si="48"/>
        <v>173762</v>
      </c>
      <c r="AH99" s="107">
        <v>120000</v>
      </c>
      <c r="AI99" s="107">
        <f t="shared" si="49"/>
        <v>120000</v>
      </c>
      <c r="AJ99" s="107">
        <f t="shared" si="50"/>
        <v>9840000</v>
      </c>
      <c r="AK99" s="249">
        <f>IF(VLOOKUP($A99,'Rate Calculation'!$A$4:$D$208,4,FALSE)="baltimore city",0.1,0.08)</f>
        <v>0.08</v>
      </c>
      <c r="AL99" s="107">
        <f t="shared" si="51"/>
        <v>787200</v>
      </c>
      <c r="AM99" s="105">
        <f>IF(ISERROR(MATCH(A99&amp;AA99,'Days Exceptions'!$C$3:$C$16,0)),ROUND(AL99/(MAX(S99,T99)),2),ROUND(AL99/VLOOKUP(A99,'Days Exceptions'!$A$3:$J$16,8,FALSE),2))</f>
        <v>32.26</v>
      </c>
      <c r="AN99" s="213">
        <f>VLOOKUP($A99,'Rate Calculation'!$A$4:$AF$208,32,FALSE)</f>
        <v>0.85</v>
      </c>
      <c r="AO99" s="109">
        <f t="shared" si="52"/>
        <v>33.11</v>
      </c>
      <c r="AP99" s="247">
        <f>VLOOKUP($A99,'Rate Calculation'!$A$4:$Q$208,17,FALSE)</f>
        <v>194.99</v>
      </c>
      <c r="AQ99" s="247">
        <f t="shared" si="68"/>
        <v>201.03</v>
      </c>
      <c r="AR99" s="247">
        <f>VLOOKUP($A99,'Rate Calculation'!$A$4:$K$208,11,FALSE)</f>
        <v>176.01</v>
      </c>
      <c r="AS99" s="247">
        <f t="shared" si="53"/>
        <v>181.47</v>
      </c>
      <c r="AT99" s="110">
        <f t="shared" si="54"/>
        <v>168.03</v>
      </c>
      <c r="AU99" s="110">
        <f t="shared" si="55"/>
        <v>141.56</v>
      </c>
      <c r="AV99" s="111">
        <f t="shared" si="56"/>
        <v>0</v>
      </c>
      <c r="AW99" s="110">
        <f t="shared" si="57"/>
        <v>141.56</v>
      </c>
      <c r="AX99" s="105">
        <f t="shared" si="58"/>
        <v>169.36</v>
      </c>
      <c r="AY99" s="105">
        <f t="shared" si="59"/>
        <v>134.47999999999999</v>
      </c>
      <c r="AZ99" s="105">
        <f t="shared" si="60"/>
        <v>-34.880000000000003</v>
      </c>
      <c r="BA99" s="105">
        <f t="shared" si="61"/>
        <v>227.45</v>
      </c>
      <c r="BB99" s="105">
        <f t="shared" si="62"/>
        <v>156.66999999999999</v>
      </c>
      <c r="BC99" s="110">
        <f t="shared" si="63"/>
        <v>294.57</v>
      </c>
      <c r="BD99" s="110">
        <f t="shared" si="64"/>
        <v>227.45</v>
      </c>
      <c r="BE99" s="110">
        <f t="shared" si="65"/>
        <v>156.66999999999999</v>
      </c>
      <c r="BF99" s="105"/>
      <c r="BG99" s="105"/>
      <c r="BH99" s="111"/>
      <c r="BI99" s="105"/>
      <c r="BJ99" s="105"/>
      <c r="BK99" s="109"/>
      <c r="BL99" s="111"/>
      <c r="BM99" s="109"/>
      <c r="BN99" s="109"/>
      <c r="BO99" s="105"/>
      <c r="BP99" s="105"/>
      <c r="BQ99" s="109"/>
      <c r="BR99" s="110"/>
      <c r="BS99" s="110"/>
      <c r="BT99" s="110"/>
      <c r="BU99" s="110"/>
      <c r="BV99" s="110"/>
      <c r="BW99" s="112"/>
      <c r="BX99" s="112"/>
      <c r="BY99" s="110"/>
      <c r="BZ99" s="105"/>
      <c r="CA99" s="105"/>
      <c r="CB99" s="105"/>
      <c r="CC99" s="105"/>
      <c r="CD99" s="105"/>
      <c r="CE99" s="105"/>
    </row>
    <row r="100" spans="1:83" x14ac:dyDescent="0.15">
      <c r="A100" s="103">
        <v>178</v>
      </c>
      <c r="B100" s="98" t="str">
        <f>VLOOKUP($A100,'Rate Calculation'!$A$4:$AQ$208,42,FALSE)</f>
        <v>197000300</v>
      </c>
      <c r="C100" s="98" t="str">
        <f>VLOOKUP($A100,'Rate Calculation'!$A$4:$AQ$208,43,FALSE)</f>
        <v>FutureCare - Canton Harbor</v>
      </c>
      <c r="D100" s="98" t="str">
        <f>VLOOKUP($A100,'Rate Calculation'!$A$4:$F$208,5,FALSE)</f>
        <v>BALTIMORE METRO</v>
      </c>
      <c r="E100" s="98" t="str">
        <f>VLOOKUP($A100,'Rate Calculation'!$A$4:$F$208,6,FALSE)</f>
        <v>BALTIMORE CITY</v>
      </c>
      <c r="F100" s="105">
        <f t="shared" si="40"/>
        <v>117.69</v>
      </c>
      <c r="G100" s="105">
        <f t="shared" si="41"/>
        <v>25.66</v>
      </c>
      <c r="H100" s="105">
        <f t="shared" si="42"/>
        <v>41.37</v>
      </c>
      <c r="I100" s="105">
        <f t="shared" si="43"/>
        <v>204.15</v>
      </c>
      <c r="J100" s="105">
        <f>VLOOKUP($A100,'Rate Calculation'!$A$4:$AZ$208,34,FALSE)</f>
        <v>0</v>
      </c>
      <c r="K100" s="105">
        <f t="shared" si="66"/>
        <v>388.87</v>
      </c>
      <c r="L100" s="164">
        <f t="shared" si="44"/>
        <v>0.98772000000000004</v>
      </c>
      <c r="M100" s="105">
        <f t="shared" si="67"/>
        <v>384.09</v>
      </c>
      <c r="N100" s="105">
        <f>VLOOKUP($A100,'Rate Calculation'!$A$4:$AL$208,38,FALSE)</f>
        <v>28.94</v>
      </c>
      <c r="O100" s="183">
        <f>VLOOKUP($A100,'Rate Calculation'!$A$4:$I$208,9,FALSE)</f>
        <v>1.397</v>
      </c>
      <c r="P100" s="183">
        <f t="shared" si="38"/>
        <v>1.4432</v>
      </c>
      <c r="Q100" s="183">
        <f>VLOOKUP(A100,'CMI Data'!$A$4:$C$208,3,FALSE)</f>
        <v>1.4630000000000001</v>
      </c>
      <c r="R100" s="246">
        <f>VLOOKUP($A100,FRV!$A$4:$K$208,11,FALSE)</f>
        <v>58400</v>
      </c>
      <c r="S100" s="246">
        <f t="shared" si="39"/>
        <v>47614</v>
      </c>
      <c r="T100" s="246">
        <f>VLOOKUP($A100,FRV!$A$4:$L$208,12,FALSE)</f>
        <v>50482</v>
      </c>
      <c r="U100" s="183">
        <f>Inflation!$G$24</f>
        <v>1.0309999999999999</v>
      </c>
      <c r="V100" s="247">
        <f>VLOOKUP($A100,'Rate Calculation'!A101:X305,24,FALSE)</f>
        <v>114.15</v>
      </c>
      <c r="W100" s="110">
        <f t="shared" si="45"/>
        <v>117.69</v>
      </c>
      <c r="X100" s="110">
        <f>VLOOKUP($A100,'Rate Calculation'!A101:V305,22,FALSE)</f>
        <v>24.89</v>
      </c>
      <c r="Y100" s="110">
        <f t="shared" si="46"/>
        <v>25.66</v>
      </c>
      <c r="Z100" s="212">
        <f>VLOOKUP($A100,FRV!$A$4:$D$208,4,FALSE)</f>
        <v>44743</v>
      </c>
      <c r="AA100" s="212">
        <f>VLOOKUP($A100,FRV!$A$4:$F$208,6,FALSE)</f>
        <v>44926</v>
      </c>
      <c r="AB100" s="248">
        <f>VLOOKUP($A100,FRV!$A$4:$U$208,13,FALSE)</f>
        <v>17802403</v>
      </c>
      <c r="AC100" s="248">
        <f>VLOOKUP($A100,FRV!$A$4:$U$208,15,FALSE)</f>
        <v>584417</v>
      </c>
      <c r="AD100" s="248">
        <f>VLOOKUP($A100,FRV!$A$4:$U$208,14,FALSE)</f>
        <v>32000</v>
      </c>
      <c r="AE100" s="248">
        <f>VLOOKUP($A100,FRV!$A$4:$U$208,7,FALSE)</f>
        <v>160</v>
      </c>
      <c r="AF100" s="107">
        <f t="shared" si="47"/>
        <v>23506820</v>
      </c>
      <c r="AG100" s="107">
        <f t="shared" si="48"/>
        <v>146918</v>
      </c>
      <c r="AH100" s="107">
        <v>120000</v>
      </c>
      <c r="AI100" s="107">
        <f t="shared" si="49"/>
        <v>120000</v>
      </c>
      <c r="AJ100" s="107">
        <f t="shared" si="50"/>
        <v>19200000</v>
      </c>
      <c r="AK100" s="249">
        <f>IF(VLOOKUP($A100,'Rate Calculation'!$A$4:$D$208,4,FALSE)="baltimore city",0.1,0.08)</f>
        <v>0.1</v>
      </c>
      <c r="AL100" s="107">
        <f t="shared" si="51"/>
        <v>1920000</v>
      </c>
      <c r="AM100" s="105">
        <f>IF(ISERROR(MATCH(A100&amp;AA100,'Days Exceptions'!$C$3:$C$16,0)),ROUND(AL100/(MAX(S100,T100)),2),ROUND(AL100/VLOOKUP(A100,'Days Exceptions'!$A$3:$J$16,8,FALSE),2))</f>
        <v>38.03</v>
      </c>
      <c r="AN100" s="213">
        <f>VLOOKUP($A100,'Rate Calculation'!$A$4:$AF$208,32,FALSE)</f>
        <v>3.34</v>
      </c>
      <c r="AO100" s="109">
        <f t="shared" si="52"/>
        <v>41.37</v>
      </c>
      <c r="AP100" s="247">
        <f>VLOOKUP($A100,'Rate Calculation'!$A$4:$Q$208,17,FALSE)</f>
        <v>194.27</v>
      </c>
      <c r="AQ100" s="247">
        <f t="shared" si="68"/>
        <v>200.29</v>
      </c>
      <c r="AR100" s="247">
        <f>VLOOKUP($A100,'Rate Calculation'!$A$4:$K$208,11,FALSE)</f>
        <v>195.33</v>
      </c>
      <c r="AS100" s="247">
        <f t="shared" si="53"/>
        <v>201.39</v>
      </c>
      <c r="AT100" s="110">
        <f t="shared" si="54"/>
        <v>194.94</v>
      </c>
      <c r="AU100" s="110">
        <f t="shared" si="55"/>
        <v>204.15</v>
      </c>
      <c r="AV100" s="111">
        <f t="shared" si="56"/>
        <v>0</v>
      </c>
      <c r="AW100" s="110">
        <f t="shared" si="57"/>
        <v>204.15</v>
      </c>
      <c r="AX100" s="105">
        <f t="shared" si="58"/>
        <v>209.75</v>
      </c>
      <c r="AY100" s="105">
        <f t="shared" si="59"/>
        <v>193.94</v>
      </c>
      <c r="AZ100" s="105">
        <f t="shared" si="60"/>
        <v>-15.81</v>
      </c>
      <c r="BA100" s="105">
        <f t="shared" si="61"/>
        <v>286.8</v>
      </c>
      <c r="BB100" s="105">
        <f t="shared" si="62"/>
        <v>184.72</v>
      </c>
      <c r="BC100" s="110">
        <f t="shared" si="63"/>
        <v>413.03</v>
      </c>
      <c r="BD100" s="110">
        <f t="shared" si="64"/>
        <v>315.74</v>
      </c>
      <c r="BE100" s="110">
        <f t="shared" si="65"/>
        <v>213.66</v>
      </c>
      <c r="BF100" s="105"/>
      <c r="BG100" s="105"/>
      <c r="BH100" s="111"/>
      <c r="BI100" s="105"/>
      <c r="BJ100" s="105"/>
      <c r="BK100" s="109"/>
      <c r="BL100" s="111"/>
      <c r="BM100" s="109"/>
      <c r="BN100" s="109"/>
      <c r="BO100" s="105"/>
      <c r="BP100" s="105"/>
      <c r="BQ100" s="109"/>
      <c r="BR100" s="110"/>
      <c r="BS100" s="110"/>
      <c r="BT100" s="110"/>
      <c r="BU100" s="110"/>
      <c r="BV100" s="110"/>
      <c r="BW100" s="112"/>
      <c r="BX100" s="112"/>
      <c r="BY100" s="110"/>
      <c r="BZ100" s="105"/>
      <c r="CA100" s="105"/>
      <c r="CB100" s="105"/>
      <c r="CC100" s="105"/>
      <c r="CD100" s="105"/>
      <c r="CE100" s="105"/>
    </row>
    <row r="101" spans="1:83" x14ac:dyDescent="0.15">
      <c r="A101" s="103">
        <v>1366</v>
      </c>
      <c r="B101" s="98" t="str">
        <f>VLOOKUP($A101,'Rate Calculation'!$A$4:$AQ$208,42,FALSE)</f>
        <v>280024100</v>
      </c>
      <c r="C101" s="98" t="str">
        <f>VLOOKUP($A101,'Rate Calculation'!$A$4:$AQ$208,43,FALSE)</f>
        <v>FutureCare - Capital Region</v>
      </c>
      <c r="D101" s="98" t="str">
        <f>VLOOKUP($A101,'Rate Calculation'!$A$4:$F$208,5,FALSE)</f>
        <v>WASHINGTON METRO</v>
      </c>
      <c r="E101" s="98" t="str">
        <f>VLOOKUP($A101,'Rate Calculation'!$A$4:$F$208,6,FALSE)</f>
        <v>WASHINGTON METRO</v>
      </c>
      <c r="F101" s="105">
        <f t="shared" si="40"/>
        <v>103.73</v>
      </c>
      <c r="G101" s="105">
        <f t="shared" si="41"/>
        <v>19.829999999999998</v>
      </c>
      <c r="H101" s="105">
        <f t="shared" si="42"/>
        <v>33.770000000000003</v>
      </c>
      <c r="I101" s="105">
        <f t="shared" si="43"/>
        <v>201.47</v>
      </c>
      <c r="J101" s="105">
        <f>VLOOKUP($A101,'Rate Calculation'!$A$4:$AZ$208,34,FALSE)</f>
        <v>0</v>
      </c>
      <c r="K101" s="105">
        <f t="shared" si="66"/>
        <v>358.8</v>
      </c>
      <c r="L101" s="164">
        <f t="shared" si="44"/>
        <v>0.98772000000000004</v>
      </c>
      <c r="M101" s="105">
        <f t="shared" si="67"/>
        <v>354.39</v>
      </c>
      <c r="N101" s="105">
        <f>VLOOKUP($A101,'Rate Calculation'!$A$4:$AL$208,38,FALSE)</f>
        <v>17.38</v>
      </c>
      <c r="O101" s="183">
        <f>VLOOKUP($A101,'Rate Calculation'!$A$4:$I$208,9,FALSE)</f>
        <v>1.9762999999999999</v>
      </c>
      <c r="P101" s="183">
        <f t="shared" si="38"/>
        <v>1.4432</v>
      </c>
      <c r="Q101" s="183">
        <f>VLOOKUP(A101,'CMI Data'!$A$4:$C$208,3,FALSE)</f>
        <v>1.6023000000000001</v>
      </c>
      <c r="R101" s="246">
        <f>VLOOKUP($A101,FRV!$A$4:$K$208,11,FALSE)</f>
        <v>54750</v>
      </c>
      <c r="S101" s="246">
        <f t="shared" si="39"/>
        <v>44638</v>
      </c>
      <c r="T101" s="246">
        <f>VLOOKUP($A101,FRV!$A$4:$L$208,12,FALSE)</f>
        <v>51160</v>
      </c>
      <c r="U101" s="183">
        <f>Inflation!$G$24</f>
        <v>1.0309999999999999</v>
      </c>
      <c r="V101" s="247">
        <f>VLOOKUP($A101,'Rate Calculation'!A102:X306,24,FALSE)</f>
        <v>100.61</v>
      </c>
      <c r="W101" s="110">
        <f t="shared" si="45"/>
        <v>103.73</v>
      </c>
      <c r="X101" s="110">
        <f>VLOOKUP($A101,'Rate Calculation'!A102:V306,22,FALSE)</f>
        <v>19.23</v>
      </c>
      <c r="Y101" s="110">
        <f t="shared" si="46"/>
        <v>19.829999999999998</v>
      </c>
      <c r="Z101" s="212">
        <f>VLOOKUP($A101,FRV!$A$4:$D$208,4,FALSE)</f>
        <v>45108</v>
      </c>
      <c r="AA101" s="212">
        <f>VLOOKUP($A101,FRV!$A$4:$F$208,6,FALSE)</f>
        <v>45291</v>
      </c>
      <c r="AB101" s="248">
        <f>VLOOKUP($A101,FRV!$A$4:$U$208,13,FALSE)</f>
        <v>24449721</v>
      </c>
      <c r="AC101" s="248">
        <f>VLOOKUP($A101,FRV!$A$4:$U$208,15,FALSE)</f>
        <v>413174</v>
      </c>
      <c r="AD101" s="248">
        <f>VLOOKUP($A101,FRV!$A$4:$U$208,14,FALSE)</f>
        <v>22000</v>
      </c>
      <c r="AE101" s="248">
        <f>VLOOKUP($A101,FRV!$A$4:$U$208,7,FALSE)</f>
        <v>150</v>
      </c>
      <c r="AF101" s="107">
        <f t="shared" si="47"/>
        <v>28162895</v>
      </c>
      <c r="AG101" s="107">
        <f t="shared" si="48"/>
        <v>187753</v>
      </c>
      <c r="AH101" s="107">
        <v>120000</v>
      </c>
      <c r="AI101" s="107">
        <f t="shared" si="49"/>
        <v>120000</v>
      </c>
      <c r="AJ101" s="107">
        <f t="shared" si="50"/>
        <v>18000000</v>
      </c>
      <c r="AK101" s="249">
        <f>IF(VLOOKUP($A101,'Rate Calculation'!$A$4:$D$208,4,FALSE)="baltimore city",0.1,0.08)</f>
        <v>0.08</v>
      </c>
      <c r="AL101" s="107">
        <f t="shared" si="51"/>
        <v>1440000</v>
      </c>
      <c r="AM101" s="105">
        <f>IF(ISERROR(MATCH(A101&amp;AA101,'Days Exceptions'!$C$3:$C$16,0)),ROUND(AL101/(MAX(S101,T101)),2),ROUND(AL101/VLOOKUP(A101,'Days Exceptions'!$A$3:$J$16,8,FALSE),2))</f>
        <v>28.15</v>
      </c>
      <c r="AN101" s="213">
        <f>VLOOKUP($A101,'Rate Calculation'!$A$4:$AF$208,32,FALSE)</f>
        <v>5.62</v>
      </c>
      <c r="AO101" s="109">
        <f t="shared" si="52"/>
        <v>33.770000000000003</v>
      </c>
      <c r="AP101" s="247">
        <f>VLOOKUP($A101,'Rate Calculation'!$A$4:$Q$208,17,FALSE)</f>
        <v>283.92</v>
      </c>
      <c r="AQ101" s="247">
        <f t="shared" si="68"/>
        <v>292.72000000000003</v>
      </c>
      <c r="AR101" s="247">
        <f>VLOOKUP($A101,'Rate Calculation'!$A$4:$K$208,11,FALSE)</f>
        <v>176.01</v>
      </c>
      <c r="AS101" s="247">
        <f t="shared" si="53"/>
        <v>181.47</v>
      </c>
      <c r="AT101" s="110">
        <f t="shared" si="54"/>
        <v>248.5</v>
      </c>
      <c r="AU101" s="110">
        <f t="shared" si="55"/>
        <v>201.47</v>
      </c>
      <c r="AV101" s="111">
        <f t="shared" si="56"/>
        <v>0</v>
      </c>
      <c r="AW101" s="110">
        <f t="shared" si="57"/>
        <v>201.47</v>
      </c>
      <c r="AX101" s="105">
        <f t="shared" si="58"/>
        <v>237.32</v>
      </c>
      <c r="AY101" s="105">
        <f t="shared" si="59"/>
        <v>191.4</v>
      </c>
      <c r="AZ101" s="105">
        <f t="shared" si="60"/>
        <v>-45.92</v>
      </c>
      <c r="BA101" s="105">
        <f t="shared" si="61"/>
        <v>258.07</v>
      </c>
      <c r="BB101" s="105">
        <f t="shared" si="62"/>
        <v>157.33000000000001</v>
      </c>
      <c r="BC101" s="110">
        <f t="shared" si="63"/>
        <v>371.77</v>
      </c>
      <c r="BD101" s="110">
        <f t="shared" si="64"/>
        <v>275.45</v>
      </c>
      <c r="BE101" s="110">
        <f t="shared" si="65"/>
        <v>174.71</v>
      </c>
      <c r="BF101" s="105"/>
      <c r="BG101" s="105"/>
      <c r="BH101" s="111"/>
      <c r="BI101" s="105"/>
      <c r="BJ101" s="105"/>
      <c r="BK101" s="109"/>
      <c r="BL101" s="111"/>
      <c r="BM101" s="109"/>
      <c r="BN101" s="109"/>
      <c r="BO101" s="105"/>
      <c r="BP101" s="105"/>
      <c r="BQ101" s="109"/>
      <c r="BR101" s="110"/>
      <c r="BS101" s="110"/>
      <c r="BT101" s="110"/>
      <c r="BU101" s="110"/>
      <c r="BV101" s="110"/>
      <c r="BW101" s="112"/>
      <c r="BX101" s="112"/>
      <c r="BY101" s="110"/>
      <c r="BZ101" s="105"/>
      <c r="CA101" s="105"/>
      <c r="CB101" s="105"/>
      <c r="CC101" s="105"/>
      <c r="CD101" s="105"/>
      <c r="CE101" s="105"/>
    </row>
    <row r="102" spans="1:83" x14ac:dyDescent="0.15">
      <c r="A102" s="103">
        <v>723</v>
      </c>
      <c r="B102" s="98" t="str">
        <f>VLOOKUP($A102,'Rate Calculation'!$A$4:$AQ$208,42,FALSE)</f>
        <v>400685200</v>
      </c>
      <c r="C102" s="98" t="str">
        <f>VLOOKUP($A102,'Rate Calculation'!$A$4:$AQ$208,43,FALSE)</f>
        <v>FutureCare - Charles Village, LLC</v>
      </c>
      <c r="D102" s="98" t="str">
        <f>VLOOKUP($A102,'Rate Calculation'!$A$4:$F$208,5,FALSE)</f>
        <v>BALTIMORE METRO</v>
      </c>
      <c r="E102" s="98" t="str">
        <f>VLOOKUP($A102,'Rate Calculation'!$A$4:$F$208,6,FALSE)</f>
        <v>BALTIMORE CITY</v>
      </c>
      <c r="F102" s="105">
        <f t="shared" si="40"/>
        <v>117.69</v>
      </c>
      <c r="G102" s="105">
        <f t="shared" si="41"/>
        <v>25.66</v>
      </c>
      <c r="H102" s="105">
        <f t="shared" si="42"/>
        <v>39.130000000000003</v>
      </c>
      <c r="I102" s="105">
        <f t="shared" si="43"/>
        <v>173.97</v>
      </c>
      <c r="J102" s="105">
        <f>VLOOKUP($A102,'Rate Calculation'!$A$4:$AZ$208,34,FALSE)</f>
        <v>0</v>
      </c>
      <c r="K102" s="105">
        <f t="shared" si="66"/>
        <v>356.45</v>
      </c>
      <c r="L102" s="164">
        <f t="shared" si="44"/>
        <v>0.98772000000000004</v>
      </c>
      <c r="M102" s="105">
        <f t="shared" si="67"/>
        <v>352.07</v>
      </c>
      <c r="N102" s="105">
        <f>VLOOKUP($A102,'Rate Calculation'!$A$4:$AL$208,38,FALSE)</f>
        <v>27.22</v>
      </c>
      <c r="O102" s="183">
        <f>VLOOKUP($A102,'Rate Calculation'!$A$4:$I$208,9,FALSE)</f>
        <v>1.4529000000000001</v>
      </c>
      <c r="P102" s="183">
        <f t="shared" si="38"/>
        <v>1.4432</v>
      </c>
      <c r="Q102" s="183">
        <f>VLOOKUP(A102,'CMI Data'!$A$4:$C$208,3,FALSE)</f>
        <v>1.3108</v>
      </c>
      <c r="R102" s="246">
        <f>VLOOKUP($A102,FRV!$A$4:$K$208,11,FALSE)</f>
        <v>39894</v>
      </c>
      <c r="S102" s="246">
        <f t="shared" si="39"/>
        <v>32526</v>
      </c>
      <c r="T102" s="246">
        <f>VLOOKUP($A102,FRV!$A$4:$L$208,12,FALSE)</f>
        <v>36615</v>
      </c>
      <c r="U102" s="183">
        <f>Inflation!$G$24</f>
        <v>1.0309999999999999</v>
      </c>
      <c r="V102" s="247">
        <f>VLOOKUP($A102,'Rate Calculation'!A103:X307,24,FALSE)</f>
        <v>114.15</v>
      </c>
      <c r="W102" s="110">
        <f t="shared" si="45"/>
        <v>117.69</v>
      </c>
      <c r="X102" s="110">
        <f>VLOOKUP($A102,'Rate Calculation'!A103:V307,22,FALSE)</f>
        <v>24.89</v>
      </c>
      <c r="Y102" s="110">
        <f t="shared" si="46"/>
        <v>25.66</v>
      </c>
      <c r="Z102" s="212">
        <f>VLOOKUP($A102,FRV!$A$4:$D$208,4,FALSE)</f>
        <v>45474</v>
      </c>
      <c r="AA102" s="212">
        <f>VLOOKUP($A102,FRV!$A$4:$F$208,6,FALSE)</f>
        <v>45657</v>
      </c>
      <c r="AB102" s="248">
        <f>VLOOKUP($A102,FRV!$A$4:$U$208,13,FALSE)</f>
        <v>11809152</v>
      </c>
      <c r="AC102" s="248">
        <f>VLOOKUP($A102,FRV!$A$4:$U$208,15,FALSE)</f>
        <v>347521</v>
      </c>
      <c r="AD102" s="248">
        <f>VLOOKUP($A102,FRV!$A$4:$U$208,14,FALSE)</f>
        <v>16000</v>
      </c>
      <c r="AE102" s="248">
        <f>VLOOKUP($A102,FRV!$A$4:$U$208,7,FALSE)</f>
        <v>109</v>
      </c>
      <c r="AF102" s="107">
        <f t="shared" si="47"/>
        <v>13900673</v>
      </c>
      <c r="AG102" s="107">
        <f t="shared" si="48"/>
        <v>127529</v>
      </c>
      <c r="AH102" s="107">
        <v>120000</v>
      </c>
      <c r="AI102" s="107">
        <f t="shared" si="49"/>
        <v>120000</v>
      </c>
      <c r="AJ102" s="107">
        <f t="shared" si="50"/>
        <v>13080000</v>
      </c>
      <c r="AK102" s="249">
        <f>IF(VLOOKUP($A102,'Rate Calculation'!$A$4:$D$208,4,FALSE)="baltimore city",0.1,0.08)</f>
        <v>0.1</v>
      </c>
      <c r="AL102" s="107">
        <f t="shared" si="51"/>
        <v>1308000</v>
      </c>
      <c r="AM102" s="105">
        <f>IF(ISERROR(MATCH(A102&amp;AA102,'Days Exceptions'!$C$3:$C$16,0)),ROUND(AL102/(MAX(S102,T102)),2),ROUND(AL102/VLOOKUP(A102,'Days Exceptions'!$A$3:$J$16,8,FALSE),2))</f>
        <v>35.72</v>
      </c>
      <c r="AN102" s="213">
        <f>VLOOKUP($A102,'Rate Calculation'!$A$4:$AF$208,32,FALSE)</f>
        <v>3.41</v>
      </c>
      <c r="AO102" s="109">
        <f t="shared" si="52"/>
        <v>39.130000000000003</v>
      </c>
      <c r="AP102" s="247">
        <f>VLOOKUP($A102,'Rate Calculation'!$A$4:$Q$208,17,FALSE)</f>
        <v>177.2</v>
      </c>
      <c r="AQ102" s="247">
        <f t="shared" si="68"/>
        <v>182.69</v>
      </c>
      <c r="AR102" s="247">
        <f>VLOOKUP($A102,'Rate Calculation'!$A$4:$K$208,11,FALSE)</f>
        <v>195.33</v>
      </c>
      <c r="AS102" s="247">
        <f t="shared" si="53"/>
        <v>201.39</v>
      </c>
      <c r="AT102" s="110">
        <f t="shared" si="54"/>
        <v>202.74</v>
      </c>
      <c r="AU102" s="110">
        <f t="shared" si="55"/>
        <v>182.91</v>
      </c>
      <c r="AV102" s="111">
        <f t="shared" si="56"/>
        <v>-8.94</v>
      </c>
      <c r="AW102" s="110">
        <f t="shared" si="57"/>
        <v>173.97</v>
      </c>
      <c r="AX102" s="105">
        <f t="shared" si="58"/>
        <v>164.82</v>
      </c>
      <c r="AY102" s="105">
        <f t="shared" si="59"/>
        <v>173.76</v>
      </c>
      <c r="AZ102" s="105">
        <f t="shared" si="60"/>
        <v>8.94</v>
      </c>
      <c r="BA102" s="105">
        <f t="shared" si="61"/>
        <v>269.47000000000003</v>
      </c>
      <c r="BB102" s="105">
        <f t="shared" si="62"/>
        <v>182.48</v>
      </c>
      <c r="BC102" s="110">
        <f t="shared" si="63"/>
        <v>379.29</v>
      </c>
      <c r="BD102" s="110">
        <f t="shared" si="64"/>
        <v>296.69</v>
      </c>
      <c r="BE102" s="110">
        <f t="shared" si="65"/>
        <v>209.7</v>
      </c>
      <c r="BF102" s="105"/>
      <c r="BG102" s="105"/>
      <c r="BH102" s="111"/>
      <c r="BI102" s="105"/>
      <c r="BJ102" s="105"/>
      <c r="BK102" s="109"/>
      <c r="BL102" s="111"/>
      <c r="BM102" s="109"/>
      <c r="BN102" s="109"/>
      <c r="BO102" s="105"/>
      <c r="BP102" s="105"/>
      <c r="BQ102" s="109"/>
      <c r="BR102" s="110"/>
      <c r="BS102" s="110"/>
      <c r="BT102" s="110"/>
      <c r="BU102" s="110"/>
      <c r="BV102" s="110"/>
      <c r="BW102" s="112"/>
      <c r="BX102" s="112"/>
      <c r="BY102" s="110"/>
      <c r="BZ102" s="105"/>
      <c r="CA102" s="105"/>
      <c r="CB102" s="105"/>
      <c r="CC102" s="105"/>
      <c r="CD102" s="105"/>
      <c r="CE102" s="105"/>
    </row>
    <row r="103" spans="1:83" x14ac:dyDescent="0.15">
      <c r="A103" s="103">
        <v>182</v>
      </c>
      <c r="B103" s="98" t="str">
        <f>VLOOKUP($A103,'Rate Calculation'!$A$4:$AQ$208,42,FALSE)</f>
        <v>032167200</v>
      </c>
      <c r="C103" s="98" t="str">
        <f>VLOOKUP($A103,'Rate Calculation'!$A$4:$AQ$208,43,FALSE)</f>
        <v>FutureCare - Cherrywood</v>
      </c>
      <c r="D103" s="98" t="str">
        <f>VLOOKUP($A103,'Rate Calculation'!$A$4:$F$208,5,FALSE)</f>
        <v>BALTIMORE METRO</v>
      </c>
      <c r="E103" s="98" t="str">
        <f>VLOOKUP($A103,'Rate Calculation'!$A$4:$F$208,6,FALSE)</f>
        <v>BALTIMORE METRO</v>
      </c>
      <c r="F103" s="105">
        <f t="shared" si="40"/>
        <v>105.18</v>
      </c>
      <c r="G103" s="105">
        <f t="shared" si="41"/>
        <v>21.5</v>
      </c>
      <c r="H103" s="105">
        <f t="shared" si="42"/>
        <v>33.15</v>
      </c>
      <c r="I103" s="105">
        <f t="shared" si="43"/>
        <v>176.26</v>
      </c>
      <c r="J103" s="105">
        <f>VLOOKUP($A103,'Rate Calculation'!$A$4:$AZ$208,34,FALSE)</f>
        <v>0</v>
      </c>
      <c r="K103" s="105">
        <f t="shared" si="66"/>
        <v>336.09</v>
      </c>
      <c r="L103" s="164">
        <f t="shared" si="44"/>
        <v>0.98772000000000004</v>
      </c>
      <c r="M103" s="105">
        <f t="shared" si="67"/>
        <v>331.96</v>
      </c>
      <c r="N103" s="105">
        <f>VLOOKUP($A103,'Rate Calculation'!$A$4:$AL$208,38,FALSE)</f>
        <v>27.9</v>
      </c>
      <c r="O103" s="183">
        <f>VLOOKUP($A103,'Rate Calculation'!$A$4:$I$208,9,FALSE)</f>
        <v>1.5004999999999999</v>
      </c>
      <c r="P103" s="183">
        <f t="shared" si="38"/>
        <v>1.4432</v>
      </c>
      <c r="Q103" s="183">
        <f>VLOOKUP(A103,'CMI Data'!$A$4:$C$208,3,FALSE)</f>
        <v>1.3729</v>
      </c>
      <c r="R103" s="246">
        <f>VLOOKUP($A103,FRV!$A$4:$K$208,11,FALSE)</f>
        <v>60955</v>
      </c>
      <c r="S103" s="246">
        <f t="shared" si="39"/>
        <v>49697</v>
      </c>
      <c r="T103" s="246">
        <f>VLOOKUP($A103,FRV!$A$4:$L$208,12,FALSE)</f>
        <v>49974</v>
      </c>
      <c r="U103" s="183">
        <f>Inflation!$G$24</f>
        <v>1.0309999999999999</v>
      </c>
      <c r="V103" s="247">
        <f>VLOOKUP($A103,'Rate Calculation'!A104:X308,24,FALSE)</f>
        <v>102.02</v>
      </c>
      <c r="W103" s="110">
        <f t="shared" si="45"/>
        <v>105.18</v>
      </c>
      <c r="X103" s="110">
        <f>VLOOKUP($A103,'Rate Calculation'!A104:V308,22,FALSE)</f>
        <v>20.85</v>
      </c>
      <c r="Y103" s="110">
        <f t="shared" si="46"/>
        <v>21.5</v>
      </c>
      <c r="Z103" s="212">
        <f>VLOOKUP($A103,FRV!$A$4:$D$208,4,FALSE)</f>
        <v>44743</v>
      </c>
      <c r="AA103" s="212">
        <f>VLOOKUP($A103,FRV!$A$4:$F$208,6,FALSE)</f>
        <v>44926</v>
      </c>
      <c r="AB103" s="248">
        <f>VLOOKUP($A103,FRV!$A$4:$U$208,13,FALSE)</f>
        <v>16001964</v>
      </c>
      <c r="AC103" s="248">
        <f>VLOOKUP($A103,FRV!$A$4:$U$208,15,FALSE)</f>
        <v>515417</v>
      </c>
      <c r="AD103" s="248">
        <f>VLOOKUP($A103,FRV!$A$4:$U$208,14,FALSE)</f>
        <v>20000</v>
      </c>
      <c r="AE103" s="248">
        <f>VLOOKUP($A103,FRV!$A$4:$U$208,7,FALSE)</f>
        <v>167</v>
      </c>
      <c r="AF103" s="107">
        <f t="shared" si="47"/>
        <v>19857381</v>
      </c>
      <c r="AG103" s="107">
        <f t="shared" si="48"/>
        <v>118906</v>
      </c>
      <c r="AH103" s="107">
        <v>120000</v>
      </c>
      <c r="AI103" s="107">
        <f t="shared" si="49"/>
        <v>118906</v>
      </c>
      <c r="AJ103" s="107">
        <f t="shared" si="50"/>
        <v>19857302</v>
      </c>
      <c r="AK103" s="249">
        <f>IF(VLOOKUP($A103,'Rate Calculation'!$A$4:$D$208,4,FALSE)="baltimore city",0.1,0.08)</f>
        <v>0.08</v>
      </c>
      <c r="AL103" s="107">
        <f t="shared" si="51"/>
        <v>1588584</v>
      </c>
      <c r="AM103" s="105">
        <f>IF(ISERROR(MATCH(A103&amp;AA103,'Days Exceptions'!$C$3:$C$16,0)),ROUND(AL103/(MAX(S103,T103)),2),ROUND(AL103/VLOOKUP(A103,'Days Exceptions'!$A$3:$J$16,8,FALSE),2))</f>
        <v>31.79</v>
      </c>
      <c r="AN103" s="213">
        <f>VLOOKUP($A103,'Rate Calculation'!$A$4:$AF$208,32,FALSE)</f>
        <v>1.36</v>
      </c>
      <c r="AO103" s="109">
        <f t="shared" si="52"/>
        <v>33.15</v>
      </c>
      <c r="AP103" s="247">
        <f>VLOOKUP($A103,'Rate Calculation'!$A$4:$Q$208,17,FALSE)</f>
        <v>176.69</v>
      </c>
      <c r="AQ103" s="247">
        <f t="shared" si="68"/>
        <v>182.17</v>
      </c>
      <c r="AR103" s="247">
        <f>VLOOKUP($A103,'Rate Calculation'!$A$4:$K$208,11,FALSE)</f>
        <v>195.33</v>
      </c>
      <c r="AS103" s="247">
        <f t="shared" si="53"/>
        <v>201.39</v>
      </c>
      <c r="AT103" s="110">
        <f t="shared" si="54"/>
        <v>209.39</v>
      </c>
      <c r="AU103" s="110">
        <f t="shared" si="55"/>
        <v>191.58</v>
      </c>
      <c r="AV103" s="111">
        <f t="shared" si="56"/>
        <v>-15.32</v>
      </c>
      <c r="AW103" s="110">
        <f t="shared" si="57"/>
        <v>176.26</v>
      </c>
      <c r="AX103" s="105">
        <f t="shared" si="58"/>
        <v>166.68</v>
      </c>
      <c r="AY103" s="105">
        <f t="shared" si="59"/>
        <v>182</v>
      </c>
      <c r="AZ103" s="105">
        <f t="shared" si="60"/>
        <v>15.32</v>
      </c>
      <c r="BA103" s="105">
        <f t="shared" si="61"/>
        <v>247.96</v>
      </c>
      <c r="BB103" s="105">
        <f t="shared" si="62"/>
        <v>159.83000000000001</v>
      </c>
      <c r="BC103" s="110">
        <f t="shared" si="63"/>
        <v>359.86</v>
      </c>
      <c r="BD103" s="110">
        <f t="shared" si="64"/>
        <v>275.86</v>
      </c>
      <c r="BE103" s="110">
        <f t="shared" si="65"/>
        <v>187.73</v>
      </c>
      <c r="BF103" s="105"/>
      <c r="BG103" s="105"/>
      <c r="BH103" s="111"/>
      <c r="BI103" s="105"/>
      <c r="BJ103" s="105"/>
      <c r="BK103" s="109"/>
      <c r="BL103" s="111"/>
      <c r="BM103" s="109"/>
      <c r="BN103" s="109"/>
      <c r="BO103" s="105"/>
      <c r="BP103" s="105"/>
      <c r="BQ103" s="109"/>
      <c r="BR103" s="110"/>
      <c r="BS103" s="110"/>
      <c r="BT103" s="110"/>
      <c r="BU103" s="110"/>
      <c r="BV103" s="110"/>
      <c r="BW103" s="112"/>
      <c r="BX103" s="112"/>
      <c r="BY103" s="110"/>
      <c r="BZ103" s="105"/>
      <c r="CA103" s="105"/>
      <c r="CB103" s="105"/>
      <c r="CC103" s="105"/>
      <c r="CD103" s="105"/>
      <c r="CE103" s="105"/>
    </row>
    <row r="104" spans="1:83" x14ac:dyDescent="0.15">
      <c r="A104" s="103">
        <v>184</v>
      </c>
      <c r="B104" s="98" t="str">
        <f>VLOOKUP($A104,'Rate Calculation'!$A$4:$AQ$208,42,FALSE)</f>
        <v>021767100</v>
      </c>
      <c r="C104" s="98" t="str">
        <f>VLOOKUP($A104,'Rate Calculation'!$A$4:$AQ$208,43,FALSE)</f>
        <v>FutureCare - Chesapeake</v>
      </c>
      <c r="D104" s="98" t="str">
        <f>VLOOKUP($A104,'Rate Calculation'!$A$4:$F$208,5,FALSE)</f>
        <v>BALTIMORE METRO</v>
      </c>
      <c r="E104" s="98" t="str">
        <f>VLOOKUP($A104,'Rate Calculation'!$A$4:$F$208,6,FALSE)</f>
        <v>BALTIMORE METRO</v>
      </c>
      <c r="F104" s="105">
        <f t="shared" si="40"/>
        <v>105.18</v>
      </c>
      <c r="G104" s="105">
        <f t="shared" si="41"/>
        <v>21.5</v>
      </c>
      <c r="H104" s="105">
        <f t="shared" si="42"/>
        <v>29.03</v>
      </c>
      <c r="I104" s="105">
        <f t="shared" si="43"/>
        <v>187.65</v>
      </c>
      <c r="J104" s="105">
        <f>VLOOKUP($A104,'Rate Calculation'!$A$4:$AZ$208,34,FALSE)</f>
        <v>0</v>
      </c>
      <c r="K104" s="105">
        <f t="shared" si="66"/>
        <v>343.36</v>
      </c>
      <c r="L104" s="164">
        <f t="shared" si="44"/>
        <v>0.98772000000000004</v>
      </c>
      <c r="M104" s="105">
        <f t="shared" si="67"/>
        <v>339.14</v>
      </c>
      <c r="N104" s="105">
        <f>VLOOKUP($A104,'Rate Calculation'!$A$4:$AL$208,38,FALSE)</f>
        <v>25.66</v>
      </c>
      <c r="O104" s="183">
        <f>VLOOKUP($A104,'Rate Calculation'!$A$4:$I$208,9,FALSE)</f>
        <v>1.4894000000000001</v>
      </c>
      <c r="P104" s="183">
        <f t="shared" si="38"/>
        <v>1.4432</v>
      </c>
      <c r="Q104" s="183">
        <f>VLOOKUP(A104,'CMI Data'!$A$4:$C$208,3,FALSE)</f>
        <v>1.3447</v>
      </c>
      <c r="R104" s="246">
        <f>VLOOKUP($A104,FRV!$A$4:$K$208,11,FALSE)</f>
        <v>55480</v>
      </c>
      <c r="S104" s="246">
        <f t="shared" si="39"/>
        <v>45233</v>
      </c>
      <c r="T104" s="246">
        <f>VLOOKUP($A104,FRV!$A$4:$L$208,12,FALSE)</f>
        <v>51072</v>
      </c>
      <c r="U104" s="183">
        <f>Inflation!$G$24</f>
        <v>1.0309999999999999</v>
      </c>
      <c r="V104" s="247">
        <f>VLOOKUP($A104,'Rate Calculation'!A105:X309,24,FALSE)</f>
        <v>102.02</v>
      </c>
      <c r="W104" s="110">
        <f t="shared" si="45"/>
        <v>105.18</v>
      </c>
      <c r="X104" s="110">
        <f>VLOOKUP($A104,'Rate Calculation'!A105:V309,22,FALSE)</f>
        <v>20.85</v>
      </c>
      <c r="Y104" s="110">
        <f t="shared" si="46"/>
        <v>21.5</v>
      </c>
      <c r="Z104" s="212">
        <f>VLOOKUP($A104,FRV!$A$4:$D$208,4,FALSE)</f>
        <v>45108</v>
      </c>
      <c r="AA104" s="212">
        <f>VLOOKUP($A104,FRV!$A$4:$F$208,6,FALSE)</f>
        <v>45291</v>
      </c>
      <c r="AB104" s="248">
        <f>VLOOKUP($A104,FRV!$A$4:$U$208,13,FALSE)</f>
        <v>13169920</v>
      </c>
      <c r="AC104" s="248">
        <f>VLOOKUP($A104,FRV!$A$4:$U$208,15,FALSE)</f>
        <v>383898</v>
      </c>
      <c r="AD104" s="248">
        <f>VLOOKUP($A104,FRV!$A$4:$U$208,14,FALSE)</f>
        <v>24000</v>
      </c>
      <c r="AE104" s="248">
        <f>VLOOKUP($A104,FRV!$A$4:$U$208,7,FALSE)</f>
        <v>152</v>
      </c>
      <c r="AF104" s="107">
        <f t="shared" si="47"/>
        <v>17201818</v>
      </c>
      <c r="AG104" s="107">
        <f t="shared" si="48"/>
        <v>113170</v>
      </c>
      <c r="AH104" s="107">
        <v>120000</v>
      </c>
      <c r="AI104" s="107">
        <f t="shared" si="49"/>
        <v>113170</v>
      </c>
      <c r="AJ104" s="107">
        <f t="shared" si="50"/>
        <v>17201840</v>
      </c>
      <c r="AK104" s="249">
        <f>IF(VLOOKUP($A104,'Rate Calculation'!$A$4:$D$208,4,FALSE)="baltimore city",0.1,0.08)</f>
        <v>0.08</v>
      </c>
      <c r="AL104" s="107">
        <f t="shared" si="51"/>
        <v>1376147</v>
      </c>
      <c r="AM104" s="105">
        <f>IF(ISERROR(MATCH(A104&amp;AA104,'Days Exceptions'!$C$3:$C$16,0)),ROUND(AL104/(MAX(S104,T104)),2),ROUND(AL104/VLOOKUP(A104,'Days Exceptions'!$A$3:$J$16,8,FALSE),2))</f>
        <v>26.95</v>
      </c>
      <c r="AN104" s="213">
        <f>VLOOKUP($A104,'Rate Calculation'!$A$4:$AF$208,32,FALSE)</f>
        <v>2.08</v>
      </c>
      <c r="AO104" s="109">
        <f t="shared" si="52"/>
        <v>29.03</v>
      </c>
      <c r="AP104" s="247">
        <f>VLOOKUP($A104,'Rate Calculation'!$A$4:$Q$208,17,FALSE)</f>
        <v>230.01</v>
      </c>
      <c r="AQ104" s="247">
        <f t="shared" si="68"/>
        <v>237.14</v>
      </c>
      <c r="AR104" s="247">
        <f>VLOOKUP($A104,'Rate Calculation'!$A$4:$K$208,11,FALSE)</f>
        <v>195.33</v>
      </c>
      <c r="AS104" s="247">
        <f t="shared" si="53"/>
        <v>201.39</v>
      </c>
      <c r="AT104" s="110">
        <f t="shared" si="54"/>
        <v>207.84</v>
      </c>
      <c r="AU104" s="110">
        <f t="shared" si="55"/>
        <v>187.65</v>
      </c>
      <c r="AV104" s="111">
        <f t="shared" si="56"/>
        <v>0</v>
      </c>
      <c r="AW104" s="110">
        <f t="shared" si="57"/>
        <v>187.65</v>
      </c>
      <c r="AX104" s="105">
        <f t="shared" si="58"/>
        <v>214.1</v>
      </c>
      <c r="AY104" s="105">
        <f t="shared" si="59"/>
        <v>178.27</v>
      </c>
      <c r="AZ104" s="105">
        <f t="shared" si="60"/>
        <v>-35.83</v>
      </c>
      <c r="BA104" s="105">
        <f t="shared" si="61"/>
        <v>249.54</v>
      </c>
      <c r="BB104" s="105">
        <f t="shared" si="62"/>
        <v>155.71</v>
      </c>
      <c r="BC104" s="110">
        <f t="shared" si="63"/>
        <v>364.8</v>
      </c>
      <c r="BD104" s="110">
        <f t="shared" si="64"/>
        <v>275.2</v>
      </c>
      <c r="BE104" s="110">
        <f t="shared" si="65"/>
        <v>181.37</v>
      </c>
      <c r="BF104" s="105"/>
      <c r="BG104" s="105"/>
      <c r="BH104" s="111"/>
      <c r="BI104" s="105"/>
      <c r="BJ104" s="105"/>
      <c r="BK104" s="109"/>
      <c r="BL104" s="111"/>
      <c r="BM104" s="109"/>
      <c r="BN104" s="109"/>
      <c r="BO104" s="105"/>
      <c r="BP104" s="105"/>
      <c r="BQ104" s="109"/>
      <c r="BR104" s="110"/>
      <c r="BS104" s="110"/>
      <c r="BT104" s="110"/>
      <c r="BU104" s="110"/>
      <c r="BV104" s="110"/>
      <c r="BW104" s="112"/>
      <c r="BX104" s="112"/>
      <c r="BY104" s="110"/>
      <c r="BZ104" s="105"/>
      <c r="CA104" s="105"/>
      <c r="CB104" s="105"/>
      <c r="CC104" s="105"/>
      <c r="CD104" s="105"/>
      <c r="CE104" s="105"/>
    </row>
    <row r="105" spans="1:83" x14ac:dyDescent="0.15">
      <c r="A105" s="103">
        <v>220</v>
      </c>
      <c r="B105" s="98" t="str">
        <f>VLOOKUP($A105,'Rate Calculation'!$A$4:$AQ$208,42,FALSE)</f>
        <v>420618500</v>
      </c>
      <c r="C105" s="98" t="str">
        <f>VLOOKUP($A105,'Rate Calculation'!$A$4:$AQ$208,43,FALSE)</f>
        <v>FutureCare - Cold Spring</v>
      </c>
      <c r="D105" s="98" t="str">
        <f>VLOOKUP($A105,'Rate Calculation'!$A$4:$F$208,5,FALSE)</f>
        <v>BALTIMORE METRO</v>
      </c>
      <c r="E105" s="98" t="str">
        <f>VLOOKUP($A105,'Rate Calculation'!$A$4:$F$208,6,FALSE)</f>
        <v>BALTIMORE CITY</v>
      </c>
      <c r="F105" s="105">
        <f t="shared" si="40"/>
        <v>117.69</v>
      </c>
      <c r="G105" s="105">
        <f t="shared" si="41"/>
        <v>25.66</v>
      </c>
      <c r="H105" s="105">
        <f t="shared" si="42"/>
        <v>40.270000000000003</v>
      </c>
      <c r="I105" s="105">
        <f t="shared" si="43"/>
        <v>191.85</v>
      </c>
      <c r="J105" s="105">
        <f>VLOOKUP($A105,'Rate Calculation'!$A$4:$AZ$208,34,FALSE)</f>
        <v>0</v>
      </c>
      <c r="K105" s="105">
        <f t="shared" si="66"/>
        <v>375.47</v>
      </c>
      <c r="L105" s="164">
        <f t="shared" si="44"/>
        <v>0.98772000000000004</v>
      </c>
      <c r="M105" s="105">
        <f t="shared" si="67"/>
        <v>370.86</v>
      </c>
      <c r="N105" s="105">
        <f>VLOOKUP($A105,'Rate Calculation'!$A$4:$AL$208,38,FALSE)</f>
        <v>25.68</v>
      </c>
      <c r="O105" s="183">
        <f>VLOOKUP($A105,'Rate Calculation'!$A$4:$I$208,9,FALSE)</f>
        <v>1.4371</v>
      </c>
      <c r="P105" s="183">
        <f t="shared" si="38"/>
        <v>1.4432</v>
      </c>
      <c r="Q105" s="183">
        <f>VLOOKUP(A105,'CMI Data'!$A$4:$C$208,3,FALSE)</f>
        <v>1.4093</v>
      </c>
      <c r="R105" s="246">
        <f>VLOOKUP($A105,FRV!$A$4:$K$208,11,FALSE)</f>
        <v>50005</v>
      </c>
      <c r="S105" s="246">
        <f t="shared" si="39"/>
        <v>40769</v>
      </c>
      <c r="T105" s="246">
        <f>VLOOKUP($A105,FRV!$A$4:$L$208,12,FALSE)</f>
        <v>44233</v>
      </c>
      <c r="U105" s="183">
        <f>Inflation!$G$24</f>
        <v>1.0309999999999999</v>
      </c>
      <c r="V105" s="247">
        <f>VLOOKUP($A105,'Rate Calculation'!A106:X310,24,FALSE)</f>
        <v>114.15</v>
      </c>
      <c r="W105" s="110">
        <f t="shared" si="45"/>
        <v>117.69</v>
      </c>
      <c r="X105" s="110">
        <f>VLOOKUP($A105,'Rate Calculation'!A106:V310,22,FALSE)</f>
        <v>24.89</v>
      </c>
      <c r="Y105" s="110">
        <f t="shared" si="46"/>
        <v>25.66</v>
      </c>
      <c r="Z105" s="212">
        <f>VLOOKUP($A105,FRV!$A$4:$D$208,4,FALSE)</f>
        <v>44743</v>
      </c>
      <c r="AA105" s="212">
        <f>VLOOKUP($A105,FRV!$A$4:$F$208,6,FALSE)</f>
        <v>44926</v>
      </c>
      <c r="AB105" s="248">
        <f>VLOOKUP($A105,FRV!$A$4:$U$208,13,FALSE)</f>
        <v>14171789</v>
      </c>
      <c r="AC105" s="248">
        <f>VLOOKUP($A105,FRV!$A$4:$U$208,15,FALSE)</f>
        <v>365170</v>
      </c>
      <c r="AD105" s="248">
        <f>VLOOKUP($A105,FRV!$A$4:$U$208,14,FALSE)</f>
        <v>20000</v>
      </c>
      <c r="AE105" s="248">
        <f>VLOOKUP($A105,FRV!$A$4:$U$208,7,FALSE)</f>
        <v>137</v>
      </c>
      <c r="AF105" s="107">
        <f t="shared" si="47"/>
        <v>17276959</v>
      </c>
      <c r="AG105" s="107">
        <f t="shared" si="48"/>
        <v>126109</v>
      </c>
      <c r="AH105" s="107">
        <v>120000</v>
      </c>
      <c r="AI105" s="107">
        <f t="shared" si="49"/>
        <v>120000</v>
      </c>
      <c r="AJ105" s="107">
        <f t="shared" si="50"/>
        <v>16440000</v>
      </c>
      <c r="AK105" s="249">
        <f>IF(VLOOKUP($A105,'Rate Calculation'!$A$4:$D$208,4,FALSE)="baltimore city",0.1,0.08)</f>
        <v>0.1</v>
      </c>
      <c r="AL105" s="107">
        <f t="shared" si="51"/>
        <v>1644000</v>
      </c>
      <c r="AM105" s="105">
        <f>IF(ISERROR(MATCH(A105&amp;AA105,'Days Exceptions'!$C$3:$C$16,0)),ROUND(AL105/(MAX(S105,T105)),2),ROUND(AL105/VLOOKUP(A105,'Days Exceptions'!$A$3:$J$16,8,FALSE),2))</f>
        <v>37.17</v>
      </c>
      <c r="AN105" s="213">
        <f>VLOOKUP($A105,'Rate Calculation'!$A$4:$AF$208,32,FALSE)</f>
        <v>3.1</v>
      </c>
      <c r="AO105" s="109">
        <f t="shared" si="52"/>
        <v>40.270000000000003</v>
      </c>
      <c r="AP105" s="247">
        <f>VLOOKUP($A105,'Rate Calculation'!$A$4:$Q$208,17,FALSE)</f>
        <v>180.03</v>
      </c>
      <c r="AQ105" s="247">
        <f t="shared" si="68"/>
        <v>185.61</v>
      </c>
      <c r="AR105" s="247">
        <f>VLOOKUP($A105,'Rate Calculation'!$A$4:$K$208,11,FALSE)</f>
        <v>195.33</v>
      </c>
      <c r="AS105" s="247">
        <f t="shared" si="53"/>
        <v>201.39</v>
      </c>
      <c r="AT105" s="110">
        <f t="shared" si="54"/>
        <v>200.54</v>
      </c>
      <c r="AU105" s="110">
        <f t="shared" si="55"/>
        <v>196.66</v>
      </c>
      <c r="AV105" s="111">
        <f t="shared" si="56"/>
        <v>-4.8099999999999996</v>
      </c>
      <c r="AW105" s="110">
        <f t="shared" si="57"/>
        <v>191.85</v>
      </c>
      <c r="AX105" s="105">
        <f t="shared" si="58"/>
        <v>182.02</v>
      </c>
      <c r="AY105" s="105">
        <f t="shared" si="59"/>
        <v>186.83</v>
      </c>
      <c r="AZ105" s="105">
        <f t="shared" si="60"/>
        <v>4.8099999999999996</v>
      </c>
      <c r="BA105" s="105">
        <f t="shared" si="61"/>
        <v>279.55</v>
      </c>
      <c r="BB105" s="105">
        <f t="shared" si="62"/>
        <v>183.62</v>
      </c>
      <c r="BC105" s="110">
        <f t="shared" si="63"/>
        <v>396.54</v>
      </c>
      <c r="BD105" s="110">
        <f t="shared" si="64"/>
        <v>305.23</v>
      </c>
      <c r="BE105" s="110">
        <f t="shared" si="65"/>
        <v>209.3</v>
      </c>
      <c r="BF105" s="105"/>
      <c r="BG105" s="105"/>
      <c r="BH105" s="111"/>
      <c r="BI105" s="105"/>
      <c r="BJ105" s="105"/>
      <c r="BK105" s="109"/>
      <c r="BL105" s="111"/>
      <c r="BM105" s="109"/>
      <c r="BN105" s="109"/>
      <c r="BO105" s="105"/>
      <c r="BP105" s="105"/>
      <c r="BQ105" s="109"/>
      <c r="BR105" s="110"/>
      <c r="BS105" s="110"/>
      <c r="BT105" s="110"/>
      <c r="BU105" s="110"/>
      <c r="BV105" s="110"/>
      <c r="BW105" s="112"/>
      <c r="BX105" s="112"/>
      <c r="BY105" s="110"/>
      <c r="BZ105" s="105"/>
      <c r="CA105" s="105"/>
      <c r="CB105" s="105"/>
      <c r="CC105" s="105"/>
      <c r="CD105" s="105"/>
      <c r="CE105" s="105"/>
    </row>
    <row r="106" spans="1:83" x14ac:dyDescent="0.15">
      <c r="A106" s="103">
        <v>250</v>
      </c>
      <c r="B106" s="98" t="str">
        <f>VLOOKUP($A106,'Rate Calculation'!$A$4:$AQ$208,42,FALSE)</f>
        <v>422782400</v>
      </c>
      <c r="C106" s="98" t="str">
        <f>VLOOKUP($A106,'Rate Calculation'!$A$4:$AQ$208,43,FALSE)</f>
        <v>FutureCare - Courtland</v>
      </c>
      <c r="D106" s="98" t="str">
        <f>VLOOKUP($A106,'Rate Calculation'!$A$4:$F$208,5,FALSE)</f>
        <v>BALTIMORE METRO</v>
      </c>
      <c r="E106" s="98" t="str">
        <f>VLOOKUP($A106,'Rate Calculation'!$A$4:$F$208,6,FALSE)</f>
        <v>BALTIMORE METRO</v>
      </c>
      <c r="F106" s="105">
        <f t="shared" si="40"/>
        <v>105.18</v>
      </c>
      <c r="G106" s="105">
        <f t="shared" si="41"/>
        <v>21.5</v>
      </c>
      <c r="H106" s="105">
        <f t="shared" si="42"/>
        <v>30.24</v>
      </c>
      <c r="I106" s="105">
        <f t="shared" si="43"/>
        <v>195.39</v>
      </c>
      <c r="J106" s="105">
        <f>VLOOKUP($A106,'Rate Calculation'!$A$4:$AZ$208,34,FALSE)</f>
        <v>0</v>
      </c>
      <c r="K106" s="105">
        <f t="shared" si="66"/>
        <v>352.31</v>
      </c>
      <c r="L106" s="164">
        <f t="shared" si="44"/>
        <v>0.98772000000000004</v>
      </c>
      <c r="M106" s="105">
        <f t="shared" si="67"/>
        <v>347.98</v>
      </c>
      <c r="N106" s="105">
        <f>VLOOKUP($A106,'Rate Calculation'!$A$4:$AL$208,38,FALSE)</f>
        <v>29.35</v>
      </c>
      <c r="O106" s="183">
        <f>VLOOKUP($A106,'Rate Calculation'!$A$4:$I$208,9,FALSE)</f>
        <v>1.4458</v>
      </c>
      <c r="P106" s="183">
        <f t="shared" si="38"/>
        <v>1.4432</v>
      </c>
      <c r="Q106" s="183">
        <f>VLOOKUP(A106,'CMI Data'!$A$4:$C$208,3,FALSE)</f>
        <v>1.4328000000000001</v>
      </c>
      <c r="R106" s="246">
        <f>VLOOKUP($A106,FRV!$A$4:$K$208,11,FALSE)</f>
        <v>55115</v>
      </c>
      <c r="S106" s="246">
        <f t="shared" si="39"/>
        <v>44935</v>
      </c>
      <c r="T106" s="246">
        <f>VLOOKUP($A106,FRV!$A$4:$L$208,12,FALSE)</f>
        <v>50774</v>
      </c>
      <c r="U106" s="183">
        <f>Inflation!$G$24</f>
        <v>1.0309999999999999</v>
      </c>
      <c r="V106" s="247">
        <f>VLOOKUP($A106,'Rate Calculation'!A107:X311,24,FALSE)</f>
        <v>102.02</v>
      </c>
      <c r="W106" s="110">
        <f t="shared" si="45"/>
        <v>105.18</v>
      </c>
      <c r="X106" s="110">
        <f>VLOOKUP($A106,'Rate Calculation'!A107:V311,22,FALSE)</f>
        <v>20.85</v>
      </c>
      <c r="Y106" s="110">
        <f t="shared" si="46"/>
        <v>21.5</v>
      </c>
      <c r="Z106" s="212">
        <f>VLOOKUP($A106,FRV!$A$4:$D$208,4,FALSE)</f>
        <v>45108</v>
      </c>
      <c r="AA106" s="212">
        <f>VLOOKUP($A106,FRV!$A$4:$F$208,6,FALSE)</f>
        <v>45291</v>
      </c>
      <c r="AB106" s="248">
        <f>VLOOKUP($A106,FRV!$A$4:$U$208,13,FALSE)</f>
        <v>19473610</v>
      </c>
      <c r="AC106" s="248">
        <f>VLOOKUP($A106,FRV!$A$4:$U$208,15,FALSE)</f>
        <v>506775</v>
      </c>
      <c r="AD106" s="248">
        <f>VLOOKUP($A106,FRV!$A$4:$U$208,14,FALSE)</f>
        <v>21000</v>
      </c>
      <c r="AE106" s="248">
        <f>VLOOKUP($A106,FRV!$A$4:$U$208,7,FALSE)</f>
        <v>151</v>
      </c>
      <c r="AF106" s="107">
        <f t="shared" si="47"/>
        <v>23151385</v>
      </c>
      <c r="AG106" s="107">
        <f t="shared" si="48"/>
        <v>153320</v>
      </c>
      <c r="AH106" s="107">
        <v>120000</v>
      </c>
      <c r="AI106" s="107">
        <f t="shared" si="49"/>
        <v>120000</v>
      </c>
      <c r="AJ106" s="107">
        <f t="shared" si="50"/>
        <v>18120000</v>
      </c>
      <c r="AK106" s="249">
        <f>IF(VLOOKUP($A106,'Rate Calculation'!$A$4:$D$208,4,FALSE)="baltimore city",0.1,0.08)</f>
        <v>0.08</v>
      </c>
      <c r="AL106" s="107">
        <f t="shared" si="51"/>
        <v>1449600</v>
      </c>
      <c r="AM106" s="105">
        <f>IF(ISERROR(MATCH(A106&amp;AA106,'Days Exceptions'!$C$3:$C$16,0)),ROUND(AL106/(MAX(S106,T106)),2),ROUND(AL106/VLOOKUP(A106,'Days Exceptions'!$A$3:$J$16,8,FALSE),2))</f>
        <v>28.55</v>
      </c>
      <c r="AN106" s="213">
        <f>VLOOKUP($A106,'Rate Calculation'!$A$4:$AF$208,32,FALSE)</f>
        <v>1.69</v>
      </c>
      <c r="AO106" s="109">
        <f t="shared" si="52"/>
        <v>30.24</v>
      </c>
      <c r="AP106" s="247">
        <f>VLOOKUP($A106,'Rate Calculation'!$A$4:$Q$208,17,FALSE)</f>
        <v>181.45</v>
      </c>
      <c r="AQ106" s="247">
        <f t="shared" si="68"/>
        <v>187.07</v>
      </c>
      <c r="AR106" s="247">
        <f>VLOOKUP($A106,'Rate Calculation'!$A$4:$K$208,11,FALSE)</f>
        <v>195.33</v>
      </c>
      <c r="AS106" s="247">
        <f t="shared" si="53"/>
        <v>201.39</v>
      </c>
      <c r="AT106" s="110">
        <f t="shared" si="54"/>
        <v>201.75</v>
      </c>
      <c r="AU106" s="110">
        <f t="shared" si="55"/>
        <v>199.94</v>
      </c>
      <c r="AV106" s="111">
        <f t="shared" si="56"/>
        <v>-4.55</v>
      </c>
      <c r="AW106" s="110">
        <f t="shared" si="57"/>
        <v>195.39</v>
      </c>
      <c r="AX106" s="105">
        <f t="shared" si="58"/>
        <v>185.39</v>
      </c>
      <c r="AY106" s="105">
        <f t="shared" si="59"/>
        <v>189.94</v>
      </c>
      <c r="AZ106" s="105">
        <f t="shared" si="60"/>
        <v>4.55</v>
      </c>
      <c r="BA106" s="105">
        <f t="shared" si="61"/>
        <v>254.62</v>
      </c>
      <c r="BB106" s="105">
        <f t="shared" si="62"/>
        <v>156.91999999999999</v>
      </c>
      <c r="BC106" s="110">
        <f t="shared" si="63"/>
        <v>377.33</v>
      </c>
      <c r="BD106" s="110">
        <f t="shared" si="64"/>
        <v>283.97000000000003</v>
      </c>
      <c r="BE106" s="110">
        <f t="shared" si="65"/>
        <v>186.27</v>
      </c>
      <c r="BF106" s="105"/>
      <c r="BG106" s="105"/>
      <c r="BH106" s="111"/>
      <c r="BI106" s="105"/>
      <c r="BJ106" s="105"/>
      <c r="BK106" s="109"/>
      <c r="BL106" s="111"/>
      <c r="BM106" s="109"/>
      <c r="BN106" s="109"/>
      <c r="BO106" s="105"/>
      <c r="BP106" s="105"/>
      <c r="BQ106" s="109"/>
      <c r="BR106" s="110"/>
      <c r="BS106" s="110"/>
      <c r="BT106" s="110"/>
      <c r="BU106" s="110"/>
      <c r="BV106" s="110"/>
      <c r="BW106" s="112"/>
      <c r="BX106" s="112"/>
      <c r="BY106" s="110"/>
      <c r="BZ106" s="105"/>
      <c r="CA106" s="105"/>
      <c r="CB106" s="105"/>
      <c r="CC106" s="105"/>
      <c r="CD106" s="105"/>
      <c r="CE106" s="105"/>
    </row>
    <row r="107" spans="1:83" x14ac:dyDescent="0.15">
      <c r="A107" s="103">
        <v>186</v>
      </c>
      <c r="B107" s="98" t="str">
        <f>VLOOKUP($A107,'Rate Calculation'!$A$4:$AQ$208,42,FALSE)</f>
        <v>842825500</v>
      </c>
      <c r="C107" s="98" t="str">
        <f>VLOOKUP($A107,'Rate Calculation'!$A$4:$AQ$208,43,FALSE)</f>
        <v>FutureCare - Homewood</v>
      </c>
      <c r="D107" s="98" t="str">
        <f>VLOOKUP($A107,'Rate Calculation'!$A$4:$F$208,5,FALSE)</f>
        <v>BALTIMORE METRO</v>
      </c>
      <c r="E107" s="98" t="str">
        <f>VLOOKUP($A107,'Rate Calculation'!$A$4:$F$208,6,FALSE)</f>
        <v>BALTIMORE CITY</v>
      </c>
      <c r="F107" s="105">
        <f t="shared" si="40"/>
        <v>117.69</v>
      </c>
      <c r="G107" s="105">
        <f t="shared" si="41"/>
        <v>25.66</v>
      </c>
      <c r="H107" s="105">
        <f t="shared" si="42"/>
        <v>42.46</v>
      </c>
      <c r="I107" s="105">
        <f t="shared" si="43"/>
        <v>213.87</v>
      </c>
      <c r="J107" s="105">
        <f>VLOOKUP($A107,'Rate Calculation'!$A$4:$AZ$208,34,FALSE)</f>
        <v>0</v>
      </c>
      <c r="K107" s="105">
        <f t="shared" si="66"/>
        <v>399.68</v>
      </c>
      <c r="L107" s="164">
        <f t="shared" si="44"/>
        <v>0.98772000000000004</v>
      </c>
      <c r="M107" s="105">
        <f t="shared" si="67"/>
        <v>394.77</v>
      </c>
      <c r="N107" s="105">
        <f>VLOOKUP($A107,'Rate Calculation'!$A$4:$AL$208,38,FALSE)</f>
        <v>26.26</v>
      </c>
      <c r="O107" s="183">
        <f>VLOOKUP($A107,'Rate Calculation'!$A$4:$I$208,9,FALSE)</f>
        <v>1.9034</v>
      </c>
      <c r="P107" s="183">
        <f t="shared" si="38"/>
        <v>1.4432</v>
      </c>
      <c r="Q107" s="183">
        <f>VLOOKUP(A107,'CMI Data'!$A$4:$C$208,3,FALSE)</f>
        <v>1.5326</v>
      </c>
      <c r="R107" s="246">
        <f>VLOOKUP($A107,FRV!$A$4:$K$208,11,FALSE)</f>
        <v>54020</v>
      </c>
      <c r="S107" s="246">
        <f t="shared" si="39"/>
        <v>44043</v>
      </c>
      <c r="T107" s="246">
        <f>VLOOKUP($A107,FRV!$A$4:$L$208,12,FALSE)</f>
        <v>45129</v>
      </c>
      <c r="U107" s="183">
        <f>Inflation!$G$24</f>
        <v>1.0309999999999999</v>
      </c>
      <c r="V107" s="247">
        <f>VLOOKUP($A107,'Rate Calculation'!A108:X312,24,FALSE)</f>
        <v>114.15</v>
      </c>
      <c r="W107" s="110">
        <f t="shared" si="45"/>
        <v>117.69</v>
      </c>
      <c r="X107" s="110">
        <f>VLOOKUP($A107,'Rate Calculation'!A108:V312,22,FALSE)</f>
        <v>24.89</v>
      </c>
      <c r="Y107" s="110">
        <f t="shared" si="46"/>
        <v>25.66</v>
      </c>
      <c r="Z107" s="212">
        <f>VLOOKUP($A107,FRV!$A$4:$D$208,4,FALSE)</f>
        <v>44743</v>
      </c>
      <c r="AA107" s="212">
        <f>VLOOKUP($A107,FRV!$A$4:$F$208,6,FALSE)</f>
        <v>44926</v>
      </c>
      <c r="AB107" s="248">
        <f>VLOOKUP($A107,FRV!$A$4:$U$208,13,FALSE)</f>
        <v>30009337</v>
      </c>
      <c r="AC107" s="248">
        <f>VLOOKUP($A107,FRV!$A$4:$U$208,15,FALSE)</f>
        <v>601383</v>
      </c>
      <c r="AD107" s="248">
        <f>VLOOKUP($A107,FRV!$A$4:$U$208,14,FALSE)</f>
        <v>20500</v>
      </c>
      <c r="AE107" s="248">
        <f>VLOOKUP($A107,FRV!$A$4:$U$208,7,FALSE)</f>
        <v>148</v>
      </c>
      <c r="AF107" s="107">
        <f t="shared" si="47"/>
        <v>33644720</v>
      </c>
      <c r="AG107" s="107">
        <f t="shared" si="48"/>
        <v>227329</v>
      </c>
      <c r="AH107" s="107">
        <v>120000</v>
      </c>
      <c r="AI107" s="107">
        <f t="shared" si="49"/>
        <v>120000</v>
      </c>
      <c r="AJ107" s="107">
        <f t="shared" si="50"/>
        <v>17760000</v>
      </c>
      <c r="AK107" s="249">
        <f>IF(VLOOKUP($A107,'Rate Calculation'!$A$4:$D$208,4,FALSE)="baltimore city",0.1,0.08)</f>
        <v>0.1</v>
      </c>
      <c r="AL107" s="107">
        <f t="shared" si="51"/>
        <v>1776000</v>
      </c>
      <c r="AM107" s="105">
        <f>IF(ISERROR(MATCH(A107&amp;AA107,'Days Exceptions'!$C$3:$C$16,0)),ROUND(AL107/(MAX(S107,T107)),2),ROUND(AL107/VLOOKUP(A107,'Days Exceptions'!$A$3:$J$16,8,FALSE),2))</f>
        <v>39.35</v>
      </c>
      <c r="AN107" s="213">
        <f>VLOOKUP($A107,'Rate Calculation'!$A$4:$AF$208,32,FALSE)</f>
        <v>3.11</v>
      </c>
      <c r="AO107" s="109">
        <f t="shared" si="52"/>
        <v>42.46</v>
      </c>
      <c r="AP107" s="247">
        <f>VLOOKUP($A107,'Rate Calculation'!$A$4:$Q$208,17,FALSE)</f>
        <v>287.73</v>
      </c>
      <c r="AQ107" s="247">
        <f t="shared" si="68"/>
        <v>296.64999999999998</v>
      </c>
      <c r="AR107" s="247">
        <f>VLOOKUP($A107,'Rate Calculation'!$A$4:$K$208,11,FALSE)</f>
        <v>195.33</v>
      </c>
      <c r="AS107" s="247">
        <f t="shared" si="53"/>
        <v>201.39</v>
      </c>
      <c r="AT107" s="110">
        <f t="shared" si="54"/>
        <v>265.61</v>
      </c>
      <c r="AU107" s="110">
        <f t="shared" si="55"/>
        <v>213.87</v>
      </c>
      <c r="AV107" s="111">
        <f t="shared" si="56"/>
        <v>0</v>
      </c>
      <c r="AW107" s="110">
        <f t="shared" si="57"/>
        <v>213.87</v>
      </c>
      <c r="AX107" s="105">
        <f t="shared" si="58"/>
        <v>238.86</v>
      </c>
      <c r="AY107" s="105">
        <f t="shared" si="59"/>
        <v>203.18</v>
      </c>
      <c r="AZ107" s="105">
        <f t="shared" si="60"/>
        <v>-35.68</v>
      </c>
      <c r="BA107" s="105">
        <f t="shared" si="61"/>
        <v>292.75</v>
      </c>
      <c r="BB107" s="105">
        <f t="shared" si="62"/>
        <v>185.81</v>
      </c>
      <c r="BC107" s="110">
        <f t="shared" si="63"/>
        <v>421.03</v>
      </c>
      <c r="BD107" s="110">
        <f t="shared" si="64"/>
        <v>319.01</v>
      </c>
      <c r="BE107" s="110">
        <f t="shared" si="65"/>
        <v>212.07</v>
      </c>
      <c r="BF107" s="105"/>
      <c r="BG107" s="105"/>
      <c r="BH107" s="111"/>
      <c r="BI107" s="105"/>
      <c r="BJ107" s="105"/>
      <c r="BK107" s="109"/>
      <c r="BL107" s="111"/>
      <c r="BM107" s="109"/>
      <c r="BN107" s="109"/>
      <c r="BO107" s="105"/>
      <c r="BP107" s="105"/>
      <c r="BQ107" s="109"/>
      <c r="BR107" s="110"/>
      <c r="BS107" s="110"/>
      <c r="BT107" s="110"/>
      <c r="BU107" s="110"/>
      <c r="BV107" s="110"/>
      <c r="BW107" s="112"/>
      <c r="BX107" s="112"/>
      <c r="BY107" s="110"/>
      <c r="BZ107" s="105"/>
      <c r="CA107" s="105"/>
      <c r="CB107" s="105"/>
      <c r="CC107" s="105"/>
      <c r="CD107" s="105"/>
      <c r="CE107" s="105"/>
    </row>
    <row r="108" spans="1:83" x14ac:dyDescent="0.15">
      <c r="A108" s="103">
        <v>713</v>
      </c>
      <c r="B108" s="98" t="str">
        <f>VLOOKUP($A108,'Rate Calculation'!$A$4:$AQ$208,42,FALSE)</f>
        <v>400450700</v>
      </c>
      <c r="C108" s="98" t="str">
        <f>VLOOKUP($A108,'Rate Calculation'!$A$4:$AQ$208,43,FALSE)</f>
        <v>FutureCare - Irvington, LLC</v>
      </c>
      <c r="D108" s="98" t="str">
        <f>VLOOKUP($A108,'Rate Calculation'!$A$4:$F$208,5,FALSE)</f>
        <v>BALTIMORE METRO</v>
      </c>
      <c r="E108" s="98" t="str">
        <f>VLOOKUP($A108,'Rate Calculation'!$A$4:$F$208,6,FALSE)</f>
        <v>BALTIMORE CITY</v>
      </c>
      <c r="F108" s="105">
        <f t="shared" si="40"/>
        <v>117.69</v>
      </c>
      <c r="G108" s="105">
        <f t="shared" si="41"/>
        <v>25.66</v>
      </c>
      <c r="H108" s="105">
        <f t="shared" si="42"/>
        <v>38.799999999999997</v>
      </c>
      <c r="I108" s="105">
        <f t="shared" si="43"/>
        <v>216.71</v>
      </c>
      <c r="J108" s="105">
        <f>VLOOKUP($A108,'Rate Calculation'!$A$4:$AZ$208,34,FALSE)</f>
        <v>0</v>
      </c>
      <c r="K108" s="105">
        <f t="shared" si="66"/>
        <v>398.86</v>
      </c>
      <c r="L108" s="164">
        <f t="shared" si="44"/>
        <v>0.98772000000000004</v>
      </c>
      <c r="M108" s="105">
        <f t="shared" si="67"/>
        <v>393.96</v>
      </c>
      <c r="N108" s="105">
        <f>VLOOKUP($A108,'Rate Calculation'!$A$4:$AL$208,38,FALSE)</f>
        <v>28.67</v>
      </c>
      <c r="O108" s="183">
        <f>VLOOKUP($A108,'Rate Calculation'!$A$4:$I$208,9,FALSE)</f>
        <v>1.968</v>
      </c>
      <c r="P108" s="183">
        <f t="shared" si="38"/>
        <v>1.4432</v>
      </c>
      <c r="Q108" s="183">
        <f>VLOOKUP(A108,'CMI Data'!$A$4:$C$208,3,FALSE)</f>
        <v>1.595</v>
      </c>
      <c r="R108" s="246">
        <f>VLOOKUP($A108,FRV!$A$4:$K$208,11,FALSE)</f>
        <v>73000</v>
      </c>
      <c r="S108" s="246">
        <f t="shared" si="39"/>
        <v>59517</v>
      </c>
      <c r="T108" s="246">
        <f>VLOOKUP($A108,FRV!$A$4:$L$208,12,FALSE)</f>
        <v>63680</v>
      </c>
      <c r="U108" s="183">
        <f>Inflation!$G$24</f>
        <v>1.0309999999999999</v>
      </c>
      <c r="V108" s="247">
        <f>VLOOKUP($A108,'Rate Calculation'!A109:X313,24,FALSE)</f>
        <v>114.15</v>
      </c>
      <c r="W108" s="110">
        <f t="shared" si="45"/>
        <v>117.69</v>
      </c>
      <c r="X108" s="110">
        <f>VLOOKUP($A108,'Rate Calculation'!A109:V313,22,FALSE)</f>
        <v>24.89</v>
      </c>
      <c r="Y108" s="110">
        <f t="shared" si="46"/>
        <v>25.66</v>
      </c>
      <c r="Z108" s="212">
        <f>VLOOKUP($A108,FRV!$A$4:$D$208,4,FALSE)</f>
        <v>45108</v>
      </c>
      <c r="AA108" s="212">
        <f>VLOOKUP($A108,FRV!$A$4:$F$208,6,FALSE)</f>
        <v>45291</v>
      </c>
      <c r="AB108" s="248">
        <f>VLOOKUP($A108,FRV!$A$4:$U$208,13,FALSE)</f>
        <v>27285839</v>
      </c>
      <c r="AC108" s="248">
        <f>VLOOKUP($A108,FRV!$A$4:$U$208,15,FALSE)</f>
        <v>431728</v>
      </c>
      <c r="AD108" s="248">
        <f>VLOOKUP($A108,FRV!$A$4:$U$208,14,FALSE)</f>
        <v>21000</v>
      </c>
      <c r="AE108" s="248">
        <f>VLOOKUP($A108,FRV!$A$4:$U$208,7,FALSE)</f>
        <v>200</v>
      </c>
      <c r="AF108" s="107">
        <f t="shared" si="47"/>
        <v>31917567</v>
      </c>
      <c r="AG108" s="107">
        <f t="shared" si="48"/>
        <v>159588</v>
      </c>
      <c r="AH108" s="107">
        <v>120000</v>
      </c>
      <c r="AI108" s="107">
        <f t="shared" si="49"/>
        <v>120000</v>
      </c>
      <c r="AJ108" s="107">
        <f t="shared" si="50"/>
        <v>24000000</v>
      </c>
      <c r="AK108" s="249">
        <f>IF(VLOOKUP($A108,'Rate Calculation'!$A$4:$D$208,4,FALSE)="baltimore city",0.1,0.08)</f>
        <v>0.1</v>
      </c>
      <c r="AL108" s="107">
        <f t="shared" si="51"/>
        <v>2400000</v>
      </c>
      <c r="AM108" s="105">
        <f>IF(ISERROR(MATCH(A108&amp;AA108,'Days Exceptions'!$C$3:$C$16,0)),ROUND(AL108/(MAX(S108,T108)),2),ROUND(AL108/VLOOKUP(A108,'Days Exceptions'!$A$3:$J$16,8,FALSE),2))</f>
        <v>37.69</v>
      </c>
      <c r="AN108" s="213">
        <f>VLOOKUP($A108,'Rate Calculation'!$A$4:$AF$208,32,FALSE)</f>
        <v>1.1100000000000001</v>
      </c>
      <c r="AO108" s="109">
        <f t="shared" si="52"/>
        <v>38.799999999999997</v>
      </c>
      <c r="AP108" s="247">
        <f>VLOOKUP($A108,'Rate Calculation'!$A$4:$Q$208,17,FALSE)</f>
        <v>246.03</v>
      </c>
      <c r="AQ108" s="247">
        <f t="shared" si="68"/>
        <v>253.66</v>
      </c>
      <c r="AR108" s="247">
        <f>VLOOKUP($A108,'Rate Calculation'!$A$4:$K$208,11,FALSE)</f>
        <v>195.33</v>
      </c>
      <c r="AS108" s="247">
        <f t="shared" si="53"/>
        <v>201.39</v>
      </c>
      <c r="AT108" s="110">
        <f t="shared" si="54"/>
        <v>274.62</v>
      </c>
      <c r="AU108" s="110">
        <f t="shared" si="55"/>
        <v>222.57</v>
      </c>
      <c r="AV108" s="111">
        <f t="shared" si="56"/>
        <v>-5.86</v>
      </c>
      <c r="AW108" s="110">
        <f t="shared" si="57"/>
        <v>216.71</v>
      </c>
      <c r="AX108" s="105">
        <f t="shared" si="58"/>
        <v>205.58</v>
      </c>
      <c r="AY108" s="105">
        <f t="shared" si="59"/>
        <v>211.44</v>
      </c>
      <c r="AZ108" s="105">
        <f t="shared" si="60"/>
        <v>5.86</v>
      </c>
      <c r="BA108" s="105">
        <f t="shared" si="61"/>
        <v>290.51</v>
      </c>
      <c r="BB108" s="105">
        <f t="shared" si="62"/>
        <v>182.15</v>
      </c>
      <c r="BC108" s="110">
        <f t="shared" si="63"/>
        <v>422.63</v>
      </c>
      <c r="BD108" s="110">
        <f t="shared" si="64"/>
        <v>319.18</v>
      </c>
      <c r="BE108" s="110">
        <f t="shared" si="65"/>
        <v>210.82</v>
      </c>
      <c r="BF108" s="105"/>
      <c r="BG108" s="105"/>
      <c r="BH108" s="111"/>
      <c r="BI108" s="105"/>
      <c r="BJ108" s="105"/>
      <c r="BK108" s="109"/>
      <c r="BL108" s="111"/>
      <c r="BM108" s="109"/>
      <c r="BN108" s="109"/>
      <c r="BO108" s="105"/>
      <c r="BP108" s="105"/>
      <c r="BQ108" s="109"/>
      <c r="BR108" s="110"/>
      <c r="BS108" s="110"/>
      <c r="BT108" s="110"/>
      <c r="BU108" s="110"/>
      <c r="BV108" s="110"/>
      <c r="BW108" s="112"/>
      <c r="BX108" s="112"/>
      <c r="BY108" s="110"/>
      <c r="BZ108" s="105"/>
      <c r="CA108" s="105"/>
      <c r="CB108" s="105"/>
      <c r="CC108" s="105"/>
      <c r="CD108" s="105"/>
      <c r="CE108" s="105"/>
    </row>
    <row r="109" spans="1:83" x14ac:dyDescent="0.15">
      <c r="A109" s="103">
        <v>717</v>
      </c>
      <c r="B109" s="98" t="str">
        <f>VLOOKUP($A109,'Rate Calculation'!$A$4:$AQ$208,42,FALSE)</f>
        <v>407599400</v>
      </c>
      <c r="C109" s="98" t="str">
        <f>VLOOKUP($A109,'Rate Calculation'!$A$4:$AQ$208,43,FALSE)</f>
        <v>FutureCare - Lochearn</v>
      </c>
      <c r="D109" s="98" t="str">
        <f>VLOOKUP($A109,'Rate Calculation'!$A$4:$F$208,5,FALSE)</f>
        <v>BALTIMORE METRO</v>
      </c>
      <c r="E109" s="98" t="str">
        <f>VLOOKUP($A109,'Rate Calculation'!$A$4:$F$208,6,FALSE)</f>
        <v>BALTIMORE CITY</v>
      </c>
      <c r="F109" s="105">
        <f t="shared" si="40"/>
        <v>117.69</v>
      </c>
      <c r="G109" s="105">
        <f t="shared" si="41"/>
        <v>25.66</v>
      </c>
      <c r="H109" s="105">
        <f t="shared" si="42"/>
        <v>36.57</v>
      </c>
      <c r="I109" s="105">
        <f t="shared" si="43"/>
        <v>198.02</v>
      </c>
      <c r="J109" s="105">
        <f>VLOOKUP($A109,'Rate Calculation'!$A$4:$AZ$208,34,FALSE)</f>
        <v>0</v>
      </c>
      <c r="K109" s="105">
        <f t="shared" si="66"/>
        <v>377.94</v>
      </c>
      <c r="L109" s="164">
        <f t="shared" si="44"/>
        <v>0.98772000000000004</v>
      </c>
      <c r="M109" s="105">
        <f t="shared" si="67"/>
        <v>373.3</v>
      </c>
      <c r="N109" s="105">
        <f>VLOOKUP($A109,'Rate Calculation'!$A$4:$AL$208,38,FALSE)</f>
        <v>2.5499999999999998</v>
      </c>
      <c r="O109" s="183">
        <f>VLOOKUP($A109,'Rate Calculation'!$A$4:$I$208,9,FALSE)</f>
        <v>1.4358</v>
      </c>
      <c r="P109" s="183">
        <f t="shared" si="38"/>
        <v>1.4432</v>
      </c>
      <c r="Q109" s="183">
        <f>VLOOKUP(A109,'CMI Data'!$A$4:$C$208,3,FALSE)</f>
        <v>1.419</v>
      </c>
      <c r="R109" s="246">
        <f>VLOOKUP($A109,FRV!$A$4:$K$208,11,FALSE)</f>
        <v>73000</v>
      </c>
      <c r="S109" s="246">
        <f t="shared" si="39"/>
        <v>59517</v>
      </c>
      <c r="T109" s="246">
        <f>VLOOKUP($A109,FRV!$A$4:$L$208,12,FALSE)</f>
        <v>68235</v>
      </c>
      <c r="U109" s="183">
        <f>Inflation!$G$24</f>
        <v>1.0309999999999999</v>
      </c>
      <c r="V109" s="247">
        <f>VLOOKUP($A109,'Rate Calculation'!A110:X314,24,FALSE)</f>
        <v>114.15</v>
      </c>
      <c r="W109" s="110">
        <f t="shared" si="45"/>
        <v>117.69</v>
      </c>
      <c r="X109" s="110">
        <f>VLOOKUP($A109,'Rate Calculation'!A110:V314,22,FALSE)</f>
        <v>24.89</v>
      </c>
      <c r="Y109" s="110">
        <f t="shared" si="46"/>
        <v>25.66</v>
      </c>
      <c r="Z109" s="212">
        <f>VLOOKUP($A109,FRV!$A$4:$D$208,4,FALSE)</f>
        <v>44743</v>
      </c>
      <c r="AA109" s="212">
        <f>VLOOKUP($A109,FRV!$A$4:$F$208,6,FALSE)</f>
        <v>44926</v>
      </c>
      <c r="AB109" s="248">
        <f>VLOOKUP($A109,FRV!$A$4:$U$208,13,FALSE)</f>
        <v>25426020</v>
      </c>
      <c r="AC109" s="248">
        <f>VLOOKUP($A109,FRV!$A$4:$U$208,15,FALSE)</f>
        <v>559502</v>
      </c>
      <c r="AD109" s="248">
        <f>VLOOKUP($A109,FRV!$A$4:$U$208,14,FALSE)</f>
        <v>23000</v>
      </c>
      <c r="AE109" s="248">
        <f>VLOOKUP($A109,FRV!$A$4:$U$208,7,FALSE)</f>
        <v>200</v>
      </c>
      <c r="AF109" s="107">
        <f t="shared" si="47"/>
        <v>30585522</v>
      </c>
      <c r="AG109" s="107">
        <f t="shared" si="48"/>
        <v>152928</v>
      </c>
      <c r="AH109" s="107">
        <v>120000</v>
      </c>
      <c r="AI109" s="107">
        <f t="shared" si="49"/>
        <v>120000</v>
      </c>
      <c r="AJ109" s="107">
        <f t="shared" si="50"/>
        <v>24000000</v>
      </c>
      <c r="AK109" s="249">
        <f>IF(VLOOKUP($A109,'Rate Calculation'!$A$4:$D$208,4,FALSE)="baltimore city",0.1,0.08)</f>
        <v>0.1</v>
      </c>
      <c r="AL109" s="107">
        <f t="shared" si="51"/>
        <v>2400000</v>
      </c>
      <c r="AM109" s="105">
        <f>IF(ISERROR(MATCH(A109&amp;AA109,'Days Exceptions'!$C$3:$C$16,0)),ROUND(AL109/(MAX(S109,T109)),2),ROUND(AL109/VLOOKUP(A109,'Days Exceptions'!$A$3:$J$16,8,FALSE),2))</f>
        <v>35.17</v>
      </c>
      <c r="AN109" s="213">
        <f>VLOOKUP($A109,'Rate Calculation'!$A$4:$AF$208,32,FALSE)</f>
        <v>1.4</v>
      </c>
      <c r="AO109" s="109">
        <f t="shared" si="52"/>
        <v>36.57</v>
      </c>
      <c r="AP109" s="247">
        <f>VLOOKUP($A109,'Rate Calculation'!$A$4:$Q$208,17,FALSE)</f>
        <v>189.43</v>
      </c>
      <c r="AQ109" s="247">
        <f t="shared" si="68"/>
        <v>195.3</v>
      </c>
      <c r="AR109" s="247">
        <f>VLOOKUP($A109,'Rate Calculation'!$A$4:$K$208,11,FALSE)</f>
        <v>195.33</v>
      </c>
      <c r="AS109" s="247">
        <f t="shared" si="53"/>
        <v>201.39</v>
      </c>
      <c r="AT109" s="110">
        <f t="shared" si="54"/>
        <v>200.36</v>
      </c>
      <c r="AU109" s="110">
        <f t="shared" si="55"/>
        <v>198.02</v>
      </c>
      <c r="AV109" s="111">
        <f t="shared" si="56"/>
        <v>0</v>
      </c>
      <c r="AW109" s="110">
        <f t="shared" si="57"/>
        <v>198.02</v>
      </c>
      <c r="AX109" s="105">
        <f t="shared" si="58"/>
        <v>193.01</v>
      </c>
      <c r="AY109" s="105">
        <f t="shared" si="59"/>
        <v>188.12</v>
      </c>
      <c r="AZ109" s="105">
        <f t="shared" si="60"/>
        <v>-4.8899999999999997</v>
      </c>
      <c r="BA109" s="105">
        <f t="shared" si="61"/>
        <v>278.93</v>
      </c>
      <c r="BB109" s="105">
        <f t="shared" si="62"/>
        <v>179.92</v>
      </c>
      <c r="BC109" s="110">
        <f t="shared" si="63"/>
        <v>375.85</v>
      </c>
      <c r="BD109" s="110">
        <f t="shared" si="64"/>
        <v>281.48</v>
      </c>
      <c r="BE109" s="110">
        <f t="shared" si="65"/>
        <v>182.47</v>
      </c>
      <c r="BF109" s="105"/>
      <c r="BG109" s="105"/>
      <c r="BH109" s="111"/>
      <c r="BI109" s="105"/>
      <c r="BJ109" s="113"/>
      <c r="BK109" s="109"/>
      <c r="BL109" s="215"/>
      <c r="BM109" s="109"/>
      <c r="BN109" s="109"/>
      <c r="BO109" s="105"/>
      <c r="BP109" s="105"/>
      <c r="BQ109" s="109"/>
      <c r="BR109" s="110"/>
      <c r="BS109" s="110"/>
      <c r="BT109" s="110"/>
      <c r="BU109" s="110"/>
      <c r="BV109" s="110"/>
      <c r="BW109" s="112"/>
      <c r="BX109" s="112"/>
      <c r="BY109" s="110"/>
      <c r="BZ109" s="105"/>
      <c r="CA109" s="105"/>
      <c r="CB109" s="105"/>
      <c r="CC109" s="105"/>
      <c r="CD109" s="105"/>
      <c r="CE109" s="105"/>
    </row>
    <row r="110" spans="1:83" x14ac:dyDescent="0.15">
      <c r="A110" s="103">
        <v>144</v>
      </c>
      <c r="B110" s="98" t="str">
        <f>VLOOKUP($A110,'Rate Calculation'!$A$4:$AQ$208,42,FALSE)</f>
        <v>413677200</v>
      </c>
      <c r="C110" s="98" t="str">
        <f>VLOOKUP($A110,'Rate Calculation'!$A$4:$AQ$208,43,FALSE)</f>
        <v>FutureCare - Northpoint</v>
      </c>
      <c r="D110" s="98" t="str">
        <f>VLOOKUP($A110,'Rate Calculation'!$A$4:$F$208,5,FALSE)</f>
        <v>BALTIMORE METRO</v>
      </c>
      <c r="E110" s="98" t="str">
        <f>VLOOKUP($A110,'Rate Calculation'!$A$4:$F$208,6,FALSE)</f>
        <v>BALTIMORE METRO</v>
      </c>
      <c r="F110" s="105">
        <f t="shared" si="40"/>
        <v>105.18</v>
      </c>
      <c r="G110" s="105">
        <f t="shared" si="41"/>
        <v>21.5</v>
      </c>
      <c r="H110" s="105">
        <f t="shared" si="42"/>
        <v>30.17</v>
      </c>
      <c r="I110" s="105">
        <f t="shared" si="43"/>
        <v>196.86</v>
      </c>
      <c r="J110" s="105">
        <f>VLOOKUP($A110,'Rate Calculation'!$A$4:$AZ$208,34,FALSE)</f>
        <v>0</v>
      </c>
      <c r="K110" s="105">
        <f t="shared" si="66"/>
        <v>353.71</v>
      </c>
      <c r="L110" s="164">
        <f t="shared" si="44"/>
        <v>0.98772000000000004</v>
      </c>
      <c r="M110" s="105">
        <f t="shared" si="67"/>
        <v>349.37</v>
      </c>
      <c r="N110" s="105">
        <f>VLOOKUP($A110,'Rate Calculation'!$A$4:$AL$208,38,FALSE)</f>
        <v>24.97</v>
      </c>
      <c r="O110" s="183">
        <f>VLOOKUP($A110,'Rate Calculation'!$A$4:$I$208,9,FALSE)</f>
        <v>1.5086999999999999</v>
      </c>
      <c r="P110" s="183">
        <f t="shared" si="38"/>
        <v>1.4432</v>
      </c>
      <c r="Q110" s="183">
        <f>VLOOKUP(A110,'CMI Data'!$A$4:$C$208,3,FALSE)</f>
        <v>1.5223</v>
      </c>
      <c r="R110" s="246">
        <f>VLOOKUP($A110,FRV!$A$4:$K$208,11,FALSE)</f>
        <v>56730</v>
      </c>
      <c r="S110" s="246">
        <f t="shared" si="39"/>
        <v>46252</v>
      </c>
      <c r="T110" s="246">
        <f>VLOOKUP($A110,FRV!$A$4:$L$208,12,FALSE)</f>
        <v>50989</v>
      </c>
      <c r="U110" s="183">
        <f>Inflation!$G$24</f>
        <v>1.0309999999999999</v>
      </c>
      <c r="V110" s="247">
        <f>VLOOKUP($A110,'Rate Calculation'!A111:X315,24,FALSE)</f>
        <v>102.02</v>
      </c>
      <c r="W110" s="110">
        <f t="shared" si="45"/>
        <v>105.18</v>
      </c>
      <c r="X110" s="110">
        <f>VLOOKUP($A110,'Rate Calculation'!A111:V315,22,FALSE)</f>
        <v>20.85</v>
      </c>
      <c r="Y110" s="110">
        <f t="shared" si="46"/>
        <v>21.5</v>
      </c>
      <c r="Z110" s="212">
        <f>VLOOKUP($A110,FRV!$A$4:$D$208,4,FALSE)</f>
        <v>45474</v>
      </c>
      <c r="AA110" s="212">
        <f>VLOOKUP($A110,FRV!$A$4:$F$208,6,FALSE)</f>
        <v>45657</v>
      </c>
      <c r="AB110" s="248">
        <f>VLOOKUP($A110,FRV!$A$4:$U$208,13,FALSE)</f>
        <v>17609701</v>
      </c>
      <c r="AC110" s="248">
        <f>VLOOKUP($A110,FRV!$A$4:$U$208,15,FALSE)</f>
        <v>430829</v>
      </c>
      <c r="AD110" s="248">
        <f>VLOOKUP($A110,FRV!$A$4:$U$208,14,FALSE)</f>
        <v>16000</v>
      </c>
      <c r="AE110" s="248">
        <f>VLOOKUP($A110,FRV!$A$4:$U$208,7,FALSE)</f>
        <v>155</v>
      </c>
      <c r="AF110" s="107">
        <f t="shared" si="47"/>
        <v>20520530</v>
      </c>
      <c r="AG110" s="107">
        <f t="shared" si="48"/>
        <v>132391</v>
      </c>
      <c r="AH110" s="107">
        <v>120000</v>
      </c>
      <c r="AI110" s="107">
        <f t="shared" si="49"/>
        <v>120000</v>
      </c>
      <c r="AJ110" s="107">
        <f t="shared" si="50"/>
        <v>18600000</v>
      </c>
      <c r="AK110" s="249">
        <f>IF(VLOOKUP($A110,'Rate Calculation'!$A$4:$D$208,4,FALSE)="baltimore city",0.1,0.08)</f>
        <v>0.08</v>
      </c>
      <c r="AL110" s="107">
        <f t="shared" si="51"/>
        <v>1488000</v>
      </c>
      <c r="AM110" s="105">
        <f>IF(ISERROR(MATCH(A110&amp;AA110,'Days Exceptions'!$C$3:$C$16,0)),ROUND(AL110/(MAX(S110,T110)),2),ROUND(AL110/VLOOKUP(A110,'Days Exceptions'!$A$3:$J$16,8,FALSE),2))</f>
        <v>29.18</v>
      </c>
      <c r="AN110" s="213">
        <f>VLOOKUP($A110,'Rate Calculation'!$A$4:$AF$208,32,FALSE)</f>
        <v>0.99</v>
      </c>
      <c r="AO110" s="109">
        <f t="shared" si="52"/>
        <v>30.17</v>
      </c>
      <c r="AP110" s="247">
        <f>VLOOKUP($A110,'Rate Calculation'!$A$4:$Q$208,17,FALSE)</f>
        <v>179.03</v>
      </c>
      <c r="AQ110" s="247">
        <f t="shared" si="68"/>
        <v>184.58</v>
      </c>
      <c r="AR110" s="247">
        <f>VLOOKUP($A110,'Rate Calculation'!$A$4:$K$208,11,FALSE)</f>
        <v>195.33</v>
      </c>
      <c r="AS110" s="247">
        <f t="shared" si="53"/>
        <v>201.39</v>
      </c>
      <c r="AT110" s="110">
        <f t="shared" si="54"/>
        <v>210.53</v>
      </c>
      <c r="AU110" s="110">
        <f t="shared" si="55"/>
        <v>212.43</v>
      </c>
      <c r="AV110" s="111">
        <f t="shared" si="56"/>
        <v>-15.57</v>
      </c>
      <c r="AW110" s="110">
        <f t="shared" si="57"/>
        <v>196.86</v>
      </c>
      <c r="AX110" s="105">
        <f t="shared" si="58"/>
        <v>186.24</v>
      </c>
      <c r="AY110" s="105">
        <f t="shared" si="59"/>
        <v>201.81</v>
      </c>
      <c r="AZ110" s="105">
        <f t="shared" si="60"/>
        <v>15.57</v>
      </c>
      <c r="BA110" s="105">
        <f t="shared" si="61"/>
        <v>255.28</v>
      </c>
      <c r="BB110" s="105">
        <f t="shared" si="62"/>
        <v>156.85</v>
      </c>
      <c r="BC110" s="110">
        <f t="shared" si="63"/>
        <v>374.34</v>
      </c>
      <c r="BD110" s="110">
        <f t="shared" si="64"/>
        <v>280.25</v>
      </c>
      <c r="BE110" s="110">
        <f t="shared" si="65"/>
        <v>181.82</v>
      </c>
      <c r="BF110" s="105"/>
      <c r="BG110" s="105"/>
      <c r="BH110" s="111"/>
      <c r="BI110" s="105"/>
      <c r="BJ110" s="105"/>
      <c r="BK110" s="109"/>
      <c r="BL110" s="111"/>
      <c r="BM110" s="109"/>
      <c r="BN110" s="109"/>
      <c r="BO110" s="105"/>
      <c r="BP110" s="105"/>
      <c r="BQ110" s="109"/>
      <c r="BR110" s="110"/>
      <c r="BS110" s="110"/>
      <c r="BT110" s="110"/>
      <c r="BU110" s="110"/>
      <c r="BV110" s="110"/>
      <c r="BW110" s="112"/>
      <c r="BX110" s="112"/>
      <c r="BY110" s="110"/>
      <c r="BZ110" s="105"/>
      <c r="CA110" s="105"/>
      <c r="CB110" s="105"/>
      <c r="CC110" s="105"/>
      <c r="CD110" s="105"/>
      <c r="CE110" s="105"/>
    </row>
    <row r="111" spans="1:83" x14ac:dyDescent="0.15">
      <c r="A111" s="103">
        <v>190</v>
      </c>
      <c r="B111" s="98" t="str">
        <f>VLOOKUP($A111,'Rate Calculation'!$A$4:$AQ$208,42,FALSE)</f>
        <v>424347100</v>
      </c>
      <c r="C111" s="98" t="str">
        <f>VLOOKUP($A111,'Rate Calculation'!$A$4:$AQ$208,43,FALSE)</f>
        <v>FutureCare - Old Court</v>
      </c>
      <c r="D111" s="98" t="str">
        <f>VLOOKUP($A111,'Rate Calculation'!$A$4:$F$208,5,FALSE)</f>
        <v>BALTIMORE METRO</v>
      </c>
      <c r="E111" s="98" t="str">
        <f>VLOOKUP($A111,'Rate Calculation'!$A$4:$F$208,6,FALSE)</f>
        <v>BALTIMORE METRO</v>
      </c>
      <c r="F111" s="105">
        <f t="shared" si="40"/>
        <v>105.18</v>
      </c>
      <c r="G111" s="105">
        <f t="shared" si="41"/>
        <v>21.5</v>
      </c>
      <c r="H111" s="105">
        <f t="shared" si="42"/>
        <v>23.92</v>
      </c>
      <c r="I111" s="105">
        <f t="shared" si="43"/>
        <v>182.7</v>
      </c>
      <c r="J111" s="105">
        <f>VLOOKUP($A111,'Rate Calculation'!$A$4:$AZ$208,34,FALSE)</f>
        <v>0</v>
      </c>
      <c r="K111" s="105">
        <f t="shared" si="66"/>
        <v>333.3</v>
      </c>
      <c r="L111" s="164">
        <f t="shared" si="44"/>
        <v>0.98772000000000004</v>
      </c>
      <c r="M111" s="105">
        <f t="shared" si="67"/>
        <v>329.21</v>
      </c>
      <c r="N111" s="105">
        <f>VLOOKUP($A111,'Rate Calculation'!$A$4:$AL$208,38,FALSE)</f>
        <v>27.44</v>
      </c>
      <c r="O111" s="183">
        <f>VLOOKUP($A111,'Rate Calculation'!$A$4:$I$208,9,FALSE)</f>
        <v>1.4160999999999999</v>
      </c>
      <c r="P111" s="183">
        <f t="shared" si="38"/>
        <v>1.4432</v>
      </c>
      <c r="Q111" s="183">
        <f>VLOOKUP(A111,'CMI Data'!$A$4:$C$208,3,FALSE)</f>
        <v>1.3391999999999999</v>
      </c>
      <c r="R111" s="246">
        <f>VLOOKUP($A111,FRV!$A$4:$K$208,11,FALSE)</f>
        <v>51465</v>
      </c>
      <c r="S111" s="246">
        <f t="shared" si="39"/>
        <v>41959</v>
      </c>
      <c r="T111" s="246">
        <f>VLOOKUP($A111,FRV!$A$4:$L$208,12,FALSE)</f>
        <v>46753</v>
      </c>
      <c r="U111" s="183">
        <f>Inflation!$G$24</f>
        <v>1.0309999999999999</v>
      </c>
      <c r="V111" s="247">
        <f>VLOOKUP($A111,'Rate Calculation'!A112:X316,24,FALSE)</f>
        <v>102.02</v>
      </c>
      <c r="W111" s="110">
        <f t="shared" si="45"/>
        <v>105.18</v>
      </c>
      <c r="X111" s="110">
        <f>VLOOKUP($A111,'Rate Calculation'!A112:V316,22,FALSE)</f>
        <v>20.85</v>
      </c>
      <c r="Y111" s="110">
        <f t="shared" si="46"/>
        <v>21.5</v>
      </c>
      <c r="Z111" s="212">
        <f>VLOOKUP($A111,FRV!$A$4:$D$208,4,FALSE)</f>
        <v>44743</v>
      </c>
      <c r="AA111" s="212">
        <f>VLOOKUP($A111,FRV!$A$4:$F$208,6,FALSE)</f>
        <v>44926</v>
      </c>
      <c r="AB111" s="248">
        <f>VLOOKUP($A111,FRV!$A$4:$U$208,13,FALSE)</f>
        <v>9656509</v>
      </c>
      <c r="AC111" s="248">
        <f>VLOOKUP($A111,FRV!$A$4:$U$208,15,FALSE)</f>
        <v>408353</v>
      </c>
      <c r="AD111" s="248">
        <f>VLOOKUP($A111,FRV!$A$4:$U$208,14,FALSE)</f>
        <v>21000</v>
      </c>
      <c r="AE111" s="248">
        <f>VLOOKUP($A111,FRV!$A$4:$U$208,7,FALSE)</f>
        <v>141</v>
      </c>
      <c r="AF111" s="107">
        <f t="shared" si="47"/>
        <v>13025862</v>
      </c>
      <c r="AG111" s="107">
        <f t="shared" si="48"/>
        <v>92382</v>
      </c>
      <c r="AH111" s="107">
        <v>120000</v>
      </c>
      <c r="AI111" s="107">
        <f t="shared" si="49"/>
        <v>92382</v>
      </c>
      <c r="AJ111" s="107">
        <f t="shared" si="50"/>
        <v>13025862</v>
      </c>
      <c r="AK111" s="249">
        <f>IF(VLOOKUP($A111,'Rate Calculation'!$A$4:$D$208,4,FALSE)="baltimore city",0.1,0.08)</f>
        <v>0.08</v>
      </c>
      <c r="AL111" s="107">
        <f t="shared" si="51"/>
        <v>1042069</v>
      </c>
      <c r="AM111" s="105">
        <f>IF(ISERROR(MATCH(A111&amp;AA111,'Days Exceptions'!$C$3:$C$16,0)),ROUND(AL111/(MAX(S111,T111)),2),ROUND(AL111/VLOOKUP(A111,'Days Exceptions'!$A$3:$J$16,8,FALSE),2))</f>
        <v>22.29</v>
      </c>
      <c r="AN111" s="213">
        <f>VLOOKUP($A111,'Rate Calculation'!$A$4:$AF$208,32,FALSE)</f>
        <v>1.63</v>
      </c>
      <c r="AO111" s="109">
        <f t="shared" si="52"/>
        <v>23.92</v>
      </c>
      <c r="AP111" s="247">
        <f>VLOOKUP($A111,'Rate Calculation'!$A$4:$Q$208,17,FALSE)</f>
        <v>177.8</v>
      </c>
      <c r="AQ111" s="247">
        <f t="shared" si="68"/>
        <v>183.31</v>
      </c>
      <c r="AR111" s="247">
        <f>VLOOKUP($A111,'Rate Calculation'!$A$4:$K$208,11,FALSE)</f>
        <v>195.33</v>
      </c>
      <c r="AS111" s="247">
        <f t="shared" si="53"/>
        <v>201.39</v>
      </c>
      <c r="AT111" s="110">
        <f t="shared" si="54"/>
        <v>197.61</v>
      </c>
      <c r="AU111" s="110">
        <f t="shared" si="55"/>
        <v>186.88</v>
      </c>
      <c r="AV111" s="111">
        <f t="shared" si="56"/>
        <v>-4.18</v>
      </c>
      <c r="AW111" s="110">
        <f t="shared" si="57"/>
        <v>182.7</v>
      </c>
      <c r="AX111" s="105">
        <f t="shared" si="58"/>
        <v>173.36</v>
      </c>
      <c r="AY111" s="105">
        <f t="shared" si="59"/>
        <v>177.54</v>
      </c>
      <c r="AZ111" s="105">
        <f t="shared" si="60"/>
        <v>4.18</v>
      </c>
      <c r="BA111" s="105">
        <f t="shared" si="61"/>
        <v>241.95</v>
      </c>
      <c r="BB111" s="105">
        <f t="shared" si="62"/>
        <v>150.6</v>
      </c>
      <c r="BC111" s="110">
        <f t="shared" si="63"/>
        <v>356.65</v>
      </c>
      <c r="BD111" s="110">
        <f t="shared" si="64"/>
        <v>269.39</v>
      </c>
      <c r="BE111" s="110">
        <f t="shared" si="65"/>
        <v>178.04</v>
      </c>
      <c r="BF111" s="105"/>
      <c r="BG111" s="105"/>
      <c r="BH111" s="111"/>
      <c r="BI111" s="105"/>
      <c r="BJ111" s="105"/>
      <c r="BK111" s="109"/>
      <c r="BL111" s="111"/>
      <c r="BM111" s="109"/>
      <c r="BN111" s="109"/>
      <c r="BO111" s="105"/>
      <c r="BP111" s="105"/>
      <c r="BQ111" s="109"/>
      <c r="BR111" s="110"/>
      <c r="BS111" s="110"/>
      <c r="BT111" s="110"/>
      <c r="BU111" s="110"/>
      <c r="BV111" s="110"/>
      <c r="BW111" s="112"/>
      <c r="BX111" s="112"/>
      <c r="BY111" s="110"/>
      <c r="BZ111" s="105"/>
      <c r="CA111" s="105"/>
      <c r="CB111" s="105"/>
      <c r="CC111" s="105"/>
      <c r="CD111" s="105"/>
      <c r="CE111" s="105"/>
    </row>
    <row r="112" spans="1:83" x14ac:dyDescent="0.15">
      <c r="A112" s="103">
        <v>192</v>
      </c>
      <c r="B112" s="98" t="str">
        <f>VLOOKUP($A112,'Rate Calculation'!$A$4:$AQ$208,42,FALSE)</f>
        <v>160077000</v>
      </c>
      <c r="C112" s="98" t="str">
        <f>VLOOKUP($A112,'Rate Calculation'!$A$4:$AQ$208,43,FALSE)</f>
        <v>FutureCare - Pineview</v>
      </c>
      <c r="D112" s="98" t="str">
        <f>VLOOKUP($A112,'Rate Calculation'!$A$4:$F$208,5,FALSE)</f>
        <v>WASHINGTON METRO</v>
      </c>
      <c r="E112" s="98" t="str">
        <f>VLOOKUP($A112,'Rate Calculation'!$A$4:$F$208,6,FALSE)</f>
        <v>WASHINGTON METRO</v>
      </c>
      <c r="F112" s="105">
        <f t="shared" si="40"/>
        <v>103.73</v>
      </c>
      <c r="G112" s="105">
        <f t="shared" si="41"/>
        <v>19.829999999999998</v>
      </c>
      <c r="H112" s="105">
        <f t="shared" si="42"/>
        <v>33.380000000000003</v>
      </c>
      <c r="I112" s="105">
        <f t="shared" si="43"/>
        <v>196.21</v>
      </c>
      <c r="J112" s="105">
        <f>VLOOKUP($A112,'Rate Calculation'!$A$4:$AZ$208,34,FALSE)</f>
        <v>0</v>
      </c>
      <c r="K112" s="105">
        <f t="shared" si="66"/>
        <v>353.15</v>
      </c>
      <c r="L112" s="164">
        <f t="shared" si="44"/>
        <v>0.98772000000000004</v>
      </c>
      <c r="M112" s="105">
        <f t="shared" si="67"/>
        <v>348.81</v>
      </c>
      <c r="N112" s="105">
        <f>VLOOKUP($A112,'Rate Calculation'!$A$4:$AL$208,38,FALSE)</f>
        <v>27.15</v>
      </c>
      <c r="O112" s="183">
        <f>VLOOKUP($A112,'Rate Calculation'!$A$4:$I$208,9,FALSE)</f>
        <v>1.9691000000000001</v>
      </c>
      <c r="P112" s="183">
        <f t="shared" si="38"/>
        <v>1.4432</v>
      </c>
      <c r="Q112" s="183">
        <f>VLOOKUP(A112,'CMI Data'!$A$4:$C$208,3,FALSE)</f>
        <v>1.5604</v>
      </c>
      <c r="R112" s="246">
        <f>VLOOKUP($A112,FRV!$A$4:$K$208,11,FALSE)</f>
        <v>65700</v>
      </c>
      <c r="S112" s="246">
        <f t="shared" si="39"/>
        <v>53565</v>
      </c>
      <c r="T112" s="246">
        <f>VLOOKUP($A112,FRV!$A$4:$L$208,12,FALSE)</f>
        <v>58454</v>
      </c>
      <c r="U112" s="183">
        <f>Inflation!$G$24</f>
        <v>1.0309999999999999</v>
      </c>
      <c r="V112" s="247">
        <f>VLOOKUP($A112,'Rate Calculation'!A113:X317,24,FALSE)</f>
        <v>100.61</v>
      </c>
      <c r="W112" s="110">
        <f t="shared" si="45"/>
        <v>103.73</v>
      </c>
      <c r="X112" s="110">
        <f>VLOOKUP($A112,'Rate Calculation'!A113:V317,22,FALSE)</f>
        <v>19.23</v>
      </c>
      <c r="Y112" s="110">
        <f t="shared" si="46"/>
        <v>19.829999999999998</v>
      </c>
      <c r="Z112" s="212">
        <f>VLOOKUP($A112,FRV!$A$4:$D$208,4,FALSE)</f>
        <v>45108</v>
      </c>
      <c r="AA112" s="212">
        <f>VLOOKUP($A112,FRV!$A$4:$F$208,6,FALSE)</f>
        <v>45291</v>
      </c>
      <c r="AB112" s="248">
        <f>VLOOKUP($A112,FRV!$A$4:$U$208,13,FALSE)</f>
        <v>20092820</v>
      </c>
      <c r="AC112" s="248">
        <f>VLOOKUP($A112,FRV!$A$4:$U$208,15,FALSE)</f>
        <v>626570</v>
      </c>
      <c r="AD112" s="248">
        <f>VLOOKUP($A112,FRV!$A$4:$U$208,14,FALSE)</f>
        <v>20000</v>
      </c>
      <c r="AE112" s="248">
        <f>VLOOKUP($A112,FRV!$A$4:$U$208,7,FALSE)</f>
        <v>180</v>
      </c>
      <c r="AF112" s="107">
        <f t="shared" si="47"/>
        <v>24319390</v>
      </c>
      <c r="AG112" s="107">
        <f t="shared" si="48"/>
        <v>135108</v>
      </c>
      <c r="AH112" s="107">
        <v>120000</v>
      </c>
      <c r="AI112" s="107">
        <f t="shared" si="49"/>
        <v>120000</v>
      </c>
      <c r="AJ112" s="107">
        <f t="shared" si="50"/>
        <v>21600000</v>
      </c>
      <c r="AK112" s="249">
        <f>IF(VLOOKUP($A112,'Rate Calculation'!$A$4:$D$208,4,FALSE)="baltimore city",0.1,0.08)</f>
        <v>0.08</v>
      </c>
      <c r="AL112" s="107">
        <f t="shared" si="51"/>
        <v>1728000</v>
      </c>
      <c r="AM112" s="105">
        <f>IF(ISERROR(MATCH(A112&amp;AA112,'Days Exceptions'!$C$3:$C$16,0)),ROUND(AL112/(MAX(S112,T112)),2),ROUND(AL112/VLOOKUP(A112,'Days Exceptions'!$A$3:$J$16,8,FALSE),2))</f>
        <v>29.56</v>
      </c>
      <c r="AN112" s="213">
        <f>VLOOKUP($A112,'Rate Calculation'!$A$4:$AF$208,32,FALSE)</f>
        <v>3.82</v>
      </c>
      <c r="AO112" s="109">
        <f t="shared" si="52"/>
        <v>33.380000000000003</v>
      </c>
      <c r="AP112" s="247">
        <f>VLOOKUP($A112,'Rate Calculation'!$A$4:$Q$208,17,FALSE)</f>
        <v>260.92</v>
      </c>
      <c r="AQ112" s="247">
        <f t="shared" si="68"/>
        <v>269.01</v>
      </c>
      <c r="AR112" s="247">
        <f>VLOOKUP($A112,'Rate Calculation'!$A$4:$K$208,11,FALSE)</f>
        <v>176.01</v>
      </c>
      <c r="AS112" s="247">
        <f t="shared" si="53"/>
        <v>181.47</v>
      </c>
      <c r="AT112" s="110">
        <f t="shared" si="54"/>
        <v>247.6</v>
      </c>
      <c r="AU112" s="110">
        <f t="shared" si="55"/>
        <v>196.21</v>
      </c>
      <c r="AV112" s="111">
        <f t="shared" si="56"/>
        <v>0</v>
      </c>
      <c r="AW112" s="110">
        <f t="shared" si="57"/>
        <v>196.21</v>
      </c>
      <c r="AX112" s="105">
        <f t="shared" si="58"/>
        <v>213.18</v>
      </c>
      <c r="AY112" s="105">
        <f t="shared" si="59"/>
        <v>186.4</v>
      </c>
      <c r="AZ112" s="105">
        <f t="shared" si="60"/>
        <v>-26.78</v>
      </c>
      <c r="BA112" s="105">
        <f t="shared" si="61"/>
        <v>255.05</v>
      </c>
      <c r="BB112" s="105">
        <f t="shared" si="62"/>
        <v>156.94</v>
      </c>
      <c r="BC112" s="110">
        <f t="shared" si="63"/>
        <v>375.96</v>
      </c>
      <c r="BD112" s="110">
        <f t="shared" si="64"/>
        <v>282.2</v>
      </c>
      <c r="BE112" s="110">
        <f t="shared" si="65"/>
        <v>184.09</v>
      </c>
      <c r="BF112" s="105"/>
      <c r="BG112" s="105"/>
      <c r="BH112" s="111"/>
      <c r="BI112" s="105"/>
      <c r="BJ112" s="105"/>
      <c r="BK112" s="109"/>
      <c r="BL112" s="111"/>
      <c r="BM112" s="109"/>
      <c r="BN112" s="109"/>
      <c r="BO112" s="105"/>
      <c r="BP112" s="105"/>
      <c r="BQ112" s="109"/>
      <c r="BR112" s="110"/>
      <c r="BS112" s="110"/>
      <c r="BT112" s="110"/>
      <c r="BU112" s="110"/>
      <c r="BV112" s="110"/>
      <c r="BW112" s="112"/>
      <c r="BX112" s="112"/>
      <c r="BY112" s="110"/>
      <c r="BZ112" s="105"/>
      <c r="CA112" s="105"/>
      <c r="CB112" s="105"/>
      <c r="CC112" s="105"/>
      <c r="CD112" s="105"/>
      <c r="CE112" s="105"/>
    </row>
    <row r="113" spans="1:83" x14ac:dyDescent="0.15">
      <c r="A113" s="103">
        <v>194</v>
      </c>
      <c r="B113" s="98" t="str">
        <f>VLOOKUP($A113,'Rate Calculation'!$A$4:$AQ$208,42,FALSE)</f>
        <v>300697200</v>
      </c>
      <c r="C113" s="98" t="str">
        <f>VLOOKUP($A113,'Rate Calculation'!$A$4:$AQ$208,43,FALSE)</f>
        <v>FutureCare - Sandtown Winchester</v>
      </c>
      <c r="D113" s="98" t="str">
        <f>VLOOKUP($A113,'Rate Calculation'!$A$4:$F$208,5,FALSE)</f>
        <v>BALTIMORE METRO</v>
      </c>
      <c r="E113" s="98" t="str">
        <f>VLOOKUP($A113,'Rate Calculation'!$A$4:$F$208,6,FALSE)</f>
        <v>BALTIMORE CITY</v>
      </c>
      <c r="F113" s="105">
        <f t="shared" si="40"/>
        <v>117.69</v>
      </c>
      <c r="G113" s="105">
        <f t="shared" si="41"/>
        <v>25.66</v>
      </c>
      <c r="H113" s="105">
        <f t="shared" si="42"/>
        <v>37.9</v>
      </c>
      <c r="I113" s="105">
        <f t="shared" si="43"/>
        <v>172.78</v>
      </c>
      <c r="J113" s="105">
        <f>VLOOKUP($A113,'Rate Calculation'!$A$4:$AZ$208,34,FALSE)</f>
        <v>0</v>
      </c>
      <c r="K113" s="105">
        <f t="shared" si="66"/>
        <v>354.03</v>
      </c>
      <c r="L113" s="164">
        <f t="shared" si="44"/>
        <v>0.98772000000000004</v>
      </c>
      <c r="M113" s="105">
        <f t="shared" si="67"/>
        <v>349.68</v>
      </c>
      <c r="N113" s="105">
        <f>VLOOKUP($A113,'Rate Calculation'!$A$4:$AL$208,38,FALSE)</f>
        <v>29.5</v>
      </c>
      <c r="O113" s="183">
        <f>VLOOKUP($A113,'Rate Calculation'!$A$4:$I$208,9,FALSE)</f>
        <v>1.4503999999999999</v>
      </c>
      <c r="P113" s="183">
        <f t="shared" si="38"/>
        <v>1.4432</v>
      </c>
      <c r="Q113" s="183">
        <f>VLOOKUP(A113,'CMI Data'!$A$4:$C$208,3,FALSE)</f>
        <v>1.3767</v>
      </c>
      <c r="R113" s="246">
        <f>VLOOKUP($A113,FRV!$A$4:$K$208,11,FALSE)</f>
        <v>54168</v>
      </c>
      <c r="S113" s="246">
        <f t="shared" si="39"/>
        <v>44163</v>
      </c>
      <c r="T113" s="246">
        <f>VLOOKUP($A113,FRV!$A$4:$L$208,12,FALSE)</f>
        <v>48213</v>
      </c>
      <c r="U113" s="183">
        <f>Inflation!$G$24</f>
        <v>1.0309999999999999</v>
      </c>
      <c r="V113" s="247">
        <f>VLOOKUP($A113,'Rate Calculation'!A114:X318,24,FALSE)</f>
        <v>114.15</v>
      </c>
      <c r="W113" s="110">
        <f t="shared" si="45"/>
        <v>117.69</v>
      </c>
      <c r="X113" s="110">
        <f>VLOOKUP($A113,'Rate Calculation'!A114:V318,22,FALSE)</f>
        <v>24.89</v>
      </c>
      <c r="Y113" s="110">
        <f t="shared" si="46"/>
        <v>25.66</v>
      </c>
      <c r="Z113" s="212">
        <f>VLOOKUP($A113,FRV!$A$4:$D$208,4,FALSE)</f>
        <v>45474</v>
      </c>
      <c r="AA113" s="212">
        <f>VLOOKUP($A113,FRV!$A$4:$F$208,6,FALSE)</f>
        <v>45657</v>
      </c>
      <c r="AB113" s="248">
        <f>VLOOKUP($A113,FRV!$A$4:$U$208,13,FALSE)</f>
        <v>16130210</v>
      </c>
      <c r="AC113" s="248">
        <f>VLOOKUP($A113,FRV!$A$4:$U$208,15,FALSE)</f>
        <v>344255</v>
      </c>
      <c r="AD113" s="248">
        <f>VLOOKUP($A113,FRV!$A$4:$U$208,14,FALSE)</f>
        <v>13000</v>
      </c>
      <c r="AE113" s="248">
        <f>VLOOKUP($A113,FRV!$A$4:$U$208,7,FALSE)</f>
        <v>148</v>
      </c>
      <c r="AF113" s="107">
        <f t="shared" si="47"/>
        <v>18398465</v>
      </c>
      <c r="AG113" s="107">
        <f t="shared" si="48"/>
        <v>124314</v>
      </c>
      <c r="AH113" s="107">
        <v>120000</v>
      </c>
      <c r="AI113" s="107">
        <f t="shared" si="49"/>
        <v>120000</v>
      </c>
      <c r="AJ113" s="107">
        <f t="shared" si="50"/>
        <v>17760000</v>
      </c>
      <c r="AK113" s="249">
        <f>IF(VLOOKUP($A113,'Rate Calculation'!$A$4:$D$208,4,FALSE)="baltimore city",0.1,0.08)</f>
        <v>0.1</v>
      </c>
      <c r="AL113" s="107">
        <f t="shared" si="51"/>
        <v>1776000</v>
      </c>
      <c r="AM113" s="105">
        <f>IF(ISERROR(MATCH(A113&amp;AA113,'Days Exceptions'!$C$3:$C$16,0)),ROUND(AL113/(MAX(S113,T113)),2),ROUND(AL113/VLOOKUP(A113,'Days Exceptions'!$A$3:$J$16,8,FALSE),2))</f>
        <v>36.840000000000003</v>
      </c>
      <c r="AN113" s="213">
        <f>VLOOKUP($A113,'Rate Calculation'!$A$4:$AF$208,32,FALSE)</f>
        <v>1.06</v>
      </c>
      <c r="AO113" s="109">
        <f t="shared" si="52"/>
        <v>37.9</v>
      </c>
      <c r="AP113" s="247">
        <f>VLOOKUP($A113,'Rate Calculation'!$A$4:$Q$208,17,FALSE)</f>
        <v>166.74</v>
      </c>
      <c r="AQ113" s="247">
        <f t="shared" si="68"/>
        <v>171.91</v>
      </c>
      <c r="AR113" s="247">
        <f>VLOOKUP($A113,'Rate Calculation'!$A$4:$K$208,11,FALSE)</f>
        <v>195.33</v>
      </c>
      <c r="AS113" s="247">
        <f t="shared" si="53"/>
        <v>201.39</v>
      </c>
      <c r="AT113" s="110">
        <f t="shared" si="54"/>
        <v>202.39</v>
      </c>
      <c r="AU113" s="110">
        <f t="shared" si="55"/>
        <v>192.11</v>
      </c>
      <c r="AV113" s="111">
        <f t="shared" si="56"/>
        <v>-19.329999999999998</v>
      </c>
      <c r="AW113" s="110">
        <f t="shared" si="57"/>
        <v>172.78</v>
      </c>
      <c r="AX113" s="105">
        <f t="shared" si="58"/>
        <v>163.16999999999999</v>
      </c>
      <c r="AY113" s="105">
        <f t="shared" si="59"/>
        <v>182.5</v>
      </c>
      <c r="AZ113" s="105">
        <f t="shared" si="60"/>
        <v>19.329999999999998</v>
      </c>
      <c r="BA113" s="105">
        <f t="shared" si="61"/>
        <v>267.64</v>
      </c>
      <c r="BB113" s="105">
        <f t="shared" si="62"/>
        <v>181.25</v>
      </c>
      <c r="BC113" s="110">
        <f t="shared" si="63"/>
        <v>379.18</v>
      </c>
      <c r="BD113" s="110">
        <f t="shared" si="64"/>
        <v>297.14</v>
      </c>
      <c r="BE113" s="110">
        <f t="shared" si="65"/>
        <v>210.75</v>
      </c>
      <c r="BF113" s="105"/>
      <c r="BG113" s="105"/>
      <c r="BH113" s="111"/>
      <c r="BI113" s="105"/>
      <c r="BJ113" s="105"/>
      <c r="BK113" s="109"/>
      <c r="BL113" s="111"/>
      <c r="BM113" s="109"/>
      <c r="BN113" s="109"/>
      <c r="BO113" s="105"/>
      <c r="BP113" s="105"/>
      <c r="BQ113" s="109"/>
      <c r="BR113" s="110"/>
      <c r="BS113" s="110"/>
      <c r="BT113" s="110"/>
      <c r="BU113" s="110"/>
      <c r="BV113" s="110"/>
      <c r="BW113" s="112"/>
      <c r="BX113" s="112"/>
      <c r="BY113" s="110"/>
      <c r="BZ113" s="105"/>
      <c r="CA113" s="105"/>
      <c r="CB113" s="105"/>
      <c r="CC113" s="105"/>
      <c r="CD113" s="105"/>
      <c r="CE113" s="105"/>
    </row>
    <row r="114" spans="1:83" x14ac:dyDescent="0.15">
      <c r="A114" s="103">
        <v>208</v>
      </c>
      <c r="B114" s="98" t="str">
        <f>VLOOKUP($A114,'Rate Calculation'!$A$4:$AQ$208,42,FALSE)</f>
        <v>424296300</v>
      </c>
      <c r="C114" s="98" t="str">
        <f>VLOOKUP($A114,'Rate Calculation'!$A$4:$AQ$208,43,FALSE)</f>
        <v>FutureCare at Good Samaritan</v>
      </c>
      <c r="D114" s="98" t="str">
        <f>VLOOKUP($A114,'Rate Calculation'!$A$4:$F$208,5,FALSE)</f>
        <v>BALTIMORE METRO</v>
      </c>
      <c r="E114" s="98" t="str">
        <f>VLOOKUP($A114,'Rate Calculation'!$A$4:$F$208,6,FALSE)</f>
        <v>BALTIMORE CITY</v>
      </c>
      <c r="F114" s="105">
        <f t="shared" si="40"/>
        <v>117.69</v>
      </c>
      <c r="G114" s="105">
        <f t="shared" si="41"/>
        <v>25.66</v>
      </c>
      <c r="H114" s="105">
        <f t="shared" si="42"/>
        <v>40.479999999999997</v>
      </c>
      <c r="I114" s="105">
        <f t="shared" si="43"/>
        <v>194.05</v>
      </c>
      <c r="J114" s="105">
        <f>VLOOKUP($A114,'Rate Calculation'!$A$4:$AZ$208,34,FALSE)</f>
        <v>0</v>
      </c>
      <c r="K114" s="105">
        <f t="shared" si="66"/>
        <v>377.88</v>
      </c>
      <c r="L114" s="164">
        <f t="shared" si="44"/>
        <v>0.98772000000000004</v>
      </c>
      <c r="M114" s="105">
        <f t="shared" si="67"/>
        <v>373.24</v>
      </c>
      <c r="N114" s="105">
        <f>VLOOKUP($A114,'Rate Calculation'!$A$4:$AL$208,38,FALSE)</f>
        <v>24.5</v>
      </c>
      <c r="O114" s="183">
        <f>VLOOKUP($A114,'Rate Calculation'!$A$4:$I$208,9,FALSE)</f>
        <v>1.3886000000000001</v>
      </c>
      <c r="P114" s="183">
        <f t="shared" si="38"/>
        <v>1.4432</v>
      </c>
      <c r="Q114" s="183">
        <f>VLOOKUP(A114,'CMI Data'!$A$4:$C$208,3,FALSE)</f>
        <v>1.3906000000000001</v>
      </c>
      <c r="R114" s="246">
        <f>VLOOKUP($A114,FRV!$A$4:$K$208,11,FALSE)</f>
        <v>53290</v>
      </c>
      <c r="S114" s="246">
        <f t="shared" si="39"/>
        <v>43447</v>
      </c>
      <c r="T114" s="246">
        <f>VLOOKUP($A114,FRV!$A$4:$L$208,12,FALSE)</f>
        <v>48710</v>
      </c>
      <c r="U114" s="183">
        <f>Inflation!$G$24</f>
        <v>1.0309999999999999</v>
      </c>
      <c r="V114" s="247">
        <f>VLOOKUP($A114,'Rate Calculation'!A115:X319,24,FALSE)</f>
        <v>114.15</v>
      </c>
      <c r="W114" s="110">
        <f t="shared" si="45"/>
        <v>117.69</v>
      </c>
      <c r="X114" s="110">
        <f>VLOOKUP($A114,'Rate Calculation'!A115:V319,22,FALSE)</f>
        <v>24.89</v>
      </c>
      <c r="Y114" s="110">
        <f t="shared" si="46"/>
        <v>25.66</v>
      </c>
      <c r="Z114" s="212">
        <f>VLOOKUP($A114,FRV!$A$4:$D$208,4,FALSE)</f>
        <v>45108</v>
      </c>
      <c r="AA114" s="212">
        <f>VLOOKUP($A114,FRV!$A$4:$F$208,6,FALSE)</f>
        <v>45291</v>
      </c>
      <c r="AB114" s="248">
        <f>VLOOKUP($A114,FRV!$A$4:$U$208,13,FALSE)</f>
        <v>16743086</v>
      </c>
      <c r="AC114" s="248">
        <f>VLOOKUP($A114,FRV!$A$4:$U$208,15,FALSE)</f>
        <v>237684</v>
      </c>
      <c r="AD114" s="248">
        <f>VLOOKUP($A114,FRV!$A$4:$U$208,14,FALSE)</f>
        <v>19000</v>
      </c>
      <c r="AE114" s="248">
        <f>VLOOKUP($A114,FRV!$A$4:$U$208,7,FALSE)</f>
        <v>146</v>
      </c>
      <c r="AF114" s="107">
        <f t="shared" si="47"/>
        <v>19754770</v>
      </c>
      <c r="AG114" s="107">
        <f t="shared" si="48"/>
        <v>135307</v>
      </c>
      <c r="AH114" s="107">
        <v>120000</v>
      </c>
      <c r="AI114" s="107">
        <f t="shared" si="49"/>
        <v>120000</v>
      </c>
      <c r="AJ114" s="107">
        <f t="shared" si="50"/>
        <v>17520000</v>
      </c>
      <c r="AK114" s="249">
        <f>IF(VLOOKUP($A114,'Rate Calculation'!$A$4:$D$208,4,FALSE)="baltimore city",0.1,0.08)</f>
        <v>0.1</v>
      </c>
      <c r="AL114" s="107">
        <f t="shared" si="51"/>
        <v>1752000</v>
      </c>
      <c r="AM114" s="105">
        <f>IF(ISERROR(MATCH(A114&amp;AA114,'Days Exceptions'!$C$3:$C$16,0)),ROUND(AL114/(MAX(S114,T114)),2),ROUND(AL114/VLOOKUP(A114,'Days Exceptions'!$A$3:$J$16,8,FALSE),2))</f>
        <v>35.97</v>
      </c>
      <c r="AN114" s="213">
        <f>VLOOKUP($A114,'Rate Calculation'!$A$4:$AF$208,32,FALSE)</f>
        <v>4.51</v>
      </c>
      <c r="AO114" s="109">
        <f t="shared" si="52"/>
        <v>40.479999999999997</v>
      </c>
      <c r="AP114" s="247">
        <f>VLOOKUP($A114,'Rate Calculation'!$A$4:$Q$208,17,FALSE)</f>
        <v>192.38</v>
      </c>
      <c r="AQ114" s="247">
        <f t="shared" si="68"/>
        <v>198.34</v>
      </c>
      <c r="AR114" s="247">
        <f>VLOOKUP($A114,'Rate Calculation'!$A$4:$K$208,11,FALSE)</f>
        <v>195.33</v>
      </c>
      <c r="AS114" s="247">
        <f t="shared" si="53"/>
        <v>201.39</v>
      </c>
      <c r="AT114" s="110">
        <f t="shared" si="54"/>
        <v>193.77</v>
      </c>
      <c r="AU114" s="110">
        <f t="shared" si="55"/>
        <v>194.05</v>
      </c>
      <c r="AV114" s="111">
        <f t="shared" si="56"/>
        <v>0</v>
      </c>
      <c r="AW114" s="110">
        <f t="shared" si="57"/>
        <v>194.05</v>
      </c>
      <c r="AX114" s="105">
        <f t="shared" si="58"/>
        <v>198.63</v>
      </c>
      <c r="AY114" s="105">
        <f t="shared" si="59"/>
        <v>184.35</v>
      </c>
      <c r="AZ114" s="105">
        <f t="shared" si="60"/>
        <v>-14.28</v>
      </c>
      <c r="BA114" s="105">
        <f t="shared" si="61"/>
        <v>280.86</v>
      </c>
      <c r="BB114" s="105">
        <f t="shared" si="62"/>
        <v>183.83</v>
      </c>
      <c r="BC114" s="110">
        <f t="shared" si="63"/>
        <v>397.74</v>
      </c>
      <c r="BD114" s="110">
        <f t="shared" si="64"/>
        <v>305.36</v>
      </c>
      <c r="BE114" s="110">
        <f t="shared" si="65"/>
        <v>208.33</v>
      </c>
      <c r="BF114" s="105"/>
      <c r="BG114" s="105"/>
      <c r="BH114" s="111"/>
      <c r="BI114" s="105"/>
      <c r="BJ114" s="105"/>
      <c r="BK114" s="109"/>
      <c r="BL114" s="111"/>
      <c r="BM114" s="109"/>
      <c r="BN114" s="109"/>
      <c r="BO114" s="105"/>
      <c r="BP114" s="105"/>
      <c r="BQ114" s="109"/>
      <c r="BR114" s="110"/>
      <c r="BS114" s="110"/>
      <c r="BT114" s="110"/>
      <c r="BU114" s="110"/>
      <c r="BV114" s="110"/>
      <c r="BW114" s="112"/>
      <c r="BX114" s="112"/>
      <c r="BY114" s="110"/>
      <c r="BZ114" s="105"/>
      <c r="CA114" s="105"/>
      <c r="CB114" s="105"/>
      <c r="CC114" s="105"/>
      <c r="CD114" s="105"/>
      <c r="CE114" s="105"/>
    </row>
    <row r="115" spans="1:83" x14ac:dyDescent="0.15">
      <c r="A115" s="103">
        <v>204</v>
      </c>
      <c r="B115" s="98" t="str">
        <f>VLOOKUP($A115,'Rate Calculation'!$A$4:$AQ$208,42,FALSE)</f>
        <v>105700600</v>
      </c>
      <c r="C115" s="98" t="str">
        <f>VLOOKUP($A115,'Rate Calculation'!$A$4:$AQ$208,43,FALSE)</f>
        <v>Glen Meadows Retirement Community</v>
      </c>
      <c r="D115" s="98" t="str">
        <f>VLOOKUP($A115,'Rate Calculation'!$A$4:$F$208,5,FALSE)</f>
        <v>BALTIMORE METRO</v>
      </c>
      <c r="E115" s="98" t="str">
        <f>VLOOKUP($A115,'Rate Calculation'!$A$4:$F$208,6,FALSE)</f>
        <v>BALTIMORE METRO</v>
      </c>
      <c r="F115" s="105">
        <f t="shared" si="40"/>
        <v>105.18</v>
      </c>
      <c r="G115" s="105">
        <f t="shared" si="41"/>
        <v>21.5</v>
      </c>
      <c r="H115" s="105">
        <f t="shared" si="42"/>
        <v>32.26</v>
      </c>
      <c r="I115" s="105">
        <f t="shared" si="43"/>
        <v>158.55000000000001</v>
      </c>
      <c r="J115" s="105">
        <f>VLOOKUP($A115,'Rate Calculation'!$A$4:$AZ$208,34,FALSE)</f>
        <v>0</v>
      </c>
      <c r="K115" s="105">
        <f t="shared" si="66"/>
        <v>317.49</v>
      </c>
      <c r="L115" s="164">
        <f t="shared" si="44"/>
        <v>0.98772000000000004</v>
      </c>
      <c r="M115" s="105">
        <f t="shared" si="67"/>
        <v>313.58999999999997</v>
      </c>
      <c r="N115" s="105">
        <f>VLOOKUP($A115,'Rate Calculation'!$A$4:$AL$208,38,FALSE)</f>
        <v>0</v>
      </c>
      <c r="O115" s="183">
        <f>VLOOKUP($A115,'Rate Calculation'!$A$4:$I$208,9,FALSE)</f>
        <v>1.4488000000000001</v>
      </c>
      <c r="P115" s="183">
        <f t="shared" si="38"/>
        <v>1.4432</v>
      </c>
      <c r="Q115" s="183">
        <f>VLOOKUP(A115,'CMI Data'!$A$4:$C$208,3,FALSE)</f>
        <v>1.1362000000000001</v>
      </c>
      <c r="R115" s="246">
        <f>VLOOKUP($A115,FRV!$A$4:$K$208,11,FALSE)</f>
        <v>11315</v>
      </c>
      <c r="S115" s="246">
        <f t="shared" si="39"/>
        <v>9225</v>
      </c>
      <c r="T115" s="246">
        <f>VLOOKUP($A115,FRV!$A$4:$L$208,12,FALSE)</f>
        <v>7247</v>
      </c>
      <c r="U115" s="183">
        <f>Inflation!$G$24</f>
        <v>1.0309999999999999</v>
      </c>
      <c r="V115" s="247">
        <f>VLOOKUP($A115,'Rate Calculation'!A116:X320,24,FALSE)</f>
        <v>102.02</v>
      </c>
      <c r="W115" s="110">
        <f t="shared" si="45"/>
        <v>105.18</v>
      </c>
      <c r="X115" s="110">
        <f>VLOOKUP($A115,'Rate Calculation'!A116:V320,22,FALSE)</f>
        <v>20.85</v>
      </c>
      <c r="Y115" s="110">
        <f t="shared" si="46"/>
        <v>21.5</v>
      </c>
      <c r="Z115" s="212">
        <f>VLOOKUP($A115,FRV!$A$4:$D$208,4,FALSE)</f>
        <v>44743</v>
      </c>
      <c r="AA115" s="212">
        <f>VLOOKUP($A115,FRV!$A$4:$F$208,6,FALSE)</f>
        <v>44926</v>
      </c>
      <c r="AB115" s="248">
        <f>VLOOKUP($A115,FRV!$A$4:$U$208,13,FALSE)</f>
        <v>6285338</v>
      </c>
      <c r="AC115" s="248">
        <f>VLOOKUP($A115,FRV!$A$4:$U$208,15,FALSE)</f>
        <v>149691</v>
      </c>
      <c r="AD115" s="248">
        <f>VLOOKUP($A115,FRV!$A$4:$U$208,14,FALSE)</f>
        <v>20000</v>
      </c>
      <c r="AE115" s="248">
        <f>VLOOKUP($A115,FRV!$A$4:$U$208,7,FALSE)</f>
        <v>31</v>
      </c>
      <c r="AF115" s="107">
        <f t="shared" si="47"/>
        <v>7055029</v>
      </c>
      <c r="AG115" s="107">
        <f t="shared" si="48"/>
        <v>227582</v>
      </c>
      <c r="AH115" s="107">
        <v>120000</v>
      </c>
      <c r="AI115" s="107">
        <f t="shared" si="49"/>
        <v>120000</v>
      </c>
      <c r="AJ115" s="107">
        <f t="shared" si="50"/>
        <v>3720000</v>
      </c>
      <c r="AK115" s="249">
        <f>IF(VLOOKUP($A115,'Rate Calculation'!$A$4:$D$208,4,FALSE)="baltimore city",0.1,0.08)</f>
        <v>0.08</v>
      </c>
      <c r="AL115" s="107">
        <f t="shared" si="51"/>
        <v>297600</v>
      </c>
      <c r="AM115" s="105">
        <f>IF(ISERROR(MATCH(A115&amp;AA115,'Days Exceptions'!$C$3:$C$16,0)),ROUND(AL115/(MAX(S115,T115)),2),ROUND(AL115/VLOOKUP(A115,'Days Exceptions'!$A$3:$J$16,8,FALSE),2))</f>
        <v>32.26</v>
      </c>
      <c r="AN115" s="213">
        <f>VLOOKUP($A115,'Rate Calculation'!$A$4:$AF$208,32,FALSE)</f>
        <v>0</v>
      </c>
      <c r="AO115" s="109">
        <f t="shared" si="52"/>
        <v>32.26</v>
      </c>
      <c r="AP115" s="247">
        <f>VLOOKUP($A115,'Rate Calculation'!$A$4:$Q$208,17,FALSE)</f>
        <v>262.05</v>
      </c>
      <c r="AQ115" s="247">
        <f t="shared" si="68"/>
        <v>270.17</v>
      </c>
      <c r="AR115" s="247">
        <f>VLOOKUP($A115,'Rate Calculation'!$A$4:$K$208,11,FALSE)</f>
        <v>195.33</v>
      </c>
      <c r="AS115" s="247">
        <f t="shared" si="53"/>
        <v>201.39</v>
      </c>
      <c r="AT115" s="110">
        <f t="shared" si="54"/>
        <v>202.17</v>
      </c>
      <c r="AU115" s="110">
        <f t="shared" si="55"/>
        <v>158.55000000000001</v>
      </c>
      <c r="AV115" s="111">
        <f t="shared" si="56"/>
        <v>0</v>
      </c>
      <c r="AW115" s="110">
        <f t="shared" si="57"/>
        <v>158.55000000000001</v>
      </c>
      <c r="AX115" s="105">
        <f t="shared" si="58"/>
        <v>211.88</v>
      </c>
      <c r="AY115" s="105">
        <f t="shared" si="59"/>
        <v>150.62</v>
      </c>
      <c r="AZ115" s="105">
        <f t="shared" si="60"/>
        <v>-61.26</v>
      </c>
      <c r="BA115" s="105">
        <f t="shared" si="61"/>
        <v>238.22</v>
      </c>
      <c r="BB115" s="105">
        <f t="shared" si="62"/>
        <v>158.94</v>
      </c>
      <c r="BC115" s="110">
        <f t="shared" si="63"/>
        <v>313.58999999999997</v>
      </c>
      <c r="BD115" s="110">
        <f t="shared" si="64"/>
        <v>238.22</v>
      </c>
      <c r="BE115" s="110">
        <f t="shared" si="65"/>
        <v>158.94</v>
      </c>
      <c r="BF115" s="105"/>
      <c r="BG115" s="105"/>
      <c r="BH115" s="111"/>
      <c r="BI115" s="105"/>
      <c r="BJ115" s="105"/>
      <c r="BK115" s="109"/>
      <c r="BL115" s="111"/>
      <c r="BM115" s="109"/>
      <c r="BN115" s="109"/>
      <c r="BO115" s="105"/>
      <c r="BP115" s="105"/>
      <c r="BQ115" s="109"/>
      <c r="BR115" s="110"/>
      <c r="BS115" s="110"/>
      <c r="BT115" s="110"/>
      <c r="BU115" s="110"/>
      <c r="BV115" s="110"/>
      <c r="BW115" s="112"/>
      <c r="BX115" s="112"/>
      <c r="BY115" s="110"/>
      <c r="BZ115" s="105"/>
      <c r="CA115" s="105"/>
      <c r="CB115" s="105"/>
      <c r="CC115" s="105"/>
      <c r="CD115" s="105"/>
      <c r="CE115" s="105"/>
    </row>
    <row r="116" spans="1:83" x14ac:dyDescent="0.15">
      <c r="A116" s="103">
        <v>210</v>
      </c>
      <c r="B116" s="98" t="str">
        <f>VLOOKUP($A116,'Rate Calculation'!$A$4:$AQ$208,42,FALSE)</f>
        <v>114367100</v>
      </c>
      <c r="C116" s="98" t="str">
        <f>VLOOKUP($A116,'Rate Calculation'!$A$4:$AQ$208,43,FALSE)</f>
        <v>Goodwill Mennonite Home, Inc.</v>
      </c>
      <c r="D116" s="98" t="str">
        <f>VLOOKUP($A116,'Rate Calculation'!$A$4:$F$208,5,FALSE)</f>
        <v>WESTERN REGION</v>
      </c>
      <c r="E116" s="98" t="str">
        <f>VLOOKUP($A116,'Rate Calculation'!$A$4:$F$208,6,FALSE)</f>
        <v>NON METRO</v>
      </c>
      <c r="F116" s="105">
        <f t="shared" si="40"/>
        <v>92.33</v>
      </c>
      <c r="G116" s="105">
        <f t="shared" si="41"/>
        <v>20.87</v>
      </c>
      <c r="H116" s="105">
        <f t="shared" si="42"/>
        <v>27.88</v>
      </c>
      <c r="I116" s="105">
        <f t="shared" si="43"/>
        <v>149.66999999999999</v>
      </c>
      <c r="J116" s="105">
        <f>VLOOKUP($A116,'Rate Calculation'!$A$4:$AZ$208,34,FALSE)</f>
        <v>0</v>
      </c>
      <c r="K116" s="105">
        <f t="shared" si="66"/>
        <v>290.75</v>
      </c>
      <c r="L116" s="164">
        <f t="shared" si="44"/>
        <v>0.98772000000000004</v>
      </c>
      <c r="M116" s="105">
        <f t="shared" si="67"/>
        <v>287.18</v>
      </c>
      <c r="N116" s="105">
        <f>VLOOKUP($A116,'Rate Calculation'!$A$4:$AL$208,38,FALSE)</f>
        <v>0</v>
      </c>
      <c r="O116" s="183">
        <f>VLOOKUP($A116,'Rate Calculation'!$A$4:$I$208,9,FALSE)</f>
        <v>1.2393000000000001</v>
      </c>
      <c r="P116" s="183">
        <f t="shared" si="38"/>
        <v>1.4432</v>
      </c>
      <c r="Q116" s="183">
        <f>VLOOKUP(A116,'CMI Data'!$A$4:$C$208,3,FALSE)</f>
        <v>1.2602</v>
      </c>
      <c r="R116" s="246">
        <f>VLOOKUP($A116,FRV!$A$4:$K$208,11,FALSE)</f>
        <v>39420</v>
      </c>
      <c r="S116" s="246">
        <f t="shared" si="39"/>
        <v>32139</v>
      </c>
      <c r="T116" s="246">
        <f>VLOOKUP($A116,FRV!$A$4:$L$208,12,FALSE)</f>
        <v>37182</v>
      </c>
      <c r="U116" s="183">
        <f>Inflation!$G$24</f>
        <v>1.0309999999999999</v>
      </c>
      <c r="V116" s="247">
        <f>VLOOKUP($A116,'Rate Calculation'!A117:X321,24,FALSE)</f>
        <v>89.55</v>
      </c>
      <c r="W116" s="110">
        <f t="shared" si="45"/>
        <v>92.33</v>
      </c>
      <c r="X116" s="110">
        <f>VLOOKUP($A116,'Rate Calculation'!A117:V321,22,FALSE)</f>
        <v>20.239999999999998</v>
      </c>
      <c r="Y116" s="110">
        <f t="shared" si="46"/>
        <v>20.87</v>
      </c>
      <c r="Z116" s="212">
        <f>VLOOKUP($A116,FRV!$A$4:$D$208,4,FALSE)</f>
        <v>45108</v>
      </c>
      <c r="AA116" s="212">
        <f>VLOOKUP($A116,FRV!$A$4:$F$208,6,FALSE)</f>
        <v>45016</v>
      </c>
      <c r="AB116" s="248">
        <f>VLOOKUP($A116,FRV!$A$4:$U$208,13,FALSE)</f>
        <v>16454341</v>
      </c>
      <c r="AC116" s="248">
        <f>VLOOKUP($A116,FRV!$A$4:$U$208,15,FALSE)</f>
        <v>258970</v>
      </c>
      <c r="AD116" s="248">
        <f>VLOOKUP($A116,FRV!$A$4:$U$208,14,FALSE)</f>
        <v>14500</v>
      </c>
      <c r="AE116" s="248">
        <f>VLOOKUP($A116,FRV!$A$4:$U$208,7,FALSE)</f>
        <v>108</v>
      </c>
      <c r="AF116" s="107">
        <f t="shared" si="47"/>
        <v>18279311</v>
      </c>
      <c r="AG116" s="107">
        <f t="shared" si="48"/>
        <v>169253</v>
      </c>
      <c r="AH116" s="107">
        <v>120000</v>
      </c>
      <c r="AI116" s="107">
        <f t="shared" si="49"/>
        <v>120000</v>
      </c>
      <c r="AJ116" s="107">
        <f t="shared" si="50"/>
        <v>12960000</v>
      </c>
      <c r="AK116" s="249">
        <f>IF(VLOOKUP($A116,'Rate Calculation'!$A$4:$D$208,4,FALSE)="baltimore city",0.1,0.08)</f>
        <v>0.08</v>
      </c>
      <c r="AL116" s="107">
        <f t="shared" si="51"/>
        <v>1036800</v>
      </c>
      <c r="AM116" s="105">
        <f>IF(ISERROR(MATCH(A116&amp;AA116,'Days Exceptions'!$C$3:$C$16,0)),ROUND(AL116/(MAX(S116,T116)),2),ROUND(AL116/VLOOKUP(A116,'Days Exceptions'!$A$3:$J$16,8,FALSE),2))</f>
        <v>27.88</v>
      </c>
      <c r="AN116" s="213">
        <f>VLOOKUP($A116,'Rate Calculation'!$A$4:$AF$208,32,FALSE)</f>
        <v>0</v>
      </c>
      <c r="AO116" s="109">
        <f t="shared" si="52"/>
        <v>27.88</v>
      </c>
      <c r="AP116" s="247">
        <f>VLOOKUP($A116,'Rate Calculation'!$A$4:$Q$208,17,FALSE)</f>
        <v>199.64</v>
      </c>
      <c r="AQ116" s="247">
        <f t="shared" si="68"/>
        <v>205.83</v>
      </c>
      <c r="AR116" s="247">
        <f>VLOOKUP($A116,'Rate Calculation'!$A$4:$K$208,11,FALSE)</f>
        <v>166.26</v>
      </c>
      <c r="AS116" s="247">
        <f t="shared" si="53"/>
        <v>171.41</v>
      </c>
      <c r="AT116" s="110">
        <f t="shared" si="54"/>
        <v>147.19</v>
      </c>
      <c r="AU116" s="110">
        <f t="shared" si="55"/>
        <v>149.66999999999999</v>
      </c>
      <c r="AV116" s="111">
        <f t="shared" si="56"/>
        <v>0</v>
      </c>
      <c r="AW116" s="110">
        <f t="shared" si="57"/>
        <v>149.66999999999999</v>
      </c>
      <c r="AX116" s="105">
        <f t="shared" si="58"/>
        <v>209.3</v>
      </c>
      <c r="AY116" s="105">
        <f t="shared" si="59"/>
        <v>142.19</v>
      </c>
      <c r="AZ116" s="105">
        <f t="shared" si="60"/>
        <v>-67.11</v>
      </c>
      <c r="BA116" s="105">
        <f t="shared" si="61"/>
        <v>215.92</v>
      </c>
      <c r="BB116" s="105">
        <f t="shared" si="62"/>
        <v>141.08000000000001</v>
      </c>
      <c r="BC116" s="110">
        <f t="shared" si="63"/>
        <v>287.18</v>
      </c>
      <c r="BD116" s="110">
        <f t="shared" si="64"/>
        <v>215.92</v>
      </c>
      <c r="BE116" s="110">
        <f t="shared" si="65"/>
        <v>141.08000000000001</v>
      </c>
      <c r="BF116" s="105"/>
      <c r="BG116" s="105"/>
      <c r="BH116" s="111"/>
      <c r="BI116" s="105"/>
      <c r="BJ116" s="105"/>
      <c r="BK116" s="109"/>
      <c r="BL116" s="111"/>
      <c r="BM116" s="109"/>
      <c r="BN116" s="109"/>
      <c r="BO116" s="105"/>
      <c r="BP116" s="105"/>
      <c r="BQ116" s="109"/>
      <c r="BR116" s="110"/>
      <c r="BS116" s="110"/>
      <c r="BT116" s="110"/>
      <c r="BU116" s="110"/>
      <c r="BV116" s="110"/>
      <c r="BW116" s="112"/>
      <c r="BX116" s="112"/>
      <c r="BY116" s="110"/>
      <c r="BZ116" s="105"/>
      <c r="CA116" s="105"/>
      <c r="CB116" s="105"/>
      <c r="CC116" s="105"/>
      <c r="CD116" s="105"/>
      <c r="CE116" s="105"/>
    </row>
    <row r="117" spans="1:83" x14ac:dyDescent="0.15">
      <c r="A117" s="103">
        <v>64</v>
      </c>
      <c r="B117" s="98" t="str">
        <f>VLOOKUP($A117,'Rate Calculation'!$A$4:$AQ$208,42,FALSE)</f>
        <v>300215200</v>
      </c>
      <c r="C117" s="98" t="str">
        <f>VLOOKUP($A117,'Rate Calculation'!$A$4:$AQ$208,43,FALSE)</f>
        <v>Hagerstown Healthcare Center</v>
      </c>
      <c r="D117" s="98" t="str">
        <f>VLOOKUP($A117,'Rate Calculation'!$A$4:$F$208,5,FALSE)</f>
        <v>WESTERN REGION</v>
      </c>
      <c r="E117" s="98" t="str">
        <f>VLOOKUP($A117,'Rate Calculation'!$A$4:$F$208,6,FALSE)</f>
        <v>NON METRO</v>
      </c>
      <c r="F117" s="105">
        <f t="shared" si="40"/>
        <v>92.33</v>
      </c>
      <c r="G117" s="105">
        <f t="shared" si="41"/>
        <v>20.87</v>
      </c>
      <c r="H117" s="105">
        <f t="shared" si="42"/>
        <v>32.31</v>
      </c>
      <c r="I117" s="105">
        <f t="shared" si="43"/>
        <v>147.22</v>
      </c>
      <c r="J117" s="105">
        <f>VLOOKUP($A117,'Rate Calculation'!$A$4:$AZ$208,34,FALSE)</f>
        <v>0</v>
      </c>
      <c r="K117" s="105">
        <f t="shared" si="66"/>
        <v>292.73</v>
      </c>
      <c r="L117" s="164">
        <f t="shared" si="44"/>
        <v>0.98772000000000004</v>
      </c>
      <c r="M117" s="105">
        <f t="shared" si="67"/>
        <v>289.14</v>
      </c>
      <c r="N117" s="105">
        <f>VLOOKUP($A117,'Rate Calculation'!$A$4:$AL$208,38,FALSE)</f>
        <v>29.98</v>
      </c>
      <c r="O117" s="183">
        <f>VLOOKUP($A117,'Rate Calculation'!$A$4:$I$208,9,FALSE)</f>
        <v>1.5582</v>
      </c>
      <c r="P117" s="183">
        <f t="shared" si="38"/>
        <v>1.4432</v>
      </c>
      <c r="Q117" s="183">
        <f>VLOOKUP(A117,'CMI Data'!$A$4:$C$208,3,FALSE)</f>
        <v>1.2925</v>
      </c>
      <c r="R117" s="246">
        <f>VLOOKUP($A117,FRV!$A$4:$K$208,11,FALSE)</f>
        <v>51240</v>
      </c>
      <c r="S117" s="246">
        <f t="shared" si="39"/>
        <v>41776</v>
      </c>
      <c r="T117" s="246">
        <f>VLOOKUP($A117,FRV!$A$4:$L$208,12,FALSE)</f>
        <v>41447</v>
      </c>
      <c r="U117" s="183">
        <f>Inflation!$G$24</f>
        <v>1.0309999999999999</v>
      </c>
      <c r="V117" s="247">
        <f>VLOOKUP($A117,'Rate Calculation'!A118:X322,24,FALSE)</f>
        <v>89.55</v>
      </c>
      <c r="W117" s="110">
        <f t="shared" si="45"/>
        <v>92.33</v>
      </c>
      <c r="X117" s="110">
        <f>VLOOKUP($A117,'Rate Calculation'!A118:V322,22,FALSE)</f>
        <v>20.239999999999998</v>
      </c>
      <c r="Y117" s="110">
        <f t="shared" si="46"/>
        <v>20.87</v>
      </c>
      <c r="Z117" s="212">
        <f>VLOOKUP($A117,FRV!$A$4:$D$208,4,FALSE)</f>
        <v>45474</v>
      </c>
      <c r="AA117" s="212">
        <f>VLOOKUP($A117,FRV!$A$4:$F$208,6,FALSE)</f>
        <v>45473</v>
      </c>
      <c r="AB117" s="248">
        <f>VLOOKUP($A117,FRV!$A$4:$U$208,13,FALSE)</f>
        <v>12094862</v>
      </c>
      <c r="AC117" s="248">
        <f>VLOOKUP($A117,FRV!$A$4:$U$208,15,FALSE)</f>
        <v>234395</v>
      </c>
      <c r="AD117" s="248">
        <f>VLOOKUP($A117,FRV!$A$4:$U$208,14,FALSE)</f>
        <v>14000</v>
      </c>
      <c r="AE117" s="248">
        <f>VLOOKUP($A117,FRV!$A$4:$U$208,7,FALSE)</f>
        <v>140</v>
      </c>
      <c r="AF117" s="107">
        <f t="shared" si="47"/>
        <v>14289257</v>
      </c>
      <c r="AG117" s="107">
        <f t="shared" si="48"/>
        <v>102066</v>
      </c>
      <c r="AH117" s="107">
        <v>120000</v>
      </c>
      <c r="AI117" s="107">
        <f t="shared" si="49"/>
        <v>102066</v>
      </c>
      <c r="AJ117" s="107">
        <f t="shared" si="50"/>
        <v>14289240</v>
      </c>
      <c r="AK117" s="249">
        <f>IF(VLOOKUP($A117,'Rate Calculation'!$A$4:$D$208,4,FALSE)="baltimore city",0.1,0.08)</f>
        <v>0.08</v>
      </c>
      <c r="AL117" s="107">
        <f t="shared" si="51"/>
        <v>1143139</v>
      </c>
      <c r="AM117" s="105">
        <f>IF(ISERROR(MATCH(A117&amp;AA117,'Days Exceptions'!$C$3:$C$16,0)),ROUND(AL117/(MAX(S117,T117)),2),ROUND(AL117/VLOOKUP(A117,'Days Exceptions'!$A$3:$J$16,8,FALSE),2))</f>
        <v>27.36</v>
      </c>
      <c r="AN117" s="213">
        <f>VLOOKUP($A117,'Rate Calculation'!$A$4:$AF$208,32,FALSE)</f>
        <v>4.95</v>
      </c>
      <c r="AO117" s="109">
        <f t="shared" si="52"/>
        <v>32.31</v>
      </c>
      <c r="AP117" s="247">
        <f>VLOOKUP($A117,'Rate Calculation'!$A$4:$Q$208,17,FALSE)</f>
        <v>163.16</v>
      </c>
      <c r="AQ117" s="247">
        <f t="shared" si="68"/>
        <v>168.22</v>
      </c>
      <c r="AR117" s="247">
        <f>VLOOKUP($A117,'Rate Calculation'!$A$4:$K$208,11,FALSE)</f>
        <v>166.26</v>
      </c>
      <c r="AS117" s="247">
        <f t="shared" si="53"/>
        <v>171.41</v>
      </c>
      <c r="AT117" s="110">
        <f t="shared" si="54"/>
        <v>185.07</v>
      </c>
      <c r="AU117" s="110">
        <f t="shared" si="55"/>
        <v>153.51</v>
      </c>
      <c r="AV117" s="111">
        <f t="shared" si="56"/>
        <v>-6.29</v>
      </c>
      <c r="AW117" s="110">
        <f t="shared" si="57"/>
        <v>147.22</v>
      </c>
      <c r="AX117" s="105">
        <f t="shared" si="58"/>
        <v>139.54</v>
      </c>
      <c r="AY117" s="105">
        <f t="shared" si="59"/>
        <v>145.83000000000001</v>
      </c>
      <c r="AZ117" s="105">
        <f t="shared" si="60"/>
        <v>6.29</v>
      </c>
      <c r="BA117" s="105">
        <f t="shared" si="61"/>
        <v>219.12</v>
      </c>
      <c r="BB117" s="105">
        <f t="shared" si="62"/>
        <v>145.51</v>
      </c>
      <c r="BC117" s="110">
        <f t="shared" si="63"/>
        <v>319.12</v>
      </c>
      <c r="BD117" s="110">
        <f t="shared" si="64"/>
        <v>249.1</v>
      </c>
      <c r="BE117" s="110">
        <f t="shared" si="65"/>
        <v>175.49</v>
      </c>
      <c r="BF117" s="105"/>
      <c r="BG117" s="105"/>
      <c r="BH117" s="111"/>
      <c r="BI117" s="105"/>
      <c r="BJ117" s="105"/>
      <c r="BK117" s="109"/>
      <c r="BL117" s="111"/>
      <c r="BM117" s="109"/>
      <c r="BN117" s="109"/>
      <c r="BO117" s="105"/>
      <c r="BP117" s="105"/>
      <c r="BQ117" s="109"/>
      <c r="BR117" s="110"/>
      <c r="BS117" s="110"/>
      <c r="BT117" s="110"/>
      <c r="BU117" s="110"/>
      <c r="BV117" s="110"/>
      <c r="BW117" s="112"/>
      <c r="BX117" s="112"/>
      <c r="BY117" s="110"/>
      <c r="BZ117" s="105"/>
      <c r="CA117" s="105"/>
      <c r="CB117" s="105"/>
      <c r="CC117" s="105"/>
      <c r="CD117" s="105"/>
      <c r="CE117" s="105"/>
    </row>
    <row r="118" spans="1:83" x14ac:dyDescent="0.15">
      <c r="A118" s="103">
        <v>218</v>
      </c>
      <c r="B118" s="98" t="str">
        <f>VLOOKUP($A118,'Rate Calculation'!$A$4:$AQ$208,42,FALSE)</f>
        <v>413985200</v>
      </c>
      <c r="C118" s="98" t="str">
        <f>VLOOKUP($A118,'Rate Calculation'!$A$4:$AQ$208,43,FALSE)</f>
        <v>Hammonds Lane Center</v>
      </c>
      <c r="D118" s="98" t="str">
        <f>VLOOKUP($A118,'Rate Calculation'!$A$4:$F$208,5,FALSE)</f>
        <v>BALTIMORE METRO</v>
      </c>
      <c r="E118" s="98" t="str">
        <f>VLOOKUP($A118,'Rate Calculation'!$A$4:$F$208,6,FALSE)</f>
        <v>BALTIMORE METRO</v>
      </c>
      <c r="F118" s="105">
        <f t="shared" si="40"/>
        <v>105.18</v>
      </c>
      <c r="G118" s="105">
        <f t="shared" si="41"/>
        <v>21.5</v>
      </c>
      <c r="H118" s="105">
        <f t="shared" si="42"/>
        <v>26.98</v>
      </c>
      <c r="I118" s="105">
        <f t="shared" si="43"/>
        <v>188.29</v>
      </c>
      <c r="J118" s="105">
        <f>VLOOKUP($A118,'Rate Calculation'!$A$4:$AZ$208,34,FALSE)</f>
        <v>0</v>
      </c>
      <c r="K118" s="105">
        <f t="shared" si="66"/>
        <v>341.95</v>
      </c>
      <c r="L118" s="164">
        <f t="shared" si="44"/>
        <v>0.98772000000000004</v>
      </c>
      <c r="M118" s="105">
        <f t="shared" si="67"/>
        <v>337.75</v>
      </c>
      <c r="N118" s="105">
        <f>VLOOKUP($A118,'Rate Calculation'!$A$4:$AL$208,38,FALSE)</f>
        <v>28.93</v>
      </c>
      <c r="O118" s="183">
        <f>VLOOKUP($A118,'Rate Calculation'!$A$4:$I$208,9,FALSE)</f>
        <v>1.3460000000000001</v>
      </c>
      <c r="P118" s="183">
        <f t="shared" si="38"/>
        <v>1.4432</v>
      </c>
      <c r="Q118" s="183">
        <f>VLOOKUP(A118,'CMI Data'!$A$4:$C$208,3,FALSE)</f>
        <v>1.3495999999999999</v>
      </c>
      <c r="R118" s="246">
        <f>VLOOKUP($A118,FRV!$A$4:$K$208,11,FALSE)</f>
        <v>41245</v>
      </c>
      <c r="S118" s="246">
        <f t="shared" si="39"/>
        <v>33627</v>
      </c>
      <c r="T118" s="246">
        <f>VLOOKUP($A118,FRV!$A$4:$L$208,12,FALSE)</f>
        <v>36172</v>
      </c>
      <c r="U118" s="183">
        <f>Inflation!$G$24</f>
        <v>1.0309999999999999</v>
      </c>
      <c r="V118" s="247">
        <f>VLOOKUP($A118,'Rate Calculation'!A119:X323,24,FALSE)</f>
        <v>102.02</v>
      </c>
      <c r="W118" s="110">
        <f t="shared" si="45"/>
        <v>105.18</v>
      </c>
      <c r="X118" s="110">
        <f>VLOOKUP($A118,'Rate Calculation'!A119:V323,22,FALSE)</f>
        <v>20.85</v>
      </c>
      <c r="Y118" s="110">
        <f t="shared" si="46"/>
        <v>21.5</v>
      </c>
      <c r="Z118" s="212">
        <f>VLOOKUP($A118,FRV!$A$4:$D$208,4,FALSE)</f>
        <v>44743</v>
      </c>
      <c r="AA118" s="212">
        <f>VLOOKUP($A118,FRV!$A$4:$F$208,6,FALSE)</f>
        <v>44926</v>
      </c>
      <c r="AB118" s="248">
        <f>VLOOKUP($A118,FRV!$A$4:$U$208,13,FALSE)</f>
        <v>8500593</v>
      </c>
      <c r="AC118" s="248">
        <f>VLOOKUP($A118,FRV!$A$4:$U$208,15,FALSE)</f>
        <v>251553</v>
      </c>
      <c r="AD118" s="248">
        <f>VLOOKUP($A118,FRV!$A$4:$U$208,14,FALSE)</f>
        <v>20000</v>
      </c>
      <c r="AE118" s="248">
        <f>VLOOKUP($A118,FRV!$A$4:$U$208,7,FALSE)</f>
        <v>113</v>
      </c>
      <c r="AF118" s="107">
        <f t="shared" si="47"/>
        <v>11012146</v>
      </c>
      <c r="AG118" s="107">
        <f t="shared" si="48"/>
        <v>97453</v>
      </c>
      <c r="AH118" s="107">
        <v>120000</v>
      </c>
      <c r="AI118" s="107">
        <f t="shared" si="49"/>
        <v>97453</v>
      </c>
      <c r="AJ118" s="107">
        <f t="shared" si="50"/>
        <v>11012189</v>
      </c>
      <c r="AK118" s="249">
        <f>IF(VLOOKUP($A118,'Rate Calculation'!$A$4:$D$208,4,FALSE)="baltimore city",0.1,0.08)</f>
        <v>0.08</v>
      </c>
      <c r="AL118" s="107">
        <f t="shared" si="51"/>
        <v>880975</v>
      </c>
      <c r="AM118" s="105">
        <f>IF(ISERROR(MATCH(A118&amp;AA118,'Days Exceptions'!$C$3:$C$16,0)),ROUND(AL118/(MAX(S118,T118)),2),ROUND(AL118/VLOOKUP(A118,'Days Exceptions'!$A$3:$J$16,8,FALSE),2))</f>
        <v>24.36</v>
      </c>
      <c r="AN118" s="213">
        <f>VLOOKUP($A118,'Rate Calculation'!$A$4:$AF$208,32,FALSE)</f>
        <v>2.62</v>
      </c>
      <c r="AO118" s="109">
        <f t="shared" si="52"/>
        <v>26.98</v>
      </c>
      <c r="AP118" s="247">
        <f>VLOOKUP($A118,'Rate Calculation'!$A$4:$Q$208,17,FALSE)</f>
        <v>173.03</v>
      </c>
      <c r="AQ118" s="247">
        <f t="shared" si="68"/>
        <v>178.39</v>
      </c>
      <c r="AR118" s="247">
        <f>VLOOKUP($A118,'Rate Calculation'!$A$4:$K$208,11,FALSE)</f>
        <v>195.33</v>
      </c>
      <c r="AS118" s="247">
        <f t="shared" si="53"/>
        <v>201.39</v>
      </c>
      <c r="AT118" s="110">
        <f t="shared" si="54"/>
        <v>187.83</v>
      </c>
      <c r="AU118" s="110">
        <f t="shared" si="55"/>
        <v>188.33</v>
      </c>
      <c r="AV118" s="111">
        <f t="shared" si="56"/>
        <v>-0.04</v>
      </c>
      <c r="AW118" s="110">
        <f t="shared" si="57"/>
        <v>188.29</v>
      </c>
      <c r="AX118" s="105">
        <f t="shared" si="58"/>
        <v>178.87</v>
      </c>
      <c r="AY118" s="105">
        <f t="shared" si="59"/>
        <v>178.91</v>
      </c>
      <c r="AZ118" s="105">
        <f t="shared" si="60"/>
        <v>0.04</v>
      </c>
      <c r="BA118" s="105">
        <f t="shared" si="61"/>
        <v>247.81</v>
      </c>
      <c r="BB118" s="105">
        <f t="shared" si="62"/>
        <v>153.66</v>
      </c>
      <c r="BC118" s="110">
        <f t="shared" si="63"/>
        <v>366.68</v>
      </c>
      <c r="BD118" s="110">
        <f t="shared" si="64"/>
        <v>276.74</v>
      </c>
      <c r="BE118" s="110">
        <f t="shared" si="65"/>
        <v>182.59</v>
      </c>
      <c r="BF118" s="105"/>
      <c r="BG118" s="105"/>
      <c r="BH118" s="111"/>
      <c r="BI118" s="105"/>
      <c r="BJ118" s="105"/>
      <c r="BK118" s="109"/>
      <c r="BL118" s="111"/>
      <c r="BM118" s="109"/>
      <c r="BN118" s="109"/>
      <c r="BO118" s="105"/>
      <c r="BP118" s="105"/>
      <c r="BQ118" s="109"/>
      <c r="BR118" s="110"/>
      <c r="BS118" s="110"/>
      <c r="BT118" s="110"/>
      <c r="BU118" s="110"/>
      <c r="BV118" s="110"/>
      <c r="BW118" s="112"/>
      <c r="BX118" s="112"/>
      <c r="BY118" s="110"/>
      <c r="BZ118" s="105"/>
      <c r="CA118" s="105"/>
      <c r="CB118" s="105"/>
      <c r="CC118" s="105"/>
      <c r="CD118" s="105"/>
      <c r="CE118" s="105"/>
    </row>
    <row r="119" spans="1:83" x14ac:dyDescent="0.15">
      <c r="A119" s="103">
        <v>222</v>
      </c>
      <c r="B119" s="98" t="str">
        <f>VLOOKUP($A119,'Rate Calculation'!$A$4:$AQ$208,42,FALSE)</f>
        <v>210784800</v>
      </c>
      <c r="C119" s="98" t="str">
        <f>VLOOKUP($A119,'Rate Calculation'!$A$4:$AQ$208,43,FALSE)</f>
        <v>Hartley Nursing and Rehab</v>
      </c>
      <c r="D119" s="98" t="str">
        <f>VLOOKUP($A119,'Rate Calculation'!$A$4:$F$208,5,FALSE)</f>
        <v>EASTERN REGION</v>
      </c>
      <c r="E119" s="98" t="str">
        <f>VLOOKUP($A119,'Rate Calculation'!$A$4:$F$208,6,FALSE)</f>
        <v>NON METRO</v>
      </c>
      <c r="F119" s="105">
        <f t="shared" si="40"/>
        <v>92.33</v>
      </c>
      <c r="G119" s="105">
        <f t="shared" si="41"/>
        <v>20.87</v>
      </c>
      <c r="H119" s="105">
        <f t="shared" si="42"/>
        <v>34</v>
      </c>
      <c r="I119" s="105">
        <f t="shared" si="43"/>
        <v>156.69</v>
      </c>
      <c r="J119" s="105">
        <f>VLOOKUP($A119,'Rate Calculation'!$A$4:$AZ$208,34,FALSE)</f>
        <v>0</v>
      </c>
      <c r="K119" s="105">
        <f t="shared" si="66"/>
        <v>303.89</v>
      </c>
      <c r="L119" s="164">
        <f t="shared" si="44"/>
        <v>0.98772000000000004</v>
      </c>
      <c r="M119" s="105">
        <f t="shared" si="67"/>
        <v>300.16000000000003</v>
      </c>
      <c r="N119" s="105">
        <f>VLOOKUP($A119,'Rate Calculation'!$A$4:$AL$208,38,FALSE)</f>
        <v>30.01</v>
      </c>
      <c r="O119" s="183">
        <f>VLOOKUP($A119,'Rate Calculation'!$A$4:$I$208,9,FALSE)</f>
        <v>1.5392999999999999</v>
      </c>
      <c r="P119" s="183">
        <f t="shared" si="38"/>
        <v>1.4432</v>
      </c>
      <c r="Q119" s="183">
        <f>VLOOKUP(A119,'CMI Data'!$A$4:$C$208,3,FALSE)</f>
        <v>1.6914</v>
      </c>
      <c r="R119" s="246">
        <f>VLOOKUP($A119,FRV!$A$4:$K$208,11,FALSE)</f>
        <v>26645</v>
      </c>
      <c r="S119" s="246">
        <f t="shared" si="39"/>
        <v>21724</v>
      </c>
      <c r="T119" s="246">
        <f>VLOOKUP($A119,FRV!$A$4:$L$208,12,FALSE)</f>
        <v>21888</v>
      </c>
      <c r="U119" s="183">
        <f>Inflation!$G$24</f>
        <v>1.0309999999999999</v>
      </c>
      <c r="V119" s="247">
        <f>VLOOKUP($A119,'Rate Calculation'!A120:X324,24,FALSE)</f>
        <v>89.55</v>
      </c>
      <c r="W119" s="110">
        <f t="shared" si="45"/>
        <v>92.33</v>
      </c>
      <c r="X119" s="110">
        <f>VLOOKUP($A119,'Rate Calculation'!A120:V324,22,FALSE)</f>
        <v>20.239999999999998</v>
      </c>
      <c r="Y119" s="110">
        <f t="shared" si="46"/>
        <v>20.87</v>
      </c>
      <c r="Z119" s="212">
        <f>VLOOKUP($A119,FRV!$A$4:$D$208,4,FALSE)</f>
        <v>44743</v>
      </c>
      <c r="AA119" s="212">
        <f>VLOOKUP($A119,FRV!$A$4:$F$208,6,FALSE)</f>
        <v>44926</v>
      </c>
      <c r="AB119" s="248">
        <f>VLOOKUP($A119,FRV!$A$4:$U$208,13,FALSE)</f>
        <v>7893237</v>
      </c>
      <c r="AC119" s="248">
        <f>VLOOKUP($A119,FRV!$A$4:$U$208,15,FALSE)</f>
        <v>281983</v>
      </c>
      <c r="AD119" s="248">
        <f>VLOOKUP($A119,FRV!$A$4:$U$208,14,FALSE)</f>
        <v>15000</v>
      </c>
      <c r="AE119" s="248">
        <f>VLOOKUP($A119,FRV!$A$4:$U$208,7,FALSE)</f>
        <v>73</v>
      </c>
      <c r="AF119" s="107">
        <f t="shared" si="47"/>
        <v>9270220</v>
      </c>
      <c r="AG119" s="107">
        <f t="shared" si="48"/>
        <v>126989</v>
      </c>
      <c r="AH119" s="107">
        <v>120000</v>
      </c>
      <c r="AI119" s="107">
        <f t="shared" si="49"/>
        <v>120000</v>
      </c>
      <c r="AJ119" s="107">
        <f t="shared" si="50"/>
        <v>8760000</v>
      </c>
      <c r="AK119" s="249">
        <f>IF(VLOOKUP($A119,'Rate Calculation'!$A$4:$D$208,4,FALSE)="baltimore city",0.1,0.08)</f>
        <v>0.08</v>
      </c>
      <c r="AL119" s="107">
        <f t="shared" si="51"/>
        <v>700800</v>
      </c>
      <c r="AM119" s="105">
        <f>IF(ISERROR(MATCH(A119&amp;AA119,'Days Exceptions'!$C$3:$C$16,0)),ROUND(AL119/(MAX(S119,T119)),2),ROUND(AL119/VLOOKUP(A119,'Days Exceptions'!$A$3:$J$16,8,FALSE),2))</f>
        <v>32.020000000000003</v>
      </c>
      <c r="AN119" s="213">
        <f>VLOOKUP($A119,'Rate Calculation'!$A$4:$AF$208,32,FALSE)</f>
        <v>1.98</v>
      </c>
      <c r="AO119" s="109">
        <f t="shared" si="52"/>
        <v>34</v>
      </c>
      <c r="AP119" s="247">
        <f>VLOOKUP($A119,'Rate Calculation'!$A$4:$Q$208,17,FALSE)</f>
        <v>128.37</v>
      </c>
      <c r="AQ119" s="247">
        <f t="shared" si="68"/>
        <v>132.35</v>
      </c>
      <c r="AR119" s="247">
        <f>VLOOKUP($A119,'Rate Calculation'!$A$4:$K$208,11,FALSE)</f>
        <v>186.31</v>
      </c>
      <c r="AS119" s="247">
        <f t="shared" si="53"/>
        <v>192.09</v>
      </c>
      <c r="AT119" s="110">
        <f t="shared" si="54"/>
        <v>204.88</v>
      </c>
      <c r="AU119" s="110">
        <f t="shared" si="55"/>
        <v>225.12</v>
      </c>
      <c r="AV119" s="111">
        <f t="shared" si="56"/>
        <v>-68.430000000000007</v>
      </c>
      <c r="AW119" s="110">
        <f t="shared" si="57"/>
        <v>156.69</v>
      </c>
      <c r="AX119" s="105">
        <f t="shared" si="58"/>
        <v>145.43</v>
      </c>
      <c r="AY119" s="105">
        <f t="shared" si="59"/>
        <v>213.86</v>
      </c>
      <c r="AZ119" s="105">
        <f t="shared" si="60"/>
        <v>68.430000000000007</v>
      </c>
      <c r="BA119" s="105">
        <f t="shared" si="61"/>
        <v>225.55</v>
      </c>
      <c r="BB119" s="105">
        <f t="shared" si="62"/>
        <v>147.19999999999999</v>
      </c>
      <c r="BC119" s="110">
        <f t="shared" si="63"/>
        <v>330.17</v>
      </c>
      <c r="BD119" s="110">
        <f t="shared" si="64"/>
        <v>255.56</v>
      </c>
      <c r="BE119" s="110">
        <f t="shared" si="65"/>
        <v>177.21</v>
      </c>
      <c r="BF119" s="105"/>
      <c r="BG119" s="105"/>
      <c r="BH119" s="111"/>
      <c r="BI119" s="105"/>
      <c r="BJ119" s="105"/>
      <c r="BK119" s="109"/>
      <c r="BL119" s="111"/>
      <c r="BM119" s="109"/>
      <c r="BN119" s="109"/>
      <c r="BO119" s="105"/>
      <c r="BP119" s="105"/>
      <c r="BQ119" s="109"/>
      <c r="BR119" s="110"/>
      <c r="BS119" s="110"/>
      <c r="BT119" s="110"/>
      <c r="BU119" s="110"/>
      <c r="BV119" s="110"/>
      <c r="BW119" s="112"/>
      <c r="BX119" s="112"/>
      <c r="BY119" s="110"/>
      <c r="BZ119" s="105"/>
      <c r="CA119" s="105"/>
      <c r="CB119" s="105"/>
      <c r="CC119" s="105"/>
      <c r="CD119" s="105"/>
      <c r="CE119" s="105"/>
    </row>
    <row r="120" spans="1:83" x14ac:dyDescent="0.15">
      <c r="A120" s="103">
        <v>230</v>
      </c>
      <c r="B120" s="98" t="str">
        <f>VLOOKUP($A120,'Rate Calculation'!$A$4:$AQ$208,42,FALSE)</f>
        <v>155557000</v>
      </c>
      <c r="C120" s="98" t="str">
        <f>VLOOKUP($A120,'Rate Calculation'!$A$4:$AQ$208,43,FALSE)</f>
        <v>Hebrew Home of Greater Washington</v>
      </c>
      <c r="D120" s="98" t="str">
        <f>VLOOKUP($A120,'Rate Calculation'!$A$4:$F$208,5,FALSE)</f>
        <v>WASHINGTON METRO</v>
      </c>
      <c r="E120" s="98" t="str">
        <f>VLOOKUP($A120,'Rate Calculation'!$A$4:$F$208,6,FALSE)</f>
        <v>WASHINGTON METRO</v>
      </c>
      <c r="F120" s="105">
        <f t="shared" si="40"/>
        <v>103.73</v>
      </c>
      <c r="G120" s="105">
        <f t="shared" si="41"/>
        <v>19.829999999999998</v>
      </c>
      <c r="H120" s="105">
        <f t="shared" si="42"/>
        <v>32.26</v>
      </c>
      <c r="I120" s="105">
        <f t="shared" si="43"/>
        <v>170.85</v>
      </c>
      <c r="J120" s="105">
        <f>VLOOKUP($A120,'Rate Calculation'!$A$4:$AZ$208,34,FALSE)</f>
        <v>4.0999999999999996</v>
      </c>
      <c r="K120" s="105">
        <f t="shared" si="66"/>
        <v>330.77</v>
      </c>
      <c r="L120" s="164">
        <f t="shared" si="44"/>
        <v>0.98772000000000004</v>
      </c>
      <c r="M120" s="105">
        <f t="shared" si="67"/>
        <v>326.70999999999998</v>
      </c>
      <c r="N120" s="105">
        <f>VLOOKUP($A120,'Rate Calculation'!$A$4:$AL$208,38,FALSE)</f>
        <v>2.4300000000000002</v>
      </c>
      <c r="O120" s="183">
        <f>VLOOKUP($A120,'Rate Calculation'!$A$4:$I$208,9,FALSE)</f>
        <v>1.3817999999999999</v>
      </c>
      <c r="P120" s="183">
        <f t="shared" si="38"/>
        <v>1.4432</v>
      </c>
      <c r="Q120" s="183">
        <f>VLOOKUP(A120,'CMI Data'!$A$4:$C$208,3,FALSE)</f>
        <v>1.3587</v>
      </c>
      <c r="R120" s="246">
        <f>VLOOKUP($A120,FRV!$A$4:$K$208,11,FALSE)</f>
        <v>202940</v>
      </c>
      <c r="S120" s="246">
        <f t="shared" si="39"/>
        <v>165457</v>
      </c>
      <c r="T120" s="246">
        <f>VLOOKUP($A120,FRV!$A$4:$L$208,12,FALSE)</f>
        <v>135428</v>
      </c>
      <c r="U120" s="183">
        <f>Inflation!$G$24</f>
        <v>1.0309999999999999</v>
      </c>
      <c r="V120" s="247">
        <f>VLOOKUP($A120,'Rate Calculation'!A121:X325,24,FALSE)</f>
        <v>100.61</v>
      </c>
      <c r="W120" s="110">
        <f t="shared" si="45"/>
        <v>103.73</v>
      </c>
      <c r="X120" s="110">
        <f>VLOOKUP($A120,'Rate Calculation'!A121:V325,22,FALSE)</f>
        <v>19.23</v>
      </c>
      <c r="Y120" s="110">
        <f t="shared" si="46"/>
        <v>19.829999999999998</v>
      </c>
      <c r="Z120" s="212">
        <f>VLOOKUP($A120,FRV!$A$4:$D$208,4,FALSE)</f>
        <v>44743</v>
      </c>
      <c r="AA120" s="212">
        <f>VLOOKUP($A120,FRV!$A$4:$F$208,6,FALSE)</f>
        <v>44926</v>
      </c>
      <c r="AB120" s="248">
        <f>VLOOKUP($A120,FRV!$A$4:$U$208,13,FALSE)</f>
        <v>108368988</v>
      </c>
      <c r="AC120" s="248">
        <f>VLOOKUP($A120,FRV!$A$4:$U$208,15,FALSE)</f>
        <v>1546467</v>
      </c>
      <c r="AD120" s="248">
        <f>VLOOKUP($A120,FRV!$A$4:$U$208,14,FALSE)</f>
        <v>35000</v>
      </c>
      <c r="AE120" s="248">
        <f>VLOOKUP($A120,FRV!$A$4:$U$208,7,FALSE)</f>
        <v>556</v>
      </c>
      <c r="AF120" s="107">
        <f t="shared" si="47"/>
        <v>129375455</v>
      </c>
      <c r="AG120" s="107">
        <f t="shared" si="48"/>
        <v>232690</v>
      </c>
      <c r="AH120" s="107">
        <v>120000</v>
      </c>
      <c r="AI120" s="107">
        <f t="shared" si="49"/>
        <v>120000</v>
      </c>
      <c r="AJ120" s="107">
        <f t="shared" si="50"/>
        <v>66720000</v>
      </c>
      <c r="AK120" s="249">
        <f>IF(VLOOKUP($A120,'Rate Calculation'!$A$4:$D$208,4,FALSE)="baltimore city",0.1,0.08)</f>
        <v>0.08</v>
      </c>
      <c r="AL120" s="107">
        <f t="shared" si="51"/>
        <v>5337600</v>
      </c>
      <c r="AM120" s="105">
        <f>IF(ISERROR(MATCH(A120&amp;AA120,'Days Exceptions'!$C$3:$C$16,0)),ROUND(AL120/(MAX(S120,T120)),2),ROUND(AL120/VLOOKUP(A120,'Days Exceptions'!$A$3:$J$16,8,FALSE),2))</f>
        <v>32.26</v>
      </c>
      <c r="AN120" s="213">
        <f>VLOOKUP($A120,'Rate Calculation'!$A$4:$AF$208,32,FALSE)</f>
        <v>0</v>
      </c>
      <c r="AO120" s="109">
        <f t="shared" si="52"/>
        <v>32.26</v>
      </c>
      <c r="AP120" s="247">
        <f>VLOOKUP($A120,'Rate Calculation'!$A$4:$Q$208,17,FALSE)</f>
        <v>199.25</v>
      </c>
      <c r="AQ120" s="247">
        <f t="shared" si="68"/>
        <v>205.43</v>
      </c>
      <c r="AR120" s="247">
        <f>VLOOKUP($A120,'Rate Calculation'!$A$4:$K$208,11,FALSE)</f>
        <v>176.01</v>
      </c>
      <c r="AS120" s="247">
        <f t="shared" si="53"/>
        <v>181.47</v>
      </c>
      <c r="AT120" s="110">
        <f t="shared" si="54"/>
        <v>173.75</v>
      </c>
      <c r="AU120" s="110">
        <f t="shared" si="55"/>
        <v>170.85</v>
      </c>
      <c r="AV120" s="111">
        <f t="shared" si="56"/>
        <v>0</v>
      </c>
      <c r="AW120" s="110">
        <f t="shared" si="57"/>
        <v>170.85</v>
      </c>
      <c r="AX120" s="105">
        <f t="shared" si="58"/>
        <v>202</v>
      </c>
      <c r="AY120" s="105">
        <f t="shared" si="59"/>
        <v>162.31</v>
      </c>
      <c r="AZ120" s="105">
        <f t="shared" si="60"/>
        <v>-39.69</v>
      </c>
      <c r="BA120" s="105">
        <f t="shared" si="61"/>
        <v>245.35</v>
      </c>
      <c r="BB120" s="105">
        <f t="shared" si="62"/>
        <v>159.91999999999999</v>
      </c>
      <c r="BC120" s="110">
        <f t="shared" si="63"/>
        <v>329.14</v>
      </c>
      <c r="BD120" s="110">
        <f t="shared" si="64"/>
        <v>247.78</v>
      </c>
      <c r="BE120" s="110">
        <f t="shared" si="65"/>
        <v>162.35</v>
      </c>
      <c r="BF120" s="105"/>
      <c r="BG120" s="105"/>
      <c r="BH120" s="111"/>
      <c r="BI120" s="105"/>
      <c r="BJ120" s="105"/>
      <c r="BK120" s="109"/>
      <c r="BL120" s="111"/>
      <c r="BM120" s="109"/>
      <c r="BN120" s="109"/>
      <c r="BO120" s="105"/>
      <c r="BP120" s="105"/>
      <c r="BQ120" s="109"/>
      <c r="BR120" s="110"/>
      <c r="BS120" s="110"/>
      <c r="BT120" s="110"/>
      <c r="BU120" s="110"/>
      <c r="BV120" s="110"/>
      <c r="BW120" s="112"/>
      <c r="BX120" s="112"/>
      <c r="BY120" s="110"/>
      <c r="BZ120" s="105"/>
      <c r="CA120" s="105"/>
      <c r="CB120" s="105"/>
      <c r="CC120" s="105"/>
      <c r="CD120" s="105"/>
      <c r="CE120" s="105"/>
    </row>
    <row r="121" spans="1:83" x14ac:dyDescent="0.15">
      <c r="A121" s="103">
        <v>460</v>
      </c>
      <c r="B121" s="98" t="str">
        <f>VLOOKUP($A121,'Rate Calculation'!$A$4:$AQ$208,42,FALSE)</f>
        <v>154937500</v>
      </c>
      <c r="C121" s="98" t="str">
        <f>VLOOKUP($A121,'Rate Calculation'!$A$4:$AQ$208,43,FALSE)</f>
        <v>Herman M. Wilson Health Care Center</v>
      </c>
      <c r="D121" s="98" t="str">
        <f>VLOOKUP($A121,'Rate Calculation'!$A$4:$F$208,5,FALSE)</f>
        <v>WASHINGTON METRO</v>
      </c>
      <c r="E121" s="98" t="str">
        <f>VLOOKUP($A121,'Rate Calculation'!$A$4:$F$208,6,FALSE)</f>
        <v>WASHINGTON METRO</v>
      </c>
      <c r="F121" s="105">
        <f t="shared" si="40"/>
        <v>103.73</v>
      </c>
      <c r="G121" s="105">
        <f t="shared" si="41"/>
        <v>19.829999999999998</v>
      </c>
      <c r="H121" s="105">
        <f t="shared" si="42"/>
        <v>32.26</v>
      </c>
      <c r="I121" s="105">
        <f t="shared" si="43"/>
        <v>158.29</v>
      </c>
      <c r="J121" s="105">
        <f>VLOOKUP($A121,'Rate Calculation'!$A$4:$AZ$208,34,FALSE)</f>
        <v>0</v>
      </c>
      <c r="K121" s="105">
        <f t="shared" si="66"/>
        <v>314.11</v>
      </c>
      <c r="L121" s="164">
        <f t="shared" si="44"/>
        <v>0.98772000000000004</v>
      </c>
      <c r="M121" s="105">
        <f t="shared" si="67"/>
        <v>310.25</v>
      </c>
      <c r="N121" s="105">
        <f>VLOOKUP($A121,'Rate Calculation'!$A$4:$AL$208,38,FALSE)</f>
        <v>0</v>
      </c>
      <c r="O121" s="183">
        <f>VLOOKUP($A121,'Rate Calculation'!$A$4:$I$208,9,FALSE)</f>
        <v>1.4749000000000001</v>
      </c>
      <c r="P121" s="183">
        <f t="shared" si="38"/>
        <v>1.4432</v>
      </c>
      <c r="Q121" s="183">
        <f>VLOOKUP(A121,'CMI Data'!$A$4:$C$208,3,FALSE)</f>
        <v>1.2587999999999999</v>
      </c>
      <c r="R121" s="246">
        <f>VLOOKUP($A121,FRV!$A$4:$K$208,11,FALSE)</f>
        <v>104025</v>
      </c>
      <c r="S121" s="246">
        <f t="shared" si="39"/>
        <v>84812</v>
      </c>
      <c r="T121" s="246">
        <f>VLOOKUP($A121,FRV!$A$4:$L$208,12,FALSE)</f>
        <v>64088</v>
      </c>
      <c r="U121" s="183">
        <f>Inflation!$G$24</f>
        <v>1.0309999999999999</v>
      </c>
      <c r="V121" s="247">
        <f>VLOOKUP($A121,'Rate Calculation'!A122:X326,24,FALSE)</f>
        <v>100.61</v>
      </c>
      <c r="W121" s="110">
        <f t="shared" si="45"/>
        <v>103.73</v>
      </c>
      <c r="X121" s="110">
        <f>VLOOKUP($A121,'Rate Calculation'!A122:V326,22,FALSE)</f>
        <v>19.23</v>
      </c>
      <c r="Y121" s="110">
        <f t="shared" si="46"/>
        <v>19.829999999999998</v>
      </c>
      <c r="Z121" s="212">
        <f>VLOOKUP($A121,FRV!$A$4:$D$208,4,FALSE)</f>
        <v>44743</v>
      </c>
      <c r="AA121" s="212">
        <f>VLOOKUP($A121,FRV!$A$4:$F$208,6,FALSE)</f>
        <v>44926</v>
      </c>
      <c r="AB121" s="248">
        <f>VLOOKUP($A121,FRV!$A$4:$U$208,13,FALSE)</f>
        <v>58249770</v>
      </c>
      <c r="AC121" s="248">
        <f>VLOOKUP($A121,FRV!$A$4:$U$208,15,FALSE)</f>
        <v>986929</v>
      </c>
      <c r="AD121" s="248">
        <f>VLOOKUP($A121,FRV!$A$4:$U$208,14,FALSE)</f>
        <v>38000</v>
      </c>
      <c r="AE121" s="248">
        <f>VLOOKUP($A121,FRV!$A$4:$U$208,7,FALSE)</f>
        <v>285</v>
      </c>
      <c r="AF121" s="107">
        <f t="shared" si="47"/>
        <v>70066699</v>
      </c>
      <c r="AG121" s="107">
        <f t="shared" si="48"/>
        <v>245848</v>
      </c>
      <c r="AH121" s="107">
        <v>120000</v>
      </c>
      <c r="AI121" s="107">
        <f t="shared" si="49"/>
        <v>120000</v>
      </c>
      <c r="AJ121" s="107">
        <f t="shared" si="50"/>
        <v>34200000</v>
      </c>
      <c r="AK121" s="249">
        <f>IF(VLOOKUP($A121,'Rate Calculation'!$A$4:$D$208,4,FALSE)="baltimore city",0.1,0.08)</f>
        <v>0.08</v>
      </c>
      <c r="AL121" s="107">
        <f t="shared" si="51"/>
        <v>2736000</v>
      </c>
      <c r="AM121" s="105">
        <f>IF(ISERROR(MATCH(A121&amp;AA121,'Days Exceptions'!$C$3:$C$16,0)),ROUND(AL121/(MAX(S121,T121)),2),ROUND(AL121/VLOOKUP(A121,'Days Exceptions'!$A$3:$J$16,8,FALSE),2))</f>
        <v>32.26</v>
      </c>
      <c r="AN121" s="213">
        <f>VLOOKUP($A121,'Rate Calculation'!$A$4:$AF$208,32,FALSE)</f>
        <v>0</v>
      </c>
      <c r="AO121" s="109">
        <f t="shared" si="52"/>
        <v>32.26</v>
      </c>
      <c r="AP121" s="247">
        <f>VLOOKUP($A121,'Rate Calculation'!$A$4:$Q$208,17,FALSE)</f>
        <v>219.86</v>
      </c>
      <c r="AQ121" s="247">
        <f t="shared" si="68"/>
        <v>226.68</v>
      </c>
      <c r="AR121" s="247">
        <f>VLOOKUP($A121,'Rate Calculation'!$A$4:$K$208,11,FALSE)</f>
        <v>176.01</v>
      </c>
      <c r="AS121" s="247">
        <f t="shared" si="53"/>
        <v>181.47</v>
      </c>
      <c r="AT121" s="110">
        <f t="shared" si="54"/>
        <v>185.46</v>
      </c>
      <c r="AU121" s="110">
        <f t="shared" si="55"/>
        <v>158.29</v>
      </c>
      <c r="AV121" s="111">
        <f t="shared" si="56"/>
        <v>0</v>
      </c>
      <c r="AW121" s="110">
        <f t="shared" si="57"/>
        <v>158.29</v>
      </c>
      <c r="AX121" s="105">
        <f t="shared" si="58"/>
        <v>193.47</v>
      </c>
      <c r="AY121" s="105">
        <f t="shared" si="59"/>
        <v>150.38</v>
      </c>
      <c r="AZ121" s="105">
        <f t="shared" si="60"/>
        <v>-43.09</v>
      </c>
      <c r="BA121" s="105">
        <f t="shared" si="61"/>
        <v>234.97</v>
      </c>
      <c r="BB121" s="105">
        <f t="shared" si="62"/>
        <v>155.82</v>
      </c>
      <c r="BC121" s="110">
        <f t="shared" si="63"/>
        <v>310.25</v>
      </c>
      <c r="BD121" s="110">
        <f t="shared" si="64"/>
        <v>234.97</v>
      </c>
      <c r="BE121" s="110">
        <f t="shared" si="65"/>
        <v>155.82</v>
      </c>
      <c r="BF121" s="105"/>
      <c r="BG121" s="105"/>
      <c r="BH121" s="111"/>
      <c r="BI121" s="105"/>
      <c r="BJ121" s="113"/>
      <c r="BK121" s="109"/>
      <c r="BL121" s="215"/>
      <c r="BM121" s="109"/>
      <c r="BN121" s="109"/>
      <c r="BO121" s="105"/>
      <c r="BP121" s="105"/>
      <c r="BQ121" s="109"/>
      <c r="BR121" s="110"/>
      <c r="BS121" s="110"/>
      <c r="BT121" s="110"/>
      <c r="BU121" s="110"/>
      <c r="BV121" s="110"/>
      <c r="BW121" s="112"/>
      <c r="BX121" s="112"/>
      <c r="BY121" s="110"/>
      <c r="BZ121" s="105"/>
      <c r="CA121" s="105"/>
      <c r="CB121" s="105"/>
      <c r="CC121" s="105"/>
      <c r="CD121" s="105"/>
      <c r="CE121" s="105"/>
    </row>
    <row r="122" spans="1:83" x14ac:dyDescent="0.15">
      <c r="A122" s="103">
        <v>238</v>
      </c>
      <c r="B122" s="98" t="str">
        <f>VLOOKUP($A122,'Rate Calculation'!$A$4:$AQ$208,42,FALSE)</f>
        <v>414068100</v>
      </c>
      <c r="C122" s="98" t="str">
        <f>VLOOKUP($A122,'Rate Calculation'!$A$4:$AQ$208,43,FALSE)</f>
        <v>Holly Hill Nursing and Rehabilitation Center</v>
      </c>
      <c r="D122" s="98" t="str">
        <f>VLOOKUP($A122,'Rate Calculation'!$A$4:$F$208,5,FALSE)</f>
        <v>BALTIMORE METRO</v>
      </c>
      <c r="E122" s="98" t="str">
        <f>VLOOKUP($A122,'Rate Calculation'!$A$4:$F$208,6,FALSE)</f>
        <v>BALTIMORE METRO</v>
      </c>
      <c r="F122" s="105">
        <f t="shared" si="40"/>
        <v>105.18</v>
      </c>
      <c r="G122" s="105">
        <f t="shared" si="41"/>
        <v>21.5</v>
      </c>
      <c r="H122" s="105">
        <f t="shared" si="42"/>
        <v>32.11</v>
      </c>
      <c r="I122" s="105">
        <f t="shared" si="43"/>
        <v>179.91</v>
      </c>
      <c r="J122" s="105">
        <f>VLOOKUP($A122,'Rate Calculation'!$A$4:$AZ$208,34,FALSE)</f>
        <v>0</v>
      </c>
      <c r="K122" s="105">
        <f t="shared" si="66"/>
        <v>338.7</v>
      </c>
      <c r="L122" s="164">
        <f t="shared" si="44"/>
        <v>0.98772000000000004</v>
      </c>
      <c r="M122" s="105">
        <f t="shared" si="67"/>
        <v>334.54</v>
      </c>
      <c r="N122" s="105">
        <f>VLOOKUP($A122,'Rate Calculation'!$A$4:$AL$208,38,FALSE)</f>
        <v>31.13</v>
      </c>
      <c r="O122" s="183">
        <f>VLOOKUP($A122,'Rate Calculation'!$A$4:$I$208,9,FALSE)</f>
        <v>1.3187</v>
      </c>
      <c r="P122" s="183">
        <f t="shared" si="38"/>
        <v>1.4432</v>
      </c>
      <c r="Q122" s="183">
        <f>VLOOKUP(A122,'CMI Data'!$A$4:$C$208,3,FALSE)</f>
        <v>1.3952</v>
      </c>
      <c r="R122" s="246">
        <f>VLOOKUP($A122,FRV!$A$4:$K$208,11,FALSE)</f>
        <v>27375</v>
      </c>
      <c r="S122" s="246">
        <f t="shared" si="39"/>
        <v>22319</v>
      </c>
      <c r="T122" s="246">
        <f>VLOOKUP($A122,FRV!$A$4:$L$208,12,FALSE)</f>
        <v>24362</v>
      </c>
      <c r="U122" s="183">
        <f>Inflation!$G$24</f>
        <v>1.0309999999999999</v>
      </c>
      <c r="V122" s="247">
        <f>VLOOKUP($A122,'Rate Calculation'!A123:X327,24,FALSE)</f>
        <v>102.02</v>
      </c>
      <c r="W122" s="110">
        <f t="shared" si="45"/>
        <v>105.18</v>
      </c>
      <c r="X122" s="110">
        <f>VLOOKUP($A122,'Rate Calculation'!A123:V327,22,FALSE)</f>
        <v>20.85</v>
      </c>
      <c r="Y122" s="110">
        <f t="shared" si="46"/>
        <v>21.5</v>
      </c>
      <c r="Z122" s="212">
        <f>VLOOKUP($A122,FRV!$A$4:$D$208,4,FALSE)</f>
        <v>44743</v>
      </c>
      <c r="AA122" s="212">
        <f>VLOOKUP($A122,FRV!$A$4:$F$208,6,FALSE)</f>
        <v>44742</v>
      </c>
      <c r="AB122" s="248">
        <f>VLOOKUP($A122,FRV!$A$4:$U$208,13,FALSE)</f>
        <v>13499960</v>
      </c>
      <c r="AC122" s="248">
        <f>VLOOKUP($A122,FRV!$A$4:$U$208,15,FALSE)</f>
        <v>196202</v>
      </c>
      <c r="AD122" s="248">
        <f>VLOOKUP($A122,FRV!$A$4:$U$208,14,FALSE)</f>
        <v>22500</v>
      </c>
      <c r="AE122" s="248">
        <f>VLOOKUP($A122,FRV!$A$4:$U$208,7,FALSE)</f>
        <v>75</v>
      </c>
      <c r="AF122" s="107">
        <f t="shared" si="47"/>
        <v>15383662</v>
      </c>
      <c r="AG122" s="107">
        <f t="shared" si="48"/>
        <v>205115</v>
      </c>
      <c r="AH122" s="107">
        <v>120000</v>
      </c>
      <c r="AI122" s="107">
        <f t="shared" si="49"/>
        <v>120000</v>
      </c>
      <c r="AJ122" s="107">
        <f t="shared" si="50"/>
        <v>9000000</v>
      </c>
      <c r="AK122" s="249">
        <f>IF(VLOOKUP($A122,'Rate Calculation'!$A$4:$D$208,4,FALSE)="baltimore city",0.1,0.08)</f>
        <v>0.08</v>
      </c>
      <c r="AL122" s="107">
        <f t="shared" si="51"/>
        <v>720000</v>
      </c>
      <c r="AM122" s="105">
        <f>IF(ISERROR(MATCH(A122&amp;AA122,'Days Exceptions'!$C$3:$C$16,0)),ROUND(AL122/(MAX(S122,T122)),2),ROUND(AL122/VLOOKUP(A122,'Days Exceptions'!$A$3:$J$16,8,FALSE),2))</f>
        <v>29.55</v>
      </c>
      <c r="AN122" s="213">
        <f>VLOOKUP($A122,'Rate Calculation'!$A$4:$AF$208,32,FALSE)</f>
        <v>2.56</v>
      </c>
      <c r="AO122" s="109">
        <f t="shared" si="52"/>
        <v>32.11</v>
      </c>
      <c r="AP122" s="247">
        <f>VLOOKUP($A122,'Rate Calculation'!$A$4:$Q$208,17,FALSE)</f>
        <v>156.01</v>
      </c>
      <c r="AQ122" s="247">
        <f t="shared" si="68"/>
        <v>160.85</v>
      </c>
      <c r="AR122" s="247">
        <f>VLOOKUP($A122,'Rate Calculation'!$A$4:$K$208,11,FALSE)</f>
        <v>195.33</v>
      </c>
      <c r="AS122" s="247">
        <f t="shared" si="53"/>
        <v>201.39</v>
      </c>
      <c r="AT122" s="110">
        <f t="shared" si="54"/>
        <v>184.02</v>
      </c>
      <c r="AU122" s="110">
        <f t="shared" si="55"/>
        <v>194.7</v>
      </c>
      <c r="AV122" s="111">
        <f t="shared" si="56"/>
        <v>-14.79</v>
      </c>
      <c r="AW122" s="110">
        <f t="shared" si="57"/>
        <v>179.91</v>
      </c>
      <c r="AX122" s="105">
        <f t="shared" si="58"/>
        <v>170.18</v>
      </c>
      <c r="AY122" s="105">
        <f t="shared" si="59"/>
        <v>184.97</v>
      </c>
      <c r="AZ122" s="105">
        <f t="shared" si="60"/>
        <v>14.79</v>
      </c>
      <c r="BA122" s="105">
        <f t="shared" si="61"/>
        <v>248.75</v>
      </c>
      <c r="BB122" s="105">
        <f t="shared" si="62"/>
        <v>158.79</v>
      </c>
      <c r="BC122" s="110">
        <f t="shared" si="63"/>
        <v>365.67</v>
      </c>
      <c r="BD122" s="110">
        <f t="shared" si="64"/>
        <v>279.88</v>
      </c>
      <c r="BE122" s="110">
        <f t="shared" si="65"/>
        <v>189.92</v>
      </c>
      <c r="BF122" s="105"/>
      <c r="BG122" s="105"/>
      <c r="BH122" s="111"/>
      <c r="BI122" s="105"/>
      <c r="BJ122" s="105"/>
      <c r="BK122" s="109"/>
      <c r="BL122" s="111"/>
      <c r="BM122" s="109"/>
      <c r="BN122" s="109"/>
      <c r="BO122" s="105"/>
      <c r="BP122" s="105"/>
      <c r="BQ122" s="109"/>
      <c r="BR122" s="110"/>
      <c r="BS122" s="110"/>
      <c r="BT122" s="110"/>
      <c r="BU122" s="110"/>
      <c r="BV122" s="110"/>
      <c r="BW122" s="112"/>
      <c r="BX122" s="112"/>
      <c r="BY122" s="110"/>
      <c r="BZ122" s="105"/>
      <c r="CA122" s="105"/>
      <c r="CB122" s="105"/>
      <c r="CC122" s="105"/>
      <c r="CD122" s="105"/>
      <c r="CE122" s="105"/>
    </row>
    <row r="123" spans="1:83" x14ac:dyDescent="0.15">
      <c r="A123" s="103">
        <v>242</v>
      </c>
      <c r="B123" s="98" t="str">
        <f>VLOOKUP($A123,'Rate Calculation'!$A$4:$AQ$208,42,FALSE)</f>
        <v>852125500</v>
      </c>
      <c r="C123" s="98" t="str">
        <f>VLOOKUP($A123,'Rate Calculation'!$A$4:$AQ$208,43,FALSE)</f>
        <v>Homewood at Crumland Farms</v>
      </c>
      <c r="D123" s="98" t="str">
        <f>VLOOKUP($A123,'Rate Calculation'!$A$4:$F$208,5,FALSE)</f>
        <v>WASHINGTON METRO</v>
      </c>
      <c r="E123" s="98" t="str">
        <f>VLOOKUP($A123,'Rate Calculation'!$A$4:$F$208,6,FALSE)</f>
        <v>NON METRO</v>
      </c>
      <c r="F123" s="105">
        <f t="shared" si="40"/>
        <v>92.33</v>
      </c>
      <c r="G123" s="105">
        <f t="shared" si="41"/>
        <v>20.87</v>
      </c>
      <c r="H123" s="105">
        <f t="shared" si="42"/>
        <v>32.26</v>
      </c>
      <c r="I123" s="105">
        <f t="shared" si="43"/>
        <v>157.22</v>
      </c>
      <c r="J123" s="105">
        <f>VLOOKUP($A123,'Rate Calculation'!$A$4:$AZ$208,34,FALSE)</f>
        <v>0</v>
      </c>
      <c r="K123" s="105">
        <f t="shared" si="66"/>
        <v>302.68</v>
      </c>
      <c r="L123" s="164">
        <f t="shared" si="44"/>
        <v>0.98772000000000004</v>
      </c>
      <c r="M123" s="105">
        <f t="shared" si="67"/>
        <v>298.95999999999998</v>
      </c>
      <c r="N123" s="105">
        <f>VLOOKUP($A123,'Rate Calculation'!$A$4:$AL$208,38,FALSE)</f>
        <v>0</v>
      </c>
      <c r="O123" s="183">
        <f>VLOOKUP($A123,'Rate Calculation'!$A$4:$I$208,9,FALSE)</f>
        <v>1.2000999999999999</v>
      </c>
      <c r="P123" s="183">
        <f t="shared" si="38"/>
        <v>1.4432</v>
      </c>
      <c r="Q123" s="183">
        <f>VLOOKUP(A123,'CMI Data'!$A$4:$C$208,3,FALSE)</f>
        <v>1.2504</v>
      </c>
      <c r="R123" s="246">
        <f>VLOOKUP($A123,FRV!$A$4:$K$208,11,FALSE)</f>
        <v>43800</v>
      </c>
      <c r="S123" s="246">
        <f t="shared" si="39"/>
        <v>35710</v>
      </c>
      <c r="T123" s="246">
        <f>VLOOKUP($A123,FRV!$A$4:$L$208,12,FALSE)</f>
        <v>30788</v>
      </c>
      <c r="U123" s="183">
        <f>Inflation!$G$24</f>
        <v>1.0309999999999999</v>
      </c>
      <c r="V123" s="247">
        <f>VLOOKUP($A123,'Rate Calculation'!A124:X328,24,FALSE)</f>
        <v>89.55</v>
      </c>
      <c r="W123" s="110">
        <f t="shared" si="45"/>
        <v>92.33</v>
      </c>
      <c r="X123" s="110">
        <f>VLOOKUP($A123,'Rate Calculation'!A124:V328,22,FALSE)</f>
        <v>20.239999999999998</v>
      </c>
      <c r="Y123" s="110">
        <f t="shared" si="46"/>
        <v>20.87</v>
      </c>
      <c r="Z123" s="212">
        <f>VLOOKUP($A123,FRV!$A$4:$D$208,4,FALSE)</f>
        <v>45108</v>
      </c>
      <c r="AA123" s="212">
        <f>VLOOKUP($A123,FRV!$A$4:$F$208,6,FALSE)</f>
        <v>45291</v>
      </c>
      <c r="AB123" s="248">
        <f>VLOOKUP($A123,FRV!$A$4:$U$208,13,FALSE)</f>
        <v>19518014</v>
      </c>
      <c r="AC123" s="248">
        <f>VLOOKUP($A123,FRV!$A$4:$U$208,15,FALSE)</f>
        <v>416501</v>
      </c>
      <c r="AD123" s="248">
        <f>VLOOKUP($A123,FRV!$A$4:$U$208,14,FALSE)</f>
        <v>21000</v>
      </c>
      <c r="AE123" s="248">
        <f>VLOOKUP($A123,FRV!$A$4:$U$208,7,FALSE)</f>
        <v>120</v>
      </c>
      <c r="AF123" s="107">
        <f t="shared" si="47"/>
        <v>22454515</v>
      </c>
      <c r="AG123" s="107">
        <f t="shared" si="48"/>
        <v>187121</v>
      </c>
      <c r="AH123" s="107">
        <v>120000</v>
      </c>
      <c r="AI123" s="107">
        <f t="shared" si="49"/>
        <v>120000</v>
      </c>
      <c r="AJ123" s="107">
        <f t="shared" si="50"/>
        <v>14400000</v>
      </c>
      <c r="AK123" s="249">
        <f>IF(VLOOKUP($A123,'Rate Calculation'!$A$4:$D$208,4,FALSE)="baltimore city",0.1,0.08)</f>
        <v>0.08</v>
      </c>
      <c r="AL123" s="107">
        <f t="shared" si="51"/>
        <v>1152000</v>
      </c>
      <c r="AM123" s="105">
        <f>IF(ISERROR(MATCH(A123&amp;AA123,'Days Exceptions'!$C$3:$C$16,0)),ROUND(AL123/(MAX(S123,T123)),2),ROUND(AL123/VLOOKUP(A123,'Days Exceptions'!$A$3:$J$16,8,FALSE),2))</f>
        <v>32.26</v>
      </c>
      <c r="AN123" s="213">
        <f>VLOOKUP($A123,'Rate Calculation'!$A$4:$AF$208,32,FALSE)</f>
        <v>0</v>
      </c>
      <c r="AO123" s="109">
        <f t="shared" si="52"/>
        <v>32.26</v>
      </c>
      <c r="AP123" s="247">
        <f>VLOOKUP($A123,'Rate Calculation'!$A$4:$Q$208,17,FALSE)</f>
        <v>247.27</v>
      </c>
      <c r="AQ123" s="247">
        <f t="shared" si="68"/>
        <v>254.94</v>
      </c>
      <c r="AR123" s="247">
        <f>VLOOKUP($A123,'Rate Calculation'!$A$4:$K$208,11,FALSE)</f>
        <v>176.01</v>
      </c>
      <c r="AS123" s="247">
        <f t="shared" si="53"/>
        <v>181.47</v>
      </c>
      <c r="AT123" s="110">
        <f t="shared" si="54"/>
        <v>150.9</v>
      </c>
      <c r="AU123" s="110">
        <f t="shared" si="55"/>
        <v>157.22</v>
      </c>
      <c r="AV123" s="111">
        <f t="shared" si="56"/>
        <v>0</v>
      </c>
      <c r="AW123" s="110">
        <f t="shared" si="57"/>
        <v>157.22</v>
      </c>
      <c r="AX123" s="105">
        <f t="shared" si="58"/>
        <v>265.63</v>
      </c>
      <c r="AY123" s="105">
        <f t="shared" si="59"/>
        <v>149.36000000000001</v>
      </c>
      <c r="AZ123" s="105">
        <f t="shared" si="60"/>
        <v>-116.27</v>
      </c>
      <c r="BA123" s="105">
        <f t="shared" si="61"/>
        <v>224.07</v>
      </c>
      <c r="BB123" s="105">
        <f t="shared" si="62"/>
        <v>145.46</v>
      </c>
      <c r="BC123" s="110">
        <f t="shared" si="63"/>
        <v>298.95999999999998</v>
      </c>
      <c r="BD123" s="110">
        <f t="shared" si="64"/>
        <v>224.07</v>
      </c>
      <c r="BE123" s="110">
        <f t="shared" si="65"/>
        <v>145.46</v>
      </c>
      <c r="BF123" s="105"/>
      <c r="BG123" s="105"/>
      <c r="BH123" s="111"/>
      <c r="BI123" s="105"/>
      <c r="BJ123" s="105"/>
      <c r="BK123" s="109"/>
      <c r="BL123" s="111"/>
      <c r="BM123" s="109"/>
      <c r="BN123" s="109"/>
      <c r="BO123" s="105"/>
      <c r="BP123" s="105"/>
      <c r="BQ123" s="109"/>
      <c r="BR123" s="110"/>
      <c r="BS123" s="110"/>
      <c r="BT123" s="110"/>
      <c r="BU123" s="110"/>
      <c r="BV123" s="110"/>
      <c r="BW123" s="112"/>
      <c r="BX123" s="112"/>
      <c r="BY123" s="110"/>
      <c r="BZ123" s="105"/>
      <c r="CA123" s="105"/>
      <c r="CB123" s="105"/>
      <c r="CC123" s="105"/>
      <c r="CD123" s="105"/>
      <c r="CE123" s="105"/>
    </row>
    <row r="124" spans="1:83" x14ac:dyDescent="0.15">
      <c r="A124" s="103">
        <v>244</v>
      </c>
      <c r="B124" s="98" t="str">
        <f>VLOOKUP($A124,'Rate Calculation'!$A$4:$AQ$208,42,FALSE)</f>
        <v>217447200</v>
      </c>
      <c r="C124" s="98" t="str">
        <f>VLOOKUP($A124,'Rate Calculation'!$A$4:$AQ$208,43,FALSE)</f>
        <v>Homewood at Williamsport</v>
      </c>
      <c r="D124" s="98" t="str">
        <f>VLOOKUP($A124,'Rate Calculation'!$A$4:$F$208,5,FALSE)</f>
        <v>WESTERN REGION</v>
      </c>
      <c r="E124" s="98" t="str">
        <f>VLOOKUP($A124,'Rate Calculation'!$A$4:$F$208,6,FALSE)</f>
        <v>NON METRO</v>
      </c>
      <c r="F124" s="105">
        <f t="shared" si="40"/>
        <v>92.33</v>
      </c>
      <c r="G124" s="105">
        <f t="shared" si="41"/>
        <v>20.87</v>
      </c>
      <c r="H124" s="105">
        <f t="shared" si="42"/>
        <v>32.26</v>
      </c>
      <c r="I124" s="105">
        <f t="shared" si="43"/>
        <v>144.43</v>
      </c>
      <c r="J124" s="105">
        <f>VLOOKUP($A124,'Rate Calculation'!$A$4:$AZ$208,34,FALSE)</f>
        <v>0</v>
      </c>
      <c r="K124" s="105">
        <f t="shared" si="66"/>
        <v>289.89</v>
      </c>
      <c r="L124" s="164">
        <f t="shared" si="44"/>
        <v>0.98772000000000004</v>
      </c>
      <c r="M124" s="105">
        <f t="shared" si="67"/>
        <v>286.33</v>
      </c>
      <c r="N124" s="105">
        <f>VLOOKUP($A124,'Rate Calculation'!$A$4:$AL$208,38,FALSE)</f>
        <v>0</v>
      </c>
      <c r="O124" s="183">
        <f>VLOOKUP($A124,'Rate Calculation'!$A$4:$I$208,9,FALSE)</f>
        <v>1.2136</v>
      </c>
      <c r="P124" s="183">
        <f t="shared" si="38"/>
        <v>1.4432</v>
      </c>
      <c r="Q124" s="183">
        <f>VLOOKUP(A124,'CMI Data'!$A$4:$C$208,3,FALSE)</f>
        <v>1.216</v>
      </c>
      <c r="R124" s="246">
        <f>VLOOKUP($A124,FRV!$A$4:$K$208,11,FALSE)</f>
        <v>29930</v>
      </c>
      <c r="S124" s="246">
        <f t="shared" si="39"/>
        <v>24402</v>
      </c>
      <c r="T124" s="246">
        <f>VLOOKUP($A124,FRV!$A$4:$L$208,12,FALSE)</f>
        <v>23626</v>
      </c>
      <c r="U124" s="183">
        <f>Inflation!$G$24</f>
        <v>1.0309999999999999</v>
      </c>
      <c r="V124" s="247">
        <f>VLOOKUP($A124,'Rate Calculation'!A125:X329,24,FALSE)</f>
        <v>89.55</v>
      </c>
      <c r="W124" s="110">
        <f t="shared" si="45"/>
        <v>92.33</v>
      </c>
      <c r="X124" s="110">
        <f>VLOOKUP($A124,'Rate Calculation'!A125:V329,22,FALSE)</f>
        <v>20.239999999999998</v>
      </c>
      <c r="Y124" s="110">
        <f t="shared" si="46"/>
        <v>20.87</v>
      </c>
      <c r="Z124" s="212">
        <f>VLOOKUP($A124,FRV!$A$4:$D$208,4,FALSE)</f>
        <v>44743</v>
      </c>
      <c r="AA124" s="212">
        <f>VLOOKUP($A124,FRV!$A$4:$F$208,6,FALSE)</f>
        <v>44926</v>
      </c>
      <c r="AB124" s="248">
        <f>VLOOKUP($A124,FRV!$A$4:$U$208,13,FALSE)</f>
        <v>15370010</v>
      </c>
      <c r="AC124" s="248">
        <f>VLOOKUP($A124,FRV!$A$4:$U$208,15,FALSE)</f>
        <v>693612</v>
      </c>
      <c r="AD124" s="248">
        <f>VLOOKUP($A124,FRV!$A$4:$U$208,14,FALSE)</f>
        <v>15000</v>
      </c>
      <c r="AE124" s="248">
        <f>VLOOKUP($A124,FRV!$A$4:$U$208,7,FALSE)</f>
        <v>82</v>
      </c>
      <c r="AF124" s="107">
        <f t="shared" si="47"/>
        <v>17293622</v>
      </c>
      <c r="AG124" s="107">
        <f t="shared" si="48"/>
        <v>210898</v>
      </c>
      <c r="AH124" s="107">
        <v>120000</v>
      </c>
      <c r="AI124" s="107">
        <f t="shared" si="49"/>
        <v>120000</v>
      </c>
      <c r="AJ124" s="107">
        <f t="shared" si="50"/>
        <v>9840000</v>
      </c>
      <c r="AK124" s="249">
        <f>IF(VLOOKUP($A124,'Rate Calculation'!$A$4:$D$208,4,FALSE)="baltimore city",0.1,0.08)</f>
        <v>0.08</v>
      </c>
      <c r="AL124" s="107">
        <f t="shared" si="51"/>
        <v>787200</v>
      </c>
      <c r="AM124" s="105">
        <f>IF(ISERROR(MATCH(A124&amp;AA124,'Days Exceptions'!$C$3:$C$16,0)),ROUND(AL124/(MAX(S124,T124)),2),ROUND(AL124/VLOOKUP(A124,'Days Exceptions'!$A$3:$J$16,8,FALSE),2))</f>
        <v>32.26</v>
      </c>
      <c r="AN124" s="213">
        <f>VLOOKUP($A124,'Rate Calculation'!$A$4:$AF$208,32,FALSE)</f>
        <v>0</v>
      </c>
      <c r="AO124" s="109">
        <f t="shared" si="52"/>
        <v>32.26</v>
      </c>
      <c r="AP124" s="247">
        <f>VLOOKUP($A124,'Rate Calculation'!$A$4:$Q$208,17,FALSE)</f>
        <v>215.65</v>
      </c>
      <c r="AQ124" s="247">
        <f t="shared" si="68"/>
        <v>222.34</v>
      </c>
      <c r="AR124" s="247">
        <f>VLOOKUP($A124,'Rate Calculation'!$A$4:$K$208,11,FALSE)</f>
        <v>166.26</v>
      </c>
      <c r="AS124" s="247">
        <f t="shared" si="53"/>
        <v>171.41</v>
      </c>
      <c r="AT124" s="110">
        <f t="shared" si="54"/>
        <v>144.13999999999999</v>
      </c>
      <c r="AU124" s="110">
        <f t="shared" si="55"/>
        <v>144.43</v>
      </c>
      <c r="AV124" s="111">
        <f t="shared" si="56"/>
        <v>0</v>
      </c>
      <c r="AW124" s="110">
        <f t="shared" si="57"/>
        <v>144.43</v>
      </c>
      <c r="AX124" s="105">
        <f t="shared" si="58"/>
        <v>222.78</v>
      </c>
      <c r="AY124" s="105">
        <f t="shared" si="59"/>
        <v>137.21</v>
      </c>
      <c r="AZ124" s="105">
        <f t="shared" si="60"/>
        <v>-85.57</v>
      </c>
      <c r="BA124" s="105">
        <f t="shared" si="61"/>
        <v>217.68</v>
      </c>
      <c r="BB124" s="105">
        <f t="shared" si="62"/>
        <v>145.46</v>
      </c>
      <c r="BC124" s="110">
        <f t="shared" si="63"/>
        <v>286.33</v>
      </c>
      <c r="BD124" s="110">
        <f t="shared" si="64"/>
        <v>217.68</v>
      </c>
      <c r="BE124" s="110">
        <f t="shared" si="65"/>
        <v>145.46</v>
      </c>
      <c r="BF124" s="105"/>
      <c r="BG124" s="105"/>
      <c r="BH124" s="111"/>
      <c r="BI124" s="105"/>
      <c r="BJ124" s="105"/>
      <c r="BK124" s="109"/>
      <c r="BL124" s="111"/>
      <c r="BM124" s="109"/>
      <c r="BN124" s="109"/>
      <c r="BO124" s="105"/>
      <c r="BP124" s="105"/>
      <c r="BQ124" s="109"/>
      <c r="BR124" s="110"/>
      <c r="BS124" s="110"/>
      <c r="BT124" s="110"/>
      <c r="BU124" s="110"/>
      <c r="BV124" s="110"/>
      <c r="BW124" s="112"/>
      <c r="BX124" s="112"/>
      <c r="BY124" s="110"/>
      <c r="BZ124" s="105"/>
      <c r="CA124" s="105"/>
      <c r="CB124" s="105"/>
      <c r="CC124" s="105"/>
      <c r="CD124" s="105"/>
      <c r="CE124" s="105"/>
    </row>
    <row r="125" spans="1:83" x14ac:dyDescent="0.15">
      <c r="A125" s="103">
        <v>226</v>
      </c>
      <c r="B125" s="98" t="str">
        <f>VLOOKUP($A125,'Rate Calculation'!$A$4:$AQ$208,42,FALSE)</f>
        <v>444248200</v>
      </c>
      <c r="C125" s="98" t="str">
        <f>VLOOKUP($A125,'Rate Calculation'!$A$4:$AQ$208,43,FALSE)</f>
        <v>Hyattsville Nursing and Rehabilitation Center, LLC</v>
      </c>
      <c r="D125" s="98" t="str">
        <f>VLOOKUP($A125,'Rate Calculation'!$A$4:$F$208,5,FALSE)</f>
        <v>WASHINGTON METRO</v>
      </c>
      <c r="E125" s="98" t="str">
        <f>VLOOKUP($A125,'Rate Calculation'!$A$4:$F$208,6,FALSE)</f>
        <v>WASHINGTON METRO</v>
      </c>
      <c r="F125" s="105">
        <f t="shared" si="40"/>
        <v>103.73</v>
      </c>
      <c r="G125" s="105">
        <f t="shared" si="41"/>
        <v>19.829999999999998</v>
      </c>
      <c r="H125" s="105">
        <f t="shared" si="42"/>
        <v>25.87</v>
      </c>
      <c r="I125" s="105">
        <f t="shared" si="43"/>
        <v>137.4</v>
      </c>
      <c r="J125" s="105">
        <f>VLOOKUP($A125,'Rate Calculation'!$A$4:$AZ$208,34,FALSE)</f>
        <v>0</v>
      </c>
      <c r="K125" s="105">
        <f t="shared" si="66"/>
        <v>286.83</v>
      </c>
      <c r="L125" s="164">
        <f t="shared" si="44"/>
        <v>0.98772000000000004</v>
      </c>
      <c r="M125" s="105">
        <f t="shared" si="67"/>
        <v>283.31</v>
      </c>
      <c r="N125" s="105">
        <f>VLOOKUP($A125,'Rate Calculation'!$A$4:$AL$208,38,FALSE)</f>
        <v>28.97</v>
      </c>
      <c r="O125" s="183">
        <f>VLOOKUP($A125,'Rate Calculation'!$A$4:$I$208,9,FALSE)</f>
        <v>1.4049</v>
      </c>
      <c r="P125" s="183">
        <f t="shared" si="38"/>
        <v>1.4432</v>
      </c>
      <c r="Q125" s="183">
        <f>VLOOKUP(A125,'CMI Data'!$A$4:$C$208,3,FALSE)</f>
        <v>1.3129</v>
      </c>
      <c r="R125" s="246">
        <f>VLOOKUP($A125,FRV!$A$4:$K$208,11,FALSE)</f>
        <v>58400</v>
      </c>
      <c r="S125" s="246">
        <f t="shared" si="39"/>
        <v>47614</v>
      </c>
      <c r="T125" s="246">
        <f>VLOOKUP($A125,FRV!$A$4:$L$208,12,FALSE)</f>
        <v>56547</v>
      </c>
      <c r="U125" s="183">
        <f>Inflation!$G$24</f>
        <v>1.0309999999999999</v>
      </c>
      <c r="V125" s="247">
        <f>VLOOKUP($A125,'Rate Calculation'!A126:X330,24,FALSE)</f>
        <v>100.61</v>
      </c>
      <c r="W125" s="110">
        <f t="shared" si="45"/>
        <v>103.73</v>
      </c>
      <c r="X125" s="110">
        <f>VLOOKUP($A125,'Rate Calculation'!A126:V330,22,FALSE)</f>
        <v>19.23</v>
      </c>
      <c r="Y125" s="110">
        <f t="shared" si="46"/>
        <v>19.829999999999998</v>
      </c>
      <c r="Z125" s="212">
        <f>VLOOKUP($A125,FRV!$A$4:$D$208,4,FALSE)</f>
        <v>45108</v>
      </c>
      <c r="AA125" s="212">
        <f>VLOOKUP($A125,FRV!$A$4:$F$208,6,FALSE)</f>
        <v>45291</v>
      </c>
      <c r="AB125" s="248">
        <f>VLOOKUP($A125,FRV!$A$4:$U$208,13,FALSE)</f>
        <v>13124197</v>
      </c>
      <c r="AC125" s="248">
        <f>VLOOKUP($A125,FRV!$A$4:$U$208,15,FALSE)</f>
        <v>306044</v>
      </c>
      <c r="AD125" s="248">
        <f>VLOOKUP($A125,FRV!$A$4:$U$208,14,FALSE)</f>
        <v>21000</v>
      </c>
      <c r="AE125" s="248">
        <f>VLOOKUP($A125,FRV!$A$4:$U$208,7,FALSE)</f>
        <v>160</v>
      </c>
      <c r="AF125" s="107">
        <f t="shared" si="47"/>
        <v>16790241</v>
      </c>
      <c r="AG125" s="107">
        <f t="shared" si="48"/>
        <v>104939</v>
      </c>
      <c r="AH125" s="107">
        <v>120000</v>
      </c>
      <c r="AI125" s="107">
        <f t="shared" si="49"/>
        <v>104939</v>
      </c>
      <c r="AJ125" s="107">
        <f t="shared" si="50"/>
        <v>16790240</v>
      </c>
      <c r="AK125" s="249">
        <f>IF(VLOOKUP($A125,'Rate Calculation'!$A$4:$D$208,4,FALSE)="baltimore city",0.1,0.08)</f>
        <v>0.08</v>
      </c>
      <c r="AL125" s="107">
        <f t="shared" si="51"/>
        <v>1343219</v>
      </c>
      <c r="AM125" s="105">
        <f>IF(ISERROR(MATCH(A125&amp;AA125,'Days Exceptions'!$C$3:$C$16,0)),ROUND(AL125/(MAX(S125,T125)),2),ROUND(AL125/VLOOKUP(A125,'Days Exceptions'!$A$3:$J$16,8,FALSE),2))</f>
        <v>23.75</v>
      </c>
      <c r="AN125" s="213">
        <f>VLOOKUP($A125,'Rate Calculation'!$A$4:$AF$208,32,FALSE)</f>
        <v>2.12</v>
      </c>
      <c r="AO125" s="109">
        <f t="shared" si="52"/>
        <v>25.87</v>
      </c>
      <c r="AP125" s="247">
        <f>VLOOKUP($A125,'Rate Calculation'!$A$4:$Q$208,17,FALSE)</f>
        <v>134.04</v>
      </c>
      <c r="AQ125" s="247">
        <f t="shared" si="68"/>
        <v>138.19999999999999</v>
      </c>
      <c r="AR125" s="247">
        <f>VLOOKUP($A125,'Rate Calculation'!$A$4:$K$208,11,FALSE)</f>
        <v>176.01</v>
      </c>
      <c r="AS125" s="247">
        <f t="shared" si="53"/>
        <v>181.47</v>
      </c>
      <c r="AT125" s="110">
        <f t="shared" si="54"/>
        <v>176.65</v>
      </c>
      <c r="AU125" s="110">
        <f t="shared" si="55"/>
        <v>165.08</v>
      </c>
      <c r="AV125" s="111">
        <f t="shared" si="56"/>
        <v>-27.68</v>
      </c>
      <c r="AW125" s="110">
        <f t="shared" si="57"/>
        <v>137.4</v>
      </c>
      <c r="AX125" s="105">
        <f t="shared" si="58"/>
        <v>129.15</v>
      </c>
      <c r="AY125" s="105">
        <f t="shared" si="59"/>
        <v>156.83000000000001</v>
      </c>
      <c r="AZ125" s="105">
        <f t="shared" si="60"/>
        <v>27.68</v>
      </c>
      <c r="BA125" s="105">
        <f t="shared" si="61"/>
        <v>218.13</v>
      </c>
      <c r="BB125" s="105">
        <f t="shared" si="62"/>
        <v>149.43</v>
      </c>
      <c r="BC125" s="110">
        <f t="shared" si="63"/>
        <v>312.27999999999997</v>
      </c>
      <c r="BD125" s="110">
        <f t="shared" si="64"/>
        <v>247.1</v>
      </c>
      <c r="BE125" s="110">
        <f t="shared" si="65"/>
        <v>178.4</v>
      </c>
      <c r="BF125" s="105"/>
      <c r="BG125" s="105"/>
      <c r="BH125" s="111"/>
      <c r="BI125" s="105"/>
      <c r="BJ125" s="105"/>
      <c r="BK125" s="109"/>
      <c r="BL125" s="111"/>
      <c r="BM125" s="109"/>
      <c r="BN125" s="109"/>
      <c r="BO125" s="105"/>
      <c r="BP125" s="105"/>
      <c r="BQ125" s="109"/>
      <c r="BR125" s="110"/>
      <c r="BS125" s="110"/>
      <c r="BT125" s="110"/>
      <c r="BU125" s="110"/>
      <c r="BV125" s="110"/>
      <c r="BW125" s="112"/>
      <c r="BX125" s="112"/>
      <c r="BY125" s="110"/>
      <c r="BZ125" s="105"/>
      <c r="CA125" s="105"/>
      <c r="CB125" s="105"/>
      <c r="CC125" s="105"/>
      <c r="CD125" s="105"/>
      <c r="CE125" s="105"/>
    </row>
    <row r="126" spans="1:83" x14ac:dyDescent="0.15">
      <c r="A126" s="103">
        <v>1194</v>
      </c>
      <c r="B126" s="98" t="str">
        <f>VLOOKUP($A126,'Rate Calculation'!$A$4:$AQ$208,42,FALSE)</f>
        <v>420713100</v>
      </c>
      <c r="C126" s="98" t="str">
        <f>VLOOKUP($A126,'Rate Calculation'!$A$4:$AQ$208,43,FALSE)</f>
        <v>Ingleside at King Farm</v>
      </c>
      <c r="D126" s="98" t="str">
        <f>VLOOKUP($A126,'Rate Calculation'!$A$4:$F$208,5,FALSE)</f>
        <v>WASHINGTON METRO</v>
      </c>
      <c r="E126" s="98" t="str">
        <f>VLOOKUP($A126,'Rate Calculation'!$A$4:$F$208,6,FALSE)</f>
        <v>WASHINGTON METRO</v>
      </c>
      <c r="F126" s="105">
        <f t="shared" si="40"/>
        <v>103.73</v>
      </c>
      <c r="G126" s="105">
        <f t="shared" si="41"/>
        <v>19.829999999999998</v>
      </c>
      <c r="H126" s="105">
        <f t="shared" si="42"/>
        <v>32.17</v>
      </c>
      <c r="I126" s="105">
        <f t="shared" si="43"/>
        <v>176.82</v>
      </c>
      <c r="J126" s="105">
        <f>VLOOKUP($A126,'Rate Calculation'!$A$4:$AZ$208,34,FALSE)</f>
        <v>0</v>
      </c>
      <c r="K126" s="105">
        <f t="shared" si="66"/>
        <v>332.55</v>
      </c>
      <c r="L126" s="164">
        <f t="shared" si="44"/>
        <v>0.98772000000000004</v>
      </c>
      <c r="M126" s="105">
        <f t="shared" si="67"/>
        <v>328.47</v>
      </c>
      <c r="N126" s="105">
        <f>VLOOKUP($A126,'Rate Calculation'!$A$4:$AL$208,38,FALSE)</f>
        <v>0</v>
      </c>
      <c r="O126" s="183">
        <f>VLOOKUP($A126,'Rate Calculation'!$A$4:$I$208,9,FALSE)</f>
        <v>1.1541999999999999</v>
      </c>
      <c r="P126" s="183">
        <f t="shared" si="38"/>
        <v>1.4432</v>
      </c>
      <c r="Q126" s="183">
        <f>VLOOKUP(A126,'CMI Data'!$A$4:$C$208,3,FALSE)</f>
        <v>1.4061999999999999</v>
      </c>
      <c r="R126" s="246">
        <f>VLOOKUP($A126,FRV!$A$4:$K$208,11,FALSE)</f>
        <v>16470</v>
      </c>
      <c r="S126" s="246">
        <f t="shared" si="39"/>
        <v>13428</v>
      </c>
      <c r="T126" s="246">
        <f>VLOOKUP($A126,FRV!$A$4:$L$208,12,FALSE)</f>
        <v>12237</v>
      </c>
      <c r="U126" s="183">
        <f>Inflation!$G$24</f>
        <v>1.0309999999999999</v>
      </c>
      <c r="V126" s="247">
        <f>VLOOKUP($A126,'Rate Calculation'!A127:X331,24,FALSE)</f>
        <v>100.61</v>
      </c>
      <c r="W126" s="110">
        <f t="shared" si="45"/>
        <v>103.73</v>
      </c>
      <c r="X126" s="110">
        <f>VLOOKUP($A126,'Rate Calculation'!A127:V331,22,FALSE)</f>
        <v>19.23</v>
      </c>
      <c r="Y126" s="110">
        <f t="shared" si="46"/>
        <v>19.829999999999998</v>
      </c>
      <c r="Z126" s="212">
        <f>VLOOKUP($A126,FRV!$A$4:$D$208,4,FALSE)</f>
        <v>45474</v>
      </c>
      <c r="AA126" s="212">
        <f>VLOOKUP($A126,FRV!$A$4:$F$208,6,FALSE)</f>
        <v>45657</v>
      </c>
      <c r="AB126" s="248">
        <f>VLOOKUP($A126,FRV!$A$4:$U$208,13,FALSE)</f>
        <v>12403916</v>
      </c>
      <c r="AC126" s="248">
        <f>VLOOKUP($A126,FRV!$A$4:$U$208,15,FALSE)</f>
        <v>199715</v>
      </c>
      <c r="AD126" s="248">
        <f>VLOOKUP($A126,FRV!$A$4:$U$208,14,FALSE)</f>
        <v>45000</v>
      </c>
      <c r="AE126" s="248">
        <f>VLOOKUP($A126,FRV!$A$4:$U$208,7,FALSE)</f>
        <v>45</v>
      </c>
      <c r="AF126" s="107">
        <f t="shared" si="47"/>
        <v>14628631</v>
      </c>
      <c r="AG126" s="107">
        <f t="shared" si="48"/>
        <v>325081</v>
      </c>
      <c r="AH126" s="107">
        <v>120000</v>
      </c>
      <c r="AI126" s="107">
        <f t="shared" si="49"/>
        <v>120000</v>
      </c>
      <c r="AJ126" s="107">
        <f t="shared" si="50"/>
        <v>5400000</v>
      </c>
      <c r="AK126" s="249">
        <f>IF(VLOOKUP($A126,'Rate Calculation'!$A$4:$D$208,4,FALSE)="baltimore city",0.1,0.08)</f>
        <v>0.08</v>
      </c>
      <c r="AL126" s="107">
        <f t="shared" si="51"/>
        <v>432000</v>
      </c>
      <c r="AM126" s="105">
        <f>IF(ISERROR(MATCH(A126&amp;AA126,'Days Exceptions'!$C$3:$C$16,0)),ROUND(AL126/(MAX(S126,T126)),2),ROUND(AL126/VLOOKUP(A126,'Days Exceptions'!$A$3:$J$16,8,FALSE),2))</f>
        <v>32.17</v>
      </c>
      <c r="AN126" s="213">
        <f>VLOOKUP($A126,'Rate Calculation'!$A$4:$AF$208,32,FALSE)</f>
        <v>0</v>
      </c>
      <c r="AO126" s="109">
        <f t="shared" si="52"/>
        <v>32.17</v>
      </c>
      <c r="AP126" s="247">
        <f>VLOOKUP($A126,'Rate Calculation'!$A$4:$Q$208,17,FALSE)</f>
        <v>300.14</v>
      </c>
      <c r="AQ126" s="247">
        <f t="shared" si="68"/>
        <v>309.44</v>
      </c>
      <c r="AR126" s="247">
        <f>VLOOKUP($A126,'Rate Calculation'!$A$4:$K$208,11,FALSE)</f>
        <v>176.01</v>
      </c>
      <c r="AS126" s="247">
        <f t="shared" si="53"/>
        <v>181.47</v>
      </c>
      <c r="AT126" s="110">
        <f t="shared" si="54"/>
        <v>145.13</v>
      </c>
      <c r="AU126" s="110">
        <f t="shared" si="55"/>
        <v>176.82</v>
      </c>
      <c r="AV126" s="111">
        <f t="shared" si="56"/>
        <v>0</v>
      </c>
      <c r="AW126" s="110">
        <f t="shared" si="57"/>
        <v>176.82</v>
      </c>
      <c r="AX126" s="105">
        <f t="shared" si="58"/>
        <v>377</v>
      </c>
      <c r="AY126" s="105">
        <f t="shared" si="59"/>
        <v>167.98</v>
      </c>
      <c r="AZ126" s="105">
        <f t="shared" si="60"/>
        <v>-209.02</v>
      </c>
      <c r="BA126" s="105">
        <f t="shared" si="61"/>
        <v>244.14</v>
      </c>
      <c r="BB126" s="105">
        <f t="shared" si="62"/>
        <v>155.72999999999999</v>
      </c>
      <c r="BC126" s="110">
        <f t="shared" si="63"/>
        <v>328.47</v>
      </c>
      <c r="BD126" s="110">
        <f t="shared" si="64"/>
        <v>244.14</v>
      </c>
      <c r="BE126" s="110">
        <f t="shared" si="65"/>
        <v>155.72999999999999</v>
      </c>
      <c r="BF126" s="105"/>
      <c r="BG126" s="105"/>
      <c r="BH126" s="111"/>
      <c r="BI126" s="105"/>
      <c r="BJ126" s="105"/>
      <c r="BK126" s="109"/>
      <c r="BL126" s="111"/>
      <c r="BM126" s="109"/>
      <c r="BN126" s="109"/>
      <c r="BO126" s="105"/>
      <c r="BP126" s="105"/>
      <c r="BQ126" s="109"/>
      <c r="BR126" s="110"/>
      <c r="BS126" s="110"/>
      <c r="BT126" s="110"/>
      <c r="BU126" s="110"/>
      <c r="BV126" s="110"/>
      <c r="BW126" s="112"/>
      <c r="BX126" s="112"/>
      <c r="BY126" s="110"/>
      <c r="BZ126" s="105"/>
      <c r="CA126" s="105"/>
      <c r="CB126" s="105"/>
      <c r="CC126" s="105"/>
      <c r="CD126" s="105"/>
      <c r="CE126" s="105"/>
    </row>
    <row r="127" spans="1:83" x14ac:dyDescent="0.15">
      <c r="A127" s="103">
        <v>254</v>
      </c>
      <c r="B127" s="98" t="str">
        <f>VLOOKUP($A127,'Rate Calculation'!$A$4:$AQ$208,42,FALSE)</f>
        <v>800053100</v>
      </c>
      <c r="C127" s="98" t="str">
        <f>VLOOKUP($A127,'Rate Calculation'!$A$4:$AQ$208,43,FALSE)</f>
        <v>Julia Manor Nursing &amp; Rehabilitation Center</v>
      </c>
      <c r="D127" s="98" t="str">
        <f>VLOOKUP($A127,'Rate Calculation'!$A$4:$F$208,5,FALSE)</f>
        <v>WESTERN REGION</v>
      </c>
      <c r="E127" s="98" t="str">
        <f>VLOOKUP($A127,'Rate Calculation'!$A$4:$F$208,6,FALSE)</f>
        <v>NON METRO</v>
      </c>
      <c r="F127" s="105">
        <f t="shared" si="40"/>
        <v>92.33</v>
      </c>
      <c r="G127" s="105">
        <f t="shared" si="41"/>
        <v>20.87</v>
      </c>
      <c r="H127" s="105">
        <f t="shared" si="42"/>
        <v>37.56</v>
      </c>
      <c r="I127" s="105">
        <f t="shared" si="43"/>
        <v>134.22999999999999</v>
      </c>
      <c r="J127" s="105">
        <f>VLOOKUP($A127,'Rate Calculation'!$A$4:$AZ$208,34,FALSE)</f>
        <v>0</v>
      </c>
      <c r="K127" s="105">
        <f t="shared" si="66"/>
        <v>284.99</v>
      </c>
      <c r="L127" s="164">
        <f t="shared" si="44"/>
        <v>0.98772000000000004</v>
      </c>
      <c r="M127" s="105">
        <f t="shared" si="67"/>
        <v>281.49</v>
      </c>
      <c r="N127" s="105">
        <f>VLOOKUP($A127,'Rate Calculation'!$A$4:$AL$208,38,FALSE)</f>
        <v>28.42</v>
      </c>
      <c r="O127" s="183">
        <f>VLOOKUP($A127,'Rate Calculation'!$A$4:$I$208,9,FALSE)</f>
        <v>1.5455000000000001</v>
      </c>
      <c r="P127" s="183">
        <f t="shared" si="38"/>
        <v>1.4432</v>
      </c>
      <c r="Q127" s="183">
        <f>VLOOKUP(A127,'CMI Data'!$A$4:$C$208,3,FALSE)</f>
        <v>1.3058000000000001</v>
      </c>
      <c r="R127" s="246">
        <f>VLOOKUP($A127,FRV!$A$4:$K$208,11,FALSE)</f>
        <v>47815</v>
      </c>
      <c r="S127" s="246">
        <f t="shared" si="39"/>
        <v>38984</v>
      </c>
      <c r="T127" s="246">
        <f>VLOOKUP($A127,FRV!$A$4:$L$208,12,FALSE)</f>
        <v>35423</v>
      </c>
      <c r="U127" s="183">
        <f>Inflation!$G$24</f>
        <v>1.0309999999999999</v>
      </c>
      <c r="V127" s="247">
        <f>VLOOKUP($A127,'Rate Calculation'!A128:X332,24,FALSE)</f>
        <v>89.55</v>
      </c>
      <c r="W127" s="110">
        <f t="shared" si="45"/>
        <v>92.33</v>
      </c>
      <c r="X127" s="110">
        <f>VLOOKUP($A127,'Rate Calculation'!A128:V332,22,FALSE)</f>
        <v>20.239999999999998</v>
      </c>
      <c r="Y127" s="110">
        <f t="shared" si="46"/>
        <v>20.87</v>
      </c>
      <c r="Z127" s="212">
        <f>VLOOKUP($A127,FRV!$A$4:$D$208,4,FALSE)</f>
        <v>45108</v>
      </c>
      <c r="AA127" s="212">
        <f>VLOOKUP($A127,FRV!$A$4:$F$208,6,FALSE)</f>
        <v>45291</v>
      </c>
      <c r="AB127" s="248">
        <f>VLOOKUP($A127,FRV!$A$4:$U$208,13,FALSE)</f>
        <v>16781157</v>
      </c>
      <c r="AC127" s="248">
        <f>VLOOKUP($A127,FRV!$A$4:$U$208,15,FALSE)</f>
        <v>301426</v>
      </c>
      <c r="AD127" s="248">
        <f>VLOOKUP($A127,FRV!$A$4:$U$208,14,FALSE)</f>
        <v>17000</v>
      </c>
      <c r="AE127" s="248">
        <f>VLOOKUP($A127,FRV!$A$4:$U$208,7,FALSE)</f>
        <v>131</v>
      </c>
      <c r="AF127" s="107">
        <f t="shared" si="47"/>
        <v>19309583</v>
      </c>
      <c r="AG127" s="107">
        <f t="shared" si="48"/>
        <v>147401</v>
      </c>
      <c r="AH127" s="107">
        <v>120000</v>
      </c>
      <c r="AI127" s="107">
        <f t="shared" si="49"/>
        <v>120000</v>
      </c>
      <c r="AJ127" s="107">
        <f t="shared" si="50"/>
        <v>15720000</v>
      </c>
      <c r="AK127" s="249">
        <f>IF(VLOOKUP($A127,'Rate Calculation'!$A$4:$D$208,4,FALSE)="baltimore city",0.1,0.08)</f>
        <v>0.08</v>
      </c>
      <c r="AL127" s="107">
        <f t="shared" si="51"/>
        <v>1257600</v>
      </c>
      <c r="AM127" s="105">
        <f>IF(ISERROR(MATCH(A127&amp;AA127,'Days Exceptions'!$C$3:$C$16,0)),ROUND(AL127/(MAX(S127,T127)),2),ROUND(AL127/VLOOKUP(A127,'Days Exceptions'!$A$3:$J$16,8,FALSE),2))</f>
        <v>32.26</v>
      </c>
      <c r="AN127" s="213">
        <f>VLOOKUP($A127,'Rate Calculation'!$A$4:$AF$208,32,FALSE)</f>
        <v>5.3</v>
      </c>
      <c r="AO127" s="109">
        <f t="shared" si="52"/>
        <v>37.56</v>
      </c>
      <c r="AP127" s="247">
        <f>VLOOKUP($A127,'Rate Calculation'!$A$4:$Q$208,17,FALSE)</f>
        <v>145.19999999999999</v>
      </c>
      <c r="AQ127" s="247">
        <f t="shared" si="68"/>
        <v>149.69999999999999</v>
      </c>
      <c r="AR127" s="247">
        <f>VLOOKUP($A127,'Rate Calculation'!$A$4:$K$208,11,FALSE)</f>
        <v>166.26</v>
      </c>
      <c r="AS127" s="247">
        <f t="shared" si="53"/>
        <v>171.41</v>
      </c>
      <c r="AT127" s="110">
        <f t="shared" si="54"/>
        <v>183.56</v>
      </c>
      <c r="AU127" s="110">
        <f t="shared" si="55"/>
        <v>155.09</v>
      </c>
      <c r="AV127" s="111">
        <f t="shared" si="56"/>
        <v>-20.86</v>
      </c>
      <c r="AW127" s="110">
        <f t="shared" si="57"/>
        <v>134.22999999999999</v>
      </c>
      <c r="AX127" s="105">
        <f t="shared" si="58"/>
        <v>126.48</v>
      </c>
      <c r="AY127" s="105">
        <f t="shared" si="59"/>
        <v>147.34</v>
      </c>
      <c r="AZ127" s="105">
        <f t="shared" si="60"/>
        <v>20.86</v>
      </c>
      <c r="BA127" s="105">
        <f t="shared" si="61"/>
        <v>217.88</v>
      </c>
      <c r="BB127" s="105">
        <f t="shared" si="62"/>
        <v>150.76</v>
      </c>
      <c r="BC127" s="110">
        <f t="shared" si="63"/>
        <v>309.91000000000003</v>
      </c>
      <c r="BD127" s="110">
        <f t="shared" si="64"/>
        <v>246.3</v>
      </c>
      <c r="BE127" s="110">
        <f t="shared" si="65"/>
        <v>179.18</v>
      </c>
      <c r="BF127" s="105"/>
      <c r="BG127" s="105"/>
      <c r="BH127" s="111"/>
      <c r="BI127" s="105"/>
      <c r="BJ127" s="105"/>
      <c r="BK127" s="109"/>
      <c r="BL127" s="111"/>
      <c r="BM127" s="109"/>
      <c r="BN127" s="109"/>
      <c r="BO127" s="105"/>
      <c r="BP127" s="105"/>
      <c r="BQ127" s="109"/>
      <c r="BR127" s="110"/>
      <c r="BS127" s="110"/>
      <c r="BT127" s="110"/>
      <c r="BU127" s="110"/>
      <c r="BV127" s="110"/>
      <c r="BW127" s="112"/>
      <c r="BX127" s="112"/>
      <c r="BY127" s="110"/>
      <c r="BZ127" s="105"/>
      <c r="CA127" s="105"/>
      <c r="CB127" s="105"/>
      <c r="CC127" s="105"/>
      <c r="CD127" s="105"/>
      <c r="CE127" s="105"/>
    </row>
    <row r="128" spans="1:83" x14ac:dyDescent="0.15">
      <c r="A128" s="103">
        <v>256</v>
      </c>
      <c r="B128" s="98" t="str">
        <f>VLOOKUP($A128,'Rate Calculation'!$A$4:$AQ$208,42,FALSE)</f>
        <v>411117600</v>
      </c>
      <c r="C128" s="98" t="str">
        <f>VLOOKUP($A128,'Rate Calculation'!$A$4:$AQ$208,43,FALSE)</f>
        <v>Kensington Nursing and Rehabilitation Center</v>
      </c>
      <c r="D128" s="98" t="str">
        <f>VLOOKUP($A128,'Rate Calculation'!$A$4:$F$208,5,FALSE)</f>
        <v>WASHINGTON METRO</v>
      </c>
      <c r="E128" s="98" t="str">
        <f>VLOOKUP($A128,'Rate Calculation'!$A$4:$F$208,6,FALSE)</f>
        <v>WASHINGTON METRO</v>
      </c>
      <c r="F128" s="105">
        <f t="shared" si="40"/>
        <v>103.73</v>
      </c>
      <c r="G128" s="105">
        <f t="shared" si="41"/>
        <v>19.829999999999998</v>
      </c>
      <c r="H128" s="105">
        <f t="shared" si="42"/>
        <v>30.39</v>
      </c>
      <c r="I128" s="105">
        <f t="shared" si="43"/>
        <v>146.11000000000001</v>
      </c>
      <c r="J128" s="105">
        <f>VLOOKUP($A128,'Rate Calculation'!$A$4:$AZ$208,34,FALSE)</f>
        <v>0</v>
      </c>
      <c r="K128" s="105">
        <f t="shared" si="66"/>
        <v>300.06</v>
      </c>
      <c r="L128" s="164">
        <f t="shared" si="44"/>
        <v>0.98772000000000004</v>
      </c>
      <c r="M128" s="105">
        <f t="shared" si="67"/>
        <v>296.38</v>
      </c>
      <c r="N128" s="105">
        <f>VLOOKUP($A128,'Rate Calculation'!$A$4:$AL$208,38,FALSE)</f>
        <v>32.08</v>
      </c>
      <c r="O128" s="183">
        <f>VLOOKUP($A128,'Rate Calculation'!$A$4:$I$208,9,FALSE)</f>
        <v>1.1568000000000001</v>
      </c>
      <c r="P128" s="183">
        <f t="shared" si="38"/>
        <v>1.4432</v>
      </c>
      <c r="Q128" s="183">
        <f>VLOOKUP(A128,'CMI Data'!$A$4:$C$208,3,FALSE)</f>
        <v>1.2316</v>
      </c>
      <c r="R128" s="246">
        <f>VLOOKUP($A128,FRV!$A$4:$K$208,11,FALSE)</f>
        <v>51100</v>
      </c>
      <c r="S128" s="246">
        <f t="shared" si="39"/>
        <v>41662</v>
      </c>
      <c r="T128" s="246">
        <f>VLOOKUP($A128,FRV!$A$4:$L$208,12,FALSE)</f>
        <v>48004</v>
      </c>
      <c r="U128" s="183">
        <f>Inflation!$G$24</f>
        <v>1.0309999999999999</v>
      </c>
      <c r="V128" s="247">
        <f>VLOOKUP($A128,'Rate Calculation'!A129:X333,24,FALSE)</f>
        <v>100.61</v>
      </c>
      <c r="W128" s="110">
        <f t="shared" si="45"/>
        <v>103.73</v>
      </c>
      <c r="X128" s="110">
        <f>VLOOKUP($A128,'Rate Calculation'!A129:V333,22,FALSE)</f>
        <v>19.23</v>
      </c>
      <c r="Y128" s="110">
        <f t="shared" si="46"/>
        <v>19.829999999999998</v>
      </c>
      <c r="Z128" s="212">
        <f>VLOOKUP($A128,FRV!$A$4:$D$208,4,FALSE)</f>
        <v>45108</v>
      </c>
      <c r="AA128" s="212">
        <f>VLOOKUP($A128,FRV!$A$4:$F$208,6,FALSE)</f>
        <v>45107</v>
      </c>
      <c r="AB128" s="248">
        <f>VLOOKUP($A128,FRV!$A$4:$U$208,13,FALSE)</f>
        <v>13132945</v>
      </c>
      <c r="AC128" s="248">
        <f>VLOOKUP($A128,FRV!$A$4:$U$208,15,FALSE)</f>
        <v>295399</v>
      </c>
      <c r="AD128" s="248">
        <f>VLOOKUP($A128,FRV!$A$4:$U$208,14,FALSE)</f>
        <v>28500</v>
      </c>
      <c r="AE128" s="248">
        <f>VLOOKUP($A128,FRV!$A$4:$U$208,7,FALSE)</f>
        <v>140</v>
      </c>
      <c r="AF128" s="107">
        <f t="shared" si="47"/>
        <v>17418344</v>
      </c>
      <c r="AG128" s="107">
        <f t="shared" si="48"/>
        <v>124417</v>
      </c>
      <c r="AH128" s="107">
        <v>120000</v>
      </c>
      <c r="AI128" s="107">
        <f t="shared" si="49"/>
        <v>120000</v>
      </c>
      <c r="AJ128" s="107">
        <f t="shared" si="50"/>
        <v>16800000</v>
      </c>
      <c r="AK128" s="249">
        <f>IF(VLOOKUP($A128,'Rate Calculation'!$A$4:$D$208,4,FALSE)="baltimore city",0.1,0.08)</f>
        <v>0.08</v>
      </c>
      <c r="AL128" s="107">
        <f t="shared" si="51"/>
        <v>1344000</v>
      </c>
      <c r="AM128" s="105">
        <f>IF(ISERROR(MATCH(A128&amp;AA128,'Days Exceptions'!$C$3:$C$16,0)),ROUND(AL128/(MAX(S128,T128)),2),ROUND(AL128/VLOOKUP(A128,'Days Exceptions'!$A$3:$J$16,8,FALSE),2))</f>
        <v>28</v>
      </c>
      <c r="AN128" s="213">
        <f>VLOOKUP($A128,'Rate Calculation'!$A$4:$AF$208,32,FALSE)</f>
        <v>2.39</v>
      </c>
      <c r="AO128" s="109">
        <f t="shared" si="52"/>
        <v>30.39</v>
      </c>
      <c r="AP128" s="247">
        <f>VLOOKUP($A128,'Rate Calculation'!$A$4:$Q$208,17,FALSE)</f>
        <v>126.06</v>
      </c>
      <c r="AQ128" s="247">
        <f t="shared" si="68"/>
        <v>129.97</v>
      </c>
      <c r="AR128" s="247">
        <f>VLOOKUP($A128,'Rate Calculation'!$A$4:$K$208,11,FALSE)</f>
        <v>176.01</v>
      </c>
      <c r="AS128" s="247">
        <f t="shared" si="53"/>
        <v>181.47</v>
      </c>
      <c r="AT128" s="110">
        <f t="shared" si="54"/>
        <v>145.46</v>
      </c>
      <c r="AU128" s="110">
        <f t="shared" si="55"/>
        <v>154.87</v>
      </c>
      <c r="AV128" s="111">
        <f t="shared" si="56"/>
        <v>-8.76</v>
      </c>
      <c r="AW128" s="110">
        <f t="shared" si="57"/>
        <v>146.11000000000001</v>
      </c>
      <c r="AX128" s="105">
        <f t="shared" si="58"/>
        <v>138.37</v>
      </c>
      <c r="AY128" s="105">
        <f t="shared" si="59"/>
        <v>147.13</v>
      </c>
      <c r="AZ128" s="105">
        <f t="shared" si="60"/>
        <v>8.76</v>
      </c>
      <c r="BA128" s="105">
        <f t="shared" si="61"/>
        <v>227.01</v>
      </c>
      <c r="BB128" s="105">
        <f t="shared" si="62"/>
        <v>153.94999999999999</v>
      </c>
      <c r="BC128" s="110">
        <f t="shared" si="63"/>
        <v>328.46</v>
      </c>
      <c r="BD128" s="110">
        <f t="shared" si="64"/>
        <v>259.08999999999997</v>
      </c>
      <c r="BE128" s="110">
        <f t="shared" si="65"/>
        <v>186.03</v>
      </c>
      <c r="BF128" s="105"/>
      <c r="BG128" s="105"/>
      <c r="BH128" s="111"/>
      <c r="BI128" s="105"/>
      <c r="BJ128" s="105"/>
      <c r="BK128" s="109"/>
      <c r="BL128" s="111"/>
      <c r="BM128" s="109"/>
      <c r="BN128" s="109"/>
      <c r="BO128" s="105"/>
      <c r="BP128" s="105"/>
      <c r="BQ128" s="109"/>
      <c r="BR128" s="110"/>
      <c r="BS128" s="110"/>
      <c r="BT128" s="110"/>
      <c r="BU128" s="110"/>
      <c r="BV128" s="110"/>
      <c r="BW128" s="112"/>
      <c r="BX128" s="112"/>
      <c r="BY128" s="110"/>
      <c r="BZ128" s="105"/>
      <c r="CA128" s="105"/>
      <c r="CB128" s="105"/>
      <c r="CC128" s="105"/>
      <c r="CD128" s="105"/>
      <c r="CE128" s="105"/>
    </row>
    <row r="129" spans="1:83" x14ac:dyDescent="0.15">
      <c r="A129" s="103">
        <v>258</v>
      </c>
      <c r="B129" s="98" t="str">
        <f>VLOOKUP($A129,'Rate Calculation'!$A$4:$AQ$208,42,FALSE)</f>
        <v>139617000</v>
      </c>
      <c r="C129" s="98" t="str">
        <f>VLOOKUP($A129,'Rate Calculation'!$A$4:$AQ$208,43,FALSE)</f>
        <v>Keswick Multi-Care Center, Inc.</v>
      </c>
      <c r="D129" s="98" t="str">
        <f>VLOOKUP($A129,'Rate Calculation'!$A$4:$F$208,5,FALSE)</f>
        <v>BALTIMORE METRO</v>
      </c>
      <c r="E129" s="98" t="str">
        <f>VLOOKUP($A129,'Rate Calculation'!$A$4:$F$208,6,FALSE)</f>
        <v>BALTIMORE CITY</v>
      </c>
      <c r="F129" s="105">
        <f t="shared" si="40"/>
        <v>117.69</v>
      </c>
      <c r="G129" s="105">
        <f t="shared" si="41"/>
        <v>25.66</v>
      </c>
      <c r="H129" s="105">
        <f t="shared" si="42"/>
        <v>40.32</v>
      </c>
      <c r="I129" s="105">
        <f t="shared" si="43"/>
        <v>202.56</v>
      </c>
      <c r="J129" s="105">
        <f>VLOOKUP($A129,'Rate Calculation'!$A$4:$AZ$208,34,FALSE)</f>
        <v>0</v>
      </c>
      <c r="K129" s="105">
        <f t="shared" si="66"/>
        <v>386.23</v>
      </c>
      <c r="L129" s="164">
        <f t="shared" si="44"/>
        <v>0.98772000000000004</v>
      </c>
      <c r="M129" s="105">
        <f t="shared" si="67"/>
        <v>381.49</v>
      </c>
      <c r="N129" s="105">
        <f>VLOOKUP($A129,'Rate Calculation'!$A$4:$AL$208,38,FALSE)</f>
        <v>26.57</v>
      </c>
      <c r="O129" s="183">
        <f>VLOOKUP($A129,'Rate Calculation'!$A$4:$I$208,9,FALSE)</f>
        <v>1.33</v>
      </c>
      <c r="P129" s="183">
        <f t="shared" si="38"/>
        <v>1.4432</v>
      </c>
      <c r="Q129" s="183">
        <f>VLOOKUP(A129,'CMI Data'!$A$4:$C$208,3,FALSE)</f>
        <v>1.4516</v>
      </c>
      <c r="R129" s="246">
        <f>VLOOKUP($A129,FRV!$A$4:$K$208,11,FALSE)</f>
        <v>88330</v>
      </c>
      <c r="S129" s="246">
        <f t="shared" si="39"/>
        <v>72015</v>
      </c>
      <c r="T129" s="246">
        <f>VLOOKUP($A129,FRV!$A$4:$L$208,12,FALSE)</f>
        <v>60437</v>
      </c>
      <c r="U129" s="183">
        <f>Inflation!$G$24</f>
        <v>1.0309999999999999</v>
      </c>
      <c r="V129" s="247">
        <f>VLOOKUP($A129,'Rate Calculation'!A130:X334,24,FALSE)</f>
        <v>114.15</v>
      </c>
      <c r="W129" s="110">
        <f t="shared" si="45"/>
        <v>117.69</v>
      </c>
      <c r="X129" s="110">
        <f>VLOOKUP($A129,'Rate Calculation'!A130:V334,22,FALSE)</f>
        <v>24.89</v>
      </c>
      <c r="Y129" s="110">
        <f t="shared" si="46"/>
        <v>25.66</v>
      </c>
      <c r="Z129" s="212">
        <f>VLOOKUP($A129,FRV!$A$4:$D$208,4,FALSE)</f>
        <v>45108</v>
      </c>
      <c r="AA129" s="212">
        <f>VLOOKUP($A129,FRV!$A$4:$F$208,6,FALSE)</f>
        <v>45107</v>
      </c>
      <c r="AB129" s="248">
        <f>VLOOKUP($A129,FRV!$A$4:$U$208,13,FALSE)</f>
        <v>44323647</v>
      </c>
      <c r="AC129" s="248">
        <f>VLOOKUP($A129,FRV!$A$4:$U$208,15,FALSE)</f>
        <v>430044</v>
      </c>
      <c r="AD129" s="248">
        <f>VLOOKUP($A129,FRV!$A$4:$U$208,14,FALSE)</f>
        <v>18000</v>
      </c>
      <c r="AE129" s="248">
        <f>VLOOKUP($A129,FRV!$A$4:$U$208,7,FALSE)</f>
        <v>242</v>
      </c>
      <c r="AF129" s="107">
        <f t="shared" si="47"/>
        <v>49109691</v>
      </c>
      <c r="AG129" s="107">
        <f t="shared" si="48"/>
        <v>202933</v>
      </c>
      <c r="AH129" s="107">
        <v>120000</v>
      </c>
      <c r="AI129" s="107">
        <f t="shared" si="49"/>
        <v>120000</v>
      </c>
      <c r="AJ129" s="107">
        <f t="shared" si="50"/>
        <v>29040000</v>
      </c>
      <c r="AK129" s="249">
        <f>IF(VLOOKUP($A129,'Rate Calculation'!$A$4:$D$208,4,FALSE)="baltimore city",0.1,0.08)</f>
        <v>0.1</v>
      </c>
      <c r="AL129" s="107">
        <f t="shared" si="51"/>
        <v>2904000</v>
      </c>
      <c r="AM129" s="105">
        <f>IF(ISERROR(MATCH(A129&amp;AA129,'Days Exceptions'!$C$3:$C$16,0)),ROUND(AL129/(MAX(S129,T129)),2),ROUND(AL129/VLOOKUP(A129,'Days Exceptions'!$A$3:$J$16,8,FALSE),2))</f>
        <v>40.32</v>
      </c>
      <c r="AN129" s="213">
        <f>VLOOKUP($A129,'Rate Calculation'!$A$4:$AF$208,32,FALSE)</f>
        <v>0</v>
      </c>
      <c r="AO129" s="109">
        <f t="shared" si="52"/>
        <v>40.32</v>
      </c>
      <c r="AP129" s="247">
        <f>VLOOKUP($A129,'Rate Calculation'!$A$4:$Q$208,17,FALSE)</f>
        <v>225.65</v>
      </c>
      <c r="AQ129" s="247">
        <f t="shared" si="68"/>
        <v>232.65</v>
      </c>
      <c r="AR129" s="247">
        <f>VLOOKUP($A129,'Rate Calculation'!$A$4:$K$208,11,FALSE)</f>
        <v>195.33</v>
      </c>
      <c r="AS129" s="247">
        <f t="shared" si="53"/>
        <v>201.39</v>
      </c>
      <c r="AT129" s="110">
        <f t="shared" si="54"/>
        <v>185.59</v>
      </c>
      <c r="AU129" s="110">
        <f t="shared" si="55"/>
        <v>202.56</v>
      </c>
      <c r="AV129" s="111">
        <f t="shared" si="56"/>
        <v>0</v>
      </c>
      <c r="AW129" s="110">
        <f t="shared" si="57"/>
        <v>202.56</v>
      </c>
      <c r="AX129" s="105">
        <f t="shared" si="58"/>
        <v>253.92</v>
      </c>
      <c r="AY129" s="105">
        <f t="shared" si="59"/>
        <v>192.43</v>
      </c>
      <c r="AZ129" s="105">
        <f t="shared" si="60"/>
        <v>-61.49</v>
      </c>
      <c r="BA129" s="105">
        <f t="shared" si="61"/>
        <v>284.95</v>
      </c>
      <c r="BB129" s="105">
        <f t="shared" si="62"/>
        <v>183.67</v>
      </c>
      <c r="BC129" s="110">
        <f t="shared" si="63"/>
        <v>408.06</v>
      </c>
      <c r="BD129" s="110">
        <f t="shared" si="64"/>
        <v>311.52</v>
      </c>
      <c r="BE129" s="110">
        <f t="shared" si="65"/>
        <v>210.24</v>
      </c>
      <c r="BF129" s="105"/>
      <c r="BG129" s="105"/>
      <c r="BH129" s="111"/>
      <c r="BI129" s="105"/>
      <c r="BJ129" s="105"/>
      <c r="BK129" s="109"/>
      <c r="BL129" s="111"/>
      <c r="BM129" s="109"/>
      <c r="BN129" s="109"/>
      <c r="BO129" s="105"/>
      <c r="BP129" s="105"/>
      <c r="BQ129" s="109"/>
      <c r="BR129" s="110"/>
      <c r="BS129" s="110"/>
      <c r="BT129" s="110"/>
      <c r="BU129" s="110"/>
      <c r="BV129" s="110"/>
      <c r="BW129" s="112"/>
      <c r="BX129" s="112"/>
      <c r="BY129" s="110"/>
      <c r="BZ129" s="105"/>
      <c r="CA129" s="105"/>
      <c r="CB129" s="105"/>
      <c r="CC129" s="105"/>
      <c r="CD129" s="105"/>
      <c r="CE129" s="105"/>
    </row>
    <row r="130" spans="1:83" x14ac:dyDescent="0.15">
      <c r="A130" s="103">
        <v>336</v>
      </c>
      <c r="B130" s="98" t="str">
        <f>VLOOKUP($A130,'Rate Calculation'!$A$4:$AQ$208,42,FALSE)</f>
        <v>500188900</v>
      </c>
      <c r="C130" s="98" t="str">
        <f>VLOOKUP($A130,'Rate Calculation'!$A$4:$AQ$208,43,FALSE)</f>
        <v>King David Nursing and Rehabilitation Center</v>
      </c>
      <c r="D130" s="98" t="str">
        <f>VLOOKUP($A130,'Rate Calculation'!$A$4:$F$208,5,FALSE)</f>
        <v>BALTIMORE METRO</v>
      </c>
      <c r="E130" s="98" t="str">
        <f>VLOOKUP($A130,'Rate Calculation'!$A$4:$F$208,6,FALSE)</f>
        <v>BALTIMORE METRO</v>
      </c>
      <c r="F130" s="105">
        <f t="shared" si="40"/>
        <v>105.18</v>
      </c>
      <c r="G130" s="105">
        <f t="shared" si="41"/>
        <v>21.5</v>
      </c>
      <c r="H130" s="105">
        <f t="shared" si="42"/>
        <v>31.28</v>
      </c>
      <c r="I130" s="105">
        <f t="shared" si="43"/>
        <v>146.87</v>
      </c>
      <c r="J130" s="105">
        <f>VLOOKUP($A130,'Rate Calculation'!$A$4:$AZ$208,34,FALSE)</f>
        <v>3.03</v>
      </c>
      <c r="K130" s="105">
        <f t="shared" si="66"/>
        <v>307.86</v>
      </c>
      <c r="L130" s="164">
        <f t="shared" si="44"/>
        <v>0.98772000000000004</v>
      </c>
      <c r="M130" s="105">
        <f t="shared" si="67"/>
        <v>304.08</v>
      </c>
      <c r="N130" s="105">
        <f>VLOOKUP($A130,'Rate Calculation'!$A$4:$AL$208,38,FALSE)</f>
        <v>20.46</v>
      </c>
      <c r="O130" s="183">
        <f>VLOOKUP($A130,'Rate Calculation'!$A$4:$I$208,9,FALSE)</f>
        <v>1.7276</v>
      </c>
      <c r="P130" s="183">
        <f t="shared" si="38"/>
        <v>1.4432</v>
      </c>
      <c r="Q130" s="183">
        <f>VLOOKUP(A130,'CMI Data'!$A$4:$C$208,3,FALSE)</f>
        <v>1.4933000000000001</v>
      </c>
      <c r="R130" s="246">
        <f>VLOOKUP($A130,FRV!$A$4:$K$208,11,FALSE)</f>
        <v>40260</v>
      </c>
      <c r="S130" s="246">
        <f t="shared" si="39"/>
        <v>32824</v>
      </c>
      <c r="T130" s="246">
        <f>VLOOKUP($A130,FRV!$A$4:$L$208,12,FALSE)</f>
        <v>36673</v>
      </c>
      <c r="U130" s="183">
        <f>Inflation!$G$24</f>
        <v>1.0309999999999999</v>
      </c>
      <c r="V130" s="247">
        <f>VLOOKUP($A130,'Rate Calculation'!A131:X335,24,FALSE)</f>
        <v>102.02</v>
      </c>
      <c r="W130" s="110">
        <f t="shared" si="45"/>
        <v>105.18</v>
      </c>
      <c r="X130" s="110">
        <f>VLOOKUP($A130,'Rate Calculation'!A131:V335,22,FALSE)</f>
        <v>20.85</v>
      </c>
      <c r="Y130" s="110">
        <f t="shared" si="46"/>
        <v>21.5</v>
      </c>
      <c r="Z130" s="212">
        <f>VLOOKUP($A130,FRV!$A$4:$D$208,4,FALSE)</f>
        <v>45474</v>
      </c>
      <c r="AA130" s="212">
        <f>VLOOKUP($A130,FRV!$A$4:$F$208,6,FALSE)</f>
        <v>45657</v>
      </c>
      <c r="AB130" s="248">
        <f>VLOOKUP($A130,FRV!$A$4:$U$208,13,FALSE)</f>
        <v>14351472</v>
      </c>
      <c r="AC130" s="248">
        <f>VLOOKUP($A130,FRV!$A$4:$U$208,15,FALSE)</f>
        <v>231746</v>
      </c>
      <c r="AD130" s="248">
        <f>VLOOKUP($A130,FRV!$A$4:$U$208,14,FALSE)</f>
        <v>16000</v>
      </c>
      <c r="AE130" s="248">
        <f>VLOOKUP($A130,FRV!$A$4:$U$208,7,FALSE)</f>
        <v>110</v>
      </c>
      <c r="AF130" s="107">
        <f t="shared" si="47"/>
        <v>16343218</v>
      </c>
      <c r="AG130" s="107">
        <f t="shared" si="48"/>
        <v>148575</v>
      </c>
      <c r="AH130" s="107">
        <v>120000</v>
      </c>
      <c r="AI130" s="107">
        <f t="shared" si="49"/>
        <v>120000</v>
      </c>
      <c r="AJ130" s="107">
        <f t="shared" si="50"/>
        <v>13200000</v>
      </c>
      <c r="AK130" s="249">
        <f>IF(VLOOKUP($A130,'Rate Calculation'!$A$4:$D$208,4,FALSE)="baltimore city",0.1,0.08)</f>
        <v>0.08</v>
      </c>
      <c r="AL130" s="107">
        <f t="shared" si="51"/>
        <v>1056000</v>
      </c>
      <c r="AM130" s="105">
        <f>IF(ISERROR(MATCH(A130&amp;AA130,'Days Exceptions'!$C$3:$C$16,0)),ROUND(AL130/(MAX(S130,T130)),2),ROUND(AL130/VLOOKUP(A130,'Days Exceptions'!$A$3:$J$16,8,FALSE),2))</f>
        <v>28.8</v>
      </c>
      <c r="AN130" s="213">
        <f>VLOOKUP($A130,'Rate Calculation'!$A$4:$AF$208,32,FALSE)</f>
        <v>2.48</v>
      </c>
      <c r="AO130" s="109">
        <f t="shared" si="52"/>
        <v>31.28</v>
      </c>
      <c r="AP130" s="247">
        <f>VLOOKUP($A130,'Rate Calculation'!$A$4:$Q$208,17,FALSE)</f>
        <v>153.11000000000001</v>
      </c>
      <c r="AQ130" s="247">
        <f t="shared" si="68"/>
        <v>157.86000000000001</v>
      </c>
      <c r="AR130" s="247">
        <f>VLOOKUP($A130,'Rate Calculation'!$A$4:$K$208,11,FALSE)</f>
        <v>195.33</v>
      </c>
      <c r="AS130" s="247">
        <f t="shared" si="53"/>
        <v>201.39</v>
      </c>
      <c r="AT130" s="110">
        <f t="shared" si="54"/>
        <v>241.08</v>
      </c>
      <c r="AU130" s="110">
        <f t="shared" si="55"/>
        <v>208.38</v>
      </c>
      <c r="AV130" s="111">
        <f t="shared" si="56"/>
        <v>-61.51</v>
      </c>
      <c r="AW130" s="110">
        <f t="shared" si="57"/>
        <v>146.87</v>
      </c>
      <c r="AX130" s="105">
        <f t="shared" si="58"/>
        <v>136.44999999999999</v>
      </c>
      <c r="AY130" s="105">
        <f t="shared" si="59"/>
        <v>197.96</v>
      </c>
      <c r="AZ130" s="105">
        <f t="shared" si="60"/>
        <v>61.51</v>
      </c>
      <c r="BA130" s="105">
        <f t="shared" si="61"/>
        <v>234.43</v>
      </c>
      <c r="BB130" s="105">
        <f t="shared" si="62"/>
        <v>160.99</v>
      </c>
      <c r="BC130" s="110">
        <f t="shared" si="63"/>
        <v>324.54000000000002</v>
      </c>
      <c r="BD130" s="110">
        <f t="shared" si="64"/>
        <v>254.89</v>
      </c>
      <c r="BE130" s="110">
        <f t="shared" si="65"/>
        <v>181.45</v>
      </c>
      <c r="BF130" s="105"/>
      <c r="BG130" s="105"/>
      <c r="BH130" s="111"/>
      <c r="BI130" s="105"/>
      <c r="BJ130" s="105"/>
      <c r="BK130" s="109"/>
      <c r="BL130" s="111"/>
      <c r="BM130" s="109"/>
      <c r="BN130" s="109"/>
      <c r="BO130" s="105"/>
      <c r="BP130" s="105"/>
      <c r="BQ130" s="109"/>
      <c r="BR130" s="110"/>
      <c r="BS130" s="110"/>
      <c r="BT130" s="110"/>
      <c r="BU130" s="110"/>
      <c r="BV130" s="110"/>
      <c r="BW130" s="112"/>
      <c r="BX130" s="112"/>
      <c r="BY130" s="110"/>
      <c r="BZ130" s="105"/>
      <c r="CA130" s="105"/>
      <c r="CB130" s="105"/>
      <c r="CC130" s="105"/>
      <c r="CD130" s="105"/>
      <c r="CE130" s="105"/>
    </row>
    <row r="131" spans="1:83" x14ac:dyDescent="0.15">
      <c r="A131" s="103">
        <v>312</v>
      </c>
      <c r="B131" s="98" t="str">
        <f>VLOOKUP($A131,'Rate Calculation'!$A$4:$AQ$208,42,FALSE)</f>
        <v>799044800</v>
      </c>
      <c r="C131" s="98" t="str">
        <f>VLOOKUP($A131,'Rate Calculation'!$A$4:$AQ$208,43,FALSE)</f>
        <v>Largo Nursing and Rehabilitation Center, LLC</v>
      </c>
      <c r="D131" s="98" t="str">
        <f>VLOOKUP($A131,'Rate Calculation'!$A$4:$F$208,5,FALSE)</f>
        <v>WASHINGTON METRO</v>
      </c>
      <c r="E131" s="98" t="str">
        <f>VLOOKUP($A131,'Rate Calculation'!$A$4:$F$208,6,FALSE)</f>
        <v>WASHINGTON METRO</v>
      </c>
      <c r="F131" s="105">
        <f t="shared" si="40"/>
        <v>103.73</v>
      </c>
      <c r="G131" s="105">
        <f t="shared" si="41"/>
        <v>19.829999999999998</v>
      </c>
      <c r="H131" s="105">
        <f t="shared" si="42"/>
        <v>27.25</v>
      </c>
      <c r="I131" s="105">
        <f t="shared" si="43"/>
        <v>140.72999999999999</v>
      </c>
      <c r="J131" s="105">
        <f>VLOOKUP($A131,'Rate Calculation'!$A$4:$AZ$208,34,FALSE)</f>
        <v>0</v>
      </c>
      <c r="K131" s="105">
        <f t="shared" si="66"/>
        <v>291.54000000000002</v>
      </c>
      <c r="L131" s="164">
        <f t="shared" si="44"/>
        <v>0.98772000000000004</v>
      </c>
      <c r="M131" s="105">
        <f t="shared" si="67"/>
        <v>287.95999999999998</v>
      </c>
      <c r="N131" s="105">
        <f>VLOOKUP($A131,'Rate Calculation'!$A$4:$AL$208,38,FALSE)</f>
        <v>25.3</v>
      </c>
      <c r="O131" s="183">
        <f>VLOOKUP($A131,'Rate Calculation'!$A$4:$I$208,9,FALSE)</f>
        <v>1.5057</v>
      </c>
      <c r="P131" s="183">
        <f t="shared" ref="P131:P195" si="69">+SW_CR_CMI</f>
        <v>1.4432</v>
      </c>
      <c r="Q131" s="183">
        <f>VLOOKUP(A131,'CMI Data'!$A$4:$C$208,3,FALSE)</f>
        <v>1.5186999999999999</v>
      </c>
      <c r="R131" s="246">
        <f>VLOOKUP($A131,FRV!$A$4:$K$208,11,FALSE)</f>
        <v>47450</v>
      </c>
      <c r="S131" s="246">
        <f t="shared" ref="S131:S195" si="70">ROUND(R131*Min_Occ,2)</f>
        <v>38686</v>
      </c>
      <c r="T131" s="246">
        <f>VLOOKUP($A131,FRV!$A$4:$L$208,12,FALSE)</f>
        <v>45938</v>
      </c>
      <c r="U131" s="183">
        <f>Inflation!$G$24</f>
        <v>1.0309999999999999</v>
      </c>
      <c r="V131" s="247">
        <f>VLOOKUP($A131,'Rate Calculation'!A132:X336,24,FALSE)</f>
        <v>100.61</v>
      </c>
      <c r="W131" s="110">
        <f t="shared" si="45"/>
        <v>103.73</v>
      </c>
      <c r="X131" s="110">
        <f>VLOOKUP($A131,'Rate Calculation'!A132:V336,22,FALSE)</f>
        <v>19.23</v>
      </c>
      <c r="Y131" s="110">
        <f t="shared" si="46"/>
        <v>19.829999999999998</v>
      </c>
      <c r="Z131" s="212">
        <f>VLOOKUP($A131,FRV!$A$4:$D$208,4,FALSE)</f>
        <v>45108</v>
      </c>
      <c r="AA131" s="212">
        <f>VLOOKUP($A131,FRV!$A$4:$F$208,6,FALSE)</f>
        <v>45291</v>
      </c>
      <c r="AB131" s="248">
        <f>VLOOKUP($A131,FRV!$A$4:$U$208,13,FALSE)</f>
        <v>10658465</v>
      </c>
      <c r="AC131" s="248">
        <f>VLOOKUP($A131,FRV!$A$4:$U$208,15,FALSE)</f>
        <v>241807</v>
      </c>
      <c r="AD131" s="248">
        <f>VLOOKUP($A131,FRV!$A$4:$U$208,14,FALSE)</f>
        <v>22000</v>
      </c>
      <c r="AE131" s="248">
        <f>VLOOKUP($A131,FRV!$A$4:$U$208,7,FALSE)</f>
        <v>130</v>
      </c>
      <c r="AF131" s="107">
        <f t="shared" si="47"/>
        <v>13760272</v>
      </c>
      <c r="AG131" s="107">
        <f t="shared" si="48"/>
        <v>105848</v>
      </c>
      <c r="AH131" s="107">
        <v>120000</v>
      </c>
      <c r="AI131" s="107">
        <f t="shared" si="49"/>
        <v>105848</v>
      </c>
      <c r="AJ131" s="107">
        <f t="shared" si="50"/>
        <v>13760240</v>
      </c>
      <c r="AK131" s="249">
        <f>IF(VLOOKUP($A131,'Rate Calculation'!$A$4:$D$208,4,FALSE)="baltimore city",0.1,0.08)</f>
        <v>0.08</v>
      </c>
      <c r="AL131" s="107">
        <f t="shared" si="51"/>
        <v>1100819</v>
      </c>
      <c r="AM131" s="105">
        <f>IF(ISERROR(MATCH(A131&amp;AA131,'Days Exceptions'!$C$3:$C$16,0)),ROUND(AL131/(MAX(S131,T131)),2),ROUND(AL131/VLOOKUP(A131,'Days Exceptions'!$A$3:$J$16,8,FALSE),2))</f>
        <v>23.96</v>
      </c>
      <c r="AN131" s="213">
        <f>VLOOKUP($A131,'Rate Calculation'!$A$4:$AF$208,32,FALSE)</f>
        <v>3.29</v>
      </c>
      <c r="AO131" s="109">
        <f t="shared" si="52"/>
        <v>27.25</v>
      </c>
      <c r="AP131" s="247">
        <f>VLOOKUP($A131,'Rate Calculation'!$A$4:$Q$208,17,FALSE)</f>
        <v>126.15</v>
      </c>
      <c r="AQ131" s="247">
        <f t="shared" si="68"/>
        <v>130.06</v>
      </c>
      <c r="AR131" s="247">
        <f>VLOOKUP($A131,'Rate Calculation'!$A$4:$K$208,11,FALSE)</f>
        <v>176.01</v>
      </c>
      <c r="AS131" s="247">
        <f t="shared" si="53"/>
        <v>181.47</v>
      </c>
      <c r="AT131" s="110">
        <f t="shared" si="54"/>
        <v>189.33</v>
      </c>
      <c r="AU131" s="110">
        <f t="shared" si="55"/>
        <v>190.96</v>
      </c>
      <c r="AV131" s="111">
        <f t="shared" si="56"/>
        <v>-50.23</v>
      </c>
      <c r="AW131" s="110">
        <f t="shared" si="57"/>
        <v>140.72999999999999</v>
      </c>
      <c r="AX131" s="105">
        <f t="shared" si="58"/>
        <v>131.18</v>
      </c>
      <c r="AY131" s="105">
        <f t="shared" si="59"/>
        <v>181.41</v>
      </c>
      <c r="AZ131" s="105">
        <f t="shared" si="60"/>
        <v>50.23</v>
      </c>
      <c r="BA131" s="105">
        <f t="shared" si="61"/>
        <v>221.18</v>
      </c>
      <c r="BB131" s="105">
        <f t="shared" si="62"/>
        <v>150.81</v>
      </c>
      <c r="BC131" s="110">
        <f t="shared" si="63"/>
        <v>313.26</v>
      </c>
      <c r="BD131" s="110">
        <f t="shared" si="64"/>
        <v>246.48</v>
      </c>
      <c r="BE131" s="110">
        <f t="shared" si="65"/>
        <v>176.11</v>
      </c>
      <c r="BF131" s="105"/>
      <c r="BG131" s="105"/>
      <c r="BH131" s="111"/>
      <c r="BI131" s="105"/>
      <c r="BJ131" s="105"/>
      <c r="BK131" s="109"/>
      <c r="BL131" s="111"/>
      <c r="BM131" s="109"/>
      <c r="BN131" s="109"/>
      <c r="BO131" s="105"/>
      <c r="BP131" s="105"/>
      <c r="BQ131" s="109"/>
      <c r="BR131" s="110"/>
      <c r="BS131" s="110"/>
      <c r="BT131" s="110"/>
      <c r="BU131" s="110"/>
      <c r="BV131" s="110"/>
      <c r="BW131" s="112"/>
      <c r="BX131" s="112"/>
      <c r="BY131" s="110"/>
      <c r="BZ131" s="105"/>
      <c r="CA131" s="105"/>
      <c r="CB131" s="105"/>
      <c r="CC131" s="105"/>
      <c r="CD131" s="105"/>
      <c r="CE131" s="105"/>
    </row>
    <row r="132" spans="1:83" x14ac:dyDescent="0.15">
      <c r="A132" s="103">
        <v>264</v>
      </c>
      <c r="B132" s="98" t="str">
        <f>VLOOKUP($A132,'Rate Calculation'!$A$4:$AQ$208,42,FALSE)</f>
        <v>168937100</v>
      </c>
      <c r="C132" s="98" t="str">
        <f>VLOOKUP($A132,'Rate Calculation'!$A$4:$AQ$208,43,FALSE)</f>
        <v>Larkin Chase Center</v>
      </c>
      <c r="D132" s="98" t="str">
        <f>VLOOKUP($A132,'Rate Calculation'!$A$4:$F$208,5,FALSE)</f>
        <v>WASHINGTON METRO</v>
      </c>
      <c r="E132" s="98" t="str">
        <f>VLOOKUP($A132,'Rate Calculation'!$A$4:$F$208,6,FALSE)</f>
        <v>WASHINGTON METRO</v>
      </c>
      <c r="F132" s="105">
        <f t="shared" ref="F132" si="71">+W132</f>
        <v>103.73</v>
      </c>
      <c r="G132" s="105">
        <f t="shared" ref="G132" si="72">+Y132</f>
        <v>19.829999999999998</v>
      </c>
      <c r="H132" s="105">
        <f t="shared" ref="H132" si="73">+AO132</f>
        <v>32.61</v>
      </c>
      <c r="I132" s="105">
        <f t="shared" ref="I132" si="74">+AW132</f>
        <v>255.18</v>
      </c>
      <c r="J132" s="105">
        <f>VLOOKUP($A132,'Rate Calculation'!$A$4:$AZ$208,34,FALSE)</f>
        <v>0</v>
      </c>
      <c r="K132" s="105">
        <f t="shared" si="66"/>
        <v>411.35</v>
      </c>
      <c r="L132" s="164">
        <f t="shared" si="44"/>
        <v>0.98772000000000004</v>
      </c>
      <c r="M132" s="105">
        <f t="shared" si="67"/>
        <v>406.3</v>
      </c>
      <c r="N132" s="105">
        <f>VLOOKUP($A132,'Rate Calculation'!$A$4:$AL$208,38,FALSE)</f>
        <v>17.14</v>
      </c>
      <c r="O132" s="183" t="str">
        <f>VLOOKUP($A132,'Rate Calculation'!$A$4:$I$208,9,FALSE)</f>
        <v>NA</v>
      </c>
      <c r="P132" s="183">
        <f t="shared" si="69"/>
        <v>1.4432</v>
      </c>
      <c r="Q132" s="183">
        <f>VLOOKUP(A132,'CMI Data'!$A$4:$C$208,3,FALSE)</f>
        <v>1.4061999999999999</v>
      </c>
      <c r="R132" s="246">
        <f>VLOOKUP($A132,FRV!$A$4:$K$208,11,FALSE)</f>
        <v>43800</v>
      </c>
      <c r="S132" s="246">
        <f t="shared" si="70"/>
        <v>35710</v>
      </c>
      <c r="T132" s="246">
        <f>VLOOKUP($A132,FRV!$A$4:$L$208,12,FALSE)</f>
        <v>24831</v>
      </c>
      <c r="U132" s="183">
        <f>Inflation!$G$24</f>
        <v>1.0309999999999999</v>
      </c>
      <c r="V132" s="247">
        <f>VLOOKUP($A132,'Rate Calculation'!A133:X337,24,FALSE)</f>
        <v>100.61</v>
      </c>
      <c r="W132" s="110">
        <f t="shared" ref="W132" si="75">ROUND(V132*$U132,2)</f>
        <v>103.73</v>
      </c>
      <c r="X132" s="110">
        <f>VLOOKUP($A132,'Rate Calculation'!A133:V337,22,FALSE)</f>
        <v>19.23</v>
      </c>
      <c r="Y132" s="110">
        <f t="shared" ref="Y132" si="76">ROUND(X132*$U132,2)</f>
        <v>19.829999999999998</v>
      </c>
      <c r="Z132" s="212">
        <f>VLOOKUP($A132,FRV!$A$4:$D$208,4,FALSE)</f>
        <v>45474</v>
      </c>
      <c r="AA132" s="212" t="str">
        <f>VLOOKUP($A132,FRV!$A$4:$F$208,6,FALSE)</f>
        <v>NA</v>
      </c>
      <c r="AB132" s="248">
        <f>VLOOKUP($A132,FRV!$A$4:$U$208,13,FALSE)</f>
        <v>15220265</v>
      </c>
      <c r="AC132" s="248">
        <f>VLOOKUP($A132,FRV!$A$4:$U$208,15,FALSE)</f>
        <v>501925</v>
      </c>
      <c r="AD132" s="248">
        <f>VLOOKUP($A132,FRV!$A$4:$U$208,14,FALSE)</f>
        <v>25000</v>
      </c>
      <c r="AE132" s="248">
        <f>VLOOKUP($A132,FRV!$A$4:$U$208,7,FALSE)</f>
        <v>120</v>
      </c>
      <c r="AF132" s="107">
        <f t="shared" ref="AF132" si="77">ROUND(AB132+AC132+(AD132*AE132),0)</f>
        <v>18722190</v>
      </c>
      <c r="AG132" s="107">
        <f t="shared" ref="AG132" si="78">ROUND(AF132/AE132,0)</f>
        <v>156018</v>
      </c>
      <c r="AH132" s="107">
        <v>120000</v>
      </c>
      <c r="AI132" s="107">
        <f t="shared" ref="AI132" si="79">IF(AG132=0,120000,MIN(AH132,AG132))</f>
        <v>120000</v>
      </c>
      <c r="AJ132" s="107">
        <f t="shared" ref="AJ132" si="80">AE132*AI132</f>
        <v>14400000</v>
      </c>
      <c r="AK132" s="249">
        <f>IF(VLOOKUP($A132,'Rate Calculation'!$A$4:$D$208,4,FALSE)="baltimore city",0.1,0.08)</f>
        <v>0.08</v>
      </c>
      <c r="AL132" s="107">
        <f t="shared" ref="AL132" si="81">ROUND(AE132*AI132*AK132,0)</f>
        <v>1152000</v>
      </c>
      <c r="AM132" s="105">
        <f>IF(ISERROR(MATCH(A132&amp;AA132,'Days Exceptions'!$C$3:$C$16,0)),ROUND(AL132/(MAX(S132,T132)),2),ROUND(AL132/VLOOKUP(A132,'Days Exceptions'!$A$3:$J$16,8,FALSE),2))</f>
        <v>32.26</v>
      </c>
      <c r="AN132" s="213">
        <f>VLOOKUP($A132,'Rate Calculation'!$A$4:$AF$208,32,FALSE)</f>
        <v>0.35</v>
      </c>
      <c r="AO132" s="109">
        <f t="shared" ref="AO132" si="82">+AM132+AN132</f>
        <v>32.61</v>
      </c>
      <c r="AP132" s="247" t="str">
        <f>VLOOKUP($A132,'Rate Calculation'!$A$4:$Q$208,17,FALSE)</f>
        <v>NA</v>
      </c>
      <c r="AQ132" s="247" t="str">
        <f t="shared" si="68"/>
        <v>NA</v>
      </c>
      <c r="AR132" s="247">
        <f>VLOOKUP($A132,'Rate Calculation'!$A$4:$K$208,11,FALSE)</f>
        <v>176.01</v>
      </c>
      <c r="AS132" s="247">
        <f t="shared" ref="AS132" si="83">ROUND(AR132*U132,2)</f>
        <v>181.47</v>
      </c>
      <c r="AT132" s="110" t="str">
        <f t="shared" ref="AT132" si="84">IF(AP132="NA","NA",ROUND(AS132*(O132/P132),2))</f>
        <v>NA</v>
      </c>
      <c r="AU132" s="110">
        <f t="shared" ref="AU132" si="85">IF(O132="NA",ROUND(AS132*Q132,2),ROUND(AT132*(Q132/O132),2))</f>
        <v>255.18</v>
      </c>
      <c r="AV132" s="111">
        <f t="shared" ref="AV132" si="86">(MAX(0,AZ132))*-1</f>
        <v>0</v>
      </c>
      <c r="AW132" s="110">
        <f t="shared" ref="AW132" si="87">+AU132+AV132</f>
        <v>255.18</v>
      </c>
      <c r="AX132" s="105" t="str">
        <f t="shared" ref="AX132" si="88">IF(AP132="NA","NA",ROUND(AQ132*(Q132/O132),2))</f>
        <v>NA</v>
      </c>
      <c r="AY132" s="105">
        <f t="shared" ref="AY132" si="89">ROUND(AU132*0.95,2)</f>
        <v>242.42</v>
      </c>
      <c r="AZ132" s="105">
        <f t="shared" ref="AZ132" si="90">IF(AX132="NA",0,AY132-AX132)</f>
        <v>0</v>
      </c>
      <c r="BA132" s="105">
        <f t="shared" ref="BA132" si="91">F132+G132+H132+ROUND(I132*0.5,2)+J132</f>
        <v>283.76</v>
      </c>
      <c r="BB132" s="105">
        <f t="shared" ref="BB132" si="92">F132+G132+H132+J132</f>
        <v>156.16999999999999</v>
      </c>
      <c r="BC132" s="110">
        <f t="shared" ref="BC132" si="93">M132+N132</f>
        <v>423.44</v>
      </c>
      <c r="BD132" s="110">
        <f t="shared" ref="BD132" si="94">N132+BA132</f>
        <v>300.89999999999998</v>
      </c>
      <c r="BE132" s="110">
        <f t="shared" ref="BE132" si="95">N132+BB132</f>
        <v>173.31</v>
      </c>
      <c r="BF132" s="105"/>
      <c r="BG132" s="105"/>
      <c r="BH132" s="111"/>
      <c r="BI132" s="105"/>
      <c r="BJ132" s="105"/>
      <c r="BK132" s="109"/>
      <c r="BL132" s="111"/>
      <c r="BM132" s="109"/>
      <c r="BN132" s="109"/>
      <c r="BO132" s="105"/>
      <c r="BP132" s="105"/>
      <c r="BQ132" s="109"/>
      <c r="BR132" s="110"/>
      <c r="BS132" s="110"/>
      <c r="BT132" s="110"/>
      <c r="BU132" s="110"/>
      <c r="BV132" s="110"/>
      <c r="BW132" s="112"/>
      <c r="BX132" s="112"/>
      <c r="BY132" s="110"/>
      <c r="BZ132" s="105"/>
      <c r="CA132" s="105"/>
      <c r="CB132" s="105"/>
      <c r="CC132" s="105"/>
      <c r="CD132" s="105"/>
      <c r="CE132" s="105"/>
    </row>
    <row r="133" spans="1:83" x14ac:dyDescent="0.15">
      <c r="A133" s="103">
        <v>737</v>
      </c>
      <c r="B133" s="98" t="str">
        <f>VLOOKUP($A133,'Rate Calculation'!$A$4:$AQ$208,42,FALSE)</f>
        <v>424086300</v>
      </c>
      <c r="C133" s="98" t="str">
        <f>VLOOKUP($A133,'Rate Calculation'!$A$4:$AQ$208,43,FALSE)</f>
        <v>Laurelwood Care Center at Elkton</v>
      </c>
      <c r="D133" s="98" t="str">
        <f>VLOOKUP($A133,'Rate Calculation'!$A$4:$F$208,5,FALSE)</f>
        <v>BALTIMORE METRO</v>
      </c>
      <c r="E133" s="98" t="str">
        <f>VLOOKUP($A133,'Rate Calculation'!$A$4:$F$208,6,FALSE)</f>
        <v>NON METRO</v>
      </c>
      <c r="F133" s="105">
        <f t="shared" ref="F133:F196" si="96">+W133</f>
        <v>92.33</v>
      </c>
      <c r="G133" s="105">
        <f t="shared" ref="G133:G196" si="97">+Y133</f>
        <v>20.87</v>
      </c>
      <c r="H133" s="105">
        <f t="shared" ref="H133:H196" si="98">+AO133</f>
        <v>26.95</v>
      </c>
      <c r="I133" s="105">
        <f t="shared" ref="I133:I196" si="99">+AW133</f>
        <v>144.19999999999999</v>
      </c>
      <c r="J133" s="105">
        <f>VLOOKUP($A133,'Rate Calculation'!$A$4:$AZ$208,34,FALSE)</f>
        <v>0</v>
      </c>
      <c r="K133" s="105">
        <f t="shared" si="66"/>
        <v>284.35000000000002</v>
      </c>
      <c r="L133" s="164">
        <f t="shared" ref="L133:L196" si="100">+_baf</f>
        <v>0.98772000000000004</v>
      </c>
      <c r="M133" s="105">
        <f t="shared" si="67"/>
        <v>280.86</v>
      </c>
      <c r="N133" s="105">
        <f>VLOOKUP($A133,'Rate Calculation'!$A$4:$AL$208,38,FALSE)</f>
        <v>31.2</v>
      </c>
      <c r="O133" s="183">
        <f>VLOOKUP($A133,'Rate Calculation'!$A$4:$I$208,9,FALSE)</f>
        <v>1.4337</v>
      </c>
      <c r="P133" s="183">
        <f t="shared" si="69"/>
        <v>1.4432</v>
      </c>
      <c r="Q133" s="183">
        <f>VLOOKUP(A133,'CMI Data'!$A$4:$C$208,3,FALSE)</f>
        <v>1.2969999999999999</v>
      </c>
      <c r="R133" s="246">
        <f>VLOOKUP($A133,FRV!$A$4:$K$208,11,FALSE)</f>
        <v>40260</v>
      </c>
      <c r="S133" s="246">
        <f t="shared" si="70"/>
        <v>32824</v>
      </c>
      <c r="T133" s="246">
        <f>VLOOKUP($A133,FRV!$A$4:$L$208,12,FALSE)</f>
        <v>35104</v>
      </c>
      <c r="U133" s="183">
        <f>Inflation!$G$24</f>
        <v>1.0309999999999999</v>
      </c>
      <c r="V133" s="247">
        <f>VLOOKUP($A133,'Rate Calculation'!A134:X337,24,FALSE)</f>
        <v>89.55</v>
      </c>
      <c r="W133" s="110">
        <f t="shared" ref="W133:W196" si="101">ROUND(V133*$U133,2)</f>
        <v>92.33</v>
      </c>
      <c r="X133" s="110">
        <f>VLOOKUP($A133,'Rate Calculation'!A134:V337,22,FALSE)</f>
        <v>20.239999999999998</v>
      </c>
      <c r="Y133" s="110">
        <f t="shared" ref="Y133:Y196" si="102">ROUND(X133*$U133,2)</f>
        <v>20.87</v>
      </c>
      <c r="Z133" s="212">
        <f>VLOOKUP($A133,FRV!$A$4:$D$208,4,FALSE)</f>
        <v>45474</v>
      </c>
      <c r="AA133" s="212">
        <f>VLOOKUP($A133,FRV!$A$4:$F$208,6,FALSE)</f>
        <v>45473</v>
      </c>
      <c r="AB133" s="248">
        <f>VLOOKUP($A133,FRV!$A$4:$U$208,13,FALSE)</f>
        <v>8860613</v>
      </c>
      <c r="AC133" s="248">
        <f>VLOOKUP($A133,FRV!$A$4:$U$208,15,FALSE)</f>
        <v>146444</v>
      </c>
      <c r="AD133" s="248">
        <f>VLOOKUP($A133,FRV!$A$4:$U$208,14,FALSE)</f>
        <v>14000</v>
      </c>
      <c r="AE133" s="248">
        <f>VLOOKUP($A133,FRV!$A$4:$U$208,7,FALSE)</f>
        <v>110</v>
      </c>
      <c r="AF133" s="107">
        <f t="shared" ref="AF133:AF196" si="103">ROUND(AB133+AC133+(AD133*AE133),0)</f>
        <v>10547057</v>
      </c>
      <c r="AG133" s="107">
        <f t="shared" ref="AG133:AG196" si="104">ROUND(AF133/AE133,0)</f>
        <v>95882</v>
      </c>
      <c r="AH133" s="107">
        <v>120000</v>
      </c>
      <c r="AI133" s="107">
        <f t="shared" ref="AI133:AI196" si="105">IF(AG133=0,120000,MIN(AH133,AG133))</f>
        <v>95882</v>
      </c>
      <c r="AJ133" s="107">
        <f t="shared" ref="AJ133:AJ196" si="106">AE133*AI133</f>
        <v>10547020</v>
      </c>
      <c r="AK133" s="249">
        <f>IF(VLOOKUP($A133,'Rate Calculation'!$A$4:$D$208,4,FALSE)="baltimore city",0.1,0.08)</f>
        <v>0.08</v>
      </c>
      <c r="AL133" s="107">
        <f t="shared" ref="AL133:AL196" si="107">ROUND(AE133*AI133*AK133,0)</f>
        <v>843762</v>
      </c>
      <c r="AM133" s="105">
        <f>IF(ISERROR(MATCH(A133&amp;AA133,'Days Exceptions'!$C$3:$C$16,0)),ROUND(AL133/(MAX(S133,T133)),2),ROUND(AL133/VLOOKUP(A133,'Days Exceptions'!$A$3:$J$16,8,FALSE),2))</f>
        <v>24.04</v>
      </c>
      <c r="AN133" s="213">
        <f>VLOOKUP($A133,'Rate Calculation'!$A$4:$AF$208,32,FALSE)</f>
        <v>2.91</v>
      </c>
      <c r="AO133" s="109">
        <f t="shared" ref="AO133:AO196" si="108">+AM133+AN133</f>
        <v>26.95</v>
      </c>
      <c r="AP133" s="247">
        <f>VLOOKUP($A133,'Rate Calculation'!$A$4:$Q$208,17,FALSE)</f>
        <v>144.9</v>
      </c>
      <c r="AQ133" s="247">
        <f t="shared" si="68"/>
        <v>149.38999999999999</v>
      </c>
      <c r="AR133" s="247">
        <f>VLOOKUP($A133,'Rate Calculation'!$A$4:$K$208,11,FALSE)</f>
        <v>195.33</v>
      </c>
      <c r="AS133" s="247">
        <f t="shared" ref="AS133:AS196" si="109">ROUND(AR133*U133,2)</f>
        <v>201.39</v>
      </c>
      <c r="AT133" s="110">
        <f t="shared" ref="AT133:AT196" si="110">IF(AP133="NA","NA",ROUND(AS133*(O133/P133),2))</f>
        <v>200.06</v>
      </c>
      <c r="AU133" s="110">
        <f t="shared" ref="AU133:AU196" si="111">IF(O133="NA",ROUND(AS133*Q133,2),ROUND(AT133*(Q133/O133),2))</f>
        <v>180.98</v>
      </c>
      <c r="AV133" s="111">
        <f t="shared" ref="AV133:AV196" si="112">(MAX(0,AZ133))*-1</f>
        <v>-36.78</v>
      </c>
      <c r="AW133" s="110">
        <f t="shared" ref="AW133:AW196" si="113">+AU133+AV133</f>
        <v>144.19999999999999</v>
      </c>
      <c r="AX133" s="105">
        <f t="shared" ref="AX133:AX196" si="114">IF(AP133="NA","NA",ROUND(AQ133*(Q133/O133),2))</f>
        <v>135.15</v>
      </c>
      <c r="AY133" s="105">
        <f t="shared" ref="AY133:AY196" si="115">ROUND(AU133*0.95,2)</f>
        <v>171.93</v>
      </c>
      <c r="AZ133" s="105">
        <f t="shared" ref="AZ133:AZ196" si="116">IF(AX133="NA",0,AY133-AX133)</f>
        <v>36.78</v>
      </c>
      <c r="BA133" s="105">
        <f t="shared" ref="BA133:BA196" si="117">F133+G133+H133+ROUND(I133*0.5,2)+J133</f>
        <v>212.25</v>
      </c>
      <c r="BB133" s="105">
        <f t="shared" ref="BB133:BB196" si="118">F133+G133+H133+J133</f>
        <v>140.15</v>
      </c>
      <c r="BC133" s="110">
        <f t="shared" ref="BC133:BC196" si="119">M133+N133</f>
        <v>312.06</v>
      </c>
      <c r="BD133" s="110">
        <f t="shared" ref="BD133:BD196" si="120">N133+BA133</f>
        <v>243.45</v>
      </c>
      <c r="BE133" s="110">
        <f t="shared" ref="BE133:BE196" si="121">N133+BB133</f>
        <v>171.35</v>
      </c>
      <c r="BF133" s="105"/>
      <c r="BG133" s="105"/>
      <c r="BH133" s="111"/>
      <c r="BI133" s="105"/>
      <c r="BJ133" s="105"/>
      <c r="BK133" s="109"/>
      <c r="BL133" s="111"/>
      <c r="BM133" s="109"/>
      <c r="BN133" s="109"/>
      <c r="BO133" s="105"/>
      <c r="BP133" s="105"/>
      <c r="BQ133" s="109"/>
      <c r="BR133" s="110"/>
      <c r="BS133" s="110"/>
      <c r="BT133" s="110"/>
      <c r="BU133" s="110"/>
      <c r="BV133" s="110"/>
      <c r="BW133" s="112"/>
      <c r="BX133" s="112"/>
      <c r="BY133" s="110"/>
      <c r="BZ133" s="105"/>
      <c r="CA133" s="105"/>
      <c r="CB133" s="105"/>
      <c r="CC133" s="105"/>
      <c r="CD133" s="105"/>
      <c r="CE133" s="105"/>
    </row>
    <row r="134" spans="1:83" x14ac:dyDescent="0.15">
      <c r="A134" s="103">
        <v>268</v>
      </c>
      <c r="B134" s="98" t="str">
        <f>VLOOKUP($A134,'Rate Calculation'!$A$4:$AQ$208,42,FALSE)</f>
        <v>370018600</v>
      </c>
      <c r="C134" s="98" t="str">
        <f>VLOOKUP($A134,'Rate Calculation'!$A$4:$AQ$208,43,FALSE)</f>
        <v>Layhill Nursing and Rehabilitation Center</v>
      </c>
      <c r="D134" s="98" t="str">
        <f>VLOOKUP($A134,'Rate Calculation'!$A$4:$F$208,5,FALSE)</f>
        <v>WASHINGTON METRO</v>
      </c>
      <c r="E134" s="98" t="str">
        <f>VLOOKUP($A134,'Rate Calculation'!$A$4:$F$208,6,FALSE)</f>
        <v>WASHINGTON METRO</v>
      </c>
      <c r="F134" s="105">
        <f t="shared" si="96"/>
        <v>103.73</v>
      </c>
      <c r="G134" s="105">
        <f t="shared" si="97"/>
        <v>19.829999999999998</v>
      </c>
      <c r="H134" s="105">
        <f t="shared" si="98"/>
        <v>31.15</v>
      </c>
      <c r="I134" s="105">
        <f t="shared" si="99"/>
        <v>142.71</v>
      </c>
      <c r="J134" s="105">
        <f>VLOOKUP($A134,'Rate Calculation'!$A$4:$AZ$208,34,FALSE)</f>
        <v>0</v>
      </c>
      <c r="K134" s="105">
        <f t="shared" ref="K134:K195" si="122">SUM(F134:J134)</f>
        <v>297.42</v>
      </c>
      <c r="L134" s="164">
        <f t="shared" si="100"/>
        <v>0.98772000000000004</v>
      </c>
      <c r="M134" s="105">
        <f t="shared" ref="M134:M195" si="123">ROUND(K134*L134,2)</f>
        <v>293.77</v>
      </c>
      <c r="N134" s="105">
        <f>VLOOKUP($A134,'Rate Calculation'!$A$4:$AL$208,38,FALSE)</f>
        <v>22.77</v>
      </c>
      <c r="O134" s="183">
        <f>VLOOKUP($A134,'Rate Calculation'!$A$4:$I$208,9,FALSE)</f>
        <v>1.6584000000000001</v>
      </c>
      <c r="P134" s="183">
        <f t="shared" si="69"/>
        <v>1.4432</v>
      </c>
      <c r="Q134" s="183">
        <f>VLOOKUP(A134,'CMI Data'!$A$4:$C$208,3,FALSE)</f>
        <v>1.5052000000000001</v>
      </c>
      <c r="R134" s="246">
        <f>VLOOKUP($A134,FRV!$A$4:$K$208,11,FALSE)</f>
        <v>46720</v>
      </c>
      <c r="S134" s="246">
        <f t="shared" si="70"/>
        <v>38091</v>
      </c>
      <c r="T134" s="246">
        <f>VLOOKUP($A134,FRV!$A$4:$L$208,12,FALSE)</f>
        <v>43787</v>
      </c>
      <c r="U134" s="183">
        <f>Inflation!$G$24</f>
        <v>1.0309999999999999</v>
      </c>
      <c r="V134" s="247">
        <f>VLOOKUP($A134,'Rate Calculation'!A135:X338,24,FALSE)</f>
        <v>100.61</v>
      </c>
      <c r="W134" s="110">
        <f t="shared" si="101"/>
        <v>103.73</v>
      </c>
      <c r="X134" s="110">
        <f>VLOOKUP($A134,'Rate Calculation'!A135:V338,22,FALSE)</f>
        <v>19.23</v>
      </c>
      <c r="Y134" s="110">
        <f t="shared" si="102"/>
        <v>19.829999999999998</v>
      </c>
      <c r="Z134" s="212">
        <f>VLOOKUP($A134,FRV!$A$4:$D$208,4,FALSE)</f>
        <v>44743</v>
      </c>
      <c r="AA134" s="212">
        <f>VLOOKUP($A134,FRV!$A$4:$F$208,6,FALSE)</f>
        <v>44926</v>
      </c>
      <c r="AB134" s="248">
        <f>VLOOKUP($A134,FRV!$A$4:$U$208,13,FALSE)</f>
        <v>16100861</v>
      </c>
      <c r="AC134" s="248">
        <f>VLOOKUP($A134,FRV!$A$4:$U$208,15,FALSE)</f>
        <v>253168</v>
      </c>
      <c r="AD134" s="248">
        <f>VLOOKUP($A134,FRV!$A$4:$U$208,14,FALSE)</f>
        <v>40000</v>
      </c>
      <c r="AE134" s="248">
        <f>VLOOKUP($A134,FRV!$A$4:$U$208,7,FALSE)</f>
        <v>128</v>
      </c>
      <c r="AF134" s="107">
        <f t="shared" si="103"/>
        <v>21474029</v>
      </c>
      <c r="AG134" s="107">
        <f t="shared" si="104"/>
        <v>167766</v>
      </c>
      <c r="AH134" s="107">
        <v>120000</v>
      </c>
      <c r="AI134" s="107">
        <f t="shared" si="105"/>
        <v>120000</v>
      </c>
      <c r="AJ134" s="107">
        <f t="shared" si="106"/>
        <v>15360000</v>
      </c>
      <c r="AK134" s="249">
        <f>IF(VLOOKUP($A134,'Rate Calculation'!$A$4:$D$208,4,FALSE)="baltimore city",0.1,0.08)</f>
        <v>0.08</v>
      </c>
      <c r="AL134" s="107">
        <f t="shared" si="107"/>
        <v>1228800</v>
      </c>
      <c r="AM134" s="105">
        <f>IF(ISERROR(MATCH(A134&amp;AA134,'Days Exceptions'!$C$3:$C$16,0)),ROUND(AL134/(MAX(S134,T134)),2),ROUND(AL134/VLOOKUP(A134,'Days Exceptions'!$A$3:$J$16,8,FALSE),2))</f>
        <v>28.06</v>
      </c>
      <c r="AN134" s="213">
        <f>VLOOKUP($A134,'Rate Calculation'!$A$4:$AF$208,32,FALSE)</f>
        <v>3.09</v>
      </c>
      <c r="AO134" s="109">
        <f t="shared" si="108"/>
        <v>31.15</v>
      </c>
      <c r="AP134" s="247">
        <f>VLOOKUP($A134,'Rate Calculation'!$A$4:$Q$208,17,FALSE)</f>
        <v>142.4</v>
      </c>
      <c r="AQ134" s="247">
        <f t="shared" si="68"/>
        <v>146.81</v>
      </c>
      <c r="AR134" s="247">
        <f>VLOOKUP($A134,'Rate Calculation'!$A$4:$K$208,11,FALSE)</f>
        <v>176.01</v>
      </c>
      <c r="AS134" s="247">
        <f t="shared" si="109"/>
        <v>181.47</v>
      </c>
      <c r="AT134" s="110">
        <f t="shared" si="110"/>
        <v>208.53</v>
      </c>
      <c r="AU134" s="110">
        <f t="shared" si="111"/>
        <v>189.27</v>
      </c>
      <c r="AV134" s="111">
        <f t="shared" si="112"/>
        <v>-46.56</v>
      </c>
      <c r="AW134" s="110">
        <f t="shared" si="113"/>
        <v>142.71</v>
      </c>
      <c r="AX134" s="105">
        <f t="shared" si="114"/>
        <v>133.25</v>
      </c>
      <c r="AY134" s="105">
        <f t="shared" si="115"/>
        <v>179.81</v>
      </c>
      <c r="AZ134" s="105">
        <f t="shared" si="116"/>
        <v>46.56</v>
      </c>
      <c r="BA134" s="105">
        <f t="shared" si="117"/>
        <v>226.07</v>
      </c>
      <c r="BB134" s="105">
        <f t="shared" si="118"/>
        <v>154.71</v>
      </c>
      <c r="BC134" s="110">
        <f t="shared" si="119"/>
        <v>316.54000000000002</v>
      </c>
      <c r="BD134" s="110">
        <f t="shared" si="120"/>
        <v>248.84</v>
      </c>
      <c r="BE134" s="110">
        <f t="shared" si="121"/>
        <v>177.48</v>
      </c>
      <c r="BF134" s="105"/>
      <c r="BG134" s="105"/>
      <c r="BH134" s="111"/>
      <c r="BI134" s="105"/>
      <c r="BJ134" s="105"/>
      <c r="BK134" s="109"/>
      <c r="BL134" s="111"/>
      <c r="BM134" s="109"/>
      <c r="BN134" s="109"/>
      <c r="BO134" s="105"/>
      <c r="BP134" s="105"/>
      <c r="BQ134" s="109"/>
      <c r="BR134" s="110"/>
      <c r="BS134" s="110"/>
      <c r="BT134" s="110"/>
      <c r="BU134" s="110"/>
      <c r="BV134" s="110"/>
      <c r="BW134" s="112"/>
      <c r="BX134" s="112"/>
      <c r="BY134" s="110"/>
      <c r="BZ134" s="105"/>
      <c r="CA134" s="105"/>
      <c r="CB134" s="105"/>
      <c r="CC134" s="105"/>
      <c r="CD134" s="105"/>
      <c r="CE134" s="105"/>
    </row>
    <row r="135" spans="1:83" x14ac:dyDescent="0.15">
      <c r="A135" s="103">
        <v>270</v>
      </c>
      <c r="B135" s="98" t="str">
        <f>VLOOKUP($A135,'Rate Calculation'!$A$4:$AQ$208,42,FALSE)</f>
        <v>139627700</v>
      </c>
      <c r="C135" s="98" t="str">
        <f>VLOOKUP($A135,'Rate Calculation'!$A$4:$AQ$208,43,FALSE)</f>
        <v>Levindale Hebrew Geriatric Center &amp; Hospital, Inc.</v>
      </c>
      <c r="D135" s="98" t="str">
        <f>VLOOKUP($A135,'Rate Calculation'!$A$4:$F$208,5,FALSE)</f>
        <v>BALTIMORE METRO</v>
      </c>
      <c r="E135" s="98" t="str">
        <f>VLOOKUP($A135,'Rate Calculation'!$A$4:$F$208,6,FALSE)</f>
        <v>BALTIMORE CITY</v>
      </c>
      <c r="F135" s="105">
        <f t="shared" si="96"/>
        <v>117.69</v>
      </c>
      <c r="G135" s="105">
        <f t="shared" si="97"/>
        <v>25.66</v>
      </c>
      <c r="H135" s="105">
        <f t="shared" si="98"/>
        <v>37.700000000000003</v>
      </c>
      <c r="I135" s="105">
        <f t="shared" si="99"/>
        <v>191.26</v>
      </c>
      <c r="J135" s="105">
        <f>VLOOKUP($A135,'Rate Calculation'!$A$4:$AZ$208,34,FALSE)</f>
        <v>4.1500000000000004</v>
      </c>
      <c r="K135" s="105">
        <f t="shared" si="122"/>
        <v>376.46</v>
      </c>
      <c r="L135" s="164">
        <f t="shared" si="100"/>
        <v>0.98772000000000004</v>
      </c>
      <c r="M135" s="105">
        <f t="shared" si="123"/>
        <v>371.84</v>
      </c>
      <c r="N135" s="105">
        <f>VLOOKUP($A135,'Rate Calculation'!$A$4:$AL$208,38,FALSE)</f>
        <v>26.9</v>
      </c>
      <c r="O135" s="183">
        <f>VLOOKUP($A135,'Rate Calculation'!$A$4:$I$208,9,FALSE)</f>
        <v>1.6125</v>
      </c>
      <c r="P135" s="183">
        <f t="shared" si="69"/>
        <v>1.4432</v>
      </c>
      <c r="Q135" s="183">
        <f>VLOOKUP(A135,'CMI Data'!$A$4:$C$208,3,FALSE)</f>
        <v>1.3706</v>
      </c>
      <c r="R135" s="246">
        <f>VLOOKUP($A135,FRV!$A$4:$K$208,11,FALSE)</f>
        <v>76860</v>
      </c>
      <c r="S135" s="246">
        <f t="shared" si="70"/>
        <v>62664</v>
      </c>
      <c r="T135" s="246">
        <f>VLOOKUP($A135,FRV!$A$4:$L$208,12,FALSE)</f>
        <v>66850</v>
      </c>
      <c r="U135" s="183">
        <f>Inflation!$G$24</f>
        <v>1.0309999999999999</v>
      </c>
      <c r="V135" s="247">
        <f>VLOOKUP($A135,'Rate Calculation'!A136:X339,24,FALSE)</f>
        <v>114.15</v>
      </c>
      <c r="W135" s="110">
        <f t="shared" si="101"/>
        <v>117.69</v>
      </c>
      <c r="X135" s="110">
        <f>VLOOKUP($A135,'Rate Calculation'!A136:V339,22,FALSE)</f>
        <v>24.89</v>
      </c>
      <c r="Y135" s="110">
        <f t="shared" si="102"/>
        <v>25.66</v>
      </c>
      <c r="Z135" s="212">
        <f>VLOOKUP($A135,FRV!$A$4:$D$208,4,FALSE)</f>
        <v>45474</v>
      </c>
      <c r="AA135" s="212">
        <f>VLOOKUP($A135,FRV!$A$4:$F$208,6,FALSE)</f>
        <v>45473</v>
      </c>
      <c r="AB135" s="248">
        <f>VLOOKUP($A135,FRV!$A$4:$U$208,13,FALSE)</f>
        <v>37024547</v>
      </c>
      <c r="AC135" s="248">
        <f>VLOOKUP($A135,FRV!$A$4:$U$208,15,FALSE)</f>
        <v>612771</v>
      </c>
      <c r="AD135" s="248">
        <f>VLOOKUP($A135,FRV!$A$4:$U$208,14,FALSE)</f>
        <v>32000</v>
      </c>
      <c r="AE135" s="248">
        <f>VLOOKUP($A135,FRV!$A$4:$U$208,7,FALSE)</f>
        <v>210</v>
      </c>
      <c r="AF135" s="107">
        <f t="shared" si="103"/>
        <v>44357318</v>
      </c>
      <c r="AG135" s="107">
        <f t="shared" si="104"/>
        <v>211225</v>
      </c>
      <c r="AH135" s="107">
        <v>120000</v>
      </c>
      <c r="AI135" s="107">
        <f t="shared" si="105"/>
        <v>120000</v>
      </c>
      <c r="AJ135" s="107">
        <f t="shared" si="106"/>
        <v>25200000</v>
      </c>
      <c r="AK135" s="249">
        <f>IF(VLOOKUP($A135,'Rate Calculation'!$A$4:$D$208,4,FALSE)="baltimore city",0.1,0.08)</f>
        <v>0.1</v>
      </c>
      <c r="AL135" s="107">
        <f t="shared" si="107"/>
        <v>2520000</v>
      </c>
      <c r="AM135" s="105">
        <f>IF(ISERROR(MATCH(A135&amp;AA135,'Days Exceptions'!$C$3:$C$16,0)),ROUND(AL135/(MAX(S135,T135)),2),ROUND(AL135/VLOOKUP(A135,'Days Exceptions'!$A$3:$J$16,8,FALSE),2))</f>
        <v>37.700000000000003</v>
      </c>
      <c r="AN135" s="213">
        <f>VLOOKUP($A135,'Rate Calculation'!$A$4:$AF$208,32,FALSE)</f>
        <v>0</v>
      </c>
      <c r="AO135" s="109">
        <f t="shared" si="108"/>
        <v>37.700000000000003</v>
      </c>
      <c r="AP135" s="247">
        <f>VLOOKUP($A135,'Rate Calculation'!$A$4:$Q$208,17,FALSE)</f>
        <v>326.95999999999998</v>
      </c>
      <c r="AQ135" s="247">
        <f t="shared" si="68"/>
        <v>337.1</v>
      </c>
      <c r="AR135" s="247">
        <f>VLOOKUP($A135,'Rate Calculation'!$A$4:$K$208,11,FALSE)</f>
        <v>195.33</v>
      </c>
      <c r="AS135" s="247">
        <f t="shared" si="109"/>
        <v>201.39</v>
      </c>
      <c r="AT135" s="110">
        <f t="shared" si="110"/>
        <v>225.01</v>
      </c>
      <c r="AU135" s="110">
        <f t="shared" si="111"/>
        <v>191.26</v>
      </c>
      <c r="AV135" s="111">
        <f t="shared" si="112"/>
        <v>0</v>
      </c>
      <c r="AW135" s="110">
        <f t="shared" si="113"/>
        <v>191.26</v>
      </c>
      <c r="AX135" s="105">
        <f t="shared" si="114"/>
        <v>286.52999999999997</v>
      </c>
      <c r="AY135" s="105">
        <f t="shared" si="115"/>
        <v>181.7</v>
      </c>
      <c r="AZ135" s="105">
        <f t="shared" si="116"/>
        <v>-104.83</v>
      </c>
      <c r="BA135" s="105">
        <f t="shared" si="117"/>
        <v>280.83</v>
      </c>
      <c r="BB135" s="105">
        <f t="shared" si="118"/>
        <v>185.2</v>
      </c>
      <c r="BC135" s="110">
        <f t="shared" si="119"/>
        <v>398.74</v>
      </c>
      <c r="BD135" s="110">
        <f t="shared" si="120"/>
        <v>307.73</v>
      </c>
      <c r="BE135" s="110">
        <f t="shared" si="121"/>
        <v>212.1</v>
      </c>
      <c r="BF135" s="105"/>
      <c r="BG135" s="105"/>
      <c r="BH135" s="111"/>
      <c r="BI135" s="105"/>
      <c r="BJ135" s="105"/>
      <c r="BK135" s="109"/>
      <c r="BL135" s="111"/>
      <c r="BM135" s="109"/>
      <c r="BN135" s="109"/>
      <c r="BO135" s="105"/>
      <c r="BP135" s="105"/>
      <c r="BQ135" s="109"/>
      <c r="BR135" s="110"/>
      <c r="BS135" s="110"/>
      <c r="BT135" s="110"/>
      <c r="BU135" s="110"/>
      <c r="BV135" s="110"/>
      <c r="BW135" s="112"/>
      <c r="BX135" s="112"/>
      <c r="BY135" s="110"/>
      <c r="BZ135" s="105"/>
      <c r="CA135" s="105"/>
      <c r="CB135" s="105"/>
      <c r="CC135" s="105"/>
      <c r="CD135" s="105"/>
      <c r="CE135" s="105"/>
    </row>
    <row r="136" spans="1:83" x14ac:dyDescent="0.15">
      <c r="A136" s="103">
        <v>276</v>
      </c>
      <c r="B136" s="98" t="str">
        <f>VLOOKUP($A136,'Rate Calculation'!$A$4:$AQ$208,42,FALSE)</f>
        <v>032707700</v>
      </c>
      <c r="C136" s="98" t="str">
        <f>VLOOKUP($A136,'Rate Calculation'!$A$4:$AQ$208,43,FALSE)</f>
        <v>Little Sisters of the Poor</v>
      </c>
      <c r="D136" s="98" t="str">
        <f>VLOOKUP($A136,'Rate Calculation'!$A$4:$F$208,5,FALSE)</f>
        <v>BALTIMORE METRO</v>
      </c>
      <c r="E136" s="98" t="str">
        <f>VLOOKUP($A136,'Rate Calculation'!$A$4:$F$208,6,FALSE)</f>
        <v>BALTIMORE METRO</v>
      </c>
      <c r="F136" s="105">
        <f t="shared" si="96"/>
        <v>105.18</v>
      </c>
      <c r="G136" s="105">
        <f t="shared" si="97"/>
        <v>21.5</v>
      </c>
      <c r="H136" s="105">
        <f t="shared" si="98"/>
        <v>22.08</v>
      </c>
      <c r="I136" s="105">
        <f t="shared" si="99"/>
        <v>151.38999999999999</v>
      </c>
      <c r="J136" s="105">
        <f>VLOOKUP($A136,'Rate Calculation'!$A$4:$AZ$208,34,FALSE)</f>
        <v>0</v>
      </c>
      <c r="K136" s="105">
        <f t="shared" si="122"/>
        <v>300.14999999999998</v>
      </c>
      <c r="L136" s="164">
        <f t="shared" si="100"/>
        <v>0.98772000000000004</v>
      </c>
      <c r="M136" s="105">
        <f t="shared" si="123"/>
        <v>296.45999999999998</v>
      </c>
      <c r="N136" s="105">
        <f>VLOOKUP($A136,'Rate Calculation'!$A$4:$AL$208,38,FALSE)</f>
        <v>0</v>
      </c>
      <c r="O136" s="183">
        <f>VLOOKUP($A136,'Rate Calculation'!$A$4:$I$208,9,FALSE)</f>
        <v>1.4419999999999999</v>
      </c>
      <c r="P136" s="183">
        <f t="shared" si="69"/>
        <v>1.4432</v>
      </c>
      <c r="Q136" s="183">
        <f>VLOOKUP(A136,'CMI Data'!$A$4:$C$208,3,FALSE)</f>
        <v>1.0849</v>
      </c>
      <c r="R136" s="246">
        <f>VLOOKUP($A136,FRV!$A$4:$K$208,11,FALSE)</f>
        <v>10666</v>
      </c>
      <c r="S136" s="246">
        <f t="shared" si="70"/>
        <v>8696</v>
      </c>
      <c r="T136" s="246">
        <f>VLOOKUP($A136,FRV!$A$4:$L$208,12,FALSE)</f>
        <v>6812</v>
      </c>
      <c r="U136" s="183">
        <f>Inflation!$G$24</f>
        <v>1.0309999999999999</v>
      </c>
      <c r="V136" s="247">
        <f>VLOOKUP($A136,'Rate Calculation'!A137:X340,24,FALSE)</f>
        <v>102.02</v>
      </c>
      <c r="W136" s="110">
        <f t="shared" si="101"/>
        <v>105.18</v>
      </c>
      <c r="X136" s="110">
        <f>VLOOKUP($A136,'Rate Calculation'!A137:V340,22,FALSE)</f>
        <v>20.85</v>
      </c>
      <c r="Y136" s="110">
        <f t="shared" si="102"/>
        <v>21.5</v>
      </c>
      <c r="Z136" s="212">
        <f>VLOOKUP($A136,FRV!$A$4:$D$208,4,FALSE)</f>
        <v>44743</v>
      </c>
      <c r="AA136" s="212">
        <f>VLOOKUP($A136,FRV!$A$4:$F$208,6,FALSE)</f>
        <v>44926</v>
      </c>
      <c r="AB136" s="248">
        <f>VLOOKUP($A136,FRV!$A$4:$U$208,13,FALSE)</f>
        <v>7795690</v>
      </c>
      <c r="AC136" s="248">
        <f>VLOOKUP($A136,FRV!$A$4:$U$208,15,FALSE)</f>
        <v>460406</v>
      </c>
      <c r="AD136" s="248">
        <f>VLOOKUP($A136,FRV!$A$4:$U$208,14,FALSE)</f>
        <v>22500</v>
      </c>
      <c r="AE136" s="248">
        <f>VLOOKUP($A136,FRV!$A$4:$U$208,7,FALSE)</f>
        <v>20</v>
      </c>
      <c r="AF136" s="107">
        <f t="shared" si="103"/>
        <v>8706096</v>
      </c>
      <c r="AG136" s="107">
        <f t="shared" si="104"/>
        <v>435305</v>
      </c>
      <c r="AH136" s="107">
        <v>120000</v>
      </c>
      <c r="AI136" s="107">
        <f t="shared" si="105"/>
        <v>120000</v>
      </c>
      <c r="AJ136" s="107">
        <f t="shared" si="106"/>
        <v>2400000</v>
      </c>
      <c r="AK136" s="249">
        <f>IF(VLOOKUP($A136,'Rate Calculation'!$A$4:$D$208,4,FALSE)="baltimore city",0.1,0.08)</f>
        <v>0.08</v>
      </c>
      <c r="AL136" s="107">
        <f t="shared" si="107"/>
        <v>192000</v>
      </c>
      <c r="AM136" s="105">
        <f>IF(ISERROR(MATCH(A136&amp;AA136,'Days Exceptions'!$C$3:$C$16,0)),ROUND(AL136/(MAX(S136,T136)),2),ROUND(AL136/VLOOKUP(A136,'Days Exceptions'!$A$3:$J$16,8,FALSE),2))</f>
        <v>22.08</v>
      </c>
      <c r="AN136" s="213">
        <f>VLOOKUP($A136,'Rate Calculation'!$A$4:$AF$208,32,FALSE)</f>
        <v>0</v>
      </c>
      <c r="AO136" s="109">
        <f t="shared" si="108"/>
        <v>22.08</v>
      </c>
      <c r="AP136" s="247">
        <f>VLOOKUP($A136,'Rate Calculation'!$A$4:$Q$208,17,FALSE)</f>
        <v>344.02</v>
      </c>
      <c r="AQ136" s="247">
        <f t="shared" si="68"/>
        <v>354.68</v>
      </c>
      <c r="AR136" s="247">
        <f>VLOOKUP($A136,'Rate Calculation'!$A$4:$K$208,11,FALSE)</f>
        <v>195.33</v>
      </c>
      <c r="AS136" s="247">
        <f t="shared" si="109"/>
        <v>201.39</v>
      </c>
      <c r="AT136" s="110">
        <f t="shared" si="110"/>
        <v>201.22</v>
      </c>
      <c r="AU136" s="110">
        <f t="shared" si="111"/>
        <v>151.38999999999999</v>
      </c>
      <c r="AV136" s="111">
        <f t="shared" si="112"/>
        <v>0</v>
      </c>
      <c r="AW136" s="110">
        <f t="shared" si="113"/>
        <v>151.38999999999999</v>
      </c>
      <c r="AX136" s="105">
        <f t="shared" si="114"/>
        <v>266.85000000000002</v>
      </c>
      <c r="AY136" s="105">
        <f t="shared" si="115"/>
        <v>143.82</v>
      </c>
      <c r="AZ136" s="105">
        <f t="shared" si="116"/>
        <v>-123.03</v>
      </c>
      <c r="BA136" s="105">
        <f t="shared" si="117"/>
        <v>224.46</v>
      </c>
      <c r="BB136" s="105">
        <f t="shared" si="118"/>
        <v>148.76</v>
      </c>
      <c r="BC136" s="110">
        <f t="shared" si="119"/>
        <v>296.45999999999998</v>
      </c>
      <c r="BD136" s="110">
        <f t="shared" si="120"/>
        <v>224.46</v>
      </c>
      <c r="BE136" s="110">
        <f t="shared" si="121"/>
        <v>148.76</v>
      </c>
      <c r="BF136" s="105"/>
      <c r="BG136" s="105"/>
      <c r="BH136" s="111"/>
      <c r="BI136" s="105"/>
      <c r="BJ136" s="105"/>
      <c r="BK136" s="109"/>
      <c r="BL136" s="111"/>
      <c r="BM136" s="109"/>
      <c r="BN136" s="109"/>
      <c r="BO136" s="105"/>
      <c r="BP136" s="105"/>
      <c r="BQ136" s="109"/>
      <c r="BR136" s="110"/>
      <c r="BS136" s="110"/>
      <c r="BT136" s="110"/>
      <c r="BU136" s="110"/>
      <c r="BV136" s="110"/>
      <c r="BW136" s="112"/>
      <c r="BX136" s="112"/>
      <c r="BY136" s="110"/>
      <c r="BZ136" s="105"/>
      <c r="CA136" s="105"/>
      <c r="CB136" s="105"/>
      <c r="CC136" s="105"/>
      <c r="CD136" s="105"/>
      <c r="CE136" s="105"/>
    </row>
    <row r="137" spans="1:83" x14ac:dyDescent="0.15">
      <c r="A137" s="103">
        <v>1232</v>
      </c>
      <c r="B137" s="98" t="str">
        <f>VLOOKUP($A137,'Rate Calculation'!$A$4:$AQ$208,42,FALSE)</f>
        <v>421520600</v>
      </c>
      <c r="C137" s="98" t="str">
        <f>VLOOKUP($A137,'Rate Calculation'!$A$4:$AQ$208,43,FALSE)</f>
        <v>Lorien Bulle Rock</v>
      </c>
      <c r="D137" s="98" t="str">
        <f>VLOOKUP($A137,'Rate Calculation'!$A$4:$F$208,5,FALSE)</f>
        <v>BALTIMORE METRO</v>
      </c>
      <c r="E137" s="98" t="str">
        <f>VLOOKUP($A137,'Rate Calculation'!$A$4:$F$208,6,FALSE)</f>
        <v>BALTIMORE METRO</v>
      </c>
      <c r="F137" s="105">
        <f t="shared" si="96"/>
        <v>105.18</v>
      </c>
      <c r="G137" s="105">
        <f t="shared" si="97"/>
        <v>21.5</v>
      </c>
      <c r="H137" s="105">
        <f t="shared" si="98"/>
        <v>35.65</v>
      </c>
      <c r="I137" s="105">
        <f t="shared" si="99"/>
        <v>184.6</v>
      </c>
      <c r="J137" s="105">
        <f>VLOOKUP($A137,'Rate Calculation'!$A$4:$AZ$208,34,FALSE)</f>
        <v>0</v>
      </c>
      <c r="K137" s="105">
        <f t="shared" si="122"/>
        <v>346.93</v>
      </c>
      <c r="L137" s="164">
        <f t="shared" si="100"/>
        <v>0.98772000000000004</v>
      </c>
      <c r="M137" s="105">
        <f t="shared" si="123"/>
        <v>342.67</v>
      </c>
      <c r="N137" s="105">
        <f>VLOOKUP($A137,'Rate Calculation'!$A$4:$AL$208,38,FALSE)</f>
        <v>24.07</v>
      </c>
      <c r="O137" s="183">
        <f>VLOOKUP($A137,'Rate Calculation'!$A$4:$I$208,9,FALSE)</f>
        <v>1.5646</v>
      </c>
      <c r="P137" s="183">
        <f t="shared" si="69"/>
        <v>1.4432</v>
      </c>
      <c r="Q137" s="183">
        <f>VLOOKUP(A137,'CMI Data'!$A$4:$C$208,3,FALSE)</f>
        <v>1.3229</v>
      </c>
      <c r="R137" s="246">
        <f>VLOOKUP($A137,FRV!$A$4:$K$208,11,FALSE)</f>
        <v>28470</v>
      </c>
      <c r="S137" s="246">
        <f t="shared" si="70"/>
        <v>23212</v>
      </c>
      <c r="T137" s="246">
        <f>VLOOKUP($A137,FRV!$A$4:$L$208,12,FALSE)</f>
        <v>18281</v>
      </c>
      <c r="U137" s="183">
        <f>Inflation!$G$24</f>
        <v>1.0309999999999999</v>
      </c>
      <c r="V137" s="247">
        <f>VLOOKUP($A137,'Rate Calculation'!A138:X341,24,FALSE)</f>
        <v>102.02</v>
      </c>
      <c r="W137" s="110">
        <f t="shared" si="101"/>
        <v>105.18</v>
      </c>
      <c r="X137" s="110">
        <f>VLOOKUP($A137,'Rate Calculation'!A138:V341,22,FALSE)</f>
        <v>20.85</v>
      </c>
      <c r="Y137" s="110">
        <f t="shared" si="102"/>
        <v>21.5</v>
      </c>
      <c r="Z137" s="212">
        <f>VLOOKUP($A137,FRV!$A$4:$D$208,4,FALSE)</f>
        <v>44743</v>
      </c>
      <c r="AA137" s="212">
        <f>VLOOKUP($A137,FRV!$A$4:$F$208,6,FALSE)</f>
        <v>44926</v>
      </c>
      <c r="AB137" s="248">
        <f>VLOOKUP($A137,FRV!$A$4:$U$208,13,FALSE)</f>
        <v>14746789</v>
      </c>
      <c r="AC137" s="248">
        <f>VLOOKUP($A137,FRV!$A$4:$U$208,15,FALSE)</f>
        <v>453132</v>
      </c>
      <c r="AD137" s="248">
        <f>VLOOKUP($A137,FRV!$A$4:$U$208,14,FALSE)</f>
        <v>20000</v>
      </c>
      <c r="AE137" s="248">
        <f>VLOOKUP($A137,FRV!$A$4:$U$208,7,FALSE)</f>
        <v>78</v>
      </c>
      <c r="AF137" s="107">
        <f t="shared" si="103"/>
        <v>16759921</v>
      </c>
      <c r="AG137" s="107">
        <f t="shared" si="104"/>
        <v>214871</v>
      </c>
      <c r="AH137" s="107">
        <v>120000</v>
      </c>
      <c r="AI137" s="107">
        <f t="shared" si="105"/>
        <v>120000</v>
      </c>
      <c r="AJ137" s="107">
        <f t="shared" si="106"/>
        <v>9360000</v>
      </c>
      <c r="AK137" s="249">
        <f>IF(VLOOKUP($A137,'Rate Calculation'!$A$4:$D$208,4,FALSE)="baltimore city",0.1,0.08)</f>
        <v>0.08</v>
      </c>
      <c r="AL137" s="107">
        <f t="shared" si="107"/>
        <v>748800</v>
      </c>
      <c r="AM137" s="105">
        <f>IF(ISERROR(MATCH(A137&amp;AA137,'Days Exceptions'!$C$3:$C$16,0)),ROUND(AL137/(MAX(S137,T137)),2),ROUND(AL137/VLOOKUP(A137,'Days Exceptions'!$A$3:$J$16,8,FALSE),2))</f>
        <v>32.26</v>
      </c>
      <c r="AN137" s="213">
        <f>VLOOKUP($A137,'Rate Calculation'!$A$4:$AF$208,32,FALSE)</f>
        <v>3.39</v>
      </c>
      <c r="AO137" s="109">
        <f t="shared" si="108"/>
        <v>35.65</v>
      </c>
      <c r="AP137" s="247">
        <f>VLOOKUP($A137,'Rate Calculation'!$A$4:$Q$208,17,FALSE)</f>
        <v>215.49</v>
      </c>
      <c r="AQ137" s="247">
        <f t="shared" si="68"/>
        <v>222.17</v>
      </c>
      <c r="AR137" s="247">
        <f>VLOOKUP($A137,'Rate Calculation'!$A$4:$K$208,11,FALSE)</f>
        <v>195.33</v>
      </c>
      <c r="AS137" s="247">
        <f t="shared" si="109"/>
        <v>201.39</v>
      </c>
      <c r="AT137" s="110">
        <f t="shared" si="110"/>
        <v>218.33</v>
      </c>
      <c r="AU137" s="110">
        <f t="shared" si="111"/>
        <v>184.6</v>
      </c>
      <c r="AV137" s="111">
        <f t="shared" si="112"/>
        <v>0</v>
      </c>
      <c r="AW137" s="110">
        <f t="shared" si="113"/>
        <v>184.6</v>
      </c>
      <c r="AX137" s="105">
        <f t="shared" si="114"/>
        <v>187.85</v>
      </c>
      <c r="AY137" s="105">
        <f t="shared" si="115"/>
        <v>175.37</v>
      </c>
      <c r="AZ137" s="105">
        <f t="shared" si="116"/>
        <v>-12.48</v>
      </c>
      <c r="BA137" s="105">
        <f t="shared" si="117"/>
        <v>254.63</v>
      </c>
      <c r="BB137" s="105">
        <f t="shared" si="118"/>
        <v>162.33000000000001</v>
      </c>
      <c r="BC137" s="110">
        <f t="shared" si="119"/>
        <v>366.74</v>
      </c>
      <c r="BD137" s="110">
        <f t="shared" si="120"/>
        <v>278.7</v>
      </c>
      <c r="BE137" s="110">
        <f t="shared" si="121"/>
        <v>186.4</v>
      </c>
      <c r="BF137" s="105"/>
      <c r="BG137" s="105"/>
      <c r="BH137" s="111"/>
      <c r="BI137" s="105"/>
      <c r="BJ137" s="105"/>
      <c r="BK137" s="109"/>
      <c r="BL137" s="111"/>
      <c r="BM137" s="109"/>
      <c r="BN137" s="109"/>
      <c r="BO137" s="105"/>
      <c r="BP137" s="105"/>
      <c r="BQ137" s="109"/>
      <c r="BR137" s="110"/>
      <c r="BS137" s="110"/>
      <c r="BT137" s="110"/>
      <c r="BU137" s="110"/>
      <c r="BV137" s="110"/>
      <c r="BW137" s="112"/>
      <c r="BX137" s="112"/>
      <c r="BY137" s="110"/>
      <c r="BZ137" s="105"/>
      <c r="CA137" s="105"/>
      <c r="CB137" s="105"/>
      <c r="CC137" s="105"/>
      <c r="CD137" s="105"/>
      <c r="CE137" s="105"/>
    </row>
    <row r="138" spans="1:83" x14ac:dyDescent="0.15">
      <c r="A138" s="103">
        <v>940</v>
      </c>
      <c r="B138" s="98" t="str">
        <f>VLOOKUP($A138,'Rate Calculation'!$A$4:$AQ$208,42,FALSE)</f>
        <v>411659300</v>
      </c>
      <c r="C138" s="98" t="str">
        <f>VLOOKUP($A138,'Rate Calculation'!$A$4:$AQ$208,43,FALSE)</f>
        <v>Lorien Mays Chapel</v>
      </c>
      <c r="D138" s="98" t="str">
        <f>VLOOKUP($A138,'Rate Calculation'!$A$4:$F$208,5,FALSE)</f>
        <v>BALTIMORE METRO</v>
      </c>
      <c r="E138" s="98" t="str">
        <f>VLOOKUP($A138,'Rate Calculation'!$A$4:$F$208,6,FALSE)</f>
        <v>BALTIMORE METRO</v>
      </c>
      <c r="F138" s="105">
        <f t="shared" si="96"/>
        <v>105.18</v>
      </c>
      <c r="G138" s="105">
        <f t="shared" si="97"/>
        <v>21.5</v>
      </c>
      <c r="H138" s="105">
        <f t="shared" si="98"/>
        <v>32.340000000000003</v>
      </c>
      <c r="I138" s="105">
        <f t="shared" si="99"/>
        <v>177.55</v>
      </c>
      <c r="J138" s="105">
        <f>VLOOKUP($A138,'Rate Calculation'!$A$4:$AZ$208,34,FALSE)</f>
        <v>0</v>
      </c>
      <c r="K138" s="105">
        <f t="shared" si="122"/>
        <v>336.57</v>
      </c>
      <c r="L138" s="164">
        <f t="shared" si="100"/>
        <v>0.98772000000000004</v>
      </c>
      <c r="M138" s="105">
        <f t="shared" si="123"/>
        <v>332.44</v>
      </c>
      <c r="N138" s="105">
        <f>VLOOKUP($A138,'Rate Calculation'!$A$4:$AL$208,38,FALSE)</f>
        <v>25.29</v>
      </c>
      <c r="O138" s="183">
        <f>VLOOKUP($A138,'Rate Calculation'!$A$4:$I$208,9,FALSE)</f>
        <v>1.3534999999999999</v>
      </c>
      <c r="P138" s="183">
        <f t="shared" si="69"/>
        <v>1.4432</v>
      </c>
      <c r="Q138" s="183">
        <f>VLOOKUP(A138,'CMI Data'!$A$4:$C$208,3,FALSE)</f>
        <v>1.2724</v>
      </c>
      <c r="R138" s="246">
        <f>VLOOKUP($A138,FRV!$A$4:$K$208,11,FALSE)</f>
        <v>33945</v>
      </c>
      <c r="S138" s="246">
        <f t="shared" si="70"/>
        <v>27675</v>
      </c>
      <c r="T138" s="246">
        <f>VLOOKUP($A138,FRV!$A$4:$L$208,12,FALSE)</f>
        <v>30549</v>
      </c>
      <c r="U138" s="183">
        <f>Inflation!$G$24</f>
        <v>1.0309999999999999</v>
      </c>
      <c r="V138" s="247">
        <f>VLOOKUP($A138,'Rate Calculation'!A139:X342,24,FALSE)</f>
        <v>102.02</v>
      </c>
      <c r="W138" s="110">
        <f t="shared" si="101"/>
        <v>105.18</v>
      </c>
      <c r="X138" s="110">
        <f>VLOOKUP($A138,'Rate Calculation'!A139:V342,22,FALSE)</f>
        <v>20.85</v>
      </c>
      <c r="Y138" s="110">
        <f t="shared" si="102"/>
        <v>21.5</v>
      </c>
      <c r="Z138" s="212">
        <f>VLOOKUP($A138,FRV!$A$4:$D$208,4,FALSE)</f>
        <v>45108</v>
      </c>
      <c r="AA138" s="212">
        <f>VLOOKUP($A138,FRV!$A$4:$F$208,6,FALSE)</f>
        <v>45291</v>
      </c>
      <c r="AB138" s="248">
        <f>VLOOKUP($A138,FRV!$A$4:$U$208,13,FALSE)</f>
        <v>11872046</v>
      </c>
      <c r="AC138" s="248">
        <f>VLOOKUP($A138,FRV!$A$4:$U$208,15,FALSE)</f>
        <v>280675</v>
      </c>
      <c r="AD138" s="248">
        <f>VLOOKUP($A138,FRV!$A$4:$U$208,14,FALSE)</f>
        <v>24000</v>
      </c>
      <c r="AE138" s="248">
        <f>VLOOKUP($A138,FRV!$A$4:$U$208,7,FALSE)</f>
        <v>93</v>
      </c>
      <c r="AF138" s="107">
        <f t="shared" si="103"/>
        <v>14384721</v>
      </c>
      <c r="AG138" s="107">
        <f t="shared" si="104"/>
        <v>154674</v>
      </c>
      <c r="AH138" s="107">
        <v>120000</v>
      </c>
      <c r="AI138" s="107">
        <f t="shared" si="105"/>
        <v>120000</v>
      </c>
      <c r="AJ138" s="107">
        <f t="shared" si="106"/>
        <v>11160000</v>
      </c>
      <c r="AK138" s="249">
        <f>IF(VLOOKUP($A138,'Rate Calculation'!$A$4:$D$208,4,FALSE)="baltimore city",0.1,0.08)</f>
        <v>0.08</v>
      </c>
      <c r="AL138" s="107">
        <f t="shared" si="107"/>
        <v>892800</v>
      </c>
      <c r="AM138" s="105">
        <f>IF(ISERROR(MATCH(A138&amp;AA138,'Days Exceptions'!$C$3:$C$16,0)),ROUND(AL138/(MAX(S138,T138)),2),ROUND(AL138/VLOOKUP(A138,'Days Exceptions'!$A$3:$J$16,8,FALSE),2))</f>
        <v>29.23</v>
      </c>
      <c r="AN138" s="213">
        <f>VLOOKUP($A138,'Rate Calculation'!$A$4:$AF$208,32,FALSE)</f>
        <v>3.11</v>
      </c>
      <c r="AO138" s="109">
        <f t="shared" si="108"/>
        <v>32.340000000000003</v>
      </c>
      <c r="AP138" s="247">
        <f>VLOOKUP($A138,'Rate Calculation'!$A$4:$Q$208,17,FALSE)</f>
        <v>174.91</v>
      </c>
      <c r="AQ138" s="247">
        <f t="shared" ref="AQ138:AQ201" si="124">IF(AP138="NA","NA",ROUND(AP138*U138,2))</f>
        <v>180.33</v>
      </c>
      <c r="AR138" s="247">
        <f>VLOOKUP($A138,'Rate Calculation'!$A$4:$K$208,11,FALSE)</f>
        <v>195.33</v>
      </c>
      <c r="AS138" s="247">
        <f t="shared" si="109"/>
        <v>201.39</v>
      </c>
      <c r="AT138" s="110">
        <f t="shared" si="110"/>
        <v>188.87</v>
      </c>
      <c r="AU138" s="110">
        <f t="shared" si="111"/>
        <v>177.55</v>
      </c>
      <c r="AV138" s="111">
        <f t="shared" si="112"/>
        <v>0</v>
      </c>
      <c r="AW138" s="110">
        <f t="shared" si="113"/>
        <v>177.55</v>
      </c>
      <c r="AX138" s="105">
        <f t="shared" si="114"/>
        <v>169.52</v>
      </c>
      <c r="AY138" s="105">
        <f t="shared" si="115"/>
        <v>168.67</v>
      </c>
      <c r="AZ138" s="105">
        <f t="shared" si="116"/>
        <v>-0.85</v>
      </c>
      <c r="BA138" s="105">
        <f t="shared" si="117"/>
        <v>247.8</v>
      </c>
      <c r="BB138" s="105">
        <f t="shared" si="118"/>
        <v>159.02000000000001</v>
      </c>
      <c r="BC138" s="110">
        <f t="shared" si="119"/>
        <v>357.73</v>
      </c>
      <c r="BD138" s="110">
        <f t="shared" si="120"/>
        <v>273.08999999999997</v>
      </c>
      <c r="BE138" s="110">
        <f t="shared" si="121"/>
        <v>184.31</v>
      </c>
      <c r="BF138" s="105"/>
      <c r="BG138" s="105"/>
      <c r="BH138" s="111"/>
      <c r="BI138" s="105"/>
      <c r="BJ138" s="105"/>
      <c r="BK138" s="109"/>
      <c r="BL138" s="111"/>
      <c r="BM138" s="109"/>
      <c r="BN138" s="109"/>
      <c r="BO138" s="105"/>
      <c r="BP138" s="105"/>
      <c r="BQ138" s="109"/>
      <c r="BR138" s="110"/>
      <c r="BS138" s="110"/>
      <c r="BT138" s="110"/>
      <c r="BU138" s="110"/>
      <c r="BV138" s="110"/>
      <c r="BW138" s="112"/>
      <c r="BX138" s="112"/>
      <c r="BY138" s="110"/>
      <c r="BZ138" s="105"/>
      <c r="CA138" s="105"/>
      <c r="CB138" s="105"/>
      <c r="CC138" s="105"/>
      <c r="CD138" s="105"/>
      <c r="CE138" s="105"/>
    </row>
    <row r="139" spans="1:83" x14ac:dyDescent="0.15">
      <c r="A139" s="103">
        <v>290</v>
      </c>
      <c r="B139" s="98" t="str">
        <f>VLOOKUP($A139,'Rate Calculation'!$A$4:$AQ$208,42,FALSE)</f>
        <v>215370000</v>
      </c>
      <c r="C139" s="98" t="str">
        <f>VLOOKUP($A139,'Rate Calculation'!$A$4:$AQ$208,43,FALSE)</f>
        <v>Lorien Mt. Airy</v>
      </c>
      <c r="D139" s="98" t="str">
        <f>VLOOKUP($A139,'Rate Calculation'!$A$4:$F$208,5,FALSE)</f>
        <v>BALTIMORE METRO</v>
      </c>
      <c r="E139" s="98" t="str">
        <f>VLOOKUP($A139,'Rate Calculation'!$A$4:$F$208,6,FALSE)</f>
        <v>BALTIMORE METRO</v>
      </c>
      <c r="F139" s="105">
        <f t="shared" si="96"/>
        <v>105.18</v>
      </c>
      <c r="G139" s="105">
        <f t="shared" si="97"/>
        <v>21.5</v>
      </c>
      <c r="H139" s="105">
        <f t="shared" si="98"/>
        <v>32.119999999999997</v>
      </c>
      <c r="I139" s="105">
        <f t="shared" si="99"/>
        <v>215.29</v>
      </c>
      <c r="J139" s="105">
        <f>VLOOKUP($A139,'Rate Calculation'!$A$4:$AZ$208,34,FALSE)</f>
        <v>0</v>
      </c>
      <c r="K139" s="105">
        <f t="shared" si="122"/>
        <v>374.09</v>
      </c>
      <c r="L139" s="164">
        <f t="shared" si="100"/>
        <v>0.98772000000000004</v>
      </c>
      <c r="M139" s="105">
        <f t="shared" si="123"/>
        <v>369.5</v>
      </c>
      <c r="N139" s="105">
        <f>VLOOKUP($A139,'Rate Calculation'!$A$4:$AL$208,38,FALSE)</f>
        <v>24</v>
      </c>
      <c r="O139" s="183">
        <f>VLOOKUP($A139,'Rate Calculation'!$A$4:$I$208,9,FALSE)</f>
        <v>1.8016000000000001</v>
      </c>
      <c r="P139" s="183">
        <f t="shared" si="69"/>
        <v>1.4432</v>
      </c>
      <c r="Q139" s="183">
        <f>VLOOKUP(A139,'CMI Data'!$A$4:$C$208,3,FALSE)</f>
        <v>1.5427999999999999</v>
      </c>
      <c r="R139" s="246">
        <f>VLOOKUP($A139,FRV!$A$4:$K$208,11,FALSE)</f>
        <v>22630</v>
      </c>
      <c r="S139" s="246">
        <f t="shared" si="70"/>
        <v>18450</v>
      </c>
      <c r="T139" s="246">
        <f>VLOOKUP($A139,FRV!$A$4:$L$208,12,FALSE)</f>
        <v>19656</v>
      </c>
      <c r="U139" s="183">
        <f>Inflation!$G$24</f>
        <v>1.0309999999999999</v>
      </c>
      <c r="V139" s="247">
        <f>VLOOKUP($A139,'Rate Calculation'!A140:X343,24,FALSE)</f>
        <v>102.02</v>
      </c>
      <c r="W139" s="110">
        <f t="shared" si="101"/>
        <v>105.18</v>
      </c>
      <c r="X139" s="110">
        <f>VLOOKUP($A139,'Rate Calculation'!A140:V343,22,FALSE)</f>
        <v>20.85</v>
      </c>
      <c r="Y139" s="110">
        <f t="shared" si="102"/>
        <v>21.5</v>
      </c>
      <c r="Z139" s="212">
        <f>VLOOKUP($A139,FRV!$A$4:$D$208,4,FALSE)</f>
        <v>44743</v>
      </c>
      <c r="AA139" s="212">
        <f>VLOOKUP($A139,FRV!$A$4:$F$208,6,FALSE)</f>
        <v>44926</v>
      </c>
      <c r="AB139" s="248">
        <f>VLOOKUP($A139,FRV!$A$4:$U$208,13,FALSE)</f>
        <v>9302945</v>
      </c>
      <c r="AC139" s="248">
        <f>VLOOKUP($A139,FRV!$A$4:$U$208,15,FALSE)</f>
        <v>295962</v>
      </c>
      <c r="AD139" s="248">
        <f>VLOOKUP($A139,FRV!$A$4:$U$208,14,FALSE)</f>
        <v>18500</v>
      </c>
      <c r="AE139" s="248">
        <f>VLOOKUP($A139,FRV!$A$4:$U$208,7,FALSE)</f>
        <v>62</v>
      </c>
      <c r="AF139" s="107">
        <f t="shared" si="103"/>
        <v>10745907</v>
      </c>
      <c r="AG139" s="107">
        <f t="shared" si="104"/>
        <v>173321</v>
      </c>
      <c r="AH139" s="107">
        <v>120000</v>
      </c>
      <c r="AI139" s="107">
        <f t="shared" si="105"/>
        <v>120000</v>
      </c>
      <c r="AJ139" s="107">
        <f t="shared" si="106"/>
        <v>7440000</v>
      </c>
      <c r="AK139" s="249">
        <f>IF(VLOOKUP($A139,'Rate Calculation'!$A$4:$D$208,4,FALSE)="baltimore city",0.1,0.08)</f>
        <v>0.08</v>
      </c>
      <c r="AL139" s="107">
        <f t="shared" si="107"/>
        <v>595200</v>
      </c>
      <c r="AM139" s="105">
        <f>IF(ISERROR(MATCH(A139&amp;AA139,'Days Exceptions'!$C$3:$C$16,0)),ROUND(AL139/(MAX(S139,T139)),2),ROUND(AL139/VLOOKUP(A139,'Days Exceptions'!$A$3:$J$16,8,FALSE),2))</f>
        <v>30.28</v>
      </c>
      <c r="AN139" s="213">
        <f>VLOOKUP($A139,'Rate Calculation'!$A$4:$AF$208,32,FALSE)</f>
        <v>1.84</v>
      </c>
      <c r="AO139" s="109">
        <f t="shared" si="108"/>
        <v>32.119999999999997</v>
      </c>
      <c r="AP139" s="247">
        <f>VLOOKUP($A139,'Rate Calculation'!$A$4:$Q$208,17,FALSE)</f>
        <v>289.17</v>
      </c>
      <c r="AQ139" s="247">
        <f t="shared" si="124"/>
        <v>298.13</v>
      </c>
      <c r="AR139" s="247">
        <f>VLOOKUP($A139,'Rate Calculation'!$A$4:$K$208,11,FALSE)</f>
        <v>195.33</v>
      </c>
      <c r="AS139" s="247">
        <f t="shared" si="109"/>
        <v>201.39</v>
      </c>
      <c r="AT139" s="110">
        <f t="shared" si="110"/>
        <v>251.4</v>
      </c>
      <c r="AU139" s="110">
        <f t="shared" si="111"/>
        <v>215.29</v>
      </c>
      <c r="AV139" s="111">
        <f t="shared" si="112"/>
        <v>0</v>
      </c>
      <c r="AW139" s="110">
        <f t="shared" si="113"/>
        <v>215.29</v>
      </c>
      <c r="AX139" s="105">
        <f t="shared" si="114"/>
        <v>255.3</v>
      </c>
      <c r="AY139" s="105">
        <f t="shared" si="115"/>
        <v>204.53</v>
      </c>
      <c r="AZ139" s="105">
        <f t="shared" si="116"/>
        <v>-50.77</v>
      </c>
      <c r="BA139" s="105">
        <f t="shared" si="117"/>
        <v>266.45</v>
      </c>
      <c r="BB139" s="105">
        <f t="shared" si="118"/>
        <v>158.80000000000001</v>
      </c>
      <c r="BC139" s="110">
        <f t="shared" si="119"/>
        <v>393.5</v>
      </c>
      <c r="BD139" s="110">
        <f t="shared" si="120"/>
        <v>290.45</v>
      </c>
      <c r="BE139" s="110">
        <f t="shared" si="121"/>
        <v>182.8</v>
      </c>
      <c r="BF139" s="105"/>
      <c r="BG139" s="105"/>
      <c r="BH139" s="111"/>
      <c r="BI139" s="105"/>
      <c r="BJ139" s="105"/>
      <c r="BK139" s="109"/>
      <c r="BL139" s="111"/>
      <c r="BM139" s="109"/>
      <c r="BN139" s="109"/>
      <c r="BO139" s="105"/>
      <c r="BP139" s="105"/>
      <c r="BQ139" s="109"/>
      <c r="BR139" s="110"/>
      <c r="BS139" s="110"/>
      <c r="BT139" s="110"/>
      <c r="BU139" s="110"/>
      <c r="BV139" s="110"/>
      <c r="BW139" s="112"/>
      <c r="BX139" s="112"/>
      <c r="BY139" s="110"/>
      <c r="BZ139" s="105"/>
      <c r="CA139" s="105"/>
      <c r="CB139" s="105"/>
      <c r="CC139" s="105"/>
      <c r="CD139" s="105"/>
      <c r="CE139" s="105"/>
    </row>
    <row r="140" spans="1:83" x14ac:dyDescent="0.15">
      <c r="A140" s="103">
        <v>286</v>
      </c>
      <c r="B140" s="98" t="str">
        <f>VLOOKUP($A140,'Rate Calculation'!$A$4:$AQ$208,42,FALSE)</f>
        <v>134007700</v>
      </c>
      <c r="C140" s="98" t="str">
        <f>VLOOKUP($A140,'Rate Calculation'!$A$4:$AQ$208,43,FALSE)</f>
        <v>Lorien Nursing &amp; Rehabilitation Center - Columbia</v>
      </c>
      <c r="D140" s="98" t="str">
        <f>VLOOKUP($A140,'Rate Calculation'!$A$4:$F$208,5,FALSE)</f>
        <v>BALTIMORE METRO</v>
      </c>
      <c r="E140" s="98" t="str">
        <f>VLOOKUP($A140,'Rate Calculation'!$A$4:$F$208,6,FALSE)</f>
        <v>BALTIMORE METRO</v>
      </c>
      <c r="F140" s="105">
        <f t="shared" si="96"/>
        <v>105.18</v>
      </c>
      <c r="G140" s="105">
        <f t="shared" si="97"/>
        <v>21.5</v>
      </c>
      <c r="H140" s="105">
        <f t="shared" si="98"/>
        <v>33.659999999999997</v>
      </c>
      <c r="I140" s="105">
        <f t="shared" si="99"/>
        <v>191.04</v>
      </c>
      <c r="J140" s="105">
        <f>VLOOKUP($A140,'Rate Calculation'!$A$4:$AZ$208,34,FALSE)</f>
        <v>0</v>
      </c>
      <c r="K140" s="105">
        <f t="shared" si="122"/>
        <v>351.38</v>
      </c>
      <c r="L140" s="164">
        <f t="shared" si="100"/>
        <v>0.98772000000000004</v>
      </c>
      <c r="M140" s="105">
        <f t="shared" si="123"/>
        <v>347.07</v>
      </c>
      <c r="N140" s="105">
        <f>VLOOKUP($A140,'Rate Calculation'!$A$4:$AL$208,38,FALSE)</f>
        <v>24.38</v>
      </c>
      <c r="O140" s="183">
        <f>VLOOKUP($A140,'Rate Calculation'!$A$4:$I$208,9,FALSE)</f>
        <v>1.6445000000000001</v>
      </c>
      <c r="P140" s="183">
        <f t="shared" si="69"/>
        <v>1.4432</v>
      </c>
      <c r="Q140" s="183">
        <f>VLOOKUP(A140,'CMI Data'!$A$4:$C$208,3,FALSE)</f>
        <v>1.369</v>
      </c>
      <c r="R140" s="246">
        <f>VLOOKUP($A140,FRV!$A$4:$K$208,11,FALSE)</f>
        <v>74825</v>
      </c>
      <c r="S140" s="246">
        <f t="shared" si="70"/>
        <v>61005</v>
      </c>
      <c r="T140" s="246">
        <f>VLOOKUP($A140,FRV!$A$4:$L$208,12,FALSE)</f>
        <v>59138</v>
      </c>
      <c r="U140" s="183">
        <f>Inflation!$G$24</f>
        <v>1.0309999999999999</v>
      </c>
      <c r="V140" s="247">
        <f>VLOOKUP($A140,'Rate Calculation'!A141:X344,24,FALSE)</f>
        <v>102.02</v>
      </c>
      <c r="W140" s="110">
        <f t="shared" si="101"/>
        <v>105.18</v>
      </c>
      <c r="X140" s="110">
        <f>VLOOKUP($A140,'Rate Calculation'!A141:V344,22,FALSE)</f>
        <v>20.85</v>
      </c>
      <c r="Y140" s="110">
        <f t="shared" si="102"/>
        <v>21.5</v>
      </c>
      <c r="Z140" s="212">
        <f>VLOOKUP($A140,FRV!$A$4:$D$208,4,FALSE)</f>
        <v>45108</v>
      </c>
      <c r="AA140" s="212">
        <f>VLOOKUP($A140,FRV!$A$4:$F$208,6,FALSE)</f>
        <v>45107</v>
      </c>
      <c r="AB140" s="248">
        <f>VLOOKUP($A140,FRV!$A$4:$U$208,13,FALSE)</f>
        <v>29012548</v>
      </c>
      <c r="AC140" s="248">
        <f>VLOOKUP($A140,FRV!$A$4:$U$208,15,FALSE)</f>
        <v>619261</v>
      </c>
      <c r="AD140" s="248">
        <f>VLOOKUP($A140,FRV!$A$4:$U$208,14,FALSE)</f>
        <v>24000</v>
      </c>
      <c r="AE140" s="248">
        <f>VLOOKUP($A140,FRV!$A$4:$U$208,7,FALSE)</f>
        <v>205</v>
      </c>
      <c r="AF140" s="107">
        <f t="shared" si="103"/>
        <v>34551809</v>
      </c>
      <c r="AG140" s="107">
        <f t="shared" si="104"/>
        <v>168545</v>
      </c>
      <c r="AH140" s="107">
        <v>120000</v>
      </c>
      <c r="AI140" s="107">
        <f t="shared" si="105"/>
        <v>120000</v>
      </c>
      <c r="AJ140" s="107">
        <f t="shared" si="106"/>
        <v>24600000</v>
      </c>
      <c r="AK140" s="249">
        <f>IF(VLOOKUP($A140,'Rate Calculation'!$A$4:$D$208,4,FALSE)="baltimore city",0.1,0.08)</f>
        <v>0.08</v>
      </c>
      <c r="AL140" s="107">
        <f t="shared" si="107"/>
        <v>1968000</v>
      </c>
      <c r="AM140" s="105">
        <f>IF(ISERROR(MATCH(A140&amp;AA140,'Days Exceptions'!$C$3:$C$16,0)),ROUND(AL140/(MAX(S140,T140)),2),ROUND(AL140/VLOOKUP(A140,'Days Exceptions'!$A$3:$J$16,8,FALSE),2))</f>
        <v>32.26</v>
      </c>
      <c r="AN140" s="213">
        <f>VLOOKUP($A140,'Rate Calculation'!$A$4:$AF$208,32,FALSE)</f>
        <v>1.4</v>
      </c>
      <c r="AO140" s="109">
        <f t="shared" si="108"/>
        <v>33.659999999999997</v>
      </c>
      <c r="AP140" s="247">
        <f>VLOOKUP($A140,'Rate Calculation'!$A$4:$Q$208,17,FALSE)</f>
        <v>222.01</v>
      </c>
      <c r="AQ140" s="247">
        <f t="shared" si="124"/>
        <v>228.89</v>
      </c>
      <c r="AR140" s="247">
        <f>VLOOKUP($A140,'Rate Calculation'!$A$4:$K$208,11,FALSE)</f>
        <v>195.33</v>
      </c>
      <c r="AS140" s="247">
        <f t="shared" si="109"/>
        <v>201.39</v>
      </c>
      <c r="AT140" s="110">
        <f t="shared" si="110"/>
        <v>229.48</v>
      </c>
      <c r="AU140" s="110">
        <f t="shared" si="111"/>
        <v>191.04</v>
      </c>
      <c r="AV140" s="111">
        <f t="shared" si="112"/>
        <v>0</v>
      </c>
      <c r="AW140" s="110">
        <f t="shared" si="113"/>
        <v>191.04</v>
      </c>
      <c r="AX140" s="105">
        <f t="shared" si="114"/>
        <v>190.54</v>
      </c>
      <c r="AY140" s="105">
        <f t="shared" si="115"/>
        <v>181.49</v>
      </c>
      <c r="AZ140" s="105">
        <f t="shared" si="116"/>
        <v>-9.0500000000000007</v>
      </c>
      <c r="BA140" s="105">
        <f t="shared" si="117"/>
        <v>255.86</v>
      </c>
      <c r="BB140" s="105">
        <f t="shared" si="118"/>
        <v>160.34</v>
      </c>
      <c r="BC140" s="110">
        <f t="shared" si="119"/>
        <v>371.45</v>
      </c>
      <c r="BD140" s="110">
        <f t="shared" si="120"/>
        <v>280.24</v>
      </c>
      <c r="BE140" s="110">
        <f t="shared" si="121"/>
        <v>184.72</v>
      </c>
      <c r="BF140" s="105"/>
      <c r="BG140" s="105"/>
      <c r="BH140" s="111"/>
      <c r="BI140" s="105"/>
      <c r="BJ140" s="105"/>
      <c r="BK140" s="109"/>
      <c r="BL140" s="111"/>
      <c r="BM140" s="109"/>
      <c r="BN140" s="109"/>
      <c r="BO140" s="105"/>
      <c r="BP140" s="105"/>
      <c r="BQ140" s="109"/>
      <c r="BR140" s="110"/>
      <c r="BS140" s="110"/>
      <c r="BT140" s="110"/>
      <c r="BU140" s="110"/>
      <c r="BV140" s="110"/>
      <c r="BW140" s="112"/>
      <c r="BX140" s="112"/>
      <c r="BY140" s="110"/>
      <c r="BZ140" s="105"/>
      <c r="CA140" s="105"/>
      <c r="CB140" s="105"/>
      <c r="CC140" s="105"/>
      <c r="CD140" s="105"/>
      <c r="CE140" s="105"/>
    </row>
    <row r="141" spans="1:83" x14ac:dyDescent="0.15">
      <c r="A141" s="103">
        <v>1209</v>
      </c>
      <c r="B141" s="98" t="str">
        <f>VLOOKUP($A141,'Rate Calculation'!$A$4:$AQ$208,42,FALSE)</f>
        <v>421031000</v>
      </c>
      <c r="C141" s="98" t="str">
        <f>VLOOKUP($A141,'Rate Calculation'!$A$4:$AQ$208,43,FALSE)</f>
        <v>Lorien Nursing &amp; Rehabilitation Center - Elkridge</v>
      </c>
      <c r="D141" s="98" t="str">
        <f>VLOOKUP($A141,'Rate Calculation'!$A$4:$F$208,5,FALSE)</f>
        <v>BALTIMORE METRO</v>
      </c>
      <c r="E141" s="98" t="str">
        <f>VLOOKUP($A141,'Rate Calculation'!$A$4:$F$208,6,FALSE)</f>
        <v>BALTIMORE METRO</v>
      </c>
      <c r="F141" s="105">
        <f t="shared" si="96"/>
        <v>105.18</v>
      </c>
      <c r="G141" s="105">
        <f t="shared" si="97"/>
        <v>21.5</v>
      </c>
      <c r="H141" s="105">
        <f t="shared" si="98"/>
        <v>32.43</v>
      </c>
      <c r="I141" s="105">
        <f t="shared" si="99"/>
        <v>155.07</v>
      </c>
      <c r="J141" s="105">
        <f>VLOOKUP($A141,'Rate Calculation'!$A$4:$AZ$208,34,FALSE)</f>
        <v>0</v>
      </c>
      <c r="K141" s="105">
        <f t="shared" si="122"/>
        <v>314.18</v>
      </c>
      <c r="L141" s="164">
        <f t="shared" si="100"/>
        <v>0.98772000000000004</v>
      </c>
      <c r="M141" s="105">
        <f t="shared" si="123"/>
        <v>310.32</v>
      </c>
      <c r="N141" s="105">
        <f>VLOOKUP($A141,'Rate Calculation'!$A$4:$AL$208,38,FALSE)</f>
        <v>23.01</v>
      </c>
      <c r="O141" s="183">
        <f>VLOOKUP($A141,'Rate Calculation'!$A$4:$I$208,9,FALSE)</f>
        <v>1.5121</v>
      </c>
      <c r="P141" s="183">
        <f t="shared" si="69"/>
        <v>1.4432</v>
      </c>
      <c r="Q141" s="183">
        <f>VLOOKUP(A141,'CMI Data'!$A$4:$C$208,3,FALSE)</f>
        <v>1.3488</v>
      </c>
      <c r="R141" s="246">
        <f>VLOOKUP($A141,FRV!$A$4:$K$208,11,FALSE)</f>
        <v>25620</v>
      </c>
      <c r="S141" s="246">
        <f t="shared" si="70"/>
        <v>20888</v>
      </c>
      <c r="T141" s="246">
        <f>VLOOKUP($A141,FRV!$A$4:$L$208,12,FALSE)</f>
        <v>23482</v>
      </c>
      <c r="U141" s="183">
        <f>Inflation!$G$24</f>
        <v>1.0309999999999999</v>
      </c>
      <c r="V141" s="247">
        <f>VLOOKUP($A141,'Rate Calculation'!A142:X345,24,FALSE)</f>
        <v>102.02</v>
      </c>
      <c r="W141" s="110">
        <f t="shared" si="101"/>
        <v>105.18</v>
      </c>
      <c r="X141" s="110">
        <f>VLOOKUP($A141,'Rate Calculation'!A142:V345,22,FALSE)</f>
        <v>20.85</v>
      </c>
      <c r="Y141" s="110">
        <f t="shared" si="102"/>
        <v>21.5</v>
      </c>
      <c r="Z141" s="212">
        <f>VLOOKUP($A141,FRV!$A$4:$D$208,4,FALSE)</f>
        <v>45474</v>
      </c>
      <c r="AA141" s="212">
        <f>VLOOKUP($A141,FRV!$A$4:$F$208,6,FALSE)</f>
        <v>45657</v>
      </c>
      <c r="AB141" s="248">
        <f>VLOOKUP($A141,FRV!$A$4:$U$208,13,FALSE)</f>
        <v>13721323</v>
      </c>
      <c r="AC141" s="248">
        <f>VLOOKUP($A141,FRV!$A$4:$U$208,15,FALSE)</f>
        <v>351285</v>
      </c>
      <c r="AD141" s="248">
        <f>VLOOKUP($A141,FRV!$A$4:$U$208,14,FALSE)</f>
        <v>32000</v>
      </c>
      <c r="AE141" s="248">
        <f>VLOOKUP($A141,FRV!$A$4:$U$208,7,FALSE)</f>
        <v>70</v>
      </c>
      <c r="AF141" s="107">
        <f t="shared" si="103"/>
        <v>16312608</v>
      </c>
      <c r="AG141" s="107">
        <f t="shared" si="104"/>
        <v>233037</v>
      </c>
      <c r="AH141" s="107">
        <v>120000</v>
      </c>
      <c r="AI141" s="107">
        <f t="shared" si="105"/>
        <v>120000</v>
      </c>
      <c r="AJ141" s="107">
        <f t="shared" si="106"/>
        <v>8400000</v>
      </c>
      <c r="AK141" s="249">
        <f>IF(VLOOKUP($A141,'Rate Calculation'!$A$4:$D$208,4,FALSE)="baltimore city",0.1,0.08)</f>
        <v>0.08</v>
      </c>
      <c r="AL141" s="107">
        <f t="shared" si="107"/>
        <v>672000</v>
      </c>
      <c r="AM141" s="105">
        <f>IF(ISERROR(MATCH(A141&amp;AA141,'Days Exceptions'!$C$3:$C$16,0)),ROUND(AL141/(MAX(S141,T141)),2),ROUND(AL141/VLOOKUP(A141,'Days Exceptions'!$A$3:$J$16,8,FALSE),2))</f>
        <v>28.62</v>
      </c>
      <c r="AN141" s="213">
        <f>VLOOKUP($A141,'Rate Calculation'!$A$4:$AF$208,32,FALSE)</f>
        <v>3.81</v>
      </c>
      <c r="AO141" s="109">
        <f t="shared" si="108"/>
        <v>32.43</v>
      </c>
      <c r="AP141" s="247">
        <f>VLOOKUP($A141,'Rate Calculation'!$A$4:$Q$208,17,FALSE)</f>
        <v>158.38</v>
      </c>
      <c r="AQ141" s="247">
        <f t="shared" si="124"/>
        <v>163.29</v>
      </c>
      <c r="AR141" s="247">
        <f>VLOOKUP($A141,'Rate Calculation'!$A$4:$K$208,11,FALSE)</f>
        <v>195.33</v>
      </c>
      <c r="AS141" s="247">
        <f t="shared" si="109"/>
        <v>201.39</v>
      </c>
      <c r="AT141" s="110">
        <f t="shared" si="110"/>
        <v>211</v>
      </c>
      <c r="AU141" s="110">
        <f t="shared" si="111"/>
        <v>188.21</v>
      </c>
      <c r="AV141" s="111">
        <f t="shared" si="112"/>
        <v>-33.14</v>
      </c>
      <c r="AW141" s="110">
        <f t="shared" si="113"/>
        <v>155.07</v>
      </c>
      <c r="AX141" s="105">
        <f t="shared" si="114"/>
        <v>145.66</v>
      </c>
      <c r="AY141" s="105">
        <f t="shared" si="115"/>
        <v>178.8</v>
      </c>
      <c r="AZ141" s="105">
        <f t="shared" si="116"/>
        <v>33.14</v>
      </c>
      <c r="BA141" s="105">
        <f t="shared" si="117"/>
        <v>236.65</v>
      </c>
      <c r="BB141" s="105">
        <f t="shared" si="118"/>
        <v>159.11000000000001</v>
      </c>
      <c r="BC141" s="110">
        <f t="shared" si="119"/>
        <v>333.33</v>
      </c>
      <c r="BD141" s="110">
        <f t="shared" si="120"/>
        <v>259.66000000000003</v>
      </c>
      <c r="BE141" s="110">
        <f t="shared" si="121"/>
        <v>182.12</v>
      </c>
      <c r="BF141" s="105"/>
      <c r="BG141" s="105"/>
      <c r="BH141" s="111"/>
      <c r="BI141" s="105"/>
      <c r="BJ141" s="105"/>
      <c r="BK141" s="109"/>
      <c r="BL141" s="111"/>
      <c r="BM141" s="109"/>
      <c r="BN141" s="109"/>
      <c r="BO141" s="105"/>
      <c r="BP141" s="105"/>
      <c r="BQ141" s="109"/>
      <c r="BR141" s="110"/>
      <c r="BS141" s="110"/>
      <c r="BT141" s="110"/>
      <c r="BU141" s="110"/>
      <c r="BV141" s="110"/>
      <c r="BW141" s="112"/>
      <c r="BX141" s="112"/>
      <c r="BY141" s="110"/>
      <c r="BZ141" s="105"/>
      <c r="CA141" s="105"/>
      <c r="CB141" s="105"/>
      <c r="CC141" s="105"/>
      <c r="CD141" s="105"/>
      <c r="CE141" s="105"/>
    </row>
    <row r="142" spans="1:83" x14ac:dyDescent="0.15">
      <c r="A142" s="103">
        <v>296</v>
      </c>
      <c r="B142" s="98" t="str">
        <f>VLOOKUP($A142,'Rate Calculation'!$A$4:$AQ$208,42,FALSE)</f>
        <v>405259500</v>
      </c>
      <c r="C142" s="98" t="str">
        <f>VLOOKUP($A142,'Rate Calculation'!$A$4:$AQ$208,43,FALSE)</f>
        <v>Lorien Nursing &amp; Rehabilitation Center Taneytown</v>
      </c>
      <c r="D142" s="98" t="str">
        <f>VLOOKUP($A142,'Rate Calculation'!$A$4:$F$208,5,FALSE)</f>
        <v>BALTIMORE METRO</v>
      </c>
      <c r="E142" s="98" t="str">
        <f>VLOOKUP($A142,'Rate Calculation'!$A$4:$F$208,6,FALSE)</f>
        <v>BALTIMORE METRO</v>
      </c>
      <c r="F142" s="105">
        <f t="shared" si="96"/>
        <v>105.18</v>
      </c>
      <c r="G142" s="105">
        <f t="shared" si="97"/>
        <v>21.5</v>
      </c>
      <c r="H142" s="105">
        <f t="shared" si="98"/>
        <v>33.28</v>
      </c>
      <c r="I142" s="105">
        <f t="shared" si="99"/>
        <v>193.41</v>
      </c>
      <c r="J142" s="105">
        <f>VLOOKUP($A142,'Rate Calculation'!$A$4:$AZ$208,34,FALSE)</f>
        <v>0</v>
      </c>
      <c r="K142" s="105">
        <f t="shared" si="122"/>
        <v>353.37</v>
      </c>
      <c r="L142" s="164">
        <f t="shared" si="100"/>
        <v>0.98772000000000004</v>
      </c>
      <c r="M142" s="105">
        <f t="shared" si="123"/>
        <v>349.03</v>
      </c>
      <c r="N142" s="105">
        <f>VLOOKUP($A142,'Rate Calculation'!$A$4:$AL$208,38,FALSE)</f>
        <v>24.38</v>
      </c>
      <c r="O142" s="183">
        <f>VLOOKUP($A142,'Rate Calculation'!$A$4:$I$208,9,FALSE)</f>
        <v>1.4441999999999999</v>
      </c>
      <c r="P142" s="183">
        <f t="shared" si="69"/>
        <v>1.4432</v>
      </c>
      <c r="Q142" s="183">
        <f>VLOOKUP(A142,'CMI Data'!$A$4:$C$208,3,FALSE)</f>
        <v>1.3859999999999999</v>
      </c>
      <c r="R142" s="246">
        <f>VLOOKUP($A142,FRV!$A$4:$K$208,11,FALSE)</f>
        <v>23058</v>
      </c>
      <c r="S142" s="246">
        <f t="shared" si="70"/>
        <v>18799</v>
      </c>
      <c r="T142" s="246">
        <f>VLOOKUP($A142,FRV!$A$4:$L$208,12,FALSE)</f>
        <v>19929</v>
      </c>
      <c r="U142" s="183">
        <f>Inflation!$G$24</f>
        <v>1.0309999999999999</v>
      </c>
      <c r="V142" s="247">
        <f>VLOOKUP($A142,'Rate Calculation'!A143:X346,24,FALSE)</f>
        <v>102.02</v>
      </c>
      <c r="W142" s="110">
        <f t="shared" si="101"/>
        <v>105.18</v>
      </c>
      <c r="X142" s="110">
        <f>VLOOKUP($A142,'Rate Calculation'!A143:V346,22,FALSE)</f>
        <v>20.85</v>
      </c>
      <c r="Y142" s="110">
        <f t="shared" si="102"/>
        <v>21.5</v>
      </c>
      <c r="Z142" s="212">
        <f>VLOOKUP($A142,FRV!$A$4:$D$208,4,FALSE)</f>
        <v>45474</v>
      </c>
      <c r="AA142" s="212">
        <f>VLOOKUP($A142,FRV!$A$4:$F$208,6,FALSE)</f>
        <v>45657</v>
      </c>
      <c r="AB142" s="248">
        <f>VLOOKUP($A142,FRV!$A$4:$U$208,13,FALSE)</f>
        <v>9646804</v>
      </c>
      <c r="AC142" s="248">
        <f>VLOOKUP($A142,FRV!$A$4:$U$208,15,FALSE)</f>
        <v>206771</v>
      </c>
      <c r="AD142" s="248">
        <f>VLOOKUP($A142,FRV!$A$4:$U$208,14,FALSE)</f>
        <v>14000</v>
      </c>
      <c r="AE142" s="248">
        <f>VLOOKUP($A142,FRV!$A$4:$U$208,7,FALSE)</f>
        <v>63</v>
      </c>
      <c r="AF142" s="107">
        <f t="shared" si="103"/>
        <v>10735575</v>
      </c>
      <c r="AG142" s="107">
        <f t="shared" si="104"/>
        <v>170406</v>
      </c>
      <c r="AH142" s="107">
        <v>120000</v>
      </c>
      <c r="AI142" s="107">
        <f t="shared" si="105"/>
        <v>120000</v>
      </c>
      <c r="AJ142" s="107">
        <f t="shared" si="106"/>
        <v>7560000</v>
      </c>
      <c r="AK142" s="249">
        <f>IF(VLOOKUP($A142,'Rate Calculation'!$A$4:$D$208,4,FALSE)="baltimore city",0.1,0.08)</f>
        <v>0.08</v>
      </c>
      <c r="AL142" s="107">
        <f t="shared" si="107"/>
        <v>604800</v>
      </c>
      <c r="AM142" s="105">
        <f>IF(ISERROR(MATCH(A142&amp;AA142,'Days Exceptions'!$C$3:$C$16,0)),ROUND(AL142/(MAX(S142,T142)),2),ROUND(AL142/VLOOKUP(A142,'Days Exceptions'!$A$3:$J$16,8,FALSE),2))</f>
        <v>30.35</v>
      </c>
      <c r="AN142" s="213">
        <f>VLOOKUP($A142,'Rate Calculation'!$A$4:$AF$208,32,FALSE)</f>
        <v>2.93</v>
      </c>
      <c r="AO142" s="109">
        <f t="shared" si="108"/>
        <v>33.28</v>
      </c>
      <c r="AP142" s="247">
        <f>VLOOKUP($A142,'Rate Calculation'!$A$4:$Q$208,17,FALSE)</f>
        <v>206.84</v>
      </c>
      <c r="AQ142" s="247">
        <f t="shared" si="124"/>
        <v>213.25</v>
      </c>
      <c r="AR142" s="247">
        <f>VLOOKUP($A142,'Rate Calculation'!$A$4:$K$208,11,FALSE)</f>
        <v>195.33</v>
      </c>
      <c r="AS142" s="247">
        <f t="shared" si="109"/>
        <v>201.39</v>
      </c>
      <c r="AT142" s="110">
        <f t="shared" si="110"/>
        <v>201.53</v>
      </c>
      <c r="AU142" s="110">
        <f t="shared" si="111"/>
        <v>193.41</v>
      </c>
      <c r="AV142" s="111">
        <f t="shared" si="112"/>
        <v>0</v>
      </c>
      <c r="AW142" s="110">
        <f t="shared" si="113"/>
        <v>193.41</v>
      </c>
      <c r="AX142" s="105">
        <f t="shared" si="114"/>
        <v>204.66</v>
      </c>
      <c r="AY142" s="105">
        <f t="shared" si="115"/>
        <v>183.74</v>
      </c>
      <c r="AZ142" s="105">
        <f t="shared" si="116"/>
        <v>-20.92</v>
      </c>
      <c r="BA142" s="105">
        <f t="shared" si="117"/>
        <v>256.67</v>
      </c>
      <c r="BB142" s="105">
        <f t="shared" si="118"/>
        <v>159.96</v>
      </c>
      <c r="BC142" s="110">
        <f t="shared" si="119"/>
        <v>373.41</v>
      </c>
      <c r="BD142" s="110">
        <f t="shared" si="120"/>
        <v>281.05</v>
      </c>
      <c r="BE142" s="110">
        <f t="shared" si="121"/>
        <v>184.34</v>
      </c>
      <c r="BF142" s="105"/>
      <c r="BG142" s="105"/>
      <c r="BH142" s="111"/>
      <c r="BI142" s="105"/>
      <c r="BJ142" s="105"/>
      <c r="BK142" s="109"/>
      <c r="BL142" s="111"/>
      <c r="BM142" s="109"/>
      <c r="BN142" s="109"/>
      <c r="BO142" s="105"/>
      <c r="BP142" s="105"/>
      <c r="BQ142" s="109"/>
      <c r="BR142" s="110"/>
      <c r="BS142" s="110"/>
      <c r="BT142" s="110"/>
      <c r="BU142" s="110"/>
      <c r="BV142" s="110"/>
      <c r="BW142" s="112"/>
      <c r="BX142" s="112"/>
      <c r="BY142" s="110"/>
      <c r="BZ142" s="105"/>
      <c r="CA142" s="105"/>
      <c r="CB142" s="105"/>
      <c r="CC142" s="105"/>
      <c r="CD142" s="105"/>
      <c r="CE142" s="105"/>
    </row>
    <row r="143" spans="1:83" x14ac:dyDescent="0.15">
      <c r="A143" s="103">
        <v>292</v>
      </c>
      <c r="B143" s="98" t="str">
        <f>VLOOKUP($A143,'Rate Calculation'!$A$4:$AQ$208,42,FALSE)</f>
        <v>407902700</v>
      </c>
      <c r="C143" s="98" t="str">
        <f>VLOOKUP($A143,'Rate Calculation'!$A$4:$AQ$208,43,FALSE)</f>
        <v>Lorien Nursing and Rehabilitation Center - Bel Air</v>
      </c>
      <c r="D143" s="98" t="str">
        <f>VLOOKUP($A143,'Rate Calculation'!$A$4:$F$208,5,FALSE)</f>
        <v>BALTIMORE METRO</v>
      </c>
      <c r="E143" s="98" t="str">
        <f>VLOOKUP($A143,'Rate Calculation'!$A$4:$F$208,6,FALSE)</f>
        <v>BALTIMORE METRO</v>
      </c>
      <c r="F143" s="105">
        <f t="shared" si="96"/>
        <v>105.18</v>
      </c>
      <c r="G143" s="105">
        <f t="shared" si="97"/>
        <v>21.5</v>
      </c>
      <c r="H143" s="105">
        <f t="shared" si="98"/>
        <v>34.06</v>
      </c>
      <c r="I143" s="105">
        <f t="shared" si="99"/>
        <v>186.82</v>
      </c>
      <c r="J143" s="105">
        <f>VLOOKUP($A143,'Rate Calculation'!$A$4:$AZ$208,34,FALSE)</f>
        <v>0</v>
      </c>
      <c r="K143" s="105">
        <f t="shared" si="122"/>
        <v>347.56</v>
      </c>
      <c r="L143" s="164">
        <f t="shared" si="100"/>
        <v>0.98772000000000004</v>
      </c>
      <c r="M143" s="105">
        <f t="shared" si="123"/>
        <v>343.29</v>
      </c>
      <c r="N143" s="105">
        <f>VLOOKUP($A143,'Rate Calculation'!$A$4:$AL$208,38,FALSE)</f>
        <v>21.17</v>
      </c>
      <c r="O143" s="183">
        <f>VLOOKUP($A143,'Rate Calculation'!$A$4:$I$208,9,FALSE)</f>
        <v>1.383</v>
      </c>
      <c r="P143" s="183">
        <f t="shared" si="69"/>
        <v>1.4432</v>
      </c>
      <c r="Q143" s="183">
        <f>VLOOKUP(A143,'CMI Data'!$A$4:$C$208,3,FALSE)</f>
        <v>1.3388</v>
      </c>
      <c r="R143" s="246">
        <f>VLOOKUP($A143,FRV!$A$4:$K$208,11,FALSE)</f>
        <v>42705</v>
      </c>
      <c r="S143" s="246">
        <f t="shared" si="70"/>
        <v>34817</v>
      </c>
      <c r="T143" s="246">
        <f>VLOOKUP($A143,FRV!$A$4:$L$208,12,FALSE)</f>
        <v>30324</v>
      </c>
      <c r="U143" s="183">
        <f>Inflation!$G$24</f>
        <v>1.0309999999999999</v>
      </c>
      <c r="V143" s="247">
        <f>VLOOKUP($A143,'Rate Calculation'!A144:X347,24,FALSE)</f>
        <v>102.02</v>
      </c>
      <c r="W143" s="110">
        <f t="shared" si="101"/>
        <v>105.18</v>
      </c>
      <c r="X143" s="110">
        <f>VLOOKUP($A143,'Rate Calculation'!A144:V347,22,FALSE)</f>
        <v>20.85</v>
      </c>
      <c r="Y143" s="110">
        <f t="shared" si="102"/>
        <v>21.5</v>
      </c>
      <c r="Z143" s="212">
        <f>VLOOKUP($A143,FRV!$A$4:$D$208,4,FALSE)</f>
        <v>44743</v>
      </c>
      <c r="AA143" s="212">
        <f>VLOOKUP($A143,FRV!$A$4:$F$208,6,FALSE)</f>
        <v>44926</v>
      </c>
      <c r="AB143" s="248">
        <f>VLOOKUP($A143,FRV!$A$4:$U$208,13,FALSE)</f>
        <v>19894993</v>
      </c>
      <c r="AC143" s="248">
        <f>VLOOKUP($A143,FRV!$A$4:$U$208,15,FALSE)</f>
        <v>449821</v>
      </c>
      <c r="AD143" s="248">
        <f>VLOOKUP($A143,FRV!$A$4:$U$208,14,FALSE)</f>
        <v>22500</v>
      </c>
      <c r="AE143" s="248">
        <f>VLOOKUP($A143,FRV!$A$4:$U$208,7,FALSE)</f>
        <v>117</v>
      </c>
      <c r="AF143" s="107">
        <f t="shared" si="103"/>
        <v>22977314</v>
      </c>
      <c r="AG143" s="107">
        <f t="shared" si="104"/>
        <v>196387</v>
      </c>
      <c r="AH143" s="107">
        <v>120000</v>
      </c>
      <c r="AI143" s="107">
        <f t="shared" si="105"/>
        <v>120000</v>
      </c>
      <c r="AJ143" s="107">
        <f t="shared" si="106"/>
        <v>14040000</v>
      </c>
      <c r="AK143" s="249">
        <f>IF(VLOOKUP($A143,'Rate Calculation'!$A$4:$D$208,4,FALSE)="baltimore city",0.1,0.08)</f>
        <v>0.08</v>
      </c>
      <c r="AL143" s="107">
        <f t="shared" si="107"/>
        <v>1123200</v>
      </c>
      <c r="AM143" s="105">
        <f>IF(ISERROR(MATCH(A143&amp;AA143,'Days Exceptions'!$C$3:$C$16,0)),ROUND(AL143/(MAX(S143,T143)),2),ROUND(AL143/VLOOKUP(A143,'Days Exceptions'!$A$3:$J$16,8,FALSE),2))</f>
        <v>32.26</v>
      </c>
      <c r="AN143" s="213">
        <f>VLOOKUP($A143,'Rate Calculation'!$A$4:$AF$208,32,FALSE)</f>
        <v>1.8</v>
      </c>
      <c r="AO143" s="109">
        <f t="shared" si="108"/>
        <v>34.06</v>
      </c>
      <c r="AP143" s="247">
        <f>VLOOKUP($A143,'Rate Calculation'!$A$4:$Q$208,17,FALSE)</f>
        <v>206.06</v>
      </c>
      <c r="AQ143" s="247">
        <f t="shared" si="124"/>
        <v>212.45</v>
      </c>
      <c r="AR143" s="247">
        <f>VLOOKUP($A143,'Rate Calculation'!$A$4:$K$208,11,FALSE)</f>
        <v>195.33</v>
      </c>
      <c r="AS143" s="247">
        <f t="shared" si="109"/>
        <v>201.39</v>
      </c>
      <c r="AT143" s="110">
        <f t="shared" si="110"/>
        <v>192.99</v>
      </c>
      <c r="AU143" s="110">
        <f t="shared" si="111"/>
        <v>186.82</v>
      </c>
      <c r="AV143" s="111">
        <f t="shared" si="112"/>
        <v>0</v>
      </c>
      <c r="AW143" s="110">
        <f t="shared" si="113"/>
        <v>186.82</v>
      </c>
      <c r="AX143" s="105">
        <f t="shared" si="114"/>
        <v>205.66</v>
      </c>
      <c r="AY143" s="105">
        <f t="shared" si="115"/>
        <v>177.48</v>
      </c>
      <c r="AZ143" s="105">
        <f t="shared" si="116"/>
        <v>-28.18</v>
      </c>
      <c r="BA143" s="105">
        <f t="shared" si="117"/>
        <v>254.15</v>
      </c>
      <c r="BB143" s="105">
        <f t="shared" si="118"/>
        <v>160.74</v>
      </c>
      <c r="BC143" s="110">
        <f t="shared" si="119"/>
        <v>364.46</v>
      </c>
      <c r="BD143" s="110">
        <f t="shared" si="120"/>
        <v>275.32</v>
      </c>
      <c r="BE143" s="110">
        <f t="shared" si="121"/>
        <v>181.91</v>
      </c>
      <c r="BF143" s="105"/>
      <c r="BG143" s="105"/>
      <c r="BH143" s="111"/>
      <c r="BI143" s="105"/>
      <c r="BJ143" s="105"/>
      <c r="BK143" s="109"/>
      <c r="BL143" s="111"/>
      <c r="BM143" s="109"/>
      <c r="BN143" s="109"/>
      <c r="BO143" s="105"/>
      <c r="BP143" s="105"/>
      <c r="BQ143" s="109"/>
      <c r="BR143" s="110"/>
      <c r="BS143" s="110"/>
      <c r="BT143" s="110"/>
      <c r="BU143" s="110"/>
      <c r="BV143" s="110"/>
      <c r="BW143" s="112"/>
      <c r="BX143" s="112"/>
      <c r="BY143" s="110"/>
      <c r="BZ143" s="105"/>
      <c r="CA143" s="105"/>
      <c r="CB143" s="105"/>
      <c r="CC143" s="105"/>
      <c r="CD143" s="105"/>
      <c r="CE143" s="105"/>
    </row>
    <row r="144" spans="1:83" x14ac:dyDescent="0.15">
      <c r="A144" s="103">
        <v>693</v>
      </c>
      <c r="B144" s="98" t="str">
        <f>VLOOKUP($A144,'Rate Calculation'!$A$4:$AQ$208,42,FALSE)</f>
        <v>209405300</v>
      </c>
      <c r="C144" s="98" t="str">
        <f>VLOOKUP($A144,'Rate Calculation'!$A$4:$AQ$208,43,FALSE)</f>
        <v>Mallard Bay Nursing and Rehab</v>
      </c>
      <c r="D144" s="98" t="str">
        <f>VLOOKUP($A144,'Rate Calculation'!$A$4:$F$208,5,FALSE)</f>
        <v>EASTERN REGION</v>
      </c>
      <c r="E144" s="98" t="str">
        <f>VLOOKUP($A144,'Rate Calculation'!$A$4:$F$208,6,FALSE)</f>
        <v>NON METRO</v>
      </c>
      <c r="F144" s="105">
        <f t="shared" si="96"/>
        <v>92.33</v>
      </c>
      <c r="G144" s="105">
        <f t="shared" si="97"/>
        <v>20.87</v>
      </c>
      <c r="H144" s="105">
        <f t="shared" si="98"/>
        <v>25.35</v>
      </c>
      <c r="I144" s="105">
        <f t="shared" si="99"/>
        <v>190.66</v>
      </c>
      <c r="J144" s="105">
        <f>VLOOKUP($A144,'Rate Calculation'!$A$4:$AZ$208,34,FALSE)</f>
        <v>0</v>
      </c>
      <c r="K144" s="105">
        <f t="shared" si="122"/>
        <v>329.21</v>
      </c>
      <c r="L144" s="164">
        <f t="shared" si="100"/>
        <v>0.98772000000000004</v>
      </c>
      <c r="M144" s="105">
        <f t="shared" si="123"/>
        <v>325.17</v>
      </c>
      <c r="N144" s="105">
        <f>VLOOKUP($A144,'Rate Calculation'!$A$4:$AL$208,38,FALSE)</f>
        <v>26.7</v>
      </c>
      <c r="O144" s="183">
        <f>VLOOKUP($A144,'Rate Calculation'!$A$4:$I$208,9,FALSE)</f>
        <v>1.4384999999999999</v>
      </c>
      <c r="P144" s="183">
        <f t="shared" si="69"/>
        <v>1.4432</v>
      </c>
      <c r="Q144" s="183">
        <f>VLOOKUP(A144,'CMI Data'!$A$4:$C$208,3,FALSE)</f>
        <v>1.6040000000000001</v>
      </c>
      <c r="R144" s="246">
        <f>VLOOKUP($A144,FRV!$A$4:$K$208,11,FALSE)</f>
        <v>58560</v>
      </c>
      <c r="S144" s="246">
        <f t="shared" si="70"/>
        <v>47744</v>
      </c>
      <c r="T144" s="246">
        <f>VLOOKUP($A144,FRV!$A$4:$L$208,12,FALSE)</f>
        <v>34922</v>
      </c>
      <c r="U144" s="183">
        <f>Inflation!$G$24</f>
        <v>1.0309999999999999</v>
      </c>
      <c r="V144" s="247">
        <f>VLOOKUP($A144,'Rate Calculation'!A145:X348,24,FALSE)</f>
        <v>89.55</v>
      </c>
      <c r="W144" s="110">
        <f t="shared" si="101"/>
        <v>92.33</v>
      </c>
      <c r="X144" s="110">
        <f>VLOOKUP($A144,'Rate Calculation'!A145:V348,22,FALSE)</f>
        <v>20.239999999999998</v>
      </c>
      <c r="Y144" s="110">
        <f t="shared" si="102"/>
        <v>20.87</v>
      </c>
      <c r="Z144" s="212">
        <f>VLOOKUP($A144,FRV!$A$4:$D$208,4,FALSE)</f>
        <v>45474</v>
      </c>
      <c r="AA144" s="212">
        <f>VLOOKUP($A144,FRV!$A$4:$F$208,6,FALSE)</f>
        <v>45657</v>
      </c>
      <c r="AB144" s="248">
        <f>VLOOKUP($A144,FRV!$A$4:$U$208,13,FALSE)</f>
        <v>11922025</v>
      </c>
      <c r="AC144" s="248">
        <f>VLOOKUP($A144,FRV!$A$4:$U$208,15,FALSE)</f>
        <v>332803</v>
      </c>
      <c r="AD144" s="248">
        <f>VLOOKUP($A144,FRV!$A$4:$U$208,14,FALSE)</f>
        <v>11500</v>
      </c>
      <c r="AE144" s="248">
        <f>VLOOKUP($A144,FRV!$A$4:$U$208,7,FALSE)</f>
        <v>160</v>
      </c>
      <c r="AF144" s="107">
        <f t="shared" si="103"/>
        <v>14094828</v>
      </c>
      <c r="AG144" s="107">
        <f t="shared" si="104"/>
        <v>88093</v>
      </c>
      <c r="AH144" s="107">
        <v>120000</v>
      </c>
      <c r="AI144" s="107">
        <f t="shared" si="105"/>
        <v>88093</v>
      </c>
      <c r="AJ144" s="107">
        <f t="shared" si="106"/>
        <v>14094880</v>
      </c>
      <c r="AK144" s="249">
        <f>IF(VLOOKUP($A144,'Rate Calculation'!$A$4:$D$208,4,FALSE)="baltimore city",0.1,0.08)</f>
        <v>0.08</v>
      </c>
      <c r="AL144" s="107">
        <f t="shared" si="107"/>
        <v>1127590</v>
      </c>
      <c r="AM144" s="105">
        <f>IF(ISERROR(MATCH(A144&amp;AA144,'Days Exceptions'!$C$3:$C$16,0)),ROUND(AL144/(MAX(S144,T144)),2),ROUND(AL144/VLOOKUP(A144,'Days Exceptions'!$A$3:$J$16,8,FALSE),2))</f>
        <v>23.62</v>
      </c>
      <c r="AN144" s="213">
        <f>VLOOKUP($A144,'Rate Calculation'!$A$4:$AF$208,32,FALSE)</f>
        <v>1.73</v>
      </c>
      <c r="AO144" s="109">
        <f t="shared" si="108"/>
        <v>25.35</v>
      </c>
      <c r="AP144" s="247">
        <f>VLOOKUP($A144,'Rate Calculation'!$A$4:$Q$208,17,FALSE)</f>
        <v>156.57</v>
      </c>
      <c r="AQ144" s="247">
        <f t="shared" si="124"/>
        <v>161.41999999999999</v>
      </c>
      <c r="AR144" s="247">
        <f>VLOOKUP($A144,'Rate Calculation'!$A$4:$K$208,11,FALSE)</f>
        <v>186.31</v>
      </c>
      <c r="AS144" s="247">
        <f t="shared" si="109"/>
        <v>192.09</v>
      </c>
      <c r="AT144" s="110">
        <f t="shared" si="110"/>
        <v>191.46</v>
      </c>
      <c r="AU144" s="110">
        <f t="shared" si="111"/>
        <v>213.49</v>
      </c>
      <c r="AV144" s="111">
        <f t="shared" si="112"/>
        <v>-22.83</v>
      </c>
      <c r="AW144" s="110">
        <f t="shared" si="113"/>
        <v>190.66</v>
      </c>
      <c r="AX144" s="105">
        <f t="shared" si="114"/>
        <v>179.99</v>
      </c>
      <c r="AY144" s="105">
        <f t="shared" si="115"/>
        <v>202.82</v>
      </c>
      <c r="AZ144" s="105">
        <f t="shared" si="116"/>
        <v>22.83</v>
      </c>
      <c r="BA144" s="105">
        <f t="shared" si="117"/>
        <v>233.88</v>
      </c>
      <c r="BB144" s="105">
        <f t="shared" si="118"/>
        <v>138.55000000000001</v>
      </c>
      <c r="BC144" s="110">
        <f t="shared" si="119"/>
        <v>351.87</v>
      </c>
      <c r="BD144" s="110">
        <f t="shared" si="120"/>
        <v>260.58</v>
      </c>
      <c r="BE144" s="110">
        <f t="shared" si="121"/>
        <v>165.25</v>
      </c>
      <c r="BF144" s="105"/>
      <c r="BG144" s="105"/>
      <c r="BH144" s="111"/>
      <c r="BI144" s="105"/>
      <c r="BJ144" s="105"/>
      <c r="BK144" s="109"/>
      <c r="BL144" s="111"/>
      <c r="BM144" s="109"/>
      <c r="BN144" s="109"/>
      <c r="BO144" s="105"/>
      <c r="BP144" s="105"/>
      <c r="BQ144" s="109"/>
      <c r="BR144" s="110"/>
      <c r="BS144" s="110"/>
      <c r="BT144" s="110"/>
      <c r="BU144" s="110"/>
      <c r="BV144" s="110"/>
      <c r="BW144" s="112"/>
      <c r="BX144" s="112"/>
      <c r="BY144" s="110"/>
      <c r="BZ144" s="105"/>
      <c r="CA144" s="105"/>
      <c r="CB144" s="105"/>
      <c r="CC144" s="105"/>
      <c r="CD144" s="105"/>
      <c r="CE144" s="105"/>
    </row>
    <row r="145" spans="1:83" x14ac:dyDescent="0.15">
      <c r="A145" s="103">
        <v>302</v>
      </c>
      <c r="B145" s="98" t="str">
        <f>VLOOKUP($A145,'Rate Calculation'!$A$4:$AQ$208,42,FALSE)</f>
        <v>669119600</v>
      </c>
      <c r="C145" s="98" t="str">
        <f>VLOOKUP($A145,'Rate Calculation'!$A$4:$AQ$208,43,FALSE)</f>
        <v>Manokin Nursing and Rehab</v>
      </c>
      <c r="D145" s="98" t="str">
        <f>VLOOKUP($A145,'Rate Calculation'!$A$4:$F$208,5,FALSE)</f>
        <v>EASTERN REGION</v>
      </c>
      <c r="E145" s="98" t="str">
        <f>VLOOKUP($A145,'Rate Calculation'!$A$4:$F$208,6,FALSE)</f>
        <v>NON METRO</v>
      </c>
      <c r="F145" s="105">
        <f t="shared" si="96"/>
        <v>92.33</v>
      </c>
      <c r="G145" s="105">
        <f t="shared" si="97"/>
        <v>20.87</v>
      </c>
      <c r="H145" s="105">
        <f t="shared" si="98"/>
        <v>28.8</v>
      </c>
      <c r="I145" s="105">
        <f t="shared" si="99"/>
        <v>150.19</v>
      </c>
      <c r="J145" s="105">
        <f>VLOOKUP($A145,'Rate Calculation'!$A$4:$AZ$208,34,FALSE)</f>
        <v>0</v>
      </c>
      <c r="K145" s="105">
        <f t="shared" si="122"/>
        <v>292.19</v>
      </c>
      <c r="L145" s="164">
        <f t="shared" si="100"/>
        <v>0.98772000000000004</v>
      </c>
      <c r="M145" s="105">
        <f t="shared" si="123"/>
        <v>288.60000000000002</v>
      </c>
      <c r="N145" s="105">
        <f>VLOOKUP($A145,'Rate Calculation'!$A$4:$AL$208,38,FALSE)</f>
        <v>30.05</v>
      </c>
      <c r="O145" s="183">
        <f>VLOOKUP($A145,'Rate Calculation'!$A$4:$I$208,9,FALSE)</f>
        <v>1.3261000000000001</v>
      </c>
      <c r="P145" s="183">
        <f t="shared" si="69"/>
        <v>1.4432</v>
      </c>
      <c r="Q145" s="183">
        <f>VLOOKUP(A145,'CMI Data'!$A$4:$C$208,3,FALSE)</f>
        <v>1.3723000000000001</v>
      </c>
      <c r="R145" s="246">
        <f>VLOOKUP($A145,FRV!$A$4:$K$208,11,FALSE)</f>
        <v>49275</v>
      </c>
      <c r="S145" s="246">
        <f t="shared" si="70"/>
        <v>40174</v>
      </c>
      <c r="T145" s="246">
        <f>VLOOKUP($A145,FRV!$A$4:$L$208,12,FALSE)</f>
        <v>44790</v>
      </c>
      <c r="U145" s="183">
        <f>Inflation!$G$24</f>
        <v>1.0309999999999999</v>
      </c>
      <c r="V145" s="247">
        <f>VLOOKUP($A145,'Rate Calculation'!A146:X349,24,FALSE)</f>
        <v>89.55</v>
      </c>
      <c r="W145" s="110">
        <f t="shared" si="101"/>
        <v>92.33</v>
      </c>
      <c r="X145" s="110">
        <f>VLOOKUP($A145,'Rate Calculation'!A146:V349,22,FALSE)</f>
        <v>20.239999999999998</v>
      </c>
      <c r="Y145" s="110">
        <f t="shared" si="102"/>
        <v>20.87</v>
      </c>
      <c r="Z145" s="212">
        <f>VLOOKUP($A145,FRV!$A$4:$D$208,4,FALSE)</f>
        <v>44743</v>
      </c>
      <c r="AA145" s="212">
        <f>VLOOKUP($A145,FRV!$A$4:$F$208,6,FALSE)</f>
        <v>44926</v>
      </c>
      <c r="AB145" s="248">
        <f>VLOOKUP($A145,FRV!$A$4:$U$208,13,FALSE)</f>
        <v>12512750</v>
      </c>
      <c r="AC145" s="248">
        <f>VLOOKUP($A145,FRV!$A$4:$U$208,15,FALSE)</f>
        <v>352194</v>
      </c>
      <c r="AD145" s="248">
        <f>VLOOKUP($A145,FRV!$A$4:$U$208,14,FALSE)</f>
        <v>15000</v>
      </c>
      <c r="AE145" s="248">
        <f>VLOOKUP($A145,FRV!$A$4:$U$208,7,FALSE)</f>
        <v>135</v>
      </c>
      <c r="AF145" s="107">
        <f t="shared" si="103"/>
        <v>14889944</v>
      </c>
      <c r="AG145" s="107">
        <f t="shared" si="104"/>
        <v>110296</v>
      </c>
      <c r="AH145" s="107">
        <v>120000</v>
      </c>
      <c r="AI145" s="107">
        <f t="shared" si="105"/>
        <v>110296</v>
      </c>
      <c r="AJ145" s="107">
        <f t="shared" si="106"/>
        <v>14889960</v>
      </c>
      <c r="AK145" s="249">
        <f>IF(VLOOKUP($A145,'Rate Calculation'!$A$4:$D$208,4,FALSE)="baltimore city",0.1,0.08)</f>
        <v>0.08</v>
      </c>
      <c r="AL145" s="107">
        <f t="shared" si="107"/>
        <v>1191197</v>
      </c>
      <c r="AM145" s="105">
        <f>IF(ISERROR(MATCH(A145&amp;AA145,'Days Exceptions'!$C$3:$C$16,0)),ROUND(AL145/(MAX(S145,T145)),2),ROUND(AL145/VLOOKUP(A145,'Days Exceptions'!$A$3:$J$16,8,FALSE),2))</f>
        <v>26.6</v>
      </c>
      <c r="AN145" s="213">
        <f>VLOOKUP($A145,'Rate Calculation'!$A$4:$AF$208,32,FALSE)</f>
        <v>2.2000000000000002</v>
      </c>
      <c r="AO145" s="109">
        <f t="shared" si="108"/>
        <v>28.8</v>
      </c>
      <c r="AP145" s="247">
        <f>VLOOKUP($A145,'Rate Calculation'!$A$4:$Q$208,17,FALSE)</f>
        <v>132.21</v>
      </c>
      <c r="AQ145" s="247">
        <f t="shared" si="124"/>
        <v>136.31</v>
      </c>
      <c r="AR145" s="247">
        <f>VLOOKUP($A145,'Rate Calculation'!$A$4:$K$208,11,FALSE)</f>
        <v>186.31</v>
      </c>
      <c r="AS145" s="247">
        <f t="shared" si="109"/>
        <v>192.09</v>
      </c>
      <c r="AT145" s="110">
        <f t="shared" si="110"/>
        <v>176.5</v>
      </c>
      <c r="AU145" s="110">
        <f t="shared" si="111"/>
        <v>182.65</v>
      </c>
      <c r="AV145" s="111">
        <f t="shared" si="112"/>
        <v>-32.46</v>
      </c>
      <c r="AW145" s="110">
        <f t="shared" si="113"/>
        <v>150.19</v>
      </c>
      <c r="AX145" s="105">
        <f t="shared" si="114"/>
        <v>141.06</v>
      </c>
      <c r="AY145" s="105">
        <f t="shared" si="115"/>
        <v>173.52</v>
      </c>
      <c r="AZ145" s="105">
        <f t="shared" si="116"/>
        <v>32.46</v>
      </c>
      <c r="BA145" s="105">
        <f t="shared" si="117"/>
        <v>217.1</v>
      </c>
      <c r="BB145" s="105">
        <f t="shared" si="118"/>
        <v>142</v>
      </c>
      <c r="BC145" s="110">
        <f t="shared" si="119"/>
        <v>318.64999999999998</v>
      </c>
      <c r="BD145" s="110">
        <f t="shared" si="120"/>
        <v>247.15</v>
      </c>
      <c r="BE145" s="110">
        <f t="shared" si="121"/>
        <v>172.05</v>
      </c>
      <c r="BF145" s="105"/>
      <c r="BG145" s="105"/>
      <c r="BH145" s="111"/>
      <c r="BI145" s="105"/>
      <c r="BJ145" s="105"/>
      <c r="BK145" s="109"/>
      <c r="BL145" s="111"/>
      <c r="BM145" s="109"/>
      <c r="BN145" s="109"/>
      <c r="BO145" s="105"/>
      <c r="BP145" s="105"/>
      <c r="BQ145" s="109"/>
      <c r="BR145" s="110"/>
      <c r="BS145" s="110"/>
      <c r="BT145" s="110"/>
      <c r="BU145" s="110"/>
      <c r="BV145" s="110"/>
      <c r="BW145" s="112"/>
      <c r="BX145" s="112"/>
      <c r="BY145" s="110"/>
      <c r="BZ145" s="105"/>
      <c r="CA145" s="105"/>
      <c r="CB145" s="105"/>
      <c r="CC145" s="105"/>
      <c r="CD145" s="105"/>
      <c r="CE145" s="105"/>
    </row>
    <row r="146" spans="1:83" x14ac:dyDescent="0.15">
      <c r="A146" s="103">
        <v>320</v>
      </c>
      <c r="B146" s="98" t="str">
        <f>VLOOKUP($A146,'Rate Calculation'!$A$4:$AQ$208,42,FALSE)</f>
        <v>889683600</v>
      </c>
      <c r="C146" s="98" t="str">
        <f>VLOOKUP($A146,'Rate Calculation'!$A$4:$AQ$208,43,FALSE)</f>
        <v>Roland Park Rehabilitation and Healthcare Center</v>
      </c>
      <c r="D146" s="98" t="str">
        <f>VLOOKUP($A146,'Rate Calculation'!$A$4:$F$208,5,FALSE)</f>
        <v>BALTIMORE METRO</v>
      </c>
      <c r="E146" s="98" t="str">
        <f>VLOOKUP($A146,'Rate Calculation'!$A$4:$F$208,6,FALSE)</f>
        <v>BALTIMORE CITY</v>
      </c>
      <c r="F146" s="105">
        <f t="shared" si="96"/>
        <v>117.69</v>
      </c>
      <c r="G146" s="105">
        <f t="shared" si="97"/>
        <v>25.66</v>
      </c>
      <c r="H146" s="105">
        <f t="shared" si="98"/>
        <v>44.66</v>
      </c>
      <c r="I146" s="105">
        <f t="shared" si="99"/>
        <v>179.35</v>
      </c>
      <c r="J146" s="105">
        <f>VLOOKUP($A146,'Rate Calculation'!$A$4:$AZ$208,34,FALSE)</f>
        <v>0</v>
      </c>
      <c r="K146" s="105">
        <f t="shared" si="122"/>
        <v>367.36</v>
      </c>
      <c r="L146" s="164">
        <f t="shared" si="100"/>
        <v>0.98772000000000004</v>
      </c>
      <c r="M146" s="105">
        <f t="shared" si="123"/>
        <v>362.85</v>
      </c>
      <c r="N146" s="105">
        <f>VLOOKUP($A146,'Rate Calculation'!$A$4:$AL$208,38,FALSE)</f>
        <v>27.07</v>
      </c>
      <c r="O146" s="183">
        <f>VLOOKUP($A146,'Rate Calculation'!$A$4:$I$208,9,FALSE)</f>
        <v>1.3418000000000001</v>
      </c>
      <c r="P146" s="183">
        <f t="shared" si="69"/>
        <v>1.4432</v>
      </c>
      <c r="Q146" s="183">
        <f>VLOOKUP(A146,'CMI Data'!$A$4:$C$208,3,FALSE)</f>
        <v>1.2918000000000001</v>
      </c>
      <c r="R146" s="246">
        <f>VLOOKUP($A146,FRV!$A$4:$K$208,11,FALSE)</f>
        <v>43800</v>
      </c>
      <c r="S146" s="246">
        <f t="shared" si="70"/>
        <v>35710</v>
      </c>
      <c r="T146" s="246">
        <f>VLOOKUP($A146,FRV!$A$4:$L$208,12,FALSE)</f>
        <v>35826</v>
      </c>
      <c r="U146" s="183">
        <f>Inflation!$G$24</f>
        <v>1.0309999999999999</v>
      </c>
      <c r="V146" s="247">
        <f>VLOOKUP($A146,'Rate Calculation'!A147:X350,24,FALSE)</f>
        <v>114.15</v>
      </c>
      <c r="W146" s="110">
        <f t="shared" si="101"/>
        <v>117.69</v>
      </c>
      <c r="X146" s="110">
        <f>VLOOKUP($A146,'Rate Calculation'!A147:V350,22,FALSE)</f>
        <v>24.89</v>
      </c>
      <c r="Y146" s="110">
        <f t="shared" si="102"/>
        <v>25.66</v>
      </c>
      <c r="Z146" s="212">
        <f>VLOOKUP($A146,FRV!$A$4:$D$208,4,FALSE)</f>
        <v>44743</v>
      </c>
      <c r="AA146" s="212">
        <f>VLOOKUP($A146,FRV!$A$4:$F$208,6,FALSE)</f>
        <v>44712</v>
      </c>
      <c r="AB146" s="248">
        <f>VLOOKUP($A146,FRV!$A$4:$U$208,13,FALSE)</f>
        <v>14920776</v>
      </c>
      <c r="AC146" s="248">
        <f>VLOOKUP($A146,FRV!$A$4:$U$208,15,FALSE)</f>
        <v>379823</v>
      </c>
      <c r="AD146" s="248">
        <f>VLOOKUP($A146,FRV!$A$4:$U$208,14,FALSE)</f>
        <v>25000</v>
      </c>
      <c r="AE146" s="248">
        <f>VLOOKUP($A146,FRV!$A$4:$U$208,7,FALSE)</f>
        <v>120</v>
      </c>
      <c r="AF146" s="107">
        <f t="shared" si="103"/>
        <v>18300599</v>
      </c>
      <c r="AG146" s="107">
        <f t="shared" si="104"/>
        <v>152505</v>
      </c>
      <c r="AH146" s="107">
        <v>120000</v>
      </c>
      <c r="AI146" s="107">
        <f t="shared" si="105"/>
        <v>120000</v>
      </c>
      <c r="AJ146" s="107">
        <f t="shared" si="106"/>
        <v>14400000</v>
      </c>
      <c r="AK146" s="249">
        <f>IF(VLOOKUP($A146,'Rate Calculation'!$A$4:$D$208,4,FALSE)="baltimore city",0.1,0.08)</f>
        <v>0.1</v>
      </c>
      <c r="AL146" s="107">
        <f t="shared" si="107"/>
        <v>1440000</v>
      </c>
      <c r="AM146" s="105">
        <f>IF(ISERROR(MATCH(A146&amp;AA146,'Days Exceptions'!$C$3:$C$16,0)),ROUND(AL146/(MAX(S146,T146)),2),ROUND(AL146/VLOOKUP(A146,'Days Exceptions'!$A$3:$J$16,8,FALSE),2))</f>
        <v>40.19</v>
      </c>
      <c r="AN146" s="213">
        <f>VLOOKUP($A146,'Rate Calculation'!$A$4:$AF$208,32,FALSE)</f>
        <v>4.47</v>
      </c>
      <c r="AO146" s="109">
        <f t="shared" si="108"/>
        <v>44.66</v>
      </c>
      <c r="AP146" s="247">
        <f>VLOOKUP($A146,'Rate Calculation'!$A$4:$Q$208,17,FALSE)</f>
        <v>171.61</v>
      </c>
      <c r="AQ146" s="247">
        <f t="shared" si="124"/>
        <v>176.93</v>
      </c>
      <c r="AR146" s="247">
        <f>VLOOKUP($A146,'Rate Calculation'!$A$4:$K$208,11,FALSE)</f>
        <v>195.33</v>
      </c>
      <c r="AS146" s="247">
        <f t="shared" si="109"/>
        <v>201.39</v>
      </c>
      <c r="AT146" s="110">
        <f t="shared" si="110"/>
        <v>187.24</v>
      </c>
      <c r="AU146" s="110">
        <f t="shared" si="111"/>
        <v>180.26</v>
      </c>
      <c r="AV146" s="111">
        <f t="shared" si="112"/>
        <v>-0.91</v>
      </c>
      <c r="AW146" s="110">
        <f t="shared" si="113"/>
        <v>179.35</v>
      </c>
      <c r="AX146" s="105">
        <f t="shared" si="114"/>
        <v>170.34</v>
      </c>
      <c r="AY146" s="105">
        <f t="shared" si="115"/>
        <v>171.25</v>
      </c>
      <c r="AZ146" s="105">
        <f t="shared" si="116"/>
        <v>0.91</v>
      </c>
      <c r="BA146" s="105">
        <f t="shared" si="117"/>
        <v>277.69</v>
      </c>
      <c r="BB146" s="105">
        <f t="shared" si="118"/>
        <v>188.01</v>
      </c>
      <c r="BC146" s="110">
        <f t="shared" si="119"/>
        <v>389.92</v>
      </c>
      <c r="BD146" s="110">
        <f t="shared" si="120"/>
        <v>304.76</v>
      </c>
      <c r="BE146" s="110">
        <f t="shared" si="121"/>
        <v>215.08</v>
      </c>
      <c r="BF146" s="105"/>
      <c r="BG146" s="105"/>
      <c r="BH146" s="111"/>
      <c r="BI146" s="105"/>
      <c r="BJ146" s="105"/>
      <c r="BK146" s="109"/>
      <c r="BL146" s="111"/>
      <c r="BM146" s="109"/>
      <c r="BN146" s="109"/>
      <c r="BO146" s="105"/>
      <c r="BP146" s="105"/>
      <c r="BQ146" s="109"/>
      <c r="BR146" s="110"/>
      <c r="BS146" s="110"/>
      <c r="BT146" s="110"/>
      <c r="BU146" s="110"/>
      <c r="BV146" s="110"/>
      <c r="BW146" s="112"/>
      <c r="BX146" s="112"/>
      <c r="BY146" s="110"/>
      <c r="BZ146" s="105"/>
      <c r="CA146" s="105"/>
      <c r="CB146" s="105"/>
      <c r="CC146" s="105"/>
      <c r="CD146" s="105"/>
      <c r="CE146" s="105"/>
    </row>
    <row r="147" spans="1:83" x14ac:dyDescent="0.15">
      <c r="A147" s="103">
        <v>322</v>
      </c>
      <c r="B147" s="98" t="str">
        <f>VLOOKUP($A147,'Rate Calculation'!$A$4:$AQ$208,42,FALSE)</f>
        <v>889684400</v>
      </c>
      <c r="C147" s="98" t="str">
        <f>VLOOKUP($A147,'Rate Calculation'!$A$4:$AQ$208,43,FALSE)</f>
        <v>Rossville Rehabilitation and Healthcare Center</v>
      </c>
      <c r="D147" s="98" t="str">
        <f>VLOOKUP($A147,'Rate Calculation'!$A$4:$F$208,5,FALSE)</f>
        <v>BALTIMORE METRO</v>
      </c>
      <c r="E147" s="98" t="str">
        <f>VLOOKUP($A147,'Rate Calculation'!$A$4:$F$208,6,FALSE)</f>
        <v>BALTIMORE METRO</v>
      </c>
      <c r="F147" s="105">
        <f t="shared" si="96"/>
        <v>105.18</v>
      </c>
      <c r="G147" s="105">
        <f t="shared" si="97"/>
        <v>21.5</v>
      </c>
      <c r="H147" s="105">
        <f t="shared" si="98"/>
        <v>27.01</v>
      </c>
      <c r="I147" s="105">
        <f t="shared" si="99"/>
        <v>202.1</v>
      </c>
      <c r="J147" s="105">
        <f>VLOOKUP($A147,'Rate Calculation'!$A$4:$AZ$208,34,FALSE)</f>
        <v>0</v>
      </c>
      <c r="K147" s="105">
        <f t="shared" si="122"/>
        <v>355.79</v>
      </c>
      <c r="L147" s="164">
        <f t="shared" si="100"/>
        <v>0.98772000000000004</v>
      </c>
      <c r="M147" s="105">
        <f t="shared" si="123"/>
        <v>351.42</v>
      </c>
      <c r="N147" s="105">
        <f>VLOOKUP($A147,'Rate Calculation'!$A$4:$AL$208,38,FALSE)</f>
        <v>22.83</v>
      </c>
      <c r="O147" s="183">
        <f>VLOOKUP($A147,'Rate Calculation'!$A$4:$I$208,9,FALSE)</f>
        <v>1.3047</v>
      </c>
      <c r="P147" s="183">
        <f t="shared" si="69"/>
        <v>1.4432</v>
      </c>
      <c r="Q147" s="183">
        <f>VLOOKUP(A147,'CMI Data'!$A$4:$C$208,3,FALSE)</f>
        <v>1.4516</v>
      </c>
      <c r="R147" s="246">
        <f>VLOOKUP($A147,FRV!$A$4:$K$208,11,FALSE)</f>
        <v>62780</v>
      </c>
      <c r="S147" s="246">
        <f t="shared" si="70"/>
        <v>51185</v>
      </c>
      <c r="T147" s="246">
        <f>VLOOKUP($A147,FRV!$A$4:$L$208,12,FALSE)</f>
        <v>50389</v>
      </c>
      <c r="U147" s="183">
        <f>Inflation!$G$24</f>
        <v>1.0309999999999999</v>
      </c>
      <c r="V147" s="247">
        <f>VLOOKUP($A147,'Rate Calculation'!A148:X351,24,FALSE)</f>
        <v>102.02</v>
      </c>
      <c r="W147" s="110">
        <f t="shared" si="101"/>
        <v>105.18</v>
      </c>
      <c r="X147" s="110">
        <f>VLOOKUP($A147,'Rate Calculation'!A148:V351,22,FALSE)</f>
        <v>20.85</v>
      </c>
      <c r="Y147" s="110">
        <f t="shared" si="102"/>
        <v>21.5</v>
      </c>
      <c r="Z147" s="212">
        <f>VLOOKUP($A147,FRV!$A$4:$D$208,4,FALSE)</f>
        <v>45108</v>
      </c>
      <c r="AA147" s="212">
        <f>VLOOKUP($A147,FRV!$A$4:$F$208,6,FALSE)</f>
        <v>45260</v>
      </c>
      <c r="AB147" s="248">
        <f>VLOOKUP($A147,FRV!$A$4:$U$208,13,FALSE)</f>
        <v>13190463</v>
      </c>
      <c r="AC147" s="248">
        <f>VLOOKUP($A147,FRV!$A$4:$U$208,15,FALSE)</f>
        <v>171239</v>
      </c>
      <c r="AD147" s="248">
        <f>VLOOKUP($A147,FRV!$A$4:$U$208,14,FALSE)</f>
        <v>18500</v>
      </c>
      <c r="AE147" s="248">
        <f>VLOOKUP($A147,FRV!$A$4:$U$208,7,FALSE)</f>
        <v>172</v>
      </c>
      <c r="AF147" s="107">
        <f t="shared" si="103"/>
        <v>16543702</v>
      </c>
      <c r="AG147" s="107">
        <f t="shared" si="104"/>
        <v>96184</v>
      </c>
      <c r="AH147" s="107">
        <v>120000</v>
      </c>
      <c r="AI147" s="107">
        <f t="shared" si="105"/>
        <v>96184</v>
      </c>
      <c r="AJ147" s="107">
        <f t="shared" si="106"/>
        <v>16543648</v>
      </c>
      <c r="AK147" s="249">
        <f>IF(VLOOKUP($A147,'Rate Calculation'!$A$4:$D$208,4,FALSE)="baltimore city",0.1,0.08)</f>
        <v>0.08</v>
      </c>
      <c r="AL147" s="107">
        <f t="shared" si="107"/>
        <v>1323492</v>
      </c>
      <c r="AM147" s="105">
        <f>IF(ISERROR(MATCH(A147&amp;AA147,'Days Exceptions'!$C$3:$C$16,0)),ROUND(AL147/(MAX(S147,T147)),2),ROUND(AL147/VLOOKUP(A147,'Days Exceptions'!$A$3:$J$16,8,FALSE),2))</f>
        <v>25.86</v>
      </c>
      <c r="AN147" s="213">
        <f>VLOOKUP($A147,'Rate Calculation'!$A$4:$AF$208,32,FALSE)</f>
        <v>1.1499999999999999</v>
      </c>
      <c r="AO147" s="109">
        <f t="shared" si="108"/>
        <v>27.01</v>
      </c>
      <c r="AP147" s="247">
        <f>VLOOKUP($A147,'Rate Calculation'!$A$4:$Q$208,17,FALSE)</f>
        <v>167.35</v>
      </c>
      <c r="AQ147" s="247">
        <f t="shared" si="124"/>
        <v>172.54</v>
      </c>
      <c r="AR147" s="247">
        <f>VLOOKUP($A147,'Rate Calculation'!$A$4:$K$208,11,FALSE)</f>
        <v>195.33</v>
      </c>
      <c r="AS147" s="247">
        <f t="shared" si="109"/>
        <v>201.39</v>
      </c>
      <c r="AT147" s="110">
        <f t="shared" si="110"/>
        <v>182.06</v>
      </c>
      <c r="AU147" s="110">
        <f t="shared" si="111"/>
        <v>202.56</v>
      </c>
      <c r="AV147" s="111">
        <f t="shared" si="112"/>
        <v>-0.46</v>
      </c>
      <c r="AW147" s="110">
        <f t="shared" si="113"/>
        <v>202.1</v>
      </c>
      <c r="AX147" s="105">
        <f t="shared" si="114"/>
        <v>191.97</v>
      </c>
      <c r="AY147" s="105">
        <f t="shared" si="115"/>
        <v>192.43</v>
      </c>
      <c r="AZ147" s="105">
        <f t="shared" si="116"/>
        <v>0.46</v>
      </c>
      <c r="BA147" s="105">
        <f t="shared" si="117"/>
        <v>254.74</v>
      </c>
      <c r="BB147" s="105">
        <f t="shared" si="118"/>
        <v>153.69</v>
      </c>
      <c r="BC147" s="110">
        <f t="shared" si="119"/>
        <v>374.25</v>
      </c>
      <c r="BD147" s="110">
        <f t="shared" si="120"/>
        <v>277.57</v>
      </c>
      <c r="BE147" s="110">
        <f t="shared" si="121"/>
        <v>176.52</v>
      </c>
      <c r="BF147" s="105"/>
      <c r="BG147" s="105"/>
      <c r="BH147" s="111"/>
      <c r="BI147" s="105"/>
      <c r="BJ147" s="105"/>
      <c r="BK147" s="109"/>
      <c r="BL147" s="111"/>
      <c r="BM147" s="109"/>
      <c r="BN147" s="109"/>
      <c r="BO147" s="105"/>
      <c r="BP147" s="105"/>
      <c r="BQ147" s="109"/>
      <c r="BR147" s="110"/>
      <c r="BS147" s="110"/>
      <c r="BT147" s="110"/>
      <c r="BU147" s="110"/>
      <c r="BV147" s="110"/>
      <c r="BW147" s="112"/>
      <c r="BX147" s="112"/>
      <c r="BY147" s="110"/>
      <c r="BZ147" s="105"/>
      <c r="CA147" s="105"/>
      <c r="CB147" s="105"/>
      <c r="CC147" s="105"/>
      <c r="CD147" s="105"/>
      <c r="CE147" s="105"/>
    </row>
    <row r="148" spans="1:83" x14ac:dyDescent="0.15">
      <c r="A148" s="103">
        <v>316</v>
      </c>
      <c r="B148" s="98" t="str">
        <f>VLOOKUP($A148,'Rate Calculation'!$A$4:$AQ$208,42,FALSE)</f>
        <v>889491400</v>
      </c>
      <c r="C148" s="98" t="str">
        <f>VLOOKUP($A148,'Rate Calculation'!$A$4:$AQ$208,43,FALSE)</f>
        <v>Towson Rehabilitation and Healthcare Center</v>
      </c>
      <c r="D148" s="98" t="str">
        <f>VLOOKUP($A148,'Rate Calculation'!$A$4:$F$208,5,FALSE)</f>
        <v>BALTIMORE METRO</v>
      </c>
      <c r="E148" s="98" t="str">
        <f>VLOOKUP($A148,'Rate Calculation'!$A$4:$F$208,6,FALSE)</f>
        <v>BALTIMORE METRO</v>
      </c>
      <c r="F148" s="105">
        <f t="shared" si="96"/>
        <v>105.18</v>
      </c>
      <c r="G148" s="105">
        <f t="shared" si="97"/>
        <v>21.5</v>
      </c>
      <c r="H148" s="105">
        <f t="shared" si="98"/>
        <v>29.26</v>
      </c>
      <c r="I148" s="105">
        <f t="shared" si="99"/>
        <v>197.38</v>
      </c>
      <c r="J148" s="105">
        <f>VLOOKUP($A148,'Rate Calculation'!$A$4:$AZ$208,34,FALSE)</f>
        <v>0</v>
      </c>
      <c r="K148" s="105">
        <f t="shared" si="122"/>
        <v>353.32</v>
      </c>
      <c r="L148" s="164">
        <f t="shared" si="100"/>
        <v>0.98772000000000004</v>
      </c>
      <c r="M148" s="105">
        <f t="shared" si="123"/>
        <v>348.98</v>
      </c>
      <c r="N148" s="105">
        <f>VLOOKUP($A148,'Rate Calculation'!$A$4:$AL$208,38,FALSE)</f>
        <v>23.76</v>
      </c>
      <c r="O148" s="183">
        <f>VLOOKUP($A148,'Rate Calculation'!$A$4:$I$208,9,FALSE)</f>
        <v>1.3277000000000001</v>
      </c>
      <c r="P148" s="183">
        <f t="shared" si="69"/>
        <v>1.4432</v>
      </c>
      <c r="Q148" s="183">
        <f>VLOOKUP(A148,'CMI Data'!$A$4:$C$208,3,FALSE)</f>
        <v>1.4145000000000001</v>
      </c>
      <c r="R148" s="246">
        <f>VLOOKUP($A148,FRV!$A$4:$K$208,11,FALSE)</f>
        <v>46355</v>
      </c>
      <c r="S148" s="246">
        <f t="shared" si="70"/>
        <v>37793</v>
      </c>
      <c r="T148" s="246">
        <f>VLOOKUP($A148,FRV!$A$4:$L$208,12,FALSE)</f>
        <v>37585</v>
      </c>
      <c r="U148" s="183">
        <f>Inflation!$G$24</f>
        <v>1.0309999999999999</v>
      </c>
      <c r="V148" s="247">
        <f>VLOOKUP($A148,'Rate Calculation'!A149:X352,24,FALSE)</f>
        <v>102.02</v>
      </c>
      <c r="W148" s="110">
        <f t="shared" si="101"/>
        <v>105.18</v>
      </c>
      <c r="X148" s="110">
        <f>VLOOKUP($A148,'Rate Calculation'!A149:V352,22,FALSE)</f>
        <v>20.85</v>
      </c>
      <c r="Y148" s="110">
        <f t="shared" si="102"/>
        <v>21.5</v>
      </c>
      <c r="Z148" s="212">
        <f>VLOOKUP($A148,FRV!$A$4:$D$208,4,FALSE)</f>
        <v>45108</v>
      </c>
      <c r="AA148" s="212">
        <f>VLOOKUP($A148,FRV!$A$4:$F$208,6,FALSE)</f>
        <v>45260</v>
      </c>
      <c r="AB148" s="248">
        <f>VLOOKUP($A148,FRV!$A$4:$U$208,13,FALSE)</f>
        <v>9963838</v>
      </c>
      <c r="AC148" s="248">
        <f>VLOOKUP($A148,FRV!$A$4:$U$208,15,FALSE)</f>
        <v>219729</v>
      </c>
      <c r="AD148" s="248">
        <f>VLOOKUP($A148,FRV!$A$4:$U$208,14,FALSE)</f>
        <v>22000</v>
      </c>
      <c r="AE148" s="248">
        <f>VLOOKUP($A148,FRV!$A$4:$U$208,7,FALSE)</f>
        <v>127</v>
      </c>
      <c r="AF148" s="107">
        <f t="shared" si="103"/>
        <v>12977567</v>
      </c>
      <c r="AG148" s="107">
        <f t="shared" si="104"/>
        <v>102186</v>
      </c>
      <c r="AH148" s="107">
        <v>120000</v>
      </c>
      <c r="AI148" s="107">
        <f t="shared" si="105"/>
        <v>102186</v>
      </c>
      <c r="AJ148" s="107">
        <f t="shared" si="106"/>
        <v>12977622</v>
      </c>
      <c r="AK148" s="249">
        <f>IF(VLOOKUP($A148,'Rate Calculation'!$A$4:$D$208,4,FALSE)="baltimore city",0.1,0.08)</f>
        <v>0.08</v>
      </c>
      <c r="AL148" s="107">
        <f t="shared" si="107"/>
        <v>1038210</v>
      </c>
      <c r="AM148" s="105">
        <f>IF(ISERROR(MATCH(A148&amp;AA148,'Days Exceptions'!$C$3:$C$16,0)),ROUND(AL148/(MAX(S148,T148)),2),ROUND(AL148/VLOOKUP(A148,'Days Exceptions'!$A$3:$J$16,8,FALSE),2))</f>
        <v>27.47</v>
      </c>
      <c r="AN148" s="213">
        <f>VLOOKUP($A148,'Rate Calculation'!$A$4:$AF$208,32,FALSE)</f>
        <v>1.79</v>
      </c>
      <c r="AO148" s="109">
        <f t="shared" si="108"/>
        <v>29.26</v>
      </c>
      <c r="AP148" s="247">
        <f>VLOOKUP($A148,'Rate Calculation'!$A$4:$Q$208,17,FALSE)</f>
        <v>191.12</v>
      </c>
      <c r="AQ148" s="247">
        <f t="shared" si="124"/>
        <v>197.04</v>
      </c>
      <c r="AR148" s="247">
        <f>VLOOKUP($A148,'Rate Calculation'!$A$4:$K$208,11,FALSE)</f>
        <v>195.33</v>
      </c>
      <c r="AS148" s="247">
        <f t="shared" si="109"/>
        <v>201.39</v>
      </c>
      <c r="AT148" s="110">
        <f t="shared" si="110"/>
        <v>185.27</v>
      </c>
      <c r="AU148" s="110">
        <f t="shared" si="111"/>
        <v>197.38</v>
      </c>
      <c r="AV148" s="111">
        <f t="shared" si="112"/>
        <v>0</v>
      </c>
      <c r="AW148" s="110">
        <f t="shared" si="113"/>
        <v>197.38</v>
      </c>
      <c r="AX148" s="105">
        <f t="shared" si="114"/>
        <v>209.92</v>
      </c>
      <c r="AY148" s="105">
        <f t="shared" si="115"/>
        <v>187.51</v>
      </c>
      <c r="AZ148" s="105">
        <f t="shared" si="116"/>
        <v>-22.41</v>
      </c>
      <c r="BA148" s="105">
        <f t="shared" si="117"/>
        <v>254.63</v>
      </c>
      <c r="BB148" s="105">
        <f t="shared" si="118"/>
        <v>155.94</v>
      </c>
      <c r="BC148" s="110">
        <f t="shared" si="119"/>
        <v>372.74</v>
      </c>
      <c r="BD148" s="110">
        <f t="shared" si="120"/>
        <v>278.39</v>
      </c>
      <c r="BE148" s="110">
        <f t="shared" si="121"/>
        <v>179.7</v>
      </c>
      <c r="BF148" s="105"/>
      <c r="BG148" s="105"/>
      <c r="BH148" s="111"/>
      <c r="BI148" s="105"/>
      <c r="BJ148" s="113"/>
      <c r="BK148" s="109"/>
      <c r="BL148" s="215"/>
      <c r="BM148" s="109"/>
      <c r="BN148" s="109"/>
      <c r="BO148" s="113"/>
      <c r="BP148" s="113"/>
      <c r="BQ148" s="113"/>
      <c r="BR148" s="113"/>
      <c r="BS148" s="113"/>
      <c r="BT148" s="113"/>
      <c r="BU148" s="113"/>
      <c r="BV148" s="113"/>
      <c r="BW148" s="113"/>
      <c r="BX148" s="113"/>
      <c r="BY148" s="110"/>
      <c r="BZ148" s="105"/>
      <c r="CA148" s="105"/>
      <c r="CB148" s="105"/>
      <c r="CC148" s="105"/>
      <c r="CD148" s="105"/>
      <c r="CE148" s="105"/>
    </row>
    <row r="149" spans="1:83" x14ac:dyDescent="0.15">
      <c r="A149" s="103">
        <v>739</v>
      </c>
      <c r="B149" s="98" t="str">
        <f>VLOOKUP($A149,'Rate Calculation'!$A$4:$AQ$208,42,FALSE)</f>
        <v>414427900</v>
      </c>
      <c r="C149" s="98" t="str">
        <f>VLOOKUP($A149,'Rate Calculation'!$A$4:$AQ$208,43,FALSE)</f>
        <v>Marley Neck Health and Rehabilitation Center</v>
      </c>
      <c r="D149" s="98" t="str">
        <f>VLOOKUP($A149,'Rate Calculation'!$A$4:$F$208,5,FALSE)</f>
        <v>BALTIMORE METRO</v>
      </c>
      <c r="E149" s="98" t="str">
        <f>VLOOKUP($A149,'Rate Calculation'!$A$4:$F$208,6,FALSE)</f>
        <v>BALTIMORE METRO</v>
      </c>
      <c r="F149" s="105">
        <f t="shared" si="96"/>
        <v>105.18</v>
      </c>
      <c r="G149" s="105">
        <f t="shared" si="97"/>
        <v>21.5</v>
      </c>
      <c r="H149" s="105">
        <f t="shared" si="98"/>
        <v>24.04</v>
      </c>
      <c r="I149" s="105">
        <f t="shared" si="99"/>
        <v>161.19999999999999</v>
      </c>
      <c r="J149" s="105">
        <f>VLOOKUP($A149,'Rate Calculation'!$A$4:$AZ$208,34,FALSE)</f>
        <v>0</v>
      </c>
      <c r="K149" s="105">
        <f t="shared" si="122"/>
        <v>311.92</v>
      </c>
      <c r="L149" s="164">
        <f t="shared" si="100"/>
        <v>0.98772000000000004</v>
      </c>
      <c r="M149" s="105">
        <f t="shared" si="123"/>
        <v>308.08999999999997</v>
      </c>
      <c r="N149" s="105">
        <f>VLOOKUP($A149,'Rate Calculation'!$A$4:$AL$208,38,FALSE)</f>
        <v>25.77</v>
      </c>
      <c r="O149" s="183">
        <f>VLOOKUP($A149,'Rate Calculation'!$A$4:$I$208,9,FALSE)</f>
        <v>1.3085</v>
      </c>
      <c r="P149" s="183">
        <f t="shared" si="69"/>
        <v>1.4432</v>
      </c>
      <c r="Q149" s="183">
        <f>VLOOKUP(A149,'CMI Data'!$A$4:$C$208,3,FALSE)</f>
        <v>1.3144</v>
      </c>
      <c r="R149" s="246">
        <f>VLOOKUP($A149,FRV!$A$4:$K$208,11,FALSE)</f>
        <v>34675</v>
      </c>
      <c r="S149" s="246">
        <f t="shared" si="70"/>
        <v>28271</v>
      </c>
      <c r="T149" s="246">
        <f>VLOOKUP($A149,FRV!$A$4:$L$208,12,FALSE)</f>
        <v>33078</v>
      </c>
      <c r="U149" s="183">
        <f>Inflation!$G$24</f>
        <v>1.0309999999999999</v>
      </c>
      <c r="V149" s="247">
        <f>VLOOKUP($A149,'Rate Calculation'!A150:X353,24,FALSE)</f>
        <v>102.02</v>
      </c>
      <c r="W149" s="110">
        <f t="shared" si="101"/>
        <v>105.18</v>
      </c>
      <c r="X149" s="110">
        <f>VLOOKUP($A149,'Rate Calculation'!A150:V353,22,FALSE)</f>
        <v>20.85</v>
      </c>
      <c r="Y149" s="110">
        <f t="shared" si="102"/>
        <v>21.5</v>
      </c>
      <c r="Z149" s="212">
        <f>VLOOKUP($A149,FRV!$A$4:$D$208,4,FALSE)</f>
        <v>45108</v>
      </c>
      <c r="AA149" s="212">
        <f>VLOOKUP($A149,FRV!$A$4:$F$208,6,FALSE)</f>
        <v>45107</v>
      </c>
      <c r="AB149" s="248">
        <f>VLOOKUP($A149,FRV!$A$4:$U$208,13,FALSE)</f>
        <v>7110013</v>
      </c>
      <c r="AC149" s="248">
        <f>VLOOKUP($A149,FRV!$A$4:$U$208,15,FALSE)</f>
        <v>183447</v>
      </c>
      <c r="AD149" s="248">
        <f>VLOOKUP($A149,FRV!$A$4:$U$208,14,FALSE)</f>
        <v>16500</v>
      </c>
      <c r="AE149" s="248">
        <f>VLOOKUP($A149,FRV!$A$4:$U$208,7,FALSE)</f>
        <v>95</v>
      </c>
      <c r="AF149" s="107">
        <f t="shared" si="103"/>
        <v>8860960</v>
      </c>
      <c r="AG149" s="107">
        <f t="shared" si="104"/>
        <v>93273</v>
      </c>
      <c r="AH149" s="107">
        <v>120000</v>
      </c>
      <c r="AI149" s="107">
        <f t="shared" si="105"/>
        <v>93273</v>
      </c>
      <c r="AJ149" s="107">
        <f t="shared" si="106"/>
        <v>8860935</v>
      </c>
      <c r="AK149" s="249">
        <f>IF(VLOOKUP($A149,'Rate Calculation'!$A$4:$D$208,4,FALSE)="baltimore city",0.1,0.08)</f>
        <v>0.08</v>
      </c>
      <c r="AL149" s="107">
        <f t="shared" si="107"/>
        <v>708875</v>
      </c>
      <c r="AM149" s="105">
        <f>IF(ISERROR(MATCH(A149&amp;AA149,'Days Exceptions'!$C$3:$C$16,0)),ROUND(AL149/(MAX(S149,T149)),2),ROUND(AL149/VLOOKUP(A149,'Days Exceptions'!$A$3:$J$16,8,FALSE),2))</f>
        <v>21.43</v>
      </c>
      <c r="AN149" s="213">
        <f>VLOOKUP($A149,'Rate Calculation'!$A$4:$AF$208,32,FALSE)</f>
        <v>2.61</v>
      </c>
      <c r="AO149" s="109">
        <f t="shared" si="108"/>
        <v>24.04</v>
      </c>
      <c r="AP149" s="247">
        <f>VLOOKUP($A149,'Rate Calculation'!$A$4:$Q$208,17,FALSE)</f>
        <v>146.80000000000001</v>
      </c>
      <c r="AQ149" s="247">
        <f t="shared" si="124"/>
        <v>151.35</v>
      </c>
      <c r="AR149" s="247">
        <f>VLOOKUP($A149,'Rate Calculation'!$A$4:$K$208,11,FALSE)</f>
        <v>195.33</v>
      </c>
      <c r="AS149" s="247">
        <f t="shared" si="109"/>
        <v>201.39</v>
      </c>
      <c r="AT149" s="110">
        <f t="shared" si="110"/>
        <v>182.59</v>
      </c>
      <c r="AU149" s="110">
        <f t="shared" si="111"/>
        <v>183.41</v>
      </c>
      <c r="AV149" s="111">
        <f t="shared" si="112"/>
        <v>-22.21</v>
      </c>
      <c r="AW149" s="110">
        <f t="shared" si="113"/>
        <v>161.19999999999999</v>
      </c>
      <c r="AX149" s="105">
        <f t="shared" si="114"/>
        <v>152.03</v>
      </c>
      <c r="AY149" s="105">
        <f t="shared" si="115"/>
        <v>174.24</v>
      </c>
      <c r="AZ149" s="105">
        <f t="shared" si="116"/>
        <v>22.21</v>
      </c>
      <c r="BA149" s="105">
        <f t="shared" si="117"/>
        <v>231.32</v>
      </c>
      <c r="BB149" s="105">
        <f t="shared" si="118"/>
        <v>150.72</v>
      </c>
      <c r="BC149" s="110">
        <f t="shared" si="119"/>
        <v>333.86</v>
      </c>
      <c r="BD149" s="110">
        <f t="shared" si="120"/>
        <v>257.08999999999997</v>
      </c>
      <c r="BE149" s="110">
        <f t="shared" si="121"/>
        <v>176.49</v>
      </c>
      <c r="BF149" s="105"/>
      <c r="BG149" s="105"/>
      <c r="BH149" s="111"/>
      <c r="BI149" s="105"/>
      <c r="BJ149" s="105"/>
      <c r="BK149" s="109"/>
      <c r="BL149" s="111"/>
      <c r="BM149" s="109"/>
      <c r="BN149" s="109"/>
      <c r="BO149" s="105"/>
      <c r="BP149" s="105"/>
      <c r="BQ149" s="109"/>
      <c r="BR149" s="110"/>
      <c r="BS149" s="110"/>
      <c r="BT149" s="110"/>
      <c r="BU149" s="110"/>
      <c r="BV149" s="110"/>
      <c r="BW149" s="112"/>
      <c r="BX149" s="112"/>
      <c r="BY149" s="110"/>
      <c r="BZ149" s="105"/>
      <c r="CA149" s="105"/>
      <c r="CB149" s="105"/>
      <c r="CC149" s="105"/>
      <c r="CD149" s="105"/>
      <c r="CE149" s="105"/>
    </row>
    <row r="150" spans="1:83" x14ac:dyDescent="0.15">
      <c r="A150" s="103">
        <v>332</v>
      </c>
      <c r="B150" s="98" t="str">
        <f>VLOOKUP($A150,'Rate Calculation'!$A$4:$AQ$208,42,FALSE)</f>
        <v>301187900</v>
      </c>
      <c r="C150" s="98" t="str">
        <f>VLOOKUP($A150,'Rate Calculation'!$A$4:$AQ$208,43,FALSE)</f>
        <v>Maryland Baptist Aged Home</v>
      </c>
      <c r="D150" s="98" t="str">
        <f>VLOOKUP($A150,'Rate Calculation'!$A$4:$F$208,5,FALSE)</f>
        <v>BALTIMORE METRO</v>
      </c>
      <c r="E150" s="98" t="str">
        <f>VLOOKUP($A150,'Rate Calculation'!$A$4:$F$208,6,FALSE)</f>
        <v>BALTIMORE CITY</v>
      </c>
      <c r="F150" s="105">
        <f t="shared" si="96"/>
        <v>117.69</v>
      </c>
      <c r="G150" s="105">
        <f t="shared" si="97"/>
        <v>25.66</v>
      </c>
      <c r="H150" s="105">
        <f t="shared" si="98"/>
        <v>15.44</v>
      </c>
      <c r="I150" s="105">
        <f t="shared" si="99"/>
        <v>121.14</v>
      </c>
      <c r="J150" s="105">
        <f>VLOOKUP($A150,'Rate Calculation'!$A$4:$AZ$208,34,FALSE)</f>
        <v>0</v>
      </c>
      <c r="K150" s="105">
        <f t="shared" si="122"/>
        <v>279.93</v>
      </c>
      <c r="L150" s="164">
        <f t="shared" si="100"/>
        <v>0.98772000000000004</v>
      </c>
      <c r="M150" s="105">
        <f t="shared" si="123"/>
        <v>276.49</v>
      </c>
      <c r="N150" s="105">
        <f>VLOOKUP($A150,'Rate Calculation'!$A$4:$AL$208,38,FALSE)</f>
        <v>0</v>
      </c>
      <c r="O150" s="183">
        <f>VLOOKUP($A150,'Rate Calculation'!$A$4:$I$208,9,FALSE)</f>
        <v>1.101</v>
      </c>
      <c r="P150" s="183">
        <f t="shared" si="69"/>
        <v>1.4432</v>
      </c>
      <c r="Q150" s="183">
        <f>VLOOKUP(A150,'CMI Data'!$A$4:$C$208,3,FALSE)</f>
        <v>1.1168</v>
      </c>
      <c r="R150" s="246">
        <f>VLOOKUP($A150,FRV!$A$4:$K$208,11,FALSE)</f>
        <v>10585</v>
      </c>
      <c r="S150" s="246">
        <f t="shared" si="70"/>
        <v>8630</v>
      </c>
      <c r="T150" s="246">
        <f>VLOOKUP($A150,FRV!$A$4:$L$208,12,FALSE)</f>
        <v>8854</v>
      </c>
      <c r="U150" s="183">
        <f>Inflation!$G$24</f>
        <v>1.0309999999999999</v>
      </c>
      <c r="V150" s="247">
        <f>VLOOKUP($A150,'Rate Calculation'!A151:X354,24,FALSE)</f>
        <v>114.15</v>
      </c>
      <c r="W150" s="110">
        <f t="shared" si="101"/>
        <v>117.69</v>
      </c>
      <c r="X150" s="110">
        <f>VLOOKUP($A150,'Rate Calculation'!A151:V354,22,FALSE)</f>
        <v>24.89</v>
      </c>
      <c r="Y150" s="110">
        <f t="shared" si="102"/>
        <v>25.66</v>
      </c>
      <c r="Z150" s="212">
        <f>VLOOKUP($A150,FRV!$A$4:$D$208,4,FALSE)</f>
        <v>45108</v>
      </c>
      <c r="AA150" s="212">
        <f>VLOOKUP($A150,FRV!$A$4:$F$208,6,FALSE)</f>
        <v>44985</v>
      </c>
      <c r="AB150" s="248">
        <f>VLOOKUP($A150,FRV!$A$4:$U$208,13,FALSE)</f>
        <v>988040</v>
      </c>
      <c r="AC150" s="248">
        <f>VLOOKUP($A150,FRV!$A$4:$U$208,15,FALSE)</f>
        <v>16914</v>
      </c>
      <c r="AD150" s="248">
        <f>VLOOKUP($A150,FRV!$A$4:$U$208,14,FALSE)</f>
        <v>12500</v>
      </c>
      <c r="AE150" s="248">
        <f>VLOOKUP($A150,FRV!$A$4:$U$208,7,FALSE)</f>
        <v>29</v>
      </c>
      <c r="AF150" s="107">
        <f t="shared" si="103"/>
        <v>1367454</v>
      </c>
      <c r="AG150" s="107">
        <f t="shared" si="104"/>
        <v>47154</v>
      </c>
      <c r="AH150" s="107">
        <v>120000</v>
      </c>
      <c r="AI150" s="107">
        <f t="shared" si="105"/>
        <v>47154</v>
      </c>
      <c r="AJ150" s="107">
        <f t="shared" si="106"/>
        <v>1367466</v>
      </c>
      <c r="AK150" s="249">
        <f>IF(VLOOKUP($A150,'Rate Calculation'!$A$4:$D$208,4,FALSE)="baltimore city",0.1,0.08)</f>
        <v>0.1</v>
      </c>
      <c r="AL150" s="107">
        <f t="shared" si="107"/>
        <v>136747</v>
      </c>
      <c r="AM150" s="105">
        <f>IF(ISERROR(MATCH(A150&amp;AA150,'Days Exceptions'!$C$3:$C$16,0)),ROUND(AL150/(MAX(S150,T150)),2),ROUND(AL150/VLOOKUP(A150,'Days Exceptions'!$A$3:$J$16,8,FALSE),2))</f>
        <v>15.44</v>
      </c>
      <c r="AN150" s="213">
        <f>VLOOKUP($A150,'Rate Calculation'!$A$4:$AF$208,32,FALSE)</f>
        <v>0</v>
      </c>
      <c r="AO150" s="109">
        <f t="shared" si="108"/>
        <v>15.44</v>
      </c>
      <c r="AP150" s="247">
        <f>VLOOKUP($A150,'Rate Calculation'!$A$4:$Q$208,17,FALSE)</f>
        <v>108.39</v>
      </c>
      <c r="AQ150" s="247">
        <f t="shared" si="124"/>
        <v>111.75</v>
      </c>
      <c r="AR150" s="247">
        <f>VLOOKUP($A150,'Rate Calculation'!$A$4:$K$208,11,FALSE)</f>
        <v>195.33</v>
      </c>
      <c r="AS150" s="247">
        <f t="shared" si="109"/>
        <v>201.39</v>
      </c>
      <c r="AT150" s="110">
        <f t="shared" si="110"/>
        <v>153.63999999999999</v>
      </c>
      <c r="AU150" s="110">
        <f t="shared" si="111"/>
        <v>155.84</v>
      </c>
      <c r="AV150" s="111">
        <f t="shared" si="112"/>
        <v>-34.700000000000003</v>
      </c>
      <c r="AW150" s="110">
        <f t="shared" si="113"/>
        <v>121.14</v>
      </c>
      <c r="AX150" s="105">
        <f t="shared" si="114"/>
        <v>113.35</v>
      </c>
      <c r="AY150" s="105">
        <f t="shared" si="115"/>
        <v>148.05000000000001</v>
      </c>
      <c r="AZ150" s="105">
        <f t="shared" si="116"/>
        <v>34.700000000000003</v>
      </c>
      <c r="BA150" s="105">
        <f t="shared" si="117"/>
        <v>219.36</v>
      </c>
      <c r="BB150" s="105">
        <f t="shared" si="118"/>
        <v>158.79</v>
      </c>
      <c r="BC150" s="110">
        <f t="shared" si="119"/>
        <v>276.49</v>
      </c>
      <c r="BD150" s="110">
        <f t="shared" si="120"/>
        <v>219.36</v>
      </c>
      <c r="BE150" s="110">
        <f t="shared" si="121"/>
        <v>158.79</v>
      </c>
      <c r="BF150" s="105"/>
      <c r="BG150" s="105"/>
      <c r="BH150" s="111"/>
      <c r="BI150" s="105"/>
      <c r="BJ150" s="105"/>
      <c r="BK150" s="109"/>
      <c r="BL150" s="111"/>
      <c r="BM150" s="109"/>
      <c r="BN150" s="109"/>
      <c r="BO150" s="105"/>
      <c r="BP150" s="105"/>
      <c r="BQ150" s="109"/>
      <c r="BR150" s="110"/>
      <c r="BS150" s="110"/>
      <c r="BT150" s="110"/>
      <c r="BU150" s="110"/>
      <c r="BV150" s="110"/>
      <c r="BW150" s="112"/>
      <c r="BX150" s="112"/>
      <c r="BY150" s="110"/>
      <c r="BZ150" s="105"/>
      <c r="CA150" s="105"/>
      <c r="CB150" s="105"/>
      <c r="CC150" s="105"/>
      <c r="CD150" s="105"/>
      <c r="CE150" s="105"/>
    </row>
    <row r="151" spans="1:83" x14ac:dyDescent="0.15">
      <c r="A151" s="103">
        <v>1326</v>
      </c>
      <c r="B151" s="98" t="str">
        <f>VLOOKUP($A151,'Rate Calculation'!$A$4:$AQ$208,42,FALSE)</f>
        <v>500172200</v>
      </c>
      <c r="C151" s="98" t="str">
        <f>VLOOKUP($A151,'Rate Calculation'!$A$4:$AQ$208,43,FALSE)</f>
        <v>Maryland Masonic Homes, Ltd.</v>
      </c>
      <c r="D151" s="98" t="str">
        <f>VLOOKUP($A151,'Rate Calculation'!$A$4:$F$208,5,FALSE)</f>
        <v>BALTIMORE METRO</v>
      </c>
      <c r="E151" s="98" t="str">
        <f>VLOOKUP($A151,'Rate Calculation'!$A$4:$F$208,6,FALSE)</f>
        <v>BALTIMORE METRO</v>
      </c>
      <c r="F151" s="105">
        <f t="shared" si="96"/>
        <v>105.18</v>
      </c>
      <c r="G151" s="105">
        <f t="shared" si="97"/>
        <v>21.5</v>
      </c>
      <c r="H151" s="105">
        <f t="shared" si="98"/>
        <v>33.31</v>
      </c>
      <c r="I151" s="105">
        <f t="shared" si="99"/>
        <v>176.05</v>
      </c>
      <c r="J151" s="105">
        <f>VLOOKUP($A151,'Rate Calculation'!$A$4:$AZ$208,34,FALSE)</f>
        <v>0</v>
      </c>
      <c r="K151" s="105">
        <f t="shared" si="122"/>
        <v>336.04</v>
      </c>
      <c r="L151" s="164">
        <f t="shared" si="100"/>
        <v>0.98772000000000004</v>
      </c>
      <c r="M151" s="105">
        <f t="shared" si="123"/>
        <v>331.91</v>
      </c>
      <c r="N151" s="105">
        <f>VLOOKUP($A151,'Rate Calculation'!$A$4:$AL$208,38,FALSE)</f>
        <v>0</v>
      </c>
      <c r="O151" s="183">
        <f>VLOOKUP($A151,'Rate Calculation'!$A$4:$I$208,9,FALSE)</f>
        <v>1.4297</v>
      </c>
      <c r="P151" s="183">
        <f t="shared" si="69"/>
        <v>1.4432</v>
      </c>
      <c r="Q151" s="183">
        <f>VLOOKUP(A151,'CMI Data'!$A$4:$C$208,3,FALSE)</f>
        <v>1.2616000000000001</v>
      </c>
      <c r="R151" s="246">
        <f>VLOOKUP($A151,FRV!$A$4:$K$208,11,FALSE)</f>
        <v>32120</v>
      </c>
      <c r="S151" s="246">
        <f t="shared" si="70"/>
        <v>26187</v>
      </c>
      <c r="T151" s="246">
        <f>VLOOKUP($A151,FRV!$A$4:$L$208,12,FALSE)</f>
        <v>20885</v>
      </c>
      <c r="U151" s="183">
        <f>Inflation!$G$24</f>
        <v>1.0309999999999999</v>
      </c>
      <c r="V151" s="247">
        <f>VLOOKUP($A151,'Rate Calculation'!A152:X355,24,FALSE)</f>
        <v>102.02</v>
      </c>
      <c r="W151" s="110">
        <f t="shared" si="101"/>
        <v>105.18</v>
      </c>
      <c r="X151" s="110">
        <f>VLOOKUP($A151,'Rate Calculation'!A152:V355,22,FALSE)</f>
        <v>20.85</v>
      </c>
      <c r="Y151" s="110">
        <f t="shared" si="102"/>
        <v>21.5</v>
      </c>
      <c r="Z151" s="212">
        <f>VLOOKUP($A151,FRV!$A$4:$D$208,4,FALSE)</f>
        <v>45108</v>
      </c>
      <c r="AA151" s="212">
        <f>VLOOKUP($A151,FRV!$A$4:$F$208,6,FALSE)</f>
        <v>45291</v>
      </c>
      <c r="AB151" s="248">
        <f>VLOOKUP($A151,FRV!$A$4:$U$208,13,FALSE)</f>
        <v>15824579</v>
      </c>
      <c r="AC151" s="248">
        <f>VLOOKUP($A151,FRV!$A$4:$U$208,15,FALSE)</f>
        <v>432484</v>
      </c>
      <c r="AD151" s="248">
        <f>VLOOKUP($A151,FRV!$A$4:$U$208,14,FALSE)</f>
        <v>29500</v>
      </c>
      <c r="AE151" s="248">
        <f>VLOOKUP($A151,FRV!$A$4:$U$208,7,FALSE)</f>
        <v>88</v>
      </c>
      <c r="AF151" s="107">
        <f t="shared" si="103"/>
        <v>18853063</v>
      </c>
      <c r="AG151" s="107">
        <f t="shared" si="104"/>
        <v>214239</v>
      </c>
      <c r="AH151" s="107">
        <v>120000</v>
      </c>
      <c r="AI151" s="107">
        <f t="shared" si="105"/>
        <v>120000</v>
      </c>
      <c r="AJ151" s="107">
        <f t="shared" si="106"/>
        <v>10560000</v>
      </c>
      <c r="AK151" s="249">
        <f>IF(VLOOKUP($A151,'Rate Calculation'!$A$4:$D$208,4,FALSE)="baltimore city",0.1,0.08)</f>
        <v>0.08</v>
      </c>
      <c r="AL151" s="107">
        <f t="shared" si="107"/>
        <v>844800</v>
      </c>
      <c r="AM151" s="105">
        <f>IF(ISERROR(MATCH(A151&amp;AA151,'Days Exceptions'!$C$3:$C$16,0)),ROUND(AL151/(MAX(S151,T151)),2),ROUND(AL151/VLOOKUP(A151,'Days Exceptions'!$A$3:$J$16,8,FALSE),2))</f>
        <v>32.26</v>
      </c>
      <c r="AN151" s="213">
        <f>VLOOKUP($A151,'Rate Calculation'!$A$4:$AF$208,32,FALSE)</f>
        <v>1.05</v>
      </c>
      <c r="AO151" s="109">
        <f t="shared" si="108"/>
        <v>33.31</v>
      </c>
      <c r="AP151" s="247">
        <f>VLOOKUP($A151,'Rate Calculation'!$A$4:$Q$208,17,FALSE)</f>
        <v>252.71</v>
      </c>
      <c r="AQ151" s="247">
        <f t="shared" si="124"/>
        <v>260.54000000000002</v>
      </c>
      <c r="AR151" s="247">
        <f>VLOOKUP($A151,'Rate Calculation'!$A$4:$K$208,11,FALSE)</f>
        <v>195.33</v>
      </c>
      <c r="AS151" s="247">
        <f t="shared" si="109"/>
        <v>201.39</v>
      </c>
      <c r="AT151" s="110">
        <f t="shared" si="110"/>
        <v>199.51</v>
      </c>
      <c r="AU151" s="110">
        <f t="shared" si="111"/>
        <v>176.05</v>
      </c>
      <c r="AV151" s="111">
        <f t="shared" si="112"/>
        <v>0</v>
      </c>
      <c r="AW151" s="110">
        <f t="shared" si="113"/>
        <v>176.05</v>
      </c>
      <c r="AX151" s="105">
        <f t="shared" si="114"/>
        <v>229.91</v>
      </c>
      <c r="AY151" s="105">
        <f t="shared" si="115"/>
        <v>167.25</v>
      </c>
      <c r="AZ151" s="105">
        <f t="shared" si="116"/>
        <v>-62.66</v>
      </c>
      <c r="BA151" s="105">
        <f t="shared" si="117"/>
        <v>248.02</v>
      </c>
      <c r="BB151" s="105">
        <f t="shared" si="118"/>
        <v>159.99</v>
      </c>
      <c r="BC151" s="110">
        <f t="shared" si="119"/>
        <v>331.91</v>
      </c>
      <c r="BD151" s="110">
        <f t="shared" si="120"/>
        <v>248.02</v>
      </c>
      <c r="BE151" s="110">
        <f t="shared" si="121"/>
        <v>159.99</v>
      </c>
      <c r="BF151" s="105"/>
      <c r="BG151" s="105"/>
      <c r="BH151" s="111"/>
      <c r="BI151" s="105"/>
      <c r="BJ151" s="105"/>
      <c r="BK151" s="109"/>
      <c r="BL151" s="111"/>
      <c r="BM151" s="109"/>
      <c r="BN151" s="109"/>
      <c r="BO151" s="105"/>
      <c r="BP151" s="105"/>
      <c r="BQ151" s="109"/>
      <c r="BR151" s="110"/>
      <c r="BS151" s="110"/>
      <c r="BT151" s="110"/>
      <c r="BU151" s="110"/>
      <c r="BV151" s="110"/>
      <c r="BW151" s="112"/>
      <c r="BX151" s="112"/>
      <c r="BY151" s="110"/>
      <c r="BZ151" s="105"/>
      <c r="CA151" s="105"/>
      <c r="CB151" s="105"/>
      <c r="CC151" s="105"/>
      <c r="CD151" s="105"/>
      <c r="CE151" s="105"/>
    </row>
    <row r="152" spans="1:83" x14ac:dyDescent="0.15">
      <c r="A152" s="103">
        <v>326</v>
      </c>
      <c r="B152" s="98" t="str">
        <f>VLOOKUP($A152,'Rate Calculation'!$A$4:$AQ$208,42,FALSE)</f>
        <v>500307500</v>
      </c>
      <c r="C152" s="98" t="str">
        <f>VLOOKUP($A152,'Rate Calculation'!$A$4:$AQ$208,43,FALSE)</f>
        <v>Meadow Park Rehabilitation and Healthcare Center</v>
      </c>
      <c r="D152" s="98" t="str">
        <f>VLOOKUP($A152,'Rate Calculation'!$A$4:$F$208,5,FALSE)</f>
        <v>BALTIMORE METRO</v>
      </c>
      <c r="E152" s="98" t="str">
        <f>VLOOKUP($A152,'Rate Calculation'!$A$4:$F$208,6,FALSE)</f>
        <v>BALTIMORE METRO</v>
      </c>
      <c r="F152" s="105">
        <f t="shared" si="96"/>
        <v>105.18</v>
      </c>
      <c r="G152" s="105">
        <f t="shared" si="97"/>
        <v>21.5</v>
      </c>
      <c r="H152" s="105">
        <f t="shared" si="98"/>
        <v>29.93</v>
      </c>
      <c r="I152" s="105">
        <f t="shared" si="99"/>
        <v>222.35</v>
      </c>
      <c r="J152" s="105">
        <f>VLOOKUP($A152,'Rate Calculation'!$A$4:$AZ$208,34,FALSE)</f>
        <v>0</v>
      </c>
      <c r="K152" s="105">
        <f t="shared" si="122"/>
        <v>378.96</v>
      </c>
      <c r="L152" s="164">
        <f t="shared" si="100"/>
        <v>0.98772000000000004</v>
      </c>
      <c r="M152" s="105">
        <f t="shared" si="123"/>
        <v>374.31</v>
      </c>
      <c r="N152" s="105">
        <f>VLOOKUP($A152,'Rate Calculation'!$A$4:$AL$208,38,FALSE)</f>
        <v>24.37</v>
      </c>
      <c r="O152" s="183">
        <f>VLOOKUP($A152,'Rate Calculation'!$A$4:$I$208,9,FALSE)</f>
        <v>1.5018</v>
      </c>
      <c r="P152" s="183">
        <f t="shared" si="69"/>
        <v>1.4432</v>
      </c>
      <c r="Q152" s="183">
        <f>VLOOKUP(A152,'CMI Data'!$A$4:$C$208,3,FALSE)</f>
        <v>1.8391</v>
      </c>
      <c r="R152" s="246">
        <f>VLOOKUP($A152,FRV!$A$4:$K$208,11,FALSE)</f>
        <v>43920</v>
      </c>
      <c r="S152" s="246">
        <f t="shared" si="70"/>
        <v>35808</v>
      </c>
      <c r="T152" s="246">
        <f>VLOOKUP($A152,FRV!$A$4:$L$208,12,FALSE)</f>
        <v>42339</v>
      </c>
      <c r="U152" s="183">
        <f>Inflation!$G$24</f>
        <v>1.0309999999999999</v>
      </c>
      <c r="V152" s="247">
        <f>VLOOKUP($A152,'Rate Calculation'!A153:X356,24,FALSE)</f>
        <v>102.02</v>
      </c>
      <c r="W152" s="110">
        <f t="shared" si="101"/>
        <v>105.18</v>
      </c>
      <c r="X152" s="110">
        <f>VLOOKUP($A152,'Rate Calculation'!A153:V356,22,FALSE)</f>
        <v>20.85</v>
      </c>
      <c r="Y152" s="110">
        <f t="shared" si="102"/>
        <v>21.5</v>
      </c>
      <c r="Z152" s="212">
        <f>VLOOKUP($A152,FRV!$A$4:$D$208,4,FALSE)</f>
        <v>45474</v>
      </c>
      <c r="AA152" s="212">
        <f>VLOOKUP($A152,FRV!$A$4:$F$208,6,FALSE)</f>
        <v>45657</v>
      </c>
      <c r="AB152" s="248">
        <f>VLOOKUP($A152,FRV!$A$4:$U$208,13,FALSE)</f>
        <v>14769654</v>
      </c>
      <c r="AC152" s="248">
        <f>VLOOKUP($A152,FRV!$A$4:$U$208,15,FALSE)</f>
        <v>299699</v>
      </c>
      <c r="AD152" s="248">
        <f>VLOOKUP($A152,FRV!$A$4:$U$208,14,FALSE)</f>
        <v>23500</v>
      </c>
      <c r="AE152" s="248">
        <f>VLOOKUP($A152,FRV!$A$4:$U$208,7,FALSE)</f>
        <v>120</v>
      </c>
      <c r="AF152" s="107">
        <f t="shared" si="103"/>
        <v>17889353</v>
      </c>
      <c r="AG152" s="107">
        <f t="shared" si="104"/>
        <v>149078</v>
      </c>
      <c r="AH152" s="107">
        <v>120000</v>
      </c>
      <c r="AI152" s="107">
        <f t="shared" si="105"/>
        <v>120000</v>
      </c>
      <c r="AJ152" s="107">
        <f t="shared" si="106"/>
        <v>14400000</v>
      </c>
      <c r="AK152" s="249">
        <f>IF(VLOOKUP($A152,'Rate Calculation'!$A$4:$D$208,4,FALSE)="baltimore city",0.1,0.08)</f>
        <v>0.08</v>
      </c>
      <c r="AL152" s="107">
        <f t="shared" si="107"/>
        <v>1152000</v>
      </c>
      <c r="AM152" s="105">
        <f>IF(ISERROR(MATCH(A152&amp;AA152,'Days Exceptions'!$C$3:$C$16,0)),ROUND(AL152/(MAX(S152,T152)),2),ROUND(AL152/VLOOKUP(A152,'Days Exceptions'!$A$3:$J$16,8,FALSE),2))</f>
        <v>27.21</v>
      </c>
      <c r="AN152" s="213">
        <f>VLOOKUP($A152,'Rate Calculation'!$A$4:$AF$208,32,FALSE)</f>
        <v>2.72</v>
      </c>
      <c r="AO152" s="109">
        <f t="shared" si="108"/>
        <v>29.93</v>
      </c>
      <c r="AP152" s="247">
        <f>VLOOKUP($A152,'Rate Calculation'!$A$4:$Q$208,17,FALSE)</f>
        <v>165.95</v>
      </c>
      <c r="AQ152" s="247">
        <f t="shared" si="124"/>
        <v>171.09</v>
      </c>
      <c r="AR152" s="247">
        <f>VLOOKUP($A152,'Rate Calculation'!$A$4:$K$208,11,FALSE)</f>
        <v>195.33</v>
      </c>
      <c r="AS152" s="247">
        <f t="shared" si="109"/>
        <v>201.39</v>
      </c>
      <c r="AT152" s="110">
        <f t="shared" si="110"/>
        <v>209.57</v>
      </c>
      <c r="AU152" s="110">
        <f t="shared" si="111"/>
        <v>256.64</v>
      </c>
      <c r="AV152" s="111">
        <f t="shared" si="112"/>
        <v>-34.29</v>
      </c>
      <c r="AW152" s="110">
        <f t="shared" si="113"/>
        <v>222.35</v>
      </c>
      <c r="AX152" s="105">
        <f t="shared" si="114"/>
        <v>209.52</v>
      </c>
      <c r="AY152" s="105">
        <f t="shared" si="115"/>
        <v>243.81</v>
      </c>
      <c r="AZ152" s="105">
        <f t="shared" si="116"/>
        <v>34.29</v>
      </c>
      <c r="BA152" s="105">
        <f t="shared" si="117"/>
        <v>267.79000000000002</v>
      </c>
      <c r="BB152" s="105">
        <f t="shared" si="118"/>
        <v>156.61000000000001</v>
      </c>
      <c r="BC152" s="110">
        <f t="shared" si="119"/>
        <v>398.68</v>
      </c>
      <c r="BD152" s="110">
        <f t="shared" si="120"/>
        <v>292.16000000000003</v>
      </c>
      <c r="BE152" s="110">
        <f t="shared" si="121"/>
        <v>180.98</v>
      </c>
      <c r="BF152" s="105"/>
      <c r="BG152" s="105"/>
      <c r="BH152" s="111"/>
      <c r="BI152" s="105"/>
      <c r="BJ152" s="105"/>
      <c r="BK152" s="109"/>
      <c r="BL152" s="111"/>
      <c r="BM152" s="109"/>
      <c r="BN152" s="109"/>
      <c r="BO152" s="105"/>
      <c r="BP152" s="105"/>
      <c r="BQ152" s="109"/>
      <c r="BR152" s="110"/>
      <c r="BS152" s="110"/>
      <c r="BT152" s="110"/>
      <c r="BU152" s="110"/>
      <c r="BV152" s="110"/>
      <c r="BW152" s="112"/>
      <c r="BX152" s="112"/>
      <c r="BY152" s="110"/>
      <c r="BZ152" s="105"/>
      <c r="CA152" s="105"/>
      <c r="CB152" s="105"/>
      <c r="CC152" s="105"/>
      <c r="CD152" s="105"/>
      <c r="CE152" s="105"/>
    </row>
    <row r="153" spans="1:83" x14ac:dyDescent="0.15">
      <c r="A153" s="103">
        <v>304</v>
      </c>
      <c r="B153" s="98" t="str">
        <f>VLOOKUP($A153,'Rate Calculation'!$A$4:$AQ$208,42,FALSE)</f>
        <v>883399100</v>
      </c>
      <c r="C153" s="98" t="str">
        <f>VLOOKUP($A153,'Rate Calculation'!$A$4:$AQ$208,43,FALSE)</f>
        <v>Montcare at Bethesda</v>
      </c>
      <c r="D153" s="98" t="str">
        <f>VLOOKUP($A153,'Rate Calculation'!$A$4:$F$208,5,FALSE)</f>
        <v>WASHINGTON METRO</v>
      </c>
      <c r="E153" s="98" t="str">
        <f>VLOOKUP($A153,'Rate Calculation'!$A$4:$F$208,6,FALSE)</f>
        <v>WASHINGTON METRO</v>
      </c>
      <c r="F153" s="105">
        <f t="shared" si="96"/>
        <v>103.73</v>
      </c>
      <c r="G153" s="105">
        <f t="shared" si="97"/>
        <v>19.829999999999998</v>
      </c>
      <c r="H153" s="105">
        <f t="shared" si="98"/>
        <v>31.44</v>
      </c>
      <c r="I153" s="105">
        <f t="shared" si="99"/>
        <v>181.87</v>
      </c>
      <c r="J153" s="105">
        <f>VLOOKUP($A153,'Rate Calculation'!$A$4:$AZ$208,34,FALSE)</f>
        <v>0</v>
      </c>
      <c r="K153" s="105">
        <f t="shared" si="122"/>
        <v>336.87</v>
      </c>
      <c r="L153" s="164">
        <f t="shared" si="100"/>
        <v>0.98772000000000004</v>
      </c>
      <c r="M153" s="105">
        <f t="shared" si="123"/>
        <v>332.73</v>
      </c>
      <c r="N153" s="105">
        <f>VLOOKUP($A153,'Rate Calculation'!$A$4:$AL$208,38,FALSE)</f>
        <v>22.37</v>
      </c>
      <c r="O153" s="183">
        <f>VLOOKUP($A153,'Rate Calculation'!$A$4:$I$208,9,FALSE)</f>
        <v>1.2564</v>
      </c>
      <c r="P153" s="183">
        <f t="shared" si="69"/>
        <v>1.4432</v>
      </c>
      <c r="Q153" s="183">
        <f>VLOOKUP(A153,'CMI Data'!$A$4:$C$208,3,FALSE)</f>
        <v>1.4463999999999999</v>
      </c>
      <c r="R153" s="246">
        <f>VLOOKUP($A153,FRV!$A$4:$K$208,11,FALSE)</f>
        <v>40260</v>
      </c>
      <c r="S153" s="246">
        <f t="shared" si="70"/>
        <v>32824</v>
      </c>
      <c r="T153" s="246">
        <f>VLOOKUP($A153,FRV!$A$4:$L$208,12,FALSE)</f>
        <v>37044</v>
      </c>
      <c r="U153" s="183">
        <f>Inflation!$G$24</f>
        <v>1.0309999999999999</v>
      </c>
      <c r="V153" s="247">
        <f>VLOOKUP($A153,'Rate Calculation'!A154:X357,24,FALSE)</f>
        <v>100.61</v>
      </c>
      <c r="W153" s="110">
        <f t="shared" si="101"/>
        <v>103.73</v>
      </c>
      <c r="X153" s="110">
        <f>VLOOKUP($A153,'Rate Calculation'!A154:V357,22,FALSE)</f>
        <v>19.23</v>
      </c>
      <c r="Y153" s="110">
        <f t="shared" si="102"/>
        <v>19.829999999999998</v>
      </c>
      <c r="Z153" s="212">
        <f>VLOOKUP($A153,FRV!$A$4:$D$208,4,FALSE)</f>
        <v>45474</v>
      </c>
      <c r="AA153" s="212">
        <f>VLOOKUP($A153,FRV!$A$4:$F$208,6,FALSE)</f>
        <v>45657</v>
      </c>
      <c r="AB153" s="248">
        <f>VLOOKUP($A153,FRV!$A$4:$U$208,13,FALSE)</f>
        <v>12499900</v>
      </c>
      <c r="AC153" s="248">
        <f>VLOOKUP($A153,FRV!$A$4:$U$208,15,FALSE)</f>
        <v>177655</v>
      </c>
      <c r="AD153" s="248">
        <f>VLOOKUP($A153,FRV!$A$4:$U$208,14,FALSE)</f>
        <v>34500</v>
      </c>
      <c r="AE153" s="248">
        <f>VLOOKUP($A153,FRV!$A$4:$U$208,7,FALSE)</f>
        <v>110</v>
      </c>
      <c r="AF153" s="107">
        <f t="shared" si="103"/>
        <v>16472555</v>
      </c>
      <c r="AG153" s="107">
        <f t="shared" si="104"/>
        <v>149751</v>
      </c>
      <c r="AH153" s="107">
        <v>120000</v>
      </c>
      <c r="AI153" s="107">
        <f t="shared" si="105"/>
        <v>120000</v>
      </c>
      <c r="AJ153" s="107">
        <f t="shared" si="106"/>
        <v>13200000</v>
      </c>
      <c r="AK153" s="249">
        <f>IF(VLOOKUP($A153,'Rate Calculation'!$A$4:$D$208,4,FALSE)="baltimore city",0.1,0.08)</f>
        <v>0.08</v>
      </c>
      <c r="AL153" s="107">
        <f t="shared" si="107"/>
        <v>1056000</v>
      </c>
      <c r="AM153" s="105">
        <f>IF(ISERROR(MATCH(A153&amp;AA153,'Days Exceptions'!$C$3:$C$16,0)),ROUND(AL153/(MAX(S153,T153)),2),ROUND(AL153/VLOOKUP(A153,'Days Exceptions'!$A$3:$J$16,8,FALSE),2))</f>
        <v>28.51</v>
      </c>
      <c r="AN153" s="213">
        <f>VLOOKUP($A153,'Rate Calculation'!$A$4:$AF$208,32,FALSE)</f>
        <v>2.93</v>
      </c>
      <c r="AO153" s="109">
        <f t="shared" si="108"/>
        <v>31.44</v>
      </c>
      <c r="AP153" s="247">
        <f>VLOOKUP($A153,'Rate Calculation'!$A$4:$Q$208,17,FALSE)</f>
        <v>148.16</v>
      </c>
      <c r="AQ153" s="247">
        <f t="shared" si="124"/>
        <v>152.75</v>
      </c>
      <c r="AR153" s="247">
        <f>VLOOKUP($A153,'Rate Calculation'!$A$4:$K$208,11,FALSE)</f>
        <v>176.01</v>
      </c>
      <c r="AS153" s="247">
        <f t="shared" si="109"/>
        <v>181.47</v>
      </c>
      <c r="AT153" s="110">
        <f t="shared" si="110"/>
        <v>157.97999999999999</v>
      </c>
      <c r="AU153" s="110">
        <f t="shared" si="111"/>
        <v>181.87</v>
      </c>
      <c r="AV153" s="111">
        <f t="shared" si="112"/>
        <v>0</v>
      </c>
      <c r="AW153" s="110">
        <f t="shared" si="113"/>
        <v>181.87</v>
      </c>
      <c r="AX153" s="105">
        <f t="shared" si="114"/>
        <v>175.85</v>
      </c>
      <c r="AY153" s="105">
        <f t="shared" si="115"/>
        <v>172.78</v>
      </c>
      <c r="AZ153" s="105">
        <f t="shared" si="116"/>
        <v>-3.07</v>
      </c>
      <c r="BA153" s="105">
        <f t="shared" si="117"/>
        <v>245.94</v>
      </c>
      <c r="BB153" s="105">
        <f t="shared" si="118"/>
        <v>155</v>
      </c>
      <c r="BC153" s="110">
        <f t="shared" si="119"/>
        <v>355.1</v>
      </c>
      <c r="BD153" s="110">
        <f t="shared" si="120"/>
        <v>268.31</v>
      </c>
      <c r="BE153" s="110">
        <f t="shared" si="121"/>
        <v>177.37</v>
      </c>
      <c r="BF153" s="105"/>
      <c r="BG153" s="105"/>
      <c r="BH153" s="111"/>
      <c r="BI153" s="105"/>
      <c r="BJ153" s="105"/>
      <c r="BK153" s="109"/>
      <c r="BL153" s="111"/>
      <c r="BM153" s="109"/>
      <c r="BN153" s="109"/>
      <c r="BO153" s="105"/>
      <c r="BP153" s="105"/>
      <c r="BQ153" s="109"/>
      <c r="BR153" s="110"/>
      <c r="BS153" s="110"/>
      <c r="BT153" s="110"/>
      <c r="BU153" s="110"/>
      <c r="BV153" s="110"/>
      <c r="BW153" s="112"/>
      <c r="BX153" s="112"/>
      <c r="BY153" s="110"/>
      <c r="BZ153" s="105"/>
      <c r="CA153" s="105"/>
      <c r="CB153" s="105"/>
      <c r="CC153" s="105"/>
      <c r="CD153" s="105"/>
      <c r="CE153" s="105"/>
    </row>
    <row r="154" spans="1:83" x14ac:dyDescent="0.15">
      <c r="A154" s="103">
        <v>306</v>
      </c>
      <c r="B154" s="98" t="str">
        <f>VLOOKUP($A154,'Rate Calculation'!$A$4:$AQ$208,42,FALSE)</f>
        <v>456044700</v>
      </c>
      <c r="C154" s="98" t="str">
        <f>VLOOKUP($A154,'Rate Calculation'!$A$4:$AQ$208,43,FALSE)</f>
        <v>Montcare at Potomac</v>
      </c>
      <c r="D154" s="98" t="str">
        <f>VLOOKUP($A154,'Rate Calculation'!$A$4:$F$208,5,FALSE)</f>
        <v>WASHINGTON METRO</v>
      </c>
      <c r="E154" s="98" t="str">
        <f>VLOOKUP($A154,'Rate Calculation'!$A$4:$F$208,6,FALSE)</f>
        <v>WASHINGTON METRO</v>
      </c>
      <c r="F154" s="105">
        <f t="shared" si="96"/>
        <v>103.73</v>
      </c>
      <c r="G154" s="105">
        <f t="shared" si="97"/>
        <v>19.829999999999998</v>
      </c>
      <c r="H154" s="105">
        <f t="shared" si="98"/>
        <v>33.74</v>
      </c>
      <c r="I154" s="105">
        <f t="shared" si="99"/>
        <v>183.09</v>
      </c>
      <c r="J154" s="105">
        <f>VLOOKUP($A154,'Rate Calculation'!$A$4:$AZ$208,34,FALSE)</f>
        <v>0</v>
      </c>
      <c r="K154" s="105">
        <f t="shared" si="122"/>
        <v>340.39</v>
      </c>
      <c r="L154" s="164">
        <f t="shared" si="100"/>
        <v>0.98772000000000004</v>
      </c>
      <c r="M154" s="105">
        <f t="shared" si="123"/>
        <v>336.21</v>
      </c>
      <c r="N154" s="105">
        <f>VLOOKUP($A154,'Rate Calculation'!$A$4:$AL$208,38,FALSE)</f>
        <v>20.47</v>
      </c>
      <c r="O154" s="183">
        <f>VLOOKUP($A154,'Rate Calculation'!$A$4:$I$208,9,FALSE)</f>
        <v>1.3651</v>
      </c>
      <c r="P154" s="183">
        <f t="shared" si="69"/>
        <v>1.4432</v>
      </c>
      <c r="Q154" s="183">
        <f>VLOOKUP(A154,'CMI Data'!$A$4:$C$208,3,FALSE)</f>
        <v>1.4560999999999999</v>
      </c>
      <c r="R154" s="246">
        <f>VLOOKUP($A154,FRV!$A$4:$K$208,11,FALSE)</f>
        <v>57670</v>
      </c>
      <c r="S154" s="246">
        <f t="shared" si="70"/>
        <v>47018</v>
      </c>
      <c r="T154" s="246">
        <f>VLOOKUP($A154,FRV!$A$4:$L$208,12,FALSE)</f>
        <v>52904</v>
      </c>
      <c r="U154" s="183">
        <f>Inflation!$G$24</f>
        <v>1.0309999999999999</v>
      </c>
      <c r="V154" s="247">
        <f>VLOOKUP($A154,'Rate Calculation'!A155:X358,24,FALSE)</f>
        <v>100.61</v>
      </c>
      <c r="W154" s="110">
        <f t="shared" si="101"/>
        <v>103.73</v>
      </c>
      <c r="X154" s="110">
        <f>VLOOKUP($A154,'Rate Calculation'!A155:V358,22,FALSE)</f>
        <v>19.23</v>
      </c>
      <c r="Y154" s="110">
        <f t="shared" si="102"/>
        <v>19.829999999999998</v>
      </c>
      <c r="Z154" s="212">
        <f>VLOOKUP($A154,FRV!$A$4:$D$208,4,FALSE)</f>
        <v>45108</v>
      </c>
      <c r="AA154" s="212">
        <f>VLOOKUP($A154,FRV!$A$4:$F$208,6,FALSE)</f>
        <v>45291</v>
      </c>
      <c r="AB154" s="248">
        <f>VLOOKUP($A154,FRV!$A$4:$U$208,13,FALSE)</f>
        <v>26102973</v>
      </c>
      <c r="AC154" s="248">
        <f>VLOOKUP($A154,FRV!$A$4:$U$208,15,FALSE)</f>
        <v>313397</v>
      </c>
      <c r="AD154" s="248">
        <f>VLOOKUP($A154,FRV!$A$4:$U$208,14,FALSE)</f>
        <v>29500</v>
      </c>
      <c r="AE154" s="248">
        <f>VLOOKUP($A154,FRV!$A$4:$U$208,7,FALSE)</f>
        <v>158</v>
      </c>
      <c r="AF154" s="107">
        <f t="shared" si="103"/>
        <v>31077370</v>
      </c>
      <c r="AG154" s="107">
        <f t="shared" si="104"/>
        <v>196692</v>
      </c>
      <c r="AH154" s="107">
        <v>120000</v>
      </c>
      <c r="AI154" s="107">
        <f t="shared" si="105"/>
        <v>120000</v>
      </c>
      <c r="AJ154" s="107">
        <f t="shared" si="106"/>
        <v>18960000</v>
      </c>
      <c r="AK154" s="249">
        <f>IF(VLOOKUP($A154,'Rate Calculation'!$A$4:$D$208,4,FALSE)="baltimore city",0.1,0.08)</f>
        <v>0.08</v>
      </c>
      <c r="AL154" s="107">
        <f t="shared" si="107"/>
        <v>1516800</v>
      </c>
      <c r="AM154" s="105">
        <f>IF(ISERROR(MATCH(A154&amp;AA154,'Days Exceptions'!$C$3:$C$16,0)),ROUND(AL154/(MAX(S154,T154)),2),ROUND(AL154/VLOOKUP(A154,'Days Exceptions'!$A$3:$J$16,8,FALSE),2))</f>
        <v>28.67</v>
      </c>
      <c r="AN154" s="213">
        <f>VLOOKUP($A154,'Rate Calculation'!$A$4:$AF$208,32,FALSE)</f>
        <v>5.07</v>
      </c>
      <c r="AO154" s="109">
        <f t="shared" si="108"/>
        <v>33.74</v>
      </c>
      <c r="AP154" s="247">
        <f>VLOOKUP($A154,'Rate Calculation'!$A$4:$Q$208,17,FALSE)</f>
        <v>179.4</v>
      </c>
      <c r="AQ154" s="247">
        <f t="shared" si="124"/>
        <v>184.96</v>
      </c>
      <c r="AR154" s="247">
        <f>VLOOKUP($A154,'Rate Calculation'!$A$4:$K$208,11,FALSE)</f>
        <v>176.01</v>
      </c>
      <c r="AS154" s="247">
        <f t="shared" si="109"/>
        <v>181.47</v>
      </c>
      <c r="AT154" s="110">
        <f t="shared" si="110"/>
        <v>171.65</v>
      </c>
      <c r="AU154" s="110">
        <f t="shared" si="111"/>
        <v>183.09</v>
      </c>
      <c r="AV154" s="111">
        <f t="shared" si="112"/>
        <v>0</v>
      </c>
      <c r="AW154" s="110">
        <f t="shared" si="113"/>
        <v>183.09</v>
      </c>
      <c r="AX154" s="105">
        <f t="shared" si="114"/>
        <v>197.29</v>
      </c>
      <c r="AY154" s="105">
        <f t="shared" si="115"/>
        <v>173.94</v>
      </c>
      <c r="AZ154" s="105">
        <f t="shared" si="116"/>
        <v>-23.35</v>
      </c>
      <c r="BA154" s="105">
        <f t="shared" si="117"/>
        <v>248.85</v>
      </c>
      <c r="BB154" s="105">
        <f t="shared" si="118"/>
        <v>157.30000000000001</v>
      </c>
      <c r="BC154" s="110">
        <f t="shared" si="119"/>
        <v>356.68</v>
      </c>
      <c r="BD154" s="110">
        <f t="shared" si="120"/>
        <v>269.32</v>
      </c>
      <c r="BE154" s="110">
        <f t="shared" si="121"/>
        <v>177.77</v>
      </c>
      <c r="BF154" s="105"/>
      <c r="BG154" s="105"/>
      <c r="BH154" s="111"/>
      <c r="BI154" s="105"/>
      <c r="BJ154" s="105"/>
      <c r="BK154" s="109"/>
      <c r="BL154" s="111"/>
      <c r="BM154" s="109"/>
      <c r="BN154" s="109"/>
      <c r="BO154" s="105"/>
      <c r="BP154" s="105"/>
      <c r="BQ154" s="109"/>
      <c r="BR154" s="110"/>
      <c r="BS154" s="110"/>
      <c r="BT154" s="110"/>
      <c r="BU154" s="110"/>
      <c r="BV154" s="110"/>
      <c r="BW154" s="112"/>
      <c r="BX154" s="112"/>
      <c r="BY154" s="110"/>
      <c r="BZ154" s="105"/>
      <c r="CA154" s="105"/>
      <c r="CB154" s="105"/>
      <c r="CC154" s="105"/>
      <c r="CD154" s="105"/>
      <c r="CE154" s="105"/>
    </row>
    <row r="155" spans="1:83" x14ac:dyDescent="0.15">
      <c r="A155" s="103">
        <v>308</v>
      </c>
      <c r="B155" s="98" t="str">
        <f>VLOOKUP($A155,'Rate Calculation'!$A$4:$AQ$208,42,FALSE)</f>
        <v>883398200</v>
      </c>
      <c r="C155" s="98" t="str">
        <f>VLOOKUP($A155,'Rate Calculation'!$A$4:$AQ$208,43,FALSE)</f>
        <v>Montcare at Wheaton</v>
      </c>
      <c r="D155" s="98" t="str">
        <f>VLOOKUP($A155,'Rate Calculation'!$A$4:$F$208,5,FALSE)</f>
        <v>WASHINGTON METRO</v>
      </c>
      <c r="E155" s="98" t="str">
        <f>VLOOKUP($A155,'Rate Calculation'!$A$4:$F$208,6,FALSE)</f>
        <v>WASHINGTON METRO</v>
      </c>
      <c r="F155" s="105">
        <f t="shared" si="96"/>
        <v>103.73</v>
      </c>
      <c r="G155" s="105">
        <f t="shared" si="97"/>
        <v>19.829999999999998</v>
      </c>
      <c r="H155" s="105">
        <f t="shared" si="98"/>
        <v>34.19</v>
      </c>
      <c r="I155" s="105">
        <f t="shared" si="99"/>
        <v>182.97</v>
      </c>
      <c r="J155" s="105">
        <f>VLOOKUP($A155,'Rate Calculation'!$A$4:$AZ$208,34,FALSE)</f>
        <v>0</v>
      </c>
      <c r="K155" s="105">
        <f t="shared" si="122"/>
        <v>340.72</v>
      </c>
      <c r="L155" s="164">
        <f t="shared" si="100"/>
        <v>0.98772000000000004</v>
      </c>
      <c r="M155" s="105">
        <f t="shared" si="123"/>
        <v>336.54</v>
      </c>
      <c r="N155" s="105">
        <f>VLOOKUP($A155,'Rate Calculation'!$A$4:$AL$208,38,FALSE)</f>
        <v>19.420000000000002</v>
      </c>
      <c r="O155" s="183">
        <f>VLOOKUP($A155,'Rate Calculation'!$A$4:$I$208,9,FALSE)</f>
        <v>1.304</v>
      </c>
      <c r="P155" s="183">
        <f t="shared" si="69"/>
        <v>1.4432</v>
      </c>
      <c r="Q155" s="183">
        <f>VLOOKUP(A155,'CMI Data'!$A$4:$C$208,3,FALSE)</f>
        <v>1.4551000000000001</v>
      </c>
      <c r="R155" s="246">
        <f>VLOOKUP($A155,FRV!$A$4:$K$208,11,FALSE)</f>
        <v>34310</v>
      </c>
      <c r="S155" s="246">
        <f t="shared" si="70"/>
        <v>27973</v>
      </c>
      <c r="T155" s="246">
        <f>VLOOKUP($A155,FRV!$A$4:$L$208,12,FALSE)</f>
        <v>28604</v>
      </c>
      <c r="U155" s="183">
        <f>Inflation!$G$24</f>
        <v>1.0309999999999999</v>
      </c>
      <c r="V155" s="247">
        <f>VLOOKUP($A155,'Rate Calculation'!A156:X359,24,FALSE)</f>
        <v>100.61</v>
      </c>
      <c r="W155" s="110">
        <f t="shared" si="101"/>
        <v>103.73</v>
      </c>
      <c r="X155" s="110">
        <f>VLOOKUP($A155,'Rate Calculation'!A156:V359,22,FALSE)</f>
        <v>19.23</v>
      </c>
      <c r="Y155" s="110">
        <f t="shared" si="102"/>
        <v>19.829999999999998</v>
      </c>
      <c r="Z155" s="212">
        <f>VLOOKUP($A155,FRV!$A$4:$D$208,4,FALSE)</f>
        <v>44743</v>
      </c>
      <c r="AA155" s="212">
        <f>VLOOKUP($A155,FRV!$A$4:$F$208,6,FALSE)</f>
        <v>44712</v>
      </c>
      <c r="AB155" s="248">
        <f>VLOOKUP($A155,FRV!$A$4:$U$208,13,FALSE)</f>
        <v>10217076</v>
      </c>
      <c r="AC155" s="248">
        <f>VLOOKUP($A155,FRV!$A$4:$U$208,15,FALSE)</f>
        <v>327161</v>
      </c>
      <c r="AD155" s="248">
        <f>VLOOKUP($A155,FRV!$A$4:$U$208,14,FALSE)</f>
        <v>45000</v>
      </c>
      <c r="AE155" s="248">
        <f>VLOOKUP($A155,FRV!$A$4:$U$208,7,FALSE)</f>
        <v>94</v>
      </c>
      <c r="AF155" s="107">
        <f t="shared" si="103"/>
        <v>14774237</v>
      </c>
      <c r="AG155" s="107">
        <f t="shared" si="104"/>
        <v>157173</v>
      </c>
      <c r="AH155" s="107">
        <v>120000</v>
      </c>
      <c r="AI155" s="107">
        <f t="shared" si="105"/>
        <v>120000</v>
      </c>
      <c r="AJ155" s="107">
        <f t="shared" si="106"/>
        <v>11280000</v>
      </c>
      <c r="AK155" s="249">
        <f>IF(VLOOKUP($A155,'Rate Calculation'!$A$4:$D$208,4,FALSE)="baltimore city",0.1,0.08)</f>
        <v>0.08</v>
      </c>
      <c r="AL155" s="107">
        <f t="shared" si="107"/>
        <v>902400</v>
      </c>
      <c r="AM155" s="105">
        <f>IF(ISERROR(MATCH(A155&amp;AA155,'Days Exceptions'!$C$3:$C$16,0)),ROUND(AL155/(MAX(S155,T155)),2),ROUND(AL155/VLOOKUP(A155,'Days Exceptions'!$A$3:$J$16,8,FALSE),2))</f>
        <v>31.55</v>
      </c>
      <c r="AN155" s="213">
        <f>VLOOKUP($A155,'Rate Calculation'!$A$4:$AF$208,32,FALSE)</f>
        <v>2.64</v>
      </c>
      <c r="AO155" s="109">
        <f t="shared" si="108"/>
        <v>34.19</v>
      </c>
      <c r="AP155" s="247">
        <f>VLOOKUP($A155,'Rate Calculation'!$A$4:$Q$208,17,FALSE)</f>
        <v>172.19</v>
      </c>
      <c r="AQ155" s="247">
        <f t="shared" si="124"/>
        <v>177.53</v>
      </c>
      <c r="AR155" s="247">
        <f>VLOOKUP($A155,'Rate Calculation'!$A$4:$K$208,11,FALSE)</f>
        <v>176.01</v>
      </c>
      <c r="AS155" s="247">
        <f t="shared" si="109"/>
        <v>181.47</v>
      </c>
      <c r="AT155" s="110">
        <f t="shared" si="110"/>
        <v>163.97</v>
      </c>
      <c r="AU155" s="110">
        <f t="shared" si="111"/>
        <v>182.97</v>
      </c>
      <c r="AV155" s="111">
        <f t="shared" si="112"/>
        <v>0</v>
      </c>
      <c r="AW155" s="110">
        <f t="shared" si="113"/>
        <v>182.97</v>
      </c>
      <c r="AX155" s="105">
        <f t="shared" si="114"/>
        <v>198.1</v>
      </c>
      <c r="AY155" s="105">
        <f t="shared" si="115"/>
        <v>173.82</v>
      </c>
      <c r="AZ155" s="105">
        <f t="shared" si="116"/>
        <v>-24.28</v>
      </c>
      <c r="BA155" s="105">
        <f t="shared" si="117"/>
        <v>249.24</v>
      </c>
      <c r="BB155" s="105">
        <f t="shared" si="118"/>
        <v>157.75</v>
      </c>
      <c r="BC155" s="110">
        <f t="shared" si="119"/>
        <v>355.96</v>
      </c>
      <c r="BD155" s="110">
        <f t="shared" si="120"/>
        <v>268.66000000000003</v>
      </c>
      <c r="BE155" s="110">
        <f t="shared" si="121"/>
        <v>177.17</v>
      </c>
      <c r="BF155" s="105"/>
      <c r="BG155" s="105"/>
      <c r="BH155" s="111"/>
      <c r="BI155" s="105"/>
      <c r="BJ155" s="105"/>
      <c r="BK155" s="109"/>
      <c r="BL155" s="111"/>
      <c r="BM155" s="109"/>
      <c r="BN155" s="109"/>
      <c r="BO155" s="105"/>
      <c r="BP155" s="105"/>
      <c r="BQ155" s="109"/>
      <c r="BR155" s="110"/>
      <c r="BS155" s="110"/>
      <c r="BT155" s="110"/>
      <c r="BU155" s="110"/>
      <c r="BV155" s="110"/>
      <c r="BW155" s="112"/>
      <c r="BX155" s="112"/>
      <c r="BY155" s="110"/>
      <c r="BZ155" s="105"/>
      <c r="CA155" s="105"/>
      <c r="CB155" s="105"/>
      <c r="CC155" s="105"/>
      <c r="CD155" s="105"/>
      <c r="CE155" s="105"/>
    </row>
    <row r="156" spans="1:83" x14ac:dyDescent="0.15">
      <c r="A156" s="103">
        <v>685</v>
      </c>
      <c r="B156" s="98" t="str">
        <f>VLOOKUP($A156,'Rate Calculation'!$A$4:$AQ$208,42,FALSE)</f>
        <v>425023100</v>
      </c>
      <c r="C156" s="98" t="str">
        <f>VLOOKUP($A156,'Rate Calculation'!$A$4:$AQ$208,43,FALSE)</f>
        <v>Montgomery Village Care Center</v>
      </c>
      <c r="D156" s="98" t="str">
        <f>VLOOKUP($A156,'Rate Calculation'!$A$4:$F$208,5,FALSE)</f>
        <v>WASHINGTON METRO</v>
      </c>
      <c r="E156" s="98" t="str">
        <f>VLOOKUP($A156,'Rate Calculation'!$A$4:$F$208,6,FALSE)</f>
        <v>WASHINGTON METRO</v>
      </c>
      <c r="F156" s="105">
        <f t="shared" si="96"/>
        <v>103.73</v>
      </c>
      <c r="G156" s="105">
        <f t="shared" si="97"/>
        <v>19.829999999999998</v>
      </c>
      <c r="H156" s="105">
        <f t="shared" si="98"/>
        <v>31.41</v>
      </c>
      <c r="I156" s="105">
        <f t="shared" si="99"/>
        <v>165.9</v>
      </c>
      <c r="J156" s="105">
        <f>VLOOKUP($A156,'Rate Calculation'!$A$4:$AZ$208,34,FALSE)</f>
        <v>0</v>
      </c>
      <c r="K156" s="105">
        <f t="shared" si="122"/>
        <v>320.87</v>
      </c>
      <c r="L156" s="164">
        <f t="shared" si="100"/>
        <v>0.98772000000000004</v>
      </c>
      <c r="M156" s="105">
        <f t="shared" si="123"/>
        <v>316.93</v>
      </c>
      <c r="N156" s="105">
        <f>VLOOKUP($A156,'Rate Calculation'!$A$4:$AL$208,38,FALSE)</f>
        <v>21.25</v>
      </c>
      <c r="O156" s="183">
        <f>VLOOKUP($A156,'Rate Calculation'!$A$4:$I$208,9,FALSE)</f>
        <v>1.5339</v>
      </c>
      <c r="P156" s="183">
        <f t="shared" si="69"/>
        <v>1.4432</v>
      </c>
      <c r="Q156" s="183">
        <f>VLOOKUP(A156,'CMI Data'!$A$4:$C$208,3,FALSE)</f>
        <v>1.514</v>
      </c>
      <c r="R156" s="246">
        <f>VLOOKUP($A156,FRV!$A$4:$K$208,11,FALSE)</f>
        <v>53655</v>
      </c>
      <c r="S156" s="246">
        <f t="shared" si="70"/>
        <v>43745</v>
      </c>
      <c r="T156" s="246">
        <f>VLOOKUP($A156,FRV!$A$4:$L$208,12,FALSE)</f>
        <v>52048</v>
      </c>
      <c r="U156" s="183">
        <f>Inflation!$G$24</f>
        <v>1.0309999999999999</v>
      </c>
      <c r="V156" s="247">
        <f>VLOOKUP($A156,'Rate Calculation'!A157:X360,24,FALSE)</f>
        <v>100.61</v>
      </c>
      <c r="W156" s="110">
        <f t="shared" si="101"/>
        <v>103.73</v>
      </c>
      <c r="X156" s="110">
        <f>VLOOKUP($A156,'Rate Calculation'!A157:V360,22,FALSE)</f>
        <v>19.23</v>
      </c>
      <c r="Y156" s="110">
        <f t="shared" si="102"/>
        <v>19.829999999999998</v>
      </c>
      <c r="Z156" s="212">
        <f>VLOOKUP($A156,FRV!$A$4:$D$208,4,FALSE)</f>
        <v>45108</v>
      </c>
      <c r="AA156" s="212">
        <f>VLOOKUP($A156,FRV!$A$4:$F$208,6,FALSE)</f>
        <v>45291</v>
      </c>
      <c r="AB156" s="248">
        <f>VLOOKUP($A156,FRV!$A$4:$U$208,13,FALSE)</f>
        <v>23279469</v>
      </c>
      <c r="AC156" s="248">
        <f>VLOOKUP($A156,FRV!$A$4:$U$208,15,FALSE)</f>
        <v>385237</v>
      </c>
      <c r="AD156" s="248">
        <f>VLOOKUP($A156,FRV!$A$4:$U$208,14,FALSE)</f>
        <v>24000</v>
      </c>
      <c r="AE156" s="248">
        <f>VLOOKUP($A156,FRV!$A$4:$U$208,7,FALSE)</f>
        <v>147</v>
      </c>
      <c r="AF156" s="107">
        <f t="shared" si="103"/>
        <v>27192706</v>
      </c>
      <c r="AG156" s="107">
        <f t="shared" si="104"/>
        <v>184984</v>
      </c>
      <c r="AH156" s="107">
        <v>120000</v>
      </c>
      <c r="AI156" s="107">
        <f t="shared" si="105"/>
        <v>120000</v>
      </c>
      <c r="AJ156" s="107">
        <f t="shared" si="106"/>
        <v>17640000</v>
      </c>
      <c r="AK156" s="249">
        <f>IF(VLOOKUP($A156,'Rate Calculation'!$A$4:$D$208,4,FALSE)="baltimore city",0.1,0.08)</f>
        <v>0.08</v>
      </c>
      <c r="AL156" s="107">
        <f t="shared" si="107"/>
        <v>1411200</v>
      </c>
      <c r="AM156" s="105">
        <f>IF(ISERROR(MATCH(A156&amp;AA156,'Days Exceptions'!$C$3:$C$16,0)),ROUND(AL156/(MAX(S156,T156)),2),ROUND(AL156/VLOOKUP(A156,'Days Exceptions'!$A$3:$J$16,8,FALSE),2))</f>
        <v>27.11</v>
      </c>
      <c r="AN156" s="213">
        <f>VLOOKUP($A156,'Rate Calculation'!$A$4:$AF$208,32,FALSE)</f>
        <v>4.3</v>
      </c>
      <c r="AO156" s="109">
        <f t="shared" si="108"/>
        <v>31.41</v>
      </c>
      <c r="AP156" s="247">
        <f>VLOOKUP($A156,'Rate Calculation'!$A$4:$Q$208,17,FALSE)</f>
        <v>153.68</v>
      </c>
      <c r="AQ156" s="247">
        <f t="shared" si="124"/>
        <v>158.44</v>
      </c>
      <c r="AR156" s="247">
        <f>VLOOKUP($A156,'Rate Calculation'!$A$4:$K$208,11,FALSE)</f>
        <v>176.01</v>
      </c>
      <c r="AS156" s="247">
        <f t="shared" si="109"/>
        <v>181.47</v>
      </c>
      <c r="AT156" s="110">
        <f t="shared" si="110"/>
        <v>192.87</v>
      </c>
      <c r="AU156" s="110">
        <f t="shared" si="111"/>
        <v>190.37</v>
      </c>
      <c r="AV156" s="111">
        <f t="shared" si="112"/>
        <v>-24.47</v>
      </c>
      <c r="AW156" s="110">
        <f t="shared" si="113"/>
        <v>165.9</v>
      </c>
      <c r="AX156" s="105">
        <f t="shared" si="114"/>
        <v>156.38</v>
      </c>
      <c r="AY156" s="105">
        <f t="shared" si="115"/>
        <v>180.85</v>
      </c>
      <c r="AZ156" s="105">
        <f t="shared" si="116"/>
        <v>24.47</v>
      </c>
      <c r="BA156" s="105">
        <f t="shared" si="117"/>
        <v>237.92</v>
      </c>
      <c r="BB156" s="105">
        <f t="shared" si="118"/>
        <v>154.97</v>
      </c>
      <c r="BC156" s="110">
        <f t="shared" si="119"/>
        <v>338.18</v>
      </c>
      <c r="BD156" s="110">
        <f t="shared" si="120"/>
        <v>259.17</v>
      </c>
      <c r="BE156" s="110">
        <f t="shared" si="121"/>
        <v>176.22</v>
      </c>
      <c r="BF156" s="105"/>
      <c r="BG156" s="105"/>
      <c r="BH156" s="111"/>
      <c r="BI156" s="105"/>
      <c r="BJ156" s="105"/>
      <c r="BK156" s="109"/>
      <c r="BL156" s="111"/>
      <c r="BM156" s="109"/>
      <c r="BN156" s="109"/>
      <c r="BO156" s="105"/>
      <c r="BP156" s="105"/>
      <c r="BQ156" s="109"/>
      <c r="BR156" s="110"/>
      <c r="BS156" s="110"/>
      <c r="BT156" s="110"/>
      <c r="BU156" s="110"/>
      <c r="BV156" s="110"/>
      <c r="BW156" s="112"/>
      <c r="BX156" s="112"/>
      <c r="BY156" s="110"/>
      <c r="BZ156" s="105"/>
      <c r="CA156" s="105"/>
      <c r="CB156" s="105"/>
      <c r="CC156" s="105"/>
      <c r="CD156" s="105"/>
      <c r="CE156" s="105"/>
    </row>
    <row r="157" spans="1:83" x14ac:dyDescent="0.15">
      <c r="A157" s="103">
        <v>340</v>
      </c>
      <c r="B157" s="98" t="str">
        <f>VLOOKUP($A157,'Rate Calculation'!$A$4:$AQ$208,42,FALSE)</f>
        <v>500178100</v>
      </c>
      <c r="C157" s="98" t="str">
        <f>VLOOKUP($A157,'Rate Calculation'!$A$4:$AQ$208,43,FALSE)</f>
        <v>Moran Nursing &amp; Rehabilitation Center</v>
      </c>
      <c r="D157" s="98" t="str">
        <f>VLOOKUP($A157,'Rate Calculation'!$A$4:$F$208,5,FALSE)</f>
        <v>WESTERN REGION</v>
      </c>
      <c r="E157" s="98" t="str">
        <f>VLOOKUP($A157,'Rate Calculation'!$A$4:$F$208,6,FALSE)</f>
        <v>NON METRO</v>
      </c>
      <c r="F157" s="105">
        <f t="shared" si="96"/>
        <v>92.33</v>
      </c>
      <c r="G157" s="105">
        <f t="shared" si="97"/>
        <v>20.87</v>
      </c>
      <c r="H157" s="105">
        <f t="shared" si="98"/>
        <v>34.19</v>
      </c>
      <c r="I157" s="105">
        <f t="shared" si="99"/>
        <v>148.59</v>
      </c>
      <c r="J157" s="105">
        <f>VLOOKUP($A157,'Rate Calculation'!$A$4:$AZ$208,34,FALSE)</f>
        <v>0</v>
      </c>
      <c r="K157" s="105">
        <f t="shared" si="122"/>
        <v>295.98</v>
      </c>
      <c r="L157" s="164">
        <f t="shared" si="100"/>
        <v>0.98772000000000004</v>
      </c>
      <c r="M157" s="105">
        <f t="shared" si="123"/>
        <v>292.35000000000002</v>
      </c>
      <c r="N157" s="105">
        <f>VLOOKUP($A157,'Rate Calculation'!$A$4:$AL$208,38,FALSE)</f>
        <v>28.05</v>
      </c>
      <c r="O157" s="183">
        <f>VLOOKUP($A157,'Rate Calculation'!$A$4:$I$208,9,FALSE)</f>
        <v>1.2083999999999999</v>
      </c>
      <c r="P157" s="183">
        <f t="shared" si="69"/>
        <v>1.4432</v>
      </c>
      <c r="Q157" s="183">
        <f>VLOOKUP(A157,'CMI Data'!$A$4:$C$208,3,FALSE)</f>
        <v>1.2511000000000001</v>
      </c>
      <c r="R157" s="246">
        <f>VLOOKUP($A157,FRV!$A$4:$K$208,11,FALSE)</f>
        <v>43920</v>
      </c>
      <c r="S157" s="246">
        <f t="shared" si="70"/>
        <v>35808</v>
      </c>
      <c r="T157" s="246">
        <f>VLOOKUP($A157,FRV!$A$4:$L$208,12,FALSE)</f>
        <v>25586</v>
      </c>
      <c r="U157" s="183">
        <f>Inflation!$G$24</f>
        <v>1.0309999999999999</v>
      </c>
      <c r="V157" s="247">
        <f>VLOOKUP($A157,'Rate Calculation'!A158:X361,24,FALSE)</f>
        <v>89.55</v>
      </c>
      <c r="W157" s="110">
        <f t="shared" si="101"/>
        <v>92.33</v>
      </c>
      <c r="X157" s="110">
        <f>VLOOKUP($A157,'Rate Calculation'!A158:V361,22,FALSE)</f>
        <v>20.239999999999998</v>
      </c>
      <c r="Y157" s="110">
        <f t="shared" si="102"/>
        <v>20.87</v>
      </c>
      <c r="Z157" s="212">
        <f>VLOOKUP($A157,FRV!$A$4:$D$208,4,FALSE)</f>
        <v>45474</v>
      </c>
      <c r="AA157" s="212">
        <f>VLOOKUP($A157,FRV!$A$4:$F$208,6,FALSE)</f>
        <v>45657</v>
      </c>
      <c r="AB157" s="248">
        <f>VLOOKUP($A157,FRV!$A$4:$U$208,13,FALSE)</f>
        <v>13331348</v>
      </c>
      <c r="AC157" s="248">
        <f>VLOOKUP($A157,FRV!$A$4:$U$208,15,FALSE)</f>
        <v>245443</v>
      </c>
      <c r="AD157" s="248">
        <f>VLOOKUP($A157,FRV!$A$4:$U$208,14,FALSE)</f>
        <v>12000</v>
      </c>
      <c r="AE157" s="248">
        <f>VLOOKUP($A157,FRV!$A$4:$U$208,7,FALSE)</f>
        <v>120</v>
      </c>
      <c r="AF157" s="107">
        <f t="shared" si="103"/>
        <v>15016791</v>
      </c>
      <c r="AG157" s="107">
        <f t="shared" si="104"/>
        <v>125140</v>
      </c>
      <c r="AH157" s="107">
        <v>120000</v>
      </c>
      <c r="AI157" s="107">
        <f t="shared" si="105"/>
        <v>120000</v>
      </c>
      <c r="AJ157" s="107">
        <f t="shared" si="106"/>
        <v>14400000</v>
      </c>
      <c r="AK157" s="249">
        <f>IF(VLOOKUP($A157,'Rate Calculation'!$A$4:$D$208,4,FALSE)="baltimore city",0.1,0.08)</f>
        <v>0.08</v>
      </c>
      <c r="AL157" s="107">
        <f t="shared" si="107"/>
        <v>1152000</v>
      </c>
      <c r="AM157" s="105">
        <f>IF(ISERROR(MATCH(A157&amp;AA157,'Days Exceptions'!$C$3:$C$16,0)),ROUND(AL157/(MAX(S157,T157)),2),ROUND(AL157/VLOOKUP(A157,'Days Exceptions'!$A$3:$J$16,8,FALSE),2))</f>
        <v>32.17</v>
      </c>
      <c r="AN157" s="213">
        <f>VLOOKUP($A157,'Rate Calculation'!$A$4:$AF$208,32,FALSE)</f>
        <v>2.02</v>
      </c>
      <c r="AO157" s="109">
        <f t="shared" si="108"/>
        <v>34.19</v>
      </c>
      <c r="AP157" s="247">
        <f>VLOOKUP($A157,'Rate Calculation'!$A$4:$Q$208,17,FALSE)</f>
        <v>137.66</v>
      </c>
      <c r="AQ157" s="247">
        <f t="shared" si="124"/>
        <v>141.93</v>
      </c>
      <c r="AR157" s="247">
        <f>VLOOKUP($A157,'Rate Calculation'!$A$4:$K$208,11,FALSE)</f>
        <v>166.26</v>
      </c>
      <c r="AS157" s="247">
        <f t="shared" si="109"/>
        <v>171.41</v>
      </c>
      <c r="AT157" s="110">
        <f t="shared" si="110"/>
        <v>143.52000000000001</v>
      </c>
      <c r="AU157" s="110">
        <f t="shared" si="111"/>
        <v>148.59</v>
      </c>
      <c r="AV157" s="111">
        <f t="shared" si="112"/>
        <v>0</v>
      </c>
      <c r="AW157" s="110">
        <f t="shared" si="113"/>
        <v>148.59</v>
      </c>
      <c r="AX157" s="105">
        <f t="shared" si="114"/>
        <v>146.94999999999999</v>
      </c>
      <c r="AY157" s="105">
        <f t="shared" si="115"/>
        <v>141.16</v>
      </c>
      <c r="AZ157" s="105">
        <f t="shared" si="116"/>
        <v>-5.79</v>
      </c>
      <c r="BA157" s="105">
        <f t="shared" si="117"/>
        <v>221.69</v>
      </c>
      <c r="BB157" s="105">
        <f t="shared" si="118"/>
        <v>147.38999999999999</v>
      </c>
      <c r="BC157" s="110">
        <f t="shared" si="119"/>
        <v>320.39999999999998</v>
      </c>
      <c r="BD157" s="110">
        <f t="shared" si="120"/>
        <v>249.74</v>
      </c>
      <c r="BE157" s="110">
        <f t="shared" si="121"/>
        <v>175.44</v>
      </c>
      <c r="BF157" s="105"/>
      <c r="BG157" s="105"/>
      <c r="BH157" s="111"/>
      <c r="BI157" s="105"/>
      <c r="BJ157" s="105"/>
      <c r="BK157" s="109"/>
      <c r="BL157" s="111"/>
      <c r="BM157" s="109"/>
      <c r="BN157" s="109"/>
      <c r="BO157" s="105"/>
      <c r="BP157" s="105"/>
      <c r="BQ157" s="109"/>
      <c r="BR157" s="110"/>
      <c r="BS157" s="110"/>
      <c r="BT157" s="110"/>
      <c r="BU157" s="110"/>
      <c r="BV157" s="110"/>
      <c r="BW157" s="112"/>
      <c r="BX157" s="112"/>
      <c r="BY157" s="110"/>
      <c r="BZ157" s="105"/>
      <c r="CA157" s="105"/>
      <c r="CB157" s="105"/>
      <c r="CC157" s="105"/>
      <c r="CD157" s="105"/>
      <c r="CE157" s="105"/>
    </row>
    <row r="158" spans="1:83" x14ac:dyDescent="0.15">
      <c r="A158" s="103">
        <v>348</v>
      </c>
      <c r="B158" s="98" t="str">
        <f>VLOOKUP($A158,'Rate Calculation'!$A$4:$AQ$208,42,FALSE)</f>
        <v>200129200</v>
      </c>
      <c r="C158" s="98" t="str">
        <f>VLOOKUP($A158,'Rate Calculation'!$A$4:$AQ$208,43,FALSE)</f>
        <v>Northampton Manor Nursing &amp; Rehabilitation Center</v>
      </c>
      <c r="D158" s="98" t="str">
        <f>VLOOKUP($A158,'Rate Calculation'!$A$4:$F$208,5,FALSE)</f>
        <v>WASHINGTON METRO</v>
      </c>
      <c r="E158" s="98" t="str">
        <f>VLOOKUP($A158,'Rate Calculation'!$A$4:$F$208,6,FALSE)</f>
        <v>NON METRO</v>
      </c>
      <c r="F158" s="105">
        <f t="shared" si="96"/>
        <v>92.33</v>
      </c>
      <c r="G158" s="105">
        <f t="shared" si="97"/>
        <v>20.87</v>
      </c>
      <c r="H158" s="105">
        <f t="shared" si="98"/>
        <v>35.94</v>
      </c>
      <c r="I158" s="105">
        <f t="shared" si="99"/>
        <v>165.84</v>
      </c>
      <c r="J158" s="105">
        <f>VLOOKUP($A158,'Rate Calculation'!$A$4:$AZ$208,34,FALSE)</f>
        <v>0</v>
      </c>
      <c r="K158" s="105">
        <f t="shared" si="122"/>
        <v>314.98</v>
      </c>
      <c r="L158" s="164">
        <f t="shared" si="100"/>
        <v>0.98772000000000004</v>
      </c>
      <c r="M158" s="105">
        <f t="shared" si="123"/>
        <v>311.11</v>
      </c>
      <c r="N158" s="105">
        <f>VLOOKUP($A158,'Rate Calculation'!$A$4:$AL$208,38,FALSE)</f>
        <v>28.47</v>
      </c>
      <c r="O158" s="183">
        <f>VLOOKUP($A158,'Rate Calculation'!$A$4:$I$208,9,FALSE)</f>
        <v>1.2695000000000001</v>
      </c>
      <c r="P158" s="183">
        <f t="shared" si="69"/>
        <v>1.4432</v>
      </c>
      <c r="Q158" s="183">
        <f>VLOOKUP(A158,'CMI Data'!$A$4:$C$208,3,FALSE)</f>
        <v>1.3189</v>
      </c>
      <c r="R158" s="246">
        <f>VLOOKUP($A158,FRV!$A$4:$K$208,11,FALSE)</f>
        <v>71540</v>
      </c>
      <c r="S158" s="246">
        <f t="shared" si="70"/>
        <v>58327</v>
      </c>
      <c r="T158" s="246">
        <f>VLOOKUP($A158,FRV!$A$4:$L$208,12,FALSE)</f>
        <v>36944</v>
      </c>
      <c r="U158" s="183">
        <f>Inflation!$G$24</f>
        <v>1.0309999999999999</v>
      </c>
      <c r="V158" s="247">
        <f>VLOOKUP($A158,'Rate Calculation'!A159:X362,24,FALSE)</f>
        <v>89.55</v>
      </c>
      <c r="W158" s="110">
        <f t="shared" si="101"/>
        <v>92.33</v>
      </c>
      <c r="X158" s="110">
        <f>VLOOKUP($A158,'Rate Calculation'!A159:V362,22,FALSE)</f>
        <v>20.239999999999998</v>
      </c>
      <c r="Y158" s="110">
        <f t="shared" si="102"/>
        <v>20.87</v>
      </c>
      <c r="Z158" s="212">
        <f>VLOOKUP($A158,FRV!$A$4:$D$208,4,FALSE)</f>
        <v>44743</v>
      </c>
      <c r="AA158" s="212">
        <f>VLOOKUP($A158,FRV!$A$4:$F$208,6,FALSE)</f>
        <v>44926</v>
      </c>
      <c r="AB158" s="248">
        <f>VLOOKUP($A158,FRV!$A$4:$U$208,13,FALSE)</f>
        <v>21792366</v>
      </c>
      <c r="AC158" s="248">
        <f>VLOOKUP($A158,FRV!$A$4:$U$208,15,FALSE)</f>
        <v>369634</v>
      </c>
      <c r="AD158" s="248">
        <f>VLOOKUP($A158,FRV!$A$4:$U$208,14,FALSE)</f>
        <v>25000</v>
      </c>
      <c r="AE158" s="248">
        <f>VLOOKUP($A158,FRV!$A$4:$U$208,7,FALSE)</f>
        <v>196</v>
      </c>
      <c r="AF158" s="107">
        <f t="shared" si="103"/>
        <v>27062000</v>
      </c>
      <c r="AG158" s="107">
        <f t="shared" si="104"/>
        <v>138071</v>
      </c>
      <c r="AH158" s="107">
        <v>120000</v>
      </c>
      <c r="AI158" s="107">
        <f t="shared" si="105"/>
        <v>120000</v>
      </c>
      <c r="AJ158" s="107">
        <f t="shared" si="106"/>
        <v>23520000</v>
      </c>
      <c r="AK158" s="249">
        <f>IF(VLOOKUP($A158,'Rate Calculation'!$A$4:$D$208,4,FALSE)="baltimore city",0.1,0.08)</f>
        <v>0.08</v>
      </c>
      <c r="AL158" s="107">
        <f t="shared" si="107"/>
        <v>1881600</v>
      </c>
      <c r="AM158" s="105">
        <f>IF(ISERROR(MATCH(A158&amp;AA158,'Days Exceptions'!$C$3:$C$16,0)),ROUND(AL158/(MAX(S158,T158)),2),ROUND(AL158/VLOOKUP(A158,'Days Exceptions'!$A$3:$J$16,8,FALSE),2))</f>
        <v>32.26</v>
      </c>
      <c r="AN158" s="213">
        <f>VLOOKUP($A158,'Rate Calculation'!$A$4:$AF$208,32,FALSE)</f>
        <v>3.68</v>
      </c>
      <c r="AO158" s="109">
        <f t="shared" si="108"/>
        <v>35.94</v>
      </c>
      <c r="AP158" s="247">
        <f>VLOOKUP($A158,'Rate Calculation'!$A$4:$Q$208,17,FALSE)</f>
        <v>148.28</v>
      </c>
      <c r="AQ158" s="247">
        <f t="shared" si="124"/>
        <v>152.88</v>
      </c>
      <c r="AR158" s="247">
        <f>VLOOKUP($A158,'Rate Calculation'!$A$4:$K$208,11,FALSE)</f>
        <v>176.01</v>
      </c>
      <c r="AS158" s="247">
        <f t="shared" si="109"/>
        <v>181.47</v>
      </c>
      <c r="AT158" s="110">
        <f t="shared" si="110"/>
        <v>159.63</v>
      </c>
      <c r="AU158" s="110">
        <f t="shared" si="111"/>
        <v>165.84</v>
      </c>
      <c r="AV158" s="111">
        <f t="shared" si="112"/>
        <v>0</v>
      </c>
      <c r="AW158" s="110">
        <f t="shared" si="113"/>
        <v>165.84</v>
      </c>
      <c r="AX158" s="105">
        <f t="shared" si="114"/>
        <v>158.83000000000001</v>
      </c>
      <c r="AY158" s="105">
        <f t="shared" si="115"/>
        <v>157.55000000000001</v>
      </c>
      <c r="AZ158" s="105">
        <f t="shared" si="116"/>
        <v>-1.28</v>
      </c>
      <c r="BA158" s="105">
        <f t="shared" si="117"/>
        <v>232.06</v>
      </c>
      <c r="BB158" s="105">
        <f t="shared" si="118"/>
        <v>149.13999999999999</v>
      </c>
      <c r="BC158" s="110">
        <f t="shared" si="119"/>
        <v>339.58</v>
      </c>
      <c r="BD158" s="110">
        <f t="shared" si="120"/>
        <v>260.52999999999997</v>
      </c>
      <c r="BE158" s="110">
        <f t="shared" si="121"/>
        <v>177.61</v>
      </c>
      <c r="BF158" s="105"/>
      <c r="BG158" s="105"/>
      <c r="BH158" s="111"/>
      <c r="BI158" s="105"/>
      <c r="BJ158" s="105"/>
      <c r="BK158" s="109"/>
      <c r="BL158" s="111"/>
      <c r="BM158" s="109"/>
      <c r="BN158" s="109"/>
      <c r="BO158" s="105"/>
      <c r="BP158" s="105"/>
      <c r="BQ158" s="109"/>
      <c r="BR158" s="110"/>
      <c r="BS158" s="110"/>
      <c r="BT158" s="110"/>
      <c r="BU158" s="110"/>
      <c r="BV158" s="110"/>
      <c r="BW158" s="112"/>
      <c r="BX158" s="112"/>
      <c r="BY158" s="110"/>
      <c r="BZ158" s="105"/>
      <c r="CA158" s="105"/>
      <c r="CB158" s="105"/>
      <c r="CC158" s="105"/>
      <c r="CD158" s="105"/>
      <c r="CE158" s="105"/>
    </row>
    <row r="159" spans="1:83" x14ac:dyDescent="0.15">
      <c r="A159" s="103">
        <v>719</v>
      </c>
      <c r="B159" s="98" t="str">
        <f>VLOOKUP($A159,'Rate Calculation'!$A$4:$AQ$208,42,FALSE)</f>
        <v>420836600</v>
      </c>
      <c r="C159" s="98" t="str">
        <f>VLOOKUP($A159,'Rate Calculation'!$A$4:$AQ$208,43,FALSE)</f>
        <v>Northwest Nursing and Rehabilitation Center</v>
      </c>
      <c r="D159" s="98" t="str">
        <f>VLOOKUP($A159,'Rate Calculation'!$A$4:$F$208,5,FALSE)</f>
        <v>BALTIMORE METRO</v>
      </c>
      <c r="E159" s="98" t="str">
        <f>VLOOKUP($A159,'Rate Calculation'!$A$4:$F$208,6,FALSE)</f>
        <v>BALTIMORE CITY</v>
      </c>
      <c r="F159" s="105">
        <f t="shared" si="96"/>
        <v>117.69</v>
      </c>
      <c r="G159" s="105">
        <f t="shared" si="97"/>
        <v>25.66</v>
      </c>
      <c r="H159" s="105">
        <f t="shared" si="98"/>
        <v>38.270000000000003</v>
      </c>
      <c r="I159" s="105">
        <f t="shared" si="99"/>
        <v>158.58000000000001</v>
      </c>
      <c r="J159" s="105">
        <f>VLOOKUP($A159,'Rate Calculation'!$A$4:$AZ$208,34,FALSE)</f>
        <v>0</v>
      </c>
      <c r="K159" s="105">
        <f t="shared" si="122"/>
        <v>340.2</v>
      </c>
      <c r="L159" s="164">
        <f t="shared" si="100"/>
        <v>0.98772000000000004</v>
      </c>
      <c r="M159" s="105">
        <f t="shared" si="123"/>
        <v>336.02</v>
      </c>
      <c r="N159" s="105">
        <f>VLOOKUP($A159,'Rate Calculation'!$A$4:$AL$208,38,FALSE)</f>
        <v>32.49</v>
      </c>
      <c r="O159" s="183">
        <f>VLOOKUP($A159,'Rate Calculation'!$A$4:$I$208,9,FALSE)</f>
        <v>1.0797000000000001</v>
      </c>
      <c r="P159" s="183">
        <f t="shared" si="69"/>
        <v>1.4432</v>
      </c>
      <c r="Q159" s="183">
        <f>VLOOKUP(A159,'CMI Data'!$A$4:$C$208,3,FALSE)</f>
        <v>1.1553</v>
      </c>
      <c r="R159" s="246">
        <f>VLOOKUP($A159,FRV!$A$4:$K$208,11,FALSE)</f>
        <v>33215</v>
      </c>
      <c r="S159" s="246">
        <f t="shared" si="70"/>
        <v>27080</v>
      </c>
      <c r="T159" s="246">
        <f>VLOOKUP($A159,FRV!$A$4:$L$208,12,FALSE)</f>
        <v>25580</v>
      </c>
      <c r="U159" s="183">
        <f>Inflation!$G$24</f>
        <v>1.0309999999999999</v>
      </c>
      <c r="V159" s="247">
        <f>VLOOKUP($A159,'Rate Calculation'!A160:X363,24,FALSE)</f>
        <v>114.15</v>
      </c>
      <c r="W159" s="110">
        <f t="shared" si="101"/>
        <v>117.69</v>
      </c>
      <c r="X159" s="110">
        <f>VLOOKUP($A159,'Rate Calculation'!A160:V363,22,FALSE)</f>
        <v>24.89</v>
      </c>
      <c r="Y159" s="110">
        <f t="shared" si="102"/>
        <v>25.66</v>
      </c>
      <c r="Z159" s="212">
        <f>VLOOKUP($A159,FRV!$A$4:$D$208,4,FALSE)</f>
        <v>45108</v>
      </c>
      <c r="AA159" s="212">
        <f>VLOOKUP($A159,FRV!$A$4:$F$208,6,FALSE)</f>
        <v>45107</v>
      </c>
      <c r="AB159" s="248">
        <f>VLOOKUP($A159,FRV!$A$4:$U$208,13,FALSE)</f>
        <v>7476845</v>
      </c>
      <c r="AC159" s="248">
        <f>VLOOKUP($A159,FRV!$A$4:$U$208,15,FALSE)</f>
        <v>178593</v>
      </c>
      <c r="AD159" s="248">
        <f>VLOOKUP($A159,FRV!$A$4:$U$208,14,FALSE)</f>
        <v>20000</v>
      </c>
      <c r="AE159" s="248">
        <f>VLOOKUP($A159,FRV!$A$4:$U$208,7,FALSE)</f>
        <v>91</v>
      </c>
      <c r="AF159" s="107">
        <f t="shared" si="103"/>
        <v>9475438</v>
      </c>
      <c r="AG159" s="107">
        <f t="shared" si="104"/>
        <v>104126</v>
      </c>
      <c r="AH159" s="107">
        <v>120000</v>
      </c>
      <c r="AI159" s="107">
        <f t="shared" si="105"/>
        <v>104126</v>
      </c>
      <c r="AJ159" s="107">
        <f t="shared" si="106"/>
        <v>9475466</v>
      </c>
      <c r="AK159" s="249">
        <f>IF(VLOOKUP($A159,'Rate Calculation'!$A$4:$D$208,4,FALSE)="baltimore city",0.1,0.08)</f>
        <v>0.1</v>
      </c>
      <c r="AL159" s="107">
        <f t="shared" si="107"/>
        <v>947547</v>
      </c>
      <c r="AM159" s="105">
        <f>IF(ISERROR(MATCH(A159&amp;AA159,'Days Exceptions'!$C$3:$C$16,0)),ROUND(AL159/(MAX(S159,T159)),2),ROUND(AL159/VLOOKUP(A159,'Days Exceptions'!$A$3:$J$16,8,FALSE),2))</f>
        <v>34.99</v>
      </c>
      <c r="AN159" s="213">
        <f>VLOOKUP($A159,'Rate Calculation'!$A$4:$AF$208,32,FALSE)</f>
        <v>3.28</v>
      </c>
      <c r="AO159" s="109">
        <f t="shared" si="108"/>
        <v>38.270000000000003</v>
      </c>
      <c r="AP159" s="247">
        <f>VLOOKUP($A159,'Rate Calculation'!$A$4:$Q$208,17,FALSE)</f>
        <v>136.44</v>
      </c>
      <c r="AQ159" s="247">
        <f t="shared" si="124"/>
        <v>140.66999999999999</v>
      </c>
      <c r="AR159" s="247">
        <f>VLOOKUP($A159,'Rate Calculation'!$A$4:$K$208,11,FALSE)</f>
        <v>195.33</v>
      </c>
      <c r="AS159" s="247">
        <f t="shared" si="109"/>
        <v>201.39</v>
      </c>
      <c r="AT159" s="110">
        <f t="shared" si="110"/>
        <v>150.66999999999999</v>
      </c>
      <c r="AU159" s="110">
        <f t="shared" si="111"/>
        <v>161.22</v>
      </c>
      <c r="AV159" s="111">
        <f t="shared" si="112"/>
        <v>-2.64</v>
      </c>
      <c r="AW159" s="110">
        <f t="shared" si="113"/>
        <v>158.58000000000001</v>
      </c>
      <c r="AX159" s="105">
        <f t="shared" si="114"/>
        <v>150.52000000000001</v>
      </c>
      <c r="AY159" s="105">
        <f t="shared" si="115"/>
        <v>153.16</v>
      </c>
      <c r="AZ159" s="105">
        <f t="shared" si="116"/>
        <v>2.64</v>
      </c>
      <c r="BA159" s="105">
        <f t="shared" si="117"/>
        <v>260.91000000000003</v>
      </c>
      <c r="BB159" s="105">
        <f t="shared" si="118"/>
        <v>181.62</v>
      </c>
      <c r="BC159" s="110">
        <f t="shared" si="119"/>
        <v>368.51</v>
      </c>
      <c r="BD159" s="110">
        <f t="shared" si="120"/>
        <v>293.39999999999998</v>
      </c>
      <c r="BE159" s="110">
        <f t="shared" si="121"/>
        <v>214.11</v>
      </c>
      <c r="BF159" s="105"/>
      <c r="BG159" s="105"/>
      <c r="BH159" s="111"/>
      <c r="BI159" s="105"/>
      <c r="BJ159" s="105"/>
      <c r="BK159" s="109"/>
      <c r="BL159" s="111"/>
      <c r="BM159" s="109"/>
      <c r="BN159" s="109"/>
      <c r="BO159" s="105"/>
      <c r="BP159" s="105"/>
      <c r="BQ159" s="109"/>
      <c r="BR159" s="110"/>
      <c r="BS159" s="110"/>
      <c r="BT159" s="110"/>
      <c r="BU159" s="110"/>
      <c r="BV159" s="110"/>
      <c r="BW159" s="112"/>
      <c r="BX159" s="112"/>
      <c r="BY159" s="110"/>
      <c r="BZ159" s="105"/>
      <c r="CA159" s="105"/>
      <c r="CB159" s="105"/>
      <c r="CC159" s="105"/>
      <c r="CD159" s="105"/>
      <c r="CE159" s="105"/>
    </row>
    <row r="160" spans="1:83" x14ac:dyDescent="0.15">
      <c r="A160" s="103">
        <v>354</v>
      </c>
      <c r="B160" s="98" t="str">
        <f>VLOOKUP($A160,'Rate Calculation'!$A$4:$AQ$208,42,FALSE)</f>
        <v>189541900</v>
      </c>
      <c r="C160" s="98" t="str">
        <f>VLOOKUP($A160,'Rate Calculation'!$A$4:$AQ$208,43,FALSE)</f>
        <v>Oak Crest Village, Inc.</v>
      </c>
      <c r="D160" s="98" t="str">
        <f>VLOOKUP($A160,'Rate Calculation'!$A$4:$F$208,5,FALSE)</f>
        <v>BALTIMORE METRO</v>
      </c>
      <c r="E160" s="98" t="str">
        <f>VLOOKUP($A160,'Rate Calculation'!$A$4:$F$208,6,FALSE)</f>
        <v>BALTIMORE METRO</v>
      </c>
      <c r="F160" s="105">
        <f t="shared" si="96"/>
        <v>105.18</v>
      </c>
      <c r="G160" s="105">
        <f t="shared" si="97"/>
        <v>21.5</v>
      </c>
      <c r="H160" s="105">
        <f t="shared" si="98"/>
        <v>32.54</v>
      </c>
      <c r="I160" s="105">
        <f t="shared" si="99"/>
        <v>184.73</v>
      </c>
      <c r="J160" s="105">
        <f>VLOOKUP($A160,'Rate Calculation'!$A$4:$AZ$208,34,FALSE)</f>
        <v>0</v>
      </c>
      <c r="K160" s="105">
        <f t="shared" si="122"/>
        <v>343.95</v>
      </c>
      <c r="L160" s="164">
        <f t="shared" si="100"/>
        <v>0.98772000000000004</v>
      </c>
      <c r="M160" s="105">
        <f t="shared" si="123"/>
        <v>339.73</v>
      </c>
      <c r="N160" s="105">
        <f>VLOOKUP($A160,'Rate Calculation'!$A$4:$AL$208,38,FALSE)</f>
        <v>0</v>
      </c>
      <c r="O160" s="183">
        <f>VLOOKUP($A160,'Rate Calculation'!$A$4:$I$208,9,FALSE)</f>
        <v>1.3480000000000001</v>
      </c>
      <c r="P160" s="183">
        <f t="shared" si="69"/>
        <v>1.4432</v>
      </c>
      <c r="Q160" s="183">
        <f>VLOOKUP(A160,'CMI Data'!$A$4:$C$208,3,FALSE)</f>
        <v>1.3238000000000001</v>
      </c>
      <c r="R160" s="246">
        <f>VLOOKUP($A160,FRV!$A$4:$K$208,11,FALSE)</f>
        <v>58400</v>
      </c>
      <c r="S160" s="246">
        <f t="shared" si="70"/>
        <v>47614</v>
      </c>
      <c r="T160" s="246">
        <f>VLOOKUP($A160,FRV!$A$4:$L$208,12,FALSE)</f>
        <v>37320</v>
      </c>
      <c r="U160" s="183">
        <f>Inflation!$G$24</f>
        <v>1.0309999999999999</v>
      </c>
      <c r="V160" s="247">
        <f>VLOOKUP($A160,'Rate Calculation'!A161:X364,24,FALSE)</f>
        <v>102.02</v>
      </c>
      <c r="W160" s="110">
        <f t="shared" si="101"/>
        <v>105.18</v>
      </c>
      <c r="X160" s="110">
        <f>VLOOKUP($A160,'Rate Calculation'!A161:V364,22,FALSE)</f>
        <v>20.85</v>
      </c>
      <c r="Y160" s="110">
        <f t="shared" si="102"/>
        <v>21.5</v>
      </c>
      <c r="Z160" s="212">
        <f>VLOOKUP($A160,FRV!$A$4:$D$208,4,FALSE)</f>
        <v>45108</v>
      </c>
      <c r="AA160" s="212">
        <f>VLOOKUP($A160,FRV!$A$4:$F$208,6,FALSE)</f>
        <v>45291</v>
      </c>
      <c r="AB160" s="248">
        <f>VLOOKUP($A160,FRV!$A$4:$U$208,13,FALSE)</f>
        <v>30654464</v>
      </c>
      <c r="AC160" s="248">
        <f>VLOOKUP($A160,FRV!$A$4:$U$208,15,FALSE)</f>
        <v>169845</v>
      </c>
      <c r="AD160" s="248">
        <f>VLOOKUP($A160,FRV!$A$4:$U$208,14,FALSE)</f>
        <v>19500</v>
      </c>
      <c r="AE160" s="248">
        <f>VLOOKUP($A160,FRV!$A$4:$U$208,7,FALSE)</f>
        <v>160</v>
      </c>
      <c r="AF160" s="107">
        <f t="shared" si="103"/>
        <v>33944309</v>
      </c>
      <c r="AG160" s="107">
        <f t="shared" si="104"/>
        <v>212152</v>
      </c>
      <c r="AH160" s="107">
        <v>120000</v>
      </c>
      <c r="AI160" s="107">
        <f t="shared" si="105"/>
        <v>120000</v>
      </c>
      <c r="AJ160" s="107">
        <f t="shared" si="106"/>
        <v>19200000</v>
      </c>
      <c r="AK160" s="249">
        <f>IF(VLOOKUP($A160,'Rate Calculation'!$A$4:$D$208,4,FALSE)="baltimore city",0.1,0.08)</f>
        <v>0.08</v>
      </c>
      <c r="AL160" s="107">
        <f t="shared" si="107"/>
        <v>1536000</v>
      </c>
      <c r="AM160" s="105">
        <f>IF(ISERROR(MATCH(A160&amp;AA160,'Days Exceptions'!$C$3:$C$16,0)),ROUND(AL160/(MAX(S160,T160)),2),ROUND(AL160/VLOOKUP(A160,'Days Exceptions'!$A$3:$J$16,8,FALSE),2))</f>
        <v>32.26</v>
      </c>
      <c r="AN160" s="213">
        <f>VLOOKUP($A160,'Rate Calculation'!$A$4:$AF$208,32,FALSE)</f>
        <v>0.28000000000000003</v>
      </c>
      <c r="AO160" s="109">
        <f t="shared" si="108"/>
        <v>32.54</v>
      </c>
      <c r="AP160" s="247">
        <f>VLOOKUP($A160,'Rate Calculation'!$A$4:$Q$208,17,FALSE)</f>
        <v>259.49</v>
      </c>
      <c r="AQ160" s="247">
        <f t="shared" si="124"/>
        <v>267.52999999999997</v>
      </c>
      <c r="AR160" s="247">
        <f>VLOOKUP($A160,'Rate Calculation'!$A$4:$K$208,11,FALSE)</f>
        <v>195.33</v>
      </c>
      <c r="AS160" s="247">
        <f t="shared" si="109"/>
        <v>201.39</v>
      </c>
      <c r="AT160" s="110">
        <f t="shared" si="110"/>
        <v>188.11</v>
      </c>
      <c r="AU160" s="110">
        <f t="shared" si="111"/>
        <v>184.73</v>
      </c>
      <c r="AV160" s="111">
        <f t="shared" si="112"/>
        <v>0</v>
      </c>
      <c r="AW160" s="110">
        <f t="shared" si="113"/>
        <v>184.73</v>
      </c>
      <c r="AX160" s="105">
        <f t="shared" si="114"/>
        <v>262.73</v>
      </c>
      <c r="AY160" s="105">
        <f t="shared" si="115"/>
        <v>175.49</v>
      </c>
      <c r="AZ160" s="105">
        <f t="shared" si="116"/>
        <v>-87.24</v>
      </c>
      <c r="BA160" s="105">
        <f t="shared" si="117"/>
        <v>251.59</v>
      </c>
      <c r="BB160" s="105">
        <f t="shared" si="118"/>
        <v>159.22</v>
      </c>
      <c r="BC160" s="110">
        <f t="shared" si="119"/>
        <v>339.73</v>
      </c>
      <c r="BD160" s="110">
        <f t="shared" si="120"/>
        <v>251.59</v>
      </c>
      <c r="BE160" s="110">
        <f t="shared" si="121"/>
        <v>159.22</v>
      </c>
      <c r="BF160" s="105"/>
      <c r="BG160" s="105"/>
      <c r="BH160" s="111"/>
      <c r="BI160" s="105"/>
      <c r="BJ160" s="105"/>
      <c r="BK160" s="109"/>
      <c r="BL160" s="111"/>
      <c r="BM160" s="109"/>
      <c r="BN160" s="109"/>
      <c r="BO160" s="105"/>
      <c r="BP160" s="105"/>
      <c r="BQ160" s="109"/>
      <c r="BR160" s="110"/>
      <c r="BS160" s="110"/>
      <c r="BT160" s="110"/>
      <c r="BU160" s="110"/>
      <c r="BV160" s="110"/>
      <c r="BW160" s="112"/>
      <c r="BX160" s="112"/>
      <c r="BY160" s="110"/>
      <c r="BZ160" s="105"/>
      <c r="CA160" s="105"/>
      <c r="CB160" s="105"/>
      <c r="CC160" s="105"/>
      <c r="CD160" s="105"/>
      <c r="CE160" s="105"/>
    </row>
    <row r="161" spans="1:83" x14ac:dyDescent="0.15">
      <c r="A161" s="103">
        <v>675</v>
      </c>
      <c r="B161" s="98" t="str">
        <f>VLOOKUP($A161,'Rate Calculation'!$A$4:$AQ$208,42,FALSE)</f>
        <v>500179000</v>
      </c>
      <c r="C161" s="98" t="str">
        <f>VLOOKUP($A161,'Rate Calculation'!$A$4:$AQ$208,43,FALSE)</f>
        <v>Oakland Nursing and Rehabilitation Center</v>
      </c>
      <c r="D161" s="98" t="str">
        <f>VLOOKUP($A161,'Rate Calculation'!$A$4:$F$208,5,FALSE)</f>
        <v>WESTERN REGION</v>
      </c>
      <c r="E161" s="98" t="str">
        <f>VLOOKUP($A161,'Rate Calculation'!$A$4:$F$208,6,FALSE)</f>
        <v>NON METRO</v>
      </c>
      <c r="F161" s="105">
        <f t="shared" si="96"/>
        <v>92.33</v>
      </c>
      <c r="G161" s="105">
        <f t="shared" si="97"/>
        <v>20.87</v>
      </c>
      <c r="H161" s="105">
        <f t="shared" si="98"/>
        <v>34.94</v>
      </c>
      <c r="I161" s="105">
        <f t="shared" si="99"/>
        <v>152.77000000000001</v>
      </c>
      <c r="J161" s="105">
        <f>VLOOKUP($A161,'Rate Calculation'!$A$4:$AZ$208,34,FALSE)</f>
        <v>0</v>
      </c>
      <c r="K161" s="105">
        <f t="shared" si="122"/>
        <v>300.91000000000003</v>
      </c>
      <c r="L161" s="164">
        <f t="shared" si="100"/>
        <v>0.98772000000000004</v>
      </c>
      <c r="M161" s="105">
        <f t="shared" si="123"/>
        <v>297.20999999999998</v>
      </c>
      <c r="N161" s="105">
        <f>VLOOKUP($A161,'Rate Calculation'!$A$4:$AL$208,38,FALSE)</f>
        <v>29.53</v>
      </c>
      <c r="O161" s="183">
        <f>VLOOKUP($A161,'Rate Calculation'!$A$4:$I$208,9,FALSE)</f>
        <v>1.4092</v>
      </c>
      <c r="P161" s="183">
        <f t="shared" si="69"/>
        <v>1.4432</v>
      </c>
      <c r="Q161" s="183">
        <f>VLOOKUP(A161,'CMI Data'!$A$4:$C$208,3,FALSE)</f>
        <v>1.2863</v>
      </c>
      <c r="R161" s="246">
        <f>VLOOKUP($A161,FRV!$A$4:$K$208,11,FALSE)</f>
        <v>36500</v>
      </c>
      <c r="S161" s="246">
        <f t="shared" si="70"/>
        <v>29758</v>
      </c>
      <c r="T161" s="246">
        <f>VLOOKUP($A161,FRV!$A$4:$L$208,12,FALSE)</f>
        <v>16836</v>
      </c>
      <c r="U161" s="183">
        <f>Inflation!$G$24</f>
        <v>1.0309999999999999</v>
      </c>
      <c r="V161" s="247">
        <f>VLOOKUP($A161,'Rate Calculation'!A162:X365,24,FALSE)</f>
        <v>89.55</v>
      </c>
      <c r="W161" s="110">
        <f t="shared" si="101"/>
        <v>92.33</v>
      </c>
      <c r="X161" s="110">
        <f>VLOOKUP($A161,'Rate Calculation'!A162:V365,22,FALSE)</f>
        <v>20.239999999999998</v>
      </c>
      <c r="Y161" s="110">
        <f t="shared" si="102"/>
        <v>20.87</v>
      </c>
      <c r="Z161" s="212">
        <f>VLOOKUP($A161,FRV!$A$4:$D$208,4,FALSE)</f>
        <v>44743</v>
      </c>
      <c r="AA161" s="212">
        <f>VLOOKUP($A161,FRV!$A$4:$F$208,6,FALSE)</f>
        <v>44926</v>
      </c>
      <c r="AB161" s="248">
        <f>VLOOKUP($A161,FRV!$A$4:$U$208,13,FALSE)</f>
        <v>14884825</v>
      </c>
      <c r="AC161" s="248">
        <f>VLOOKUP($A161,FRV!$A$4:$U$208,15,FALSE)</f>
        <v>292194</v>
      </c>
      <c r="AD161" s="248">
        <f>VLOOKUP($A161,FRV!$A$4:$U$208,14,FALSE)</f>
        <v>10000</v>
      </c>
      <c r="AE161" s="248">
        <f>VLOOKUP($A161,FRV!$A$4:$U$208,7,FALSE)</f>
        <v>100</v>
      </c>
      <c r="AF161" s="107">
        <f t="shared" si="103"/>
        <v>16177019</v>
      </c>
      <c r="AG161" s="107">
        <f t="shared" si="104"/>
        <v>161770</v>
      </c>
      <c r="AH161" s="107">
        <v>120000</v>
      </c>
      <c r="AI161" s="107">
        <f t="shared" si="105"/>
        <v>120000</v>
      </c>
      <c r="AJ161" s="107">
        <f t="shared" si="106"/>
        <v>12000000</v>
      </c>
      <c r="AK161" s="249">
        <f>IF(VLOOKUP($A161,'Rate Calculation'!$A$4:$D$208,4,FALSE)="baltimore city",0.1,0.08)</f>
        <v>0.08</v>
      </c>
      <c r="AL161" s="107">
        <f t="shared" si="107"/>
        <v>960000</v>
      </c>
      <c r="AM161" s="105">
        <f>IF(ISERROR(MATCH(A161&amp;AA161,'Days Exceptions'!$C$3:$C$16,0)),ROUND(AL161/(MAX(S161,T161)),2),ROUND(AL161/VLOOKUP(A161,'Days Exceptions'!$A$3:$J$16,8,FALSE),2))</f>
        <v>32.26</v>
      </c>
      <c r="AN161" s="213">
        <f>VLOOKUP($A161,'Rate Calculation'!$A$4:$AF$208,32,FALSE)</f>
        <v>2.68</v>
      </c>
      <c r="AO161" s="109">
        <f t="shared" si="108"/>
        <v>34.94</v>
      </c>
      <c r="AP161" s="247">
        <f>VLOOKUP($A161,'Rate Calculation'!$A$4:$Q$208,17,FALSE)</f>
        <v>192.86</v>
      </c>
      <c r="AQ161" s="247">
        <f t="shared" si="124"/>
        <v>198.84</v>
      </c>
      <c r="AR161" s="247">
        <f>VLOOKUP($A161,'Rate Calculation'!$A$4:$K$208,11,FALSE)</f>
        <v>166.26</v>
      </c>
      <c r="AS161" s="247">
        <f t="shared" si="109"/>
        <v>171.41</v>
      </c>
      <c r="AT161" s="110">
        <f t="shared" si="110"/>
        <v>167.37</v>
      </c>
      <c r="AU161" s="110">
        <f t="shared" si="111"/>
        <v>152.77000000000001</v>
      </c>
      <c r="AV161" s="111">
        <f t="shared" si="112"/>
        <v>0</v>
      </c>
      <c r="AW161" s="110">
        <f t="shared" si="113"/>
        <v>152.77000000000001</v>
      </c>
      <c r="AX161" s="105">
        <f t="shared" si="114"/>
        <v>181.5</v>
      </c>
      <c r="AY161" s="105">
        <f t="shared" si="115"/>
        <v>145.13</v>
      </c>
      <c r="AZ161" s="105">
        <f t="shared" si="116"/>
        <v>-36.369999999999997</v>
      </c>
      <c r="BA161" s="105">
        <f t="shared" si="117"/>
        <v>224.53</v>
      </c>
      <c r="BB161" s="105">
        <f t="shared" si="118"/>
        <v>148.13999999999999</v>
      </c>
      <c r="BC161" s="110">
        <f t="shared" si="119"/>
        <v>326.74</v>
      </c>
      <c r="BD161" s="110">
        <f t="shared" si="120"/>
        <v>254.06</v>
      </c>
      <c r="BE161" s="110">
        <f t="shared" si="121"/>
        <v>177.67</v>
      </c>
      <c r="BF161" s="105"/>
      <c r="BG161" s="105"/>
      <c r="BH161" s="111"/>
      <c r="BI161" s="105"/>
      <c r="BJ161" s="105"/>
      <c r="BK161" s="109"/>
      <c r="BL161" s="111"/>
      <c r="BM161" s="109"/>
      <c r="BN161" s="109"/>
      <c r="BO161" s="105"/>
      <c r="BP161" s="105"/>
      <c r="BQ161" s="109"/>
      <c r="BR161" s="110"/>
      <c r="BS161" s="110"/>
      <c r="BT161" s="110"/>
      <c r="BU161" s="110"/>
      <c r="BV161" s="110"/>
      <c r="BW161" s="112"/>
      <c r="BX161" s="112"/>
      <c r="BY161" s="110"/>
      <c r="BZ161" s="105"/>
      <c r="CA161" s="105"/>
      <c r="CB161" s="105"/>
      <c r="CC161" s="105"/>
      <c r="CD161" s="105"/>
      <c r="CE161" s="105"/>
    </row>
    <row r="162" spans="1:83" x14ac:dyDescent="0.15">
      <c r="A162" s="103">
        <v>248</v>
      </c>
      <c r="B162" s="98" t="str">
        <f>VLOOKUP($A162,'Rate Calculation'!$A$4:$AQ$208,42,FALSE)</f>
        <v>918222500</v>
      </c>
      <c r="C162" s="98" t="str">
        <f>VLOOKUP($A162,'Rate Calculation'!$A$4:$AQ$208,43,FALSE)</f>
        <v>Oakwood Care Center</v>
      </c>
      <c r="D162" s="98" t="str">
        <f>VLOOKUP($A162,'Rate Calculation'!$A$4:$F$208,5,FALSE)</f>
        <v>BALTIMORE METRO</v>
      </c>
      <c r="E162" s="98" t="str">
        <f>VLOOKUP($A162,'Rate Calculation'!$A$4:$F$208,6,FALSE)</f>
        <v>BALTIMORE METRO</v>
      </c>
      <c r="F162" s="105">
        <f t="shared" si="96"/>
        <v>105.18</v>
      </c>
      <c r="G162" s="105">
        <f t="shared" si="97"/>
        <v>21.5</v>
      </c>
      <c r="H162" s="105">
        <f t="shared" si="98"/>
        <v>24.75</v>
      </c>
      <c r="I162" s="105">
        <f t="shared" si="99"/>
        <v>177.8</v>
      </c>
      <c r="J162" s="105">
        <f>VLOOKUP($A162,'Rate Calculation'!$A$4:$AZ$208,34,FALSE)</f>
        <v>0</v>
      </c>
      <c r="K162" s="105">
        <f t="shared" si="122"/>
        <v>329.23</v>
      </c>
      <c r="L162" s="164">
        <f t="shared" si="100"/>
        <v>0.98772000000000004</v>
      </c>
      <c r="M162" s="105">
        <f t="shared" si="123"/>
        <v>325.19</v>
      </c>
      <c r="N162" s="105">
        <f>VLOOKUP($A162,'Rate Calculation'!$A$4:$AL$208,38,FALSE)</f>
        <v>25.77</v>
      </c>
      <c r="O162" s="183">
        <f>VLOOKUP($A162,'Rate Calculation'!$A$4:$I$208,9,FALSE)</f>
        <v>1.4258</v>
      </c>
      <c r="P162" s="183">
        <f t="shared" si="69"/>
        <v>1.4432</v>
      </c>
      <c r="Q162" s="183">
        <f>VLOOKUP(A162,'CMI Data'!$A$4:$C$208,3,FALSE)</f>
        <v>1.4254</v>
      </c>
      <c r="R162" s="246">
        <f>VLOOKUP($A162,FRV!$A$4:$K$208,11,FALSE)</f>
        <v>47450</v>
      </c>
      <c r="S162" s="246">
        <f t="shared" si="70"/>
        <v>38686</v>
      </c>
      <c r="T162" s="246">
        <f>VLOOKUP($A162,FRV!$A$4:$L$208,12,FALSE)</f>
        <v>41995</v>
      </c>
      <c r="U162" s="183">
        <f>Inflation!$G$24</f>
        <v>1.0309999999999999</v>
      </c>
      <c r="V162" s="247">
        <f>VLOOKUP($A162,'Rate Calculation'!A163:X366,24,FALSE)</f>
        <v>102.02</v>
      </c>
      <c r="W162" s="110">
        <f t="shared" si="101"/>
        <v>105.18</v>
      </c>
      <c r="X162" s="110">
        <f>VLOOKUP($A162,'Rate Calculation'!A163:V366,22,FALSE)</f>
        <v>20.85</v>
      </c>
      <c r="Y162" s="110">
        <f t="shared" si="102"/>
        <v>21.5</v>
      </c>
      <c r="Z162" s="212">
        <f>VLOOKUP($A162,FRV!$A$4:$D$208,4,FALSE)</f>
        <v>45108</v>
      </c>
      <c r="AA162" s="212">
        <f>VLOOKUP($A162,FRV!$A$4:$F$208,6,FALSE)</f>
        <v>45107</v>
      </c>
      <c r="AB162" s="248">
        <f>VLOOKUP($A162,FRV!$A$4:$U$208,13,FALSE)</f>
        <v>9761352</v>
      </c>
      <c r="AC162" s="248">
        <f>VLOOKUP($A162,FRV!$A$4:$U$208,15,FALSE)</f>
        <v>156309</v>
      </c>
      <c r="AD162" s="248">
        <f>VLOOKUP($A162,FRV!$A$4:$U$208,14,FALSE)</f>
        <v>17500</v>
      </c>
      <c r="AE162" s="248">
        <f>VLOOKUP($A162,FRV!$A$4:$U$208,7,FALSE)</f>
        <v>130</v>
      </c>
      <c r="AF162" s="107">
        <f t="shared" si="103"/>
        <v>12192661</v>
      </c>
      <c r="AG162" s="107">
        <f t="shared" si="104"/>
        <v>93790</v>
      </c>
      <c r="AH162" s="107">
        <v>120000</v>
      </c>
      <c r="AI162" s="107">
        <f t="shared" si="105"/>
        <v>93790</v>
      </c>
      <c r="AJ162" s="107">
        <f t="shared" si="106"/>
        <v>12192700</v>
      </c>
      <c r="AK162" s="249">
        <f>IF(VLOOKUP($A162,'Rate Calculation'!$A$4:$D$208,4,FALSE)="baltimore city",0.1,0.08)</f>
        <v>0.08</v>
      </c>
      <c r="AL162" s="107">
        <f t="shared" si="107"/>
        <v>975416</v>
      </c>
      <c r="AM162" s="105">
        <f>IF(ISERROR(MATCH(A162&amp;AA162,'Days Exceptions'!$C$3:$C$16,0)),ROUND(AL162/(MAX(S162,T162)),2),ROUND(AL162/VLOOKUP(A162,'Days Exceptions'!$A$3:$J$16,8,FALSE),2))</f>
        <v>23.23</v>
      </c>
      <c r="AN162" s="213">
        <f>VLOOKUP($A162,'Rate Calculation'!$A$4:$AF$208,32,FALSE)</f>
        <v>1.52</v>
      </c>
      <c r="AO162" s="109">
        <f t="shared" si="108"/>
        <v>24.75</v>
      </c>
      <c r="AP162" s="247">
        <f>VLOOKUP($A162,'Rate Calculation'!$A$4:$Q$208,17,FALSE)</f>
        <v>162.86000000000001</v>
      </c>
      <c r="AQ162" s="247">
        <f t="shared" si="124"/>
        <v>167.91</v>
      </c>
      <c r="AR162" s="247">
        <f>VLOOKUP($A162,'Rate Calculation'!$A$4:$K$208,11,FALSE)</f>
        <v>195.33</v>
      </c>
      <c r="AS162" s="247">
        <f t="shared" si="109"/>
        <v>201.39</v>
      </c>
      <c r="AT162" s="110">
        <f t="shared" si="110"/>
        <v>198.96</v>
      </c>
      <c r="AU162" s="110">
        <f t="shared" si="111"/>
        <v>198.9</v>
      </c>
      <c r="AV162" s="111">
        <f t="shared" si="112"/>
        <v>-21.1</v>
      </c>
      <c r="AW162" s="110">
        <f t="shared" si="113"/>
        <v>177.8</v>
      </c>
      <c r="AX162" s="105">
        <f t="shared" si="114"/>
        <v>167.86</v>
      </c>
      <c r="AY162" s="105">
        <f t="shared" si="115"/>
        <v>188.96</v>
      </c>
      <c r="AZ162" s="105">
        <f t="shared" si="116"/>
        <v>21.1</v>
      </c>
      <c r="BA162" s="105">
        <f t="shared" si="117"/>
        <v>240.33</v>
      </c>
      <c r="BB162" s="105">
        <f t="shared" si="118"/>
        <v>151.43</v>
      </c>
      <c r="BC162" s="110">
        <f t="shared" si="119"/>
        <v>350.96</v>
      </c>
      <c r="BD162" s="110">
        <f t="shared" si="120"/>
        <v>266.10000000000002</v>
      </c>
      <c r="BE162" s="110">
        <f t="shared" si="121"/>
        <v>177.2</v>
      </c>
      <c r="BF162" s="105"/>
      <c r="BG162" s="105"/>
      <c r="BH162" s="111"/>
      <c r="BI162" s="105"/>
      <c r="BJ162" s="105"/>
      <c r="BK162" s="109"/>
      <c r="BL162" s="111"/>
      <c r="BM162" s="109"/>
      <c r="BN162" s="109"/>
      <c r="BO162" s="105"/>
      <c r="BP162" s="105"/>
      <c r="BQ162" s="109"/>
      <c r="BR162" s="110"/>
      <c r="BS162" s="110"/>
      <c r="BT162" s="110"/>
      <c r="BU162" s="110"/>
      <c r="BV162" s="110"/>
      <c r="BW162" s="112"/>
      <c r="BX162" s="112"/>
      <c r="BY162" s="110"/>
      <c r="BZ162" s="105"/>
      <c r="CA162" s="105"/>
      <c r="CB162" s="105"/>
      <c r="CC162" s="105"/>
      <c r="CD162" s="105"/>
      <c r="CE162" s="105"/>
    </row>
    <row r="163" spans="1:83" x14ac:dyDescent="0.15">
      <c r="A163" s="103">
        <v>318</v>
      </c>
      <c r="B163" s="98" t="str">
        <f>VLOOKUP($A163,'Rate Calculation'!$A$4:$AQ$208,42,FALSE)</f>
        <v>600194700</v>
      </c>
      <c r="C163" s="98" t="str">
        <f>VLOOKUP($A163,'Rate Calculation'!$A$4:$AQ$208,43,FALSE)</f>
        <v>Orchard Hill Rehabilitation and Healthcare Center</v>
      </c>
      <c r="D163" s="98" t="str">
        <f>VLOOKUP($A163,'Rate Calculation'!$A$4:$F$208,5,FALSE)</f>
        <v>BALTIMORE METRO</v>
      </c>
      <c r="E163" s="98" t="str">
        <f>VLOOKUP($A163,'Rate Calculation'!$A$4:$F$208,6,FALSE)</f>
        <v>BALTIMORE METRO</v>
      </c>
      <c r="F163" s="105">
        <f t="shared" si="96"/>
        <v>105.18</v>
      </c>
      <c r="G163" s="105">
        <f t="shared" si="97"/>
        <v>21.5</v>
      </c>
      <c r="H163" s="105">
        <f t="shared" si="98"/>
        <v>30.07</v>
      </c>
      <c r="I163" s="105">
        <f t="shared" si="99"/>
        <v>212.97</v>
      </c>
      <c r="J163" s="105">
        <f>VLOOKUP($A163,'Rate Calculation'!$A$4:$AZ$208,34,FALSE)</f>
        <v>0</v>
      </c>
      <c r="K163" s="105">
        <f t="shared" si="122"/>
        <v>369.72</v>
      </c>
      <c r="L163" s="164">
        <f t="shared" si="100"/>
        <v>0.98772000000000004</v>
      </c>
      <c r="M163" s="105">
        <f t="shared" si="123"/>
        <v>365.18</v>
      </c>
      <c r="N163" s="105">
        <f>VLOOKUP($A163,'Rate Calculation'!$A$4:$AL$208,38,FALSE)</f>
        <v>26.21</v>
      </c>
      <c r="O163" s="183">
        <f>VLOOKUP($A163,'Rate Calculation'!$A$4:$I$208,9,FALSE)</f>
        <v>1.4552</v>
      </c>
      <c r="P163" s="183">
        <f t="shared" si="69"/>
        <v>1.4432</v>
      </c>
      <c r="Q163" s="183">
        <f>VLOOKUP(A163,'CMI Data'!$A$4:$C$208,3,FALSE)</f>
        <v>1.6072</v>
      </c>
      <c r="R163" s="246">
        <f>VLOOKUP($A163,FRV!$A$4:$K$208,11,FALSE)</f>
        <v>50874</v>
      </c>
      <c r="S163" s="246">
        <f t="shared" si="70"/>
        <v>41478</v>
      </c>
      <c r="T163" s="246">
        <f>VLOOKUP($A163,FRV!$A$4:$L$208,12,FALSE)</f>
        <v>43826</v>
      </c>
      <c r="U163" s="183">
        <f>Inflation!$G$24</f>
        <v>1.0309999999999999</v>
      </c>
      <c r="V163" s="247">
        <f>VLOOKUP($A163,'Rate Calculation'!A164:X367,24,FALSE)</f>
        <v>102.02</v>
      </c>
      <c r="W163" s="110">
        <f t="shared" si="101"/>
        <v>105.18</v>
      </c>
      <c r="X163" s="110">
        <f>VLOOKUP($A163,'Rate Calculation'!A164:V367,22,FALSE)</f>
        <v>20.85</v>
      </c>
      <c r="Y163" s="110">
        <f t="shared" si="102"/>
        <v>21.5</v>
      </c>
      <c r="Z163" s="212">
        <f>VLOOKUP($A163,FRV!$A$4:$D$208,4,FALSE)</f>
        <v>45474</v>
      </c>
      <c r="AA163" s="212">
        <f>VLOOKUP($A163,FRV!$A$4:$F$208,6,FALSE)</f>
        <v>45657</v>
      </c>
      <c r="AB163" s="248">
        <f>VLOOKUP($A163,FRV!$A$4:$U$208,13,FALSE)</f>
        <v>11203504</v>
      </c>
      <c r="AC163" s="248">
        <f>VLOOKUP($A163,FRV!$A$4:$U$208,15,FALSE)</f>
        <v>493153</v>
      </c>
      <c r="AD163" s="248">
        <f>VLOOKUP($A163,FRV!$A$4:$U$208,14,FALSE)</f>
        <v>26000</v>
      </c>
      <c r="AE163" s="248">
        <f>VLOOKUP($A163,FRV!$A$4:$U$208,7,FALSE)</f>
        <v>139</v>
      </c>
      <c r="AF163" s="107">
        <f t="shared" si="103"/>
        <v>15310657</v>
      </c>
      <c r="AG163" s="107">
        <f t="shared" si="104"/>
        <v>110149</v>
      </c>
      <c r="AH163" s="107">
        <v>120000</v>
      </c>
      <c r="AI163" s="107">
        <f t="shared" si="105"/>
        <v>110149</v>
      </c>
      <c r="AJ163" s="107">
        <f t="shared" si="106"/>
        <v>15310711</v>
      </c>
      <c r="AK163" s="249">
        <f>IF(VLOOKUP($A163,'Rate Calculation'!$A$4:$D$208,4,FALSE)="baltimore city",0.1,0.08)</f>
        <v>0.08</v>
      </c>
      <c r="AL163" s="107">
        <f t="shared" si="107"/>
        <v>1224857</v>
      </c>
      <c r="AM163" s="105">
        <f>IF(ISERROR(MATCH(A163&amp;AA163,'Days Exceptions'!$C$3:$C$16,0)),ROUND(AL163/(MAX(S163,T163)),2),ROUND(AL163/VLOOKUP(A163,'Days Exceptions'!$A$3:$J$16,8,FALSE),2))</f>
        <v>27.95</v>
      </c>
      <c r="AN163" s="213">
        <f>VLOOKUP($A163,'Rate Calculation'!$A$4:$AF$208,32,FALSE)</f>
        <v>2.12</v>
      </c>
      <c r="AO163" s="109">
        <f t="shared" si="108"/>
        <v>30.07</v>
      </c>
      <c r="AP163" s="247">
        <f>VLOOKUP($A163,'Rate Calculation'!$A$4:$Q$208,17,FALSE)</f>
        <v>177.19</v>
      </c>
      <c r="AQ163" s="247">
        <f t="shared" si="124"/>
        <v>182.68</v>
      </c>
      <c r="AR163" s="247">
        <f>VLOOKUP($A163,'Rate Calculation'!$A$4:$K$208,11,FALSE)</f>
        <v>195.33</v>
      </c>
      <c r="AS163" s="247">
        <f t="shared" si="109"/>
        <v>201.39</v>
      </c>
      <c r="AT163" s="110">
        <f t="shared" si="110"/>
        <v>203.06</v>
      </c>
      <c r="AU163" s="110">
        <f t="shared" si="111"/>
        <v>224.27</v>
      </c>
      <c r="AV163" s="111">
        <f t="shared" si="112"/>
        <v>-11.3</v>
      </c>
      <c r="AW163" s="110">
        <f t="shared" si="113"/>
        <v>212.97</v>
      </c>
      <c r="AX163" s="105">
        <f t="shared" si="114"/>
        <v>201.76</v>
      </c>
      <c r="AY163" s="105">
        <f t="shared" si="115"/>
        <v>213.06</v>
      </c>
      <c r="AZ163" s="105">
        <f t="shared" si="116"/>
        <v>11.3</v>
      </c>
      <c r="BA163" s="105">
        <f t="shared" si="117"/>
        <v>263.24</v>
      </c>
      <c r="BB163" s="105">
        <f t="shared" si="118"/>
        <v>156.75</v>
      </c>
      <c r="BC163" s="110">
        <f t="shared" si="119"/>
        <v>391.39</v>
      </c>
      <c r="BD163" s="110">
        <f t="shared" si="120"/>
        <v>289.45</v>
      </c>
      <c r="BE163" s="110">
        <f t="shared" si="121"/>
        <v>182.96</v>
      </c>
      <c r="BF163" s="105"/>
      <c r="BG163" s="105"/>
      <c r="BH163" s="111"/>
      <c r="BI163" s="105"/>
      <c r="BJ163" s="105"/>
      <c r="BK163" s="109"/>
      <c r="BL163" s="111"/>
      <c r="BM163" s="109"/>
      <c r="BN163" s="109"/>
      <c r="BO163" s="105"/>
      <c r="BP163" s="105"/>
      <c r="BQ163" s="109"/>
      <c r="BR163" s="110"/>
      <c r="BS163" s="110"/>
      <c r="BT163" s="110"/>
      <c r="BU163" s="110"/>
      <c r="BV163" s="110"/>
      <c r="BW163" s="112"/>
      <c r="BX163" s="112"/>
      <c r="BY163" s="110"/>
      <c r="BZ163" s="105"/>
      <c r="CA163" s="105"/>
      <c r="CB163" s="105"/>
      <c r="CC163" s="105"/>
      <c r="CD163" s="105"/>
      <c r="CE163" s="105"/>
    </row>
    <row r="164" spans="1:83" x14ac:dyDescent="0.15">
      <c r="A164" s="103">
        <v>370</v>
      </c>
      <c r="B164" s="98" t="str">
        <f>VLOOKUP($A164,'Rate Calculation'!$A$4:$AQ$208,42,FALSE)</f>
        <v>883423700</v>
      </c>
      <c r="C164" s="98" t="str">
        <f>VLOOKUP($A164,'Rate Calculation'!$A$4:$AQ$208,43,FALSE)</f>
        <v>Patapsco Healthcare</v>
      </c>
      <c r="D164" s="98" t="str">
        <f>VLOOKUP($A164,'Rate Calculation'!$A$4:$F$208,5,FALSE)</f>
        <v>BALTIMORE METRO</v>
      </c>
      <c r="E164" s="98" t="str">
        <f>VLOOKUP($A164,'Rate Calculation'!$A$4:$F$208,6,FALSE)</f>
        <v>BALTIMORE METRO</v>
      </c>
      <c r="F164" s="105">
        <f t="shared" si="96"/>
        <v>105.18</v>
      </c>
      <c r="G164" s="105">
        <f t="shared" si="97"/>
        <v>21.5</v>
      </c>
      <c r="H164" s="105">
        <f t="shared" si="98"/>
        <v>32.15</v>
      </c>
      <c r="I164" s="105">
        <f t="shared" si="99"/>
        <v>133.07</v>
      </c>
      <c r="J164" s="105">
        <f>VLOOKUP($A164,'Rate Calculation'!$A$4:$AZ$208,34,FALSE)</f>
        <v>0</v>
      </c>
      <c r="K164" s="105">
        <f t="shared" si="122"/>
        <v>291.89999999999998</v>
      </c>
      <c r="L164" s="164">
        <f t="shared" si="100"/>
        <v>0.98772000000000004</v>
      </c>
      <c r="M164" s="105">
        <f t="shared" si="123"/>
        <v>288.32</v>
      </c>
      <c r="N164" s="105">
        <f>VLOOKUP($A164,'Rate Calculation'!$A$4:$AL$208,38,FALSE)</f>
        <v>30.05</v>
      </c>
      <c r="O164" s="183">
        <f>VLOOKUP($A164,'Rate Calculation'!$A$4:$I$208,9,FALSE)</f>
        <v>1.4568000000000001</v>
      </c>
      <c r="P164" s="183">
        <f t="shared" si="69"/>
        <v>1.4432</v>
      </c>
      <c r="Q164" s="183">
        <f>VLOOKUP(A164,'CMI Data'!$A$4:$C$208,3,FALSE)</f>
        <v>1.2130000000000001</v>
      </c>
      <c r="R164" s="246">
        <f>VLOOKUP($A164,FRV!$A$4:$K$208,11,FALSE)</f>
        <v>58400</v>
      </c>
      <c r="S164" s="246">
        <f t="shared" si="70"/>
        <v>47614</v>
      </c>
      <c r="T164" s="246">
        <f>VLOOKUP($A164,FRV!$A$4:$L$208,12,FALSE)</f>
        <v>52362</v>
      </c>
      <c r="U164" s="183">
        <f>Inflation!$G$24</f>
        <v>1.0309999999999999</v>
      </c>
      <c r="V164" s="247">
        <f>VLOOKUP($A164,'Rate Calculation'!A165:X368,24,FALSE)</f>
        <v>102.02</v>
      </c>
      <c r="W164" s="110">
        <f t="shared" si="101"/>
        <v>105.18</v>
      </c>
      <c r="X164" s="110">
        <f>VLOOKUP($A164,'Rate Calculation'!A165:V368,22,FALSE)</f>
        <v>20.85</v>
      </c>
      <c r="Y164" s="110">
        <f t="shared" si="102"/>
        <v>21.5</v>
      </c>
      <c r="Z164" s="212">
        <f>VLOOKUP($A164,FRV!$A$4:$D$208,4,FALSE)</f>
        <v>44743</v>
      </c>
      <c r="AA164" s="212">
        <f>VLOOKUP($A164,FRV!$A$4:$F$208,6,FALSE)</f>
        <v>44926</v>
      </c>
      <c r="AB164" s="248">
        <f>VLOOKUP($A164,FRV!$A$4:$U$208,13,FALSE)</f>
        <v>15539448</v>
      </c>
      <c r="AC164" s="248">
        <f>VLOOKUP($A164,FRV!$A$4:$U$208,15,FALSE)</f>
        <v>415846</v>
      </c>
      <c r="AD164" s="248">
        <f>VLOOKUP($A164,FRV!$A$4:$U$208,14,FALSE)</f>
        <v>23000</v>
      </c>
      <c r="AE164" s="248">
        <f>VLOOKUP($A164,FRV!$A$4:$U$208,7,FALSE)</f>
        <v>160</v>
      </c>
      <c r="AF164" s="107">
        <f t="shared" si="103"/>
        <v>19635294</v>
      </c>
      <c r="AG164" s="107">
        <f t="shared" si="104"/>
        <v>122721</v>
      </c>
      <c r="AH164" s="107">
        <v>120000</v>
      </c>
      <c r="AI164" s="107">
        <f t="shared" si="105"/>
        <v>120000</v>
      </c>
      <c r="AJ164" s="107">
        <f t="shared" si="106"/>
        <v>19200000</v>
      </c>
      <c r="AK164" s="249">
        <f>IF(VLOOKUP($A164,'Rate Calculation'!$A$4:$D$208,4,FALSE)="baltimore city",0.1,0.08)</f>
        <v>0.08</v>
      </c>
      <c r="AL164" s="107">
        <f t="shared" si="107"/>
        <v>1536000</v>
      </c>
      <c r="AM164" s="105">
        <f>IF(ISERROR(MATCH(A164&amp;AA164,'Days Exceptions'!$C$3:$C$16,0)),ROUND(AL164/(MAX(S164,T164)),2),ROUND(AL164/VLOOKUP(A164,'Days Exceptions'!$A$3:$J$16,8,FALSE),2))</f>
        <v>29.33</v>
      </c>
      <c r="AN164" s="213">
        <f>VLOOKUP($A164,'Rate Calculation'!$A$4:$AF$208,32,FALSE)</f>
        <v>2.82</v>
      </c>
      <c r="AO164" s="109">
        <f t="shared" si="108"/>
        <v>32.15</v>
      </c>
      <c r="AP164" s="247">
        <f>VLOOKUP($A164,'Rate Calculation'!$A$4:$Q$208,17,FALSE)</f>
        <v>145.15</v>
      </c>
      <c r="AQ164" s="247">
        <f t="shared" si="124"/>
        <v>149.65</v>
      </c>
      <c r="AR164" s="247">
        <f>VLOOKUP($A164,'Rate Calculation'!$A$4:$K$208,11,FALSE)</f>
        <v>195.33</v>
      </c>
      <c r="AS164" s="247">
        <f t="shared" si="109"/>
        <v>201.39</v>
      </c>
      <c r="AT164" s="110">
        <f t="shared" si="110"/>
        <v>203.29</v>
      </c>
      <c r="AU164" s="110">
        <f t="shared" si="111"/>
        <v>169.27</v>
      </c>
      <c r="AV164" s="111">
        <f t="shared" si="112"/>
        <v>-36.200000000000003</v>
      </c>
      <c r="AW164" s="110">
        <f t="shared" si="113"/>
        <v>133.07</v>
      </c>
      <c r="AX164" s="105">
        <f t="shared" si="114"/>
        <v>124.61</v>
      </c>
      <c r="AY164" s="105">
        <f t="shared" si="115"/>
        <v>160.81</v>
      </c>
      <c r="AZ164" s="105">
        <f t="shared" si="116"/>
        <v>36.200000000000003</v>
      </c>
      <c r="BA164" s="105">
        <f t="shared" si="117"/>
        <v>225.37</v>
      </c>
      <c r="BB164" s="105">
        <f t="shared" si="118"/>
        <v>158.83000000000001</v>
      </c>
      <c r="BC164" s="110">
        <f t="shared" si="119"/>
        <v>318.37</v>
      </c>
      <c r="BD164" s="110">
        <f t="shared" si="120"/>
        <v>255.42</v>
      </c>
      <c r="BE164" s="110">
        <f t="shared" si="121"/>
        <v>188.88</v>
      </c>
      <c r="BF164" s="105"/>
      <c r="BG164" s="105"/>
      <c r="BH164" s="111"/>
      <c r="BI164" s="105"/>
      <c r="BJ164" s="105"/>
      <c r="BK164" s="109"/>
      <c r="BL164" s="111"/>
      <c r="BM164" s="109"/>
      <c r="BN164" s="109"/>
      <c r="BO164" s="105"/>
      <c r="BP164" s="105"/>
      <c r="BQ164" s="109"/>
      <c r="BR164" s="110"/>
      <c r="BS164" s="110"/>
      <c r="BT164" s="110"/>
      <c r="BU164" s="110"/>
      <c r="BV164" s="110"/>
      <c r="BW164" s="112"/>
      <c r="BX164" s="112"/>
      <c r="BY164" s="110"/>
      <c r="BZ164" s="105"/>
      <c r="CA164" s="105"/>
      <c r="CB164" s="105"/>
      <c r="CC164" s="105"/>
      <c r="CD164" s="105"/>
      <c r="CE164" s="105"/>
    </row>
    <row r="165" spans="1:83" x14ac:dyDescent="0.15">
      <c r="A165" s="103">
        <v>140</v>
      </c>
      <c r="B165" s="98" t="str">
        <f>VLOOKUP($A165,'Rate Calculation'!$A$4:$AQ$208,42,FALSE)</f>
        <v>849010400</v>
      </c>
      <c r="C165" s="98" t="str">
        <f>VLOOKUP($A165,'Rate Calculation'!$A$4:$AQ$208,43,FALSE)</f>
        <v>Dennett Rehab Center</v>
      </c>
      <c r="D165" s="98" t="str">
        <f>VLOOKUP($A165,'Rate Calculation'!$A$4:$F$208,5,FALSE)</f>
        <v>WESTERN REGION</v>
      </c>
      <c r="E165" s="98" t="str">
        <f>VLOOKUP($A165,'Rate Calculation'!$A$4:$F$208,6,FALSE)</f>
        <v>NON METRO</v>
      </c>
      <c r="F165" s="105">
        <f t="shared" si="96"/>
        <v>92.33</v>
      </c>
      <c r="G165" s="105">
        <f t="shared" si="97"/>
        <v>20.87</v>
      </c>
      <c r="H165" s="105">
        <f t="shared" si="98"/>
        <v>29.21</v>
      </c>
      <c r="I165" s="105">
        <f t="shared" si="99"/>
        <v>163.01</v>
      </c>
      <c r="J165" s="105">
        <f>VLOOKUP($A165,'Rate Calculation'!$A$4:$AZ$208,34,FALSE)</f>
        <v>0</v>
      </c>
      <c r="K165" s="105">
        <f t="shared" si="122"/>
        <v>305.42</v>
      </c>
      <c r="L165" s="164">
        <f t="shared" si="100"/>
        <v>0.98772000000000004</v>
      </c>
      <c r="M165" s="105">
        <f t="shared" si="123"/>
        <v>301.67</v>
      </c>
      <c r="N165" s="105">
        <f>VLOOKUP($A165,'Rate Calculation'!$A$4:$AL$208,38,FALSE)</f>
        <v>28.57</v>
      </c>
      <c r="O165" s="183">
        <f>VLOOKUP($A165,'Rate Calculation'!$A$4:$I$208,9,FALSE)</f>
        <v>1.3563000000000001</v>
      </c>
      <c r="P165" s="183">
        <f t="shared" si="69"/>
        <v>1.4432</v>
      </c>
      <c r="Q165" s="183">
        <f>VLOOKUP(A165,'CMI Data'!$A$4:$C$208,3,FALSE)</f>
        <v>1.3725000000000001</v>
      </c>
      <c r="R165" s="246">
        <f>VLOOKUP($A165,FRV!$A$4:$K$208,11,FALSE)</f>
        <v>36135</v>
      </c>
      <c r="S165" s="246">
        <f t="shared" si="70"/>
        <v>29461</v>
      </c>
      <c r="T165" s="246">
        <f>VLOOKUP($A165,FRV!$A$4:$L$208,12,FALSE)</f>
        <v>31423</v>
      </c>
      <c r="U165" s="183">
        <f>Inflation!$G$24</f>
        <v>1.0309999999999999</v>
      </c>
      <c r="V165" s="247">
        <f>VLOOKUP($A165,'Rate Calculation'!A166:X369,24,FALSE)</f>
        <v>89.55</v>
      </c>
      <c r="W165" s="110">
        <f t="shared" si="101"/>
        <v>92.33</v>
      </c>
      <c r="X165" s="110">
        <f>VLOOKUP($A165,'Rate Calculation'!A166:V369,22,FALSE)</f>
        <v>20.239999999999998</v>
      </c>
      <c r="Y165" s="110">
        <f t="shared" si="102"/>
        <v>20.87</v>
      </c>
      <c r="Z165" s="212">
        <f>VLOOKUP($A165,FRV!$A$4:$D$208,4,FALSE)</f>
        <v>44743</v>
      </c>
      <c r="AA165" s="212">
        <f>VLOOKUP($A165,FRV!$A$4:$F$208,6,FALSE)</f>
        <v>44926</v>
      </c>
      <c r="AB165" s="248">
        <f>VLOOKUP($A165,FRV!$A$4:$U$208,13,FALSE)</f>
        <v>8892750</v>
      </c>
      <c r="AC165" s="248">
        <f>VLOOKUP($A165,FRV!$A$4:$U$208,15,FALSE)</f>
        <v>285901</v>
      </c>
      <c r="AD165" s="248">
        <f>VLOOKUP($A165,FRV!$A$4:$U$208,14,FALSE)</f>
        <v>10000</v>
      </c>
      <c r="AE165" s="248">
        <f>VLOOKUP($A165,FRV!$A$4:$U$208,7,FALSE)</f>
        <v>99</v>
      </c>
      <c r="AF165" s="107">
        <f t="shared" si="103"/>
        <v>10168651</v>
      </c>
      <c r="AG165" s="107">
        <f t="shared" si="104"/>
        <v>102714</v>
      </c>
      <c r="AH165" s="107">
        <v>120000</v>
      </c>
      <c r="AI165" s="107">
        <f t="shared" si="105"/>
        <v>102714</v>
      </c>
      <c r="AJ165" s="107">
        <f t="shared" si="106"/>
        <v>10168686</v>
      </c>
      <c r="AK165" s="249">
        <f>IF(VLOOKUP($A165,'Rate Calculation'!$A$4:$D$208,4,FALSE)="baltimore city",0.1,0.08)</f>
        <v>0.08</v>
      </c>
      <c r="AL165" s="107">
        <f t="shared" si="107"/>
        <v>813495</v>
      </c>
      <c r="AM165" s="105">
        <f>IF(ISERROR(MATCH(A165&amp;AA165,'Days Exceptions'!$C$3:$C$16,0)),ROUND(AL165/(MAX(S165,T165)),2),ROUND(AL165/VLOOKUP(A165,'Days Exceptions'!$A$3:$J$16,8,FALSE),2))</f>
        <v>25.89</v>
      </c>
      <c r="AN165" s="213">
        <f>VLOOKUP($A165,'Rate Calculation'!$A$4:$AF$208,32,FALSE)</f>
        <v>3.32</v>
      </c>
      <c r="AO165" s="109">
        <f t="shared" si="108"/>
        <v>29.21</v>
      </c>
      <c r="AP165" s="247">
        <f>VLOOKUP($A165,'Rate Calculation'!$A$4:$Q$208,17,FALSE)</f>
        <v>191.16</v>
      </c>
      <c r="AQ165" s="247">
        <f t="shared" si="124"/>
        <v>197.09</v>
      </c>
      <c r="AR165" s="247">
        <f>VLOOKUP($A165,'Rate Calculation'!$A$4:$K$208,11,FALSE)</f>
        <v>166.26</v>
      </c>
      <c r="AS165" s="247">
        <f t="shared" si="109"/>
        <v>171.41</v>
      </c>
      <c r="AT165" s="110">
        <f t="shared" si="110"/>
        <v>161.09</v>
      </c>
      <c r="AU165" s="110">
        <f t="shared" si="111"/>
        <v>163.01</v>
      </c>
      <c r="AV165" s="111">
        <f t="shared" si="112"/>
        <v>0</v>
      </c>
      <c r="AW165" s="110">
        <f t="shared" si="113"/>
        <v>163.01</v>
      </c>
      <c r="AX165" s="105">
        <f t="shared" si="114"/>
        <v>199.44</v>
      </c>
      <c r="AY165" s="105">
        <f t="shared" si="115"/>
        <v>154.86000000000001</v>
      </c>
      <c r="AZ165" s="105">
        <f t="shared" si="116"/>
        <v>-44.58</v>
      </c>
      <c r="BA165" s="105">
        <f t="shared" si="117"/>
        <v>223.92</v>
      </c>
      <c r="BB165" s="105">
        <f t="shared" si="118"/>
        <v>142.41</v>
      </c>
      <c r="BC165" s="110">
        <f t="shared" si="119"/>
        <v>330.24</v>
      </c>
      <c r="BD165" s="110">
        <f t="shared" si="120"/>
        <v>252.49</v>
      </c>
      <c r="BE165" s="110">
        <f t="shared" si="121"/>
        <v>170.98</v>
      </c>
      <c r="BF165" s="105"/>
      <c r="BG165" s="105"/>
      <c r="BH165" s="111"/>
      <c r="BI165" s="105"/>
      <c r="BJ165" s="105"/>
      <c r="BK165" s="109"/>
      <c r="BL165" s="111"/>
      <c r="BM165" s="109"/>
      <c r="BN165" s="109"/>
      <c r="BO165" s="105"/>
      <c r="BP165" s="105"/>
      <c r="BQ165" s="109"/>
      <c r="BR165" s="110"/>
      <c r="BS165" s="110"/>
      <c r="BT165" s="110"/>
      <c r="BU165" s="110"/>
      <c r="BV165" s="110"/>
      <c r="BW165" s="112"/>
      <c r="BX165" s="112"/>
      <c r="BY165" s="110"/>
      <c r="BZ165" s="105"/>
      <c r="CA165" s="105"/>
      <c r="CB165" s="105"/>
      <c r="CC165" s="105"/>
      <c r="CD165" s="105"/>
      <c r="CE165" s="105"/>
    </row>
    <row r="166" spans="1:83" x14ac:dyDescent="0.15">
      <c r="A166" s="103">
        <v>274</v>
      </c>
      <c r="B166" s="98" t="str">
        <f>VLOOKUP($A166,'Rate Calculation'!$A$4:$AQ$208,42,FALSE)</f>
        <v>732016700</v>
      </c>
      <c r="C166" s="98" t="str">
        <f>VLOOKUP($A166,'Rate Calculation'!$A$4:$AQ$208,43,FALSE)</f>
        <v>Lions Rehab Center</v>
      </c>
      <c r="D166" s="98" t="str">
        <f>VLOOKUP($A166,'Rate Calculation'!$A$4:$F$208,5,FALSE)</f>
        <v>WESTERN REGION</v>
      </c>
      <c r="E166" s="98" t="str">
        <f>VLOOKUP($A166,'Rate Calculation'!$A$4:$F$208,6,FALSE)</f>
        <v>NON METRO</v>
      </c>
      <c r="F166" s="105">
        <f t="shared" si="96"/>
        <v>92.33</v>
      </c>
      <c r="G166" s="105">
        <f t="shared" si="97"/>
        <v>20.87</v>
      </c>
      <c r="H166" s="105">
        <f t="shared" si="98"/>
        <v>28.42</v>
      </c>
      <c r="I166" s="105">
        <f t="shared" si="99"/>
        <v>147.78</v>
      </c>
      <c r="J166" s="105">
        <f>VLOOKUP($A166,'Rate Calculation'!$A$4:$AZ$208,34,FALSE)</f>
        <v>0</v>
      </c>
      <c r="K166" s="105">
        <f t="shared" si="122"/>
        <v>289.39999999999998</v>
      </c>
      <c r="L166" s="164">
        <f t="shared" si="100"/>
        <v>0.98772000000000004</v>
      </c>
      <c r="M166" s="105">
        <f t="shared" si="123"/>
        <v>285.85000000000002</v>
      </c>
      <c r="N166" s="105">
        <f>VLOOKUP($A166,'Rate Calculation'!$A$4:$AL$208,38,FALSE)</f>
        <v>25.76</v>
      </c>
      <c r="O166" s="183">
        <f>VLOOKUP($A166,'Rate Calculation'!$A$4:$I$208,9,FALSE)</f>
        <v>1.3363</v>
      </c>
      <c r="P166" s="183">
        <f t="shared" si="69"/>
        <v>1.4432</v>
      </c>
      <c r="Q166" s="183">
        <f>VLOOKUP(A166,'CMI Data'!$A$4:$C$208,3,FALSE)</f>
        <v>1.2443</v>
      </c>
      <c r="R166" s="246">
        <f>VLOOKUP($A166,FRV!$A$4:$K$208,11,FALSE)</f>
        <v>36865</v>
      </c>
      <c r="S166" s="246">
        <f t="shared" si="70"/>
        <v>30056</v>
      </c>
      <c r="T166" s="246">
        <f>VLOOKUP($A166,FRV!$A$4:$L$208,12,FALSE)</f>
        <v>27752</v>
      </c>
      <c r="U166" s="183">
        <f>Inflation!$G$24</f>
        <v>1.0309999999999999</v>
      </c>
      <c r="V166" s="247">
        <f>VLOOKUP($A166,'Rate Calculation'!A167:X370,24,FALSE)</f>
        <v>89.55</v>
      </c>
      <c r="W166" s="110">
        <f t="shared" si="101"/>
        <v>92.33</v>
      </c>
      <c r="X166" s="110">
        <f>VLOOKUP($A166,'Rate Calculation'!A167:V370,22,FALSE)</f>
        <v>20.239999999999998</v>
      </c>
      <c r="Y166" s="110">
        <f t="shared" si="102"/>
        <v>20.87</v>
      </c>
      <c r="Z166" s="212">
        <f>VLOOKUP($A166,FRV!$A$4:$D$208,4,FALSE)</f>
        <v>45474</v>
      </c>
      <c r="AA166" s="212">
        <f>VLOOKUP($A166,FRV!$A$4:$F$208,6,FALSE)</f>
        <v>45657</v>
      </c>
      <c r="AB166" s="248">
        <f>VLOOKUP($A166,FRV!$A$4:$U$208,13,FALSE)</f>
        <v>8108794</v>
      </c>
      <c r="AC166" s="248">
        <f>VLOOKUP($A166,FRV!$A$4:$U$208,15,FALSE)</f>
        <v>153413</v>
      </c>
      <c r="AD166" s="248">
        <f>VLOOKUP($A166,FRV!$A$4:$U$208,14,FALSE)</f>
        <v>12500</v>
      </c>
      <c r="AE166" s="248">
        <f>VLOOKUP($A166,FRV!$A$4:$U$208,7,FALSE)</f>
        <v>101</v>
      </c>
      <c r="AF166" s="107">
        <f t="shared" si="103"/>
        <v>9524707</v>
      </c>
      <c r="AG166" s="107">
        <f t="shared" si="104"/>
        <v>94304</v>
      </c>
      <c r="AH166" s="107">
        <v>120000</v>
      </c>
      <c r="AI166" s="107">
        <f t="shared" si="105"/>
        <v>94304</v>
      </c>
      <c r="AJ166" s="107">
        <f t="shared" si="106"/>
        <v>9524704</v>
      </c>
      <c r="AK166" s="249">
        <f>IF(VLOOKUP($A166,'Rate Calculation'!$A$4:$D$208,4,FALSE)="baltimore city",0.1,0.08)</f>
        <v>0.08</v>
      </c>
      <c r="AL166" s="107">
        <f t="shared" si="107"/>
        <v>761976</v>
      </c>
      <c r="AM166" s="105">
        <f>IF(ISERROR(MATCH(A166&amp;AA166,'Days Exceptions'!$C$3:$C$16,0)),ROUND(AL166/(MAX(S166,T166)),2),ROUND(AL166/VLOOKUP(A166,'Days Exceptions'!$A$3:$J$16,8,FALSE),2))</f>
        <v>25.35</v>
      </c>
      <c r="AN166" s="213">
        <f>VLOOKUP($A166,'Rate Calculation'!$A$4:$AF$208,32,FALSE)</f>
        <v>3.07</v>
      </c>
      <c r="AO166" s="109">
        <f t="shared" si="108"/>
        <v>28.42</v>
      </c>
      <c r="AP166" s="247">
        <f>VLOOKUP($A166,'Rate Calculation'!$A$4:$Q$208,17,FALSE)</f>
        <v>155.80000000000001</v>
      </c>
      <c r="AQ166" s="247">
        <f t="shared" si="124"/>
        <v>160.63</v>
      </c>
      <c r="AR166" s="247">
        <f>VLOOKUP($A166,'Rate Calculation'!$A$4:$K$208,11,FALSE)</f>
        <v>166.26</v>
      </c>
      <c r="AS166" s="247">
        <f t="shared" si="109"/>
        <v>171.41</v>
      </c>
      <c r="AT166" s="110">
        <f t="shared" si="110"/>
        <v>158.71</v>
      </c>
      <c r="AU166" s="110">
        <f t="shared" si="111"/>
        <v>147.78</v>
      </c>
      <c r="AV166" s="111">
        <f t="shared" si="112"/>
        <v>0</v>
      </c>
      <c r="AW166" s="110">
        <f t="shared" si="113"/>
        <v>147.78</v>
      </c>
      <c r="AX166" s="105">
        <f t="shared" si="114"/>
        <v>149.57</v>
      </c>
      <c r="AY166" s="105">
        <f t="shared" si="115"/>
        <v>140.38999999999999</v>
      </c>
      <c r="AZ166" s="105">
        <f t="shared" si="116"/>
        <v>-9.18</v>
      </c>
      <c r="BA166" s="105">
        <f t="shared" si="117"/>
        <v>215.51</v>
      </c>
      <c r="BB166" s="105">
        <f t="shared" si="118"/>
        <v>141.62</v>
      </c>
      <c r="BC166" s="110">
        <f t="shared" si="119"/>
        <v>311.61</v>
      </c>
      <c r="BD166" s="110">
        <f t="shared" si="120"/>
        <v>241.27</v>
      </c>
      <c r="BE166" s="110">
        <f t="shared" si="121"/>
        <v>167.38</v>
      </c>
      <c r="BF166" s="105"/>
      <c r="BG166" s="105"/>
      <c r="BH166" s="111"/>
      <c r="BI166" s="105"/>
      <c r="BJ166" s="105"/>
      <c r="BK166" s="109"/>
      <c r="BL166" s="111"/>
      <c r="BM166" s="109"/>
      <c r="BN166" s="109"/>
      <c r="BO166" s="105"/>
      <c r="BP166" s="105"/>
      <c r="BQ166" s="109"/>
      <c r="BR166" s="110"/>
      <c r="BS166" s="110"/>
      <c r="BT166" s="110"/>
      <c r="BU166" s="110"/>
      <c r="BV166" s="110"/>
      <c r="BW166" s="112"/>
      <c r="BX166" s="112"/>
      <c r="BY166" s="110"/>
      <c r="BZ166" s="105"/>
      <c r="CA166" s="105"/>
      <c r="CB166" s="105"/>
      <c r="CC166" s="105"/>
      <c r="CD166" s="105"/>
      <c r="CE166" s="105"/>
    </row>
    <row r="167" spans="1:83" x14ac:dyDescent="0.15">
      <c r="A167" s="103">
        <v>426</v>
      </c>
      <c r="B167" s="98" t="str">
        <f>VLOOKUP($A167,'Rate Calculation'!$A$4:$AQ$208,42,FALSE)</f>
        <v>953018500</v>
      </c>
      <c r="C167" s="98" t="str">
        <f>VLOOKUP($A167,'Rate Calculation'!$A$4:$AQ$208,43,FALSE)</f>
        <v>Mountain City Rehab Center</v>
      </c>
      <c r="D167" s="98" t="str">
        <f>VLOOKUP($A167,'Rate Calculation'!$A$4:$F$208,5,FALSE)</f>
        <v>WESTERN REGION</v>
      </c>
      <c r="E167" s="98" t="str">
        <f>VLOOKUP($A167,'Rate Calculation'!$A$4:$F$208,6,FALSE)</f>
        <v>NON METRO</v>
      </c>
      <c r="F167" s="105">
        <f t="shared" si="96"/>
        <v>92.33</v>
      </c>
      <c r="G167" s="105">
        <f t="shared" si="97"/>
        <v>20.87</v>
      </c>
      <c r="H167" s="105">
        <f t="shared" si="98"/>
        <v>34.64</v>
      </c>
      <c r="I167" s="105">
        <f t="shared" si="99"/>
        <v>150.30000000000001</v>
      </c>
      <c r="J167" s="105">
        <f>VLOOKUP($A167,'Rate Calculation'!$A$4:$AZ$208,34,FALSE)</f>
        <v>0</v>
      </c>
      <c r="K167" s="105">
        <f t="shared" si="122"/>
        <v>298.14</v>
      </c>
      <c r="L167" s="164">
        <f t="shared" si="100"/>
        <v>0.98772000000000004</v>
      </c>
      <c r="M167" s="105">
        <f t="shared" si="123"/>
        <v>294.48</v>
      </c>
      <c r="N167" s="105">
        <f>VLOOKUP($A167,'Rate Calculation'!$A$4:$AL$208,38,FALSE)</f>
        <v>26.7</v>
      </c>
      <c r="O167" s="183">
        <f>VLOOKUP($A167,'Rate Calculation'!$A$4:$I$208,9,FALSE)</f>
        <v>1.2922</v>
      </c>
      <c r="P167" s="183">
        <f t="shared" si="69"/>
        <v>1.4432</v>
      </c>
      <c r="Q167" s="183">
        <f>VLOOKUP(A167,'CMI Data'!$A$4:$C$208,3,FALSE)</f>
        <v>1.2654000000000001</v>
      </c>
      <c r="R167" s="246">
        <f>VLOOKUP($A167,FRV!$A$4:$K$208,11,FALSE)</f>
        <v>32120</v>
      </c>
      <c r="S167" s="246">
        <f t="shared" si="70"/>
        <v>26187</v>
      </c>
      <c r="T167" s="246">
        <f>VLOOKUP($A167,FRV!$A$4:$L$208,12,FALSE)</f>
        <v>28060</v>
      </c>
      <c r="U167" s="183">
        <f>Inflation!$G$24</f>
        <v>1.0309999999999999</v>
      </c>
      <c r="V167" s="247">
        <f>VLOOKUP($A167,'Rate Calculation'!A168:X371,24,FALSE)</f>
        <v>89.55</v>
      </c>
      <c r="W167" s="110">
        <f t="shared" si="101"/>
        <v>92.33</v>
      </c>
      <c r="X167" s="110">
        <f>VLOOKUP($A167,'Rate Calculation'!A168:V371,22,FALSE)</f>
        <v>20.239999999999998</v>
      </c>
      <c r="Y167" s="110">
        <f t="shared" si="102"/>
        <v>20.87</v>
      </c>
      <c r="Z167" s="212">
        <f>VLOOKUP($A167,FRV!$A$4:$D$208,4,FALSE)</f>
        <v>45108</v>
      </c>
      <c r="AA167" s="212">
        <f>VLOOKUP($A167,FRV!$A$4:$F$208,6,FALSE)</f>
        <v>45291</v>
      </c>
      <c r="AB167" s="248">
        <f>VLOOKUP($A167,FRV!$A$4:$U$208,13,FALSE)</f>
        <v>15829975</v>
      </c>
      <c r="AC167" s="248">
        <f>VLOOKUP($A167,FRV!$A$4:$U$208,15,FALSE)</f>
        <v>147437</v>
      </c>
      <c r="AD167" s="248">
        <f>VLOOKUP($A167,FRV!$A$4:$U$208,14,FALSE)</f>
        <v>12000</v>
      </c>
      <c r="AE167" s="248">
        <f>VLOOKUP($A167,FRV!$A$4:$U$208,7,FALSE)</f>
        <v>88</v>
      </c>
      <c r="AF167" s="107">
        <f t="shared" si="103"/>
        <v>17033412</v>
      </c>
      <c r="AG167" s="107">
        <f t="shared" si="104"/>
        <v>193562</v>
      </c>
      <c r="AH167" s="107">
        <v>120000</v>
      </c>
      <c r="AI167" s="107">
        <f t="shared" si="105"/>
        <v>120000</v>
      </c>
      <c r="AJ167" s="107">
        <f t="shared" si="106"/>
        <v>10560000</v>
      </c>
      <c r="AK167" s="249">
        <f>IF(VLOOKUP($A167,'Rate Calculation'!$A$4:$D$208,4,FALSE)="baltimore city",0.1,0.08)</f>
        <v>0.08</v>
      </c>
      <c r="AL167" s="107">
        <f t="shared" si="107"/>
        <v>844800</v>
      </c>
      <c r="AM167" s="105">
        <f>IF(ISERROR(MATCH(A167&amp;AA167,'Days Exceptions'!$C$3:$C$16,0)),ROUND(AL167/(MAX(S167,T167)),2),ROUND(AL167/VLOOKUP(A167,'Days Exceptions'!$A$3:$J$16,8,FALSE),2))</f>
        <v>30.11</v>
      </c>
      <c r="AN167" s="213">
        <f>VLOOKUP($A167,'Rate Calculation'!$A$4:$AF$208,32,FALSE)</f>
        <v>4.53</v>
      </c>
      <c r="AO167" s="109">
        <f t="shared" si="108"/>
        <v>34.64</v>
      </c>
      <c r="AP167" s="247">
        <f>VLOOKUP($A167,'Rate Calculation'!$A$4:$Q$208,17,FALSE)</f>
        <v>175.1</v>
      </c>
      <c r="AQ167" s="247">
        <f t="shared" si="124"/>
        <v>180.53</v>
      </c>
      <c r="AR167" s="247">
        <f>VLOOKUP($A167,'Rate Calculation'!$A$4:$K$208,11,FALSE)</f>
        <v>166.26</v>
      </c>
      <c r="AS167" s="247">
        <f t="shared" si="109"/>
        <v>171.41</v>
      </c>
      <c r="AT167" s="110">
        <f t="shared" si="110"/>
        <v>153.47999999999999</v>
      </c>
      <c r="AU167" s="110">
        <f t="shared" si="111"/>
        <v>150.30000000000001</v>
      </c>
      <c r="AV167" s="111">
        <f t="shared" si="112"/>
        <v>0</v>
      </c>
      <c r="AW167" s="110">
        <f t="shared" si="113"/>
        <v>150.30000000000001</v>
      </c>
      <c r="AX167" s="105">
        <f t="shared" si="114"/>
        <v>176.79</v>
      </c>
      <c r="AY167" s="105">
        <f t="shared" si="115"/>
        <v>142.79</v>
      </c>
      <c r="AZ167" s="105">
        <f t="shared" si="116"/>
        <v>-34</v>
      </c>
      <c r="BA167" s="105">
        <f t="shared" si="117"/>
        <v>222.99</v>
      </c>
      <c r="BB167" s="105">
        <f t="shared" si="118"/>
        <v>147.84</v>
      </c>
      <c r="BC167" s="110">
        <f t="shared" si="119"/>
        <v>321.18</v>
      </c>
      <c r="BD167" s="110">
        <f t="shared" si="120"/>
        <v>249.69</v>
      </c>
      <c r="BE167" s="110">
        <f t="shared" si="121"/>
        <v>174.54</v>
      </c>
      <c r="BF167" s="105"/>
      <c r="BG167" s="105"/>
      <c r="BH167" s="111"/>
      <c r="BI167" s="105"/>
      <c r="BJ167" s="105"/>
      <c r="BK167" s="109"/>
      <c r="BL167" s="111"/>
      <c r="BM167" s="109"/>
      <c r="BN167" s="109"/>
      <c r="BO167" s="105"/>
      <c r="BP167" s="105"/>
      <c r="BQ167" s="109"/>
      <c r="BR167" s="110"/>
      <c r="BS167" s="110"/>
      <c r="BT167" s="110"/>
      <c r="BU167" s="110"/>
      <c r="BV167" s="110"/>
      <c r="BW167" s="112"/>
      <c r="BX167" s="112"/>
      <c r="BY167" s="110"/>
      <c r="BZ167" s="105"/>
      <c r="CA167" s="105"/>
      <c r="CB167" s="105"/>
      <c r="CC167" s="105"/>
      <c r="CD167" s="105"/>
      <c r="CE167" s="105"/>
    </row>
    <row r="168" spans="1:83" x14ac:dyDescent="0.15">
      <c r="A168" s="103">
        <v>382</v>
      </c>
      <c r="B168" s="98" t="str">
        <f>VLOOKUP($A168,'Rate Calculation'!$A$4:$AQ$208,42,FALSE)</f>
        <v>198734800</v>
      </c>
      <c r="C168" s="98" t="str">
        <f>VLOOKUP($A168,'Rate Calculation'!$A$4:$AQ$208,43,FALSE)</f>
        <v>Ridgeway Rehab Center</v>
      </c>
      <c r="D168" s="98" t="str">
        <f>VLOOKUP($A168,'Rate Calculation'!$A$4:$F$208,5,FALSE)</f>
        <v>BALTIMORE METRO</v>
      </c>
      <c r="E168" s="98" t="str">
        <f>VLOOKUP($A168,'Rate Calculation'!$A$4:$F$208,6,FALSE)</f>
        <v>BALTIMORE METRO</v>
      </c>
      <c r="F168" s="105">
        <f t="shared" si="96"/>
        <v>105.18</v>
      </c>
      <c r="G168" s="105">
        <f t="shared" si="97"/>
        <v>21.5</v>
      </c>
      <c r="H168" s="105">
        <f t="shared" si="98"/>
        <v>28.26</v>
      </c>
      <c r="I168" s="105">
        <f t="shared" si="99"/>
        <v>172.69</v>
      </c>
      <c r="J168" s="105">
        <f>VLOOKUP($A168,'Rate Calculation'!$A$4:$AZ$208,34,FALSE)</f>
        <v>0</v>
      </c>
      <c r="K168" s="105">
        <f t="shared" si="122"/>
        <v>327.63</v>
      </c>
      <c r="L168" s="164">
        <f t="shared" si="100"/>
        <v>0.98772000000000004</v>
      </c>
      <c r="M168" s="105">
        <f t="shared" si="123"/>
        <v>323.61</v>
      </c>
      <c r="N168" s="105">
        <f>VLOOKUP($A168,'Rate Calculation'!$A$4:$AL$208,38,FALSE)</f>
        <v>28.16</v>
      </c>
      <c r="O168" s="183">
        <f>VLOOKUP($A168,'Rate Calculation'!$A$4:$I$208,9,FALSE)</f>
        <v>1.5501</v>
      </c>
      <c r="P168" s="183">
        <f t="shared" si="69"/>
        <v>1.4432</v>
      </c>
      <c r="Q168" s="183">
        <f>VLOOKUP(A168,'CMI Data'!$A$4:$C$208,3,FALSE)</f>
        <v>1.4601</v>
      </c>
      <c r="R168" s="246">
        <f>VLOOKUP($A168,FRV!$A$4:$K$208,11,FALSE)</f>
        <v>22265</v>
      </c>
      <c r="S168" s="246">
        <f t="shared" si="70"/>
        <v>18153</v>
      </c>
      <c r="T168" s="246">
        <f>VLOOKUP($A168,FRV!$A$4:$L$208,12,FALSE)</f>
        <v>19158</v>
      </c>
      <c r="U168" s="183">
        <f>Inflation!$G$24</f>
        <v>1.0309999999999999</v>
      </c>
      <c r="V168" s="247">
        <f>VLOOKUP($A168,'Rate Calculation'!A169:X372,24,FALSE)</f>
        <v>102.02</v>
      </c>
      <c r="W168" s="110">
        <f t="shared" si="101"/>
        <v>105.18</v>
      </c>
      <c r="X168" s="110">
        <f>VLOOKUP($A168,'Rate Calculation'!A169:V372,22,FALSE)</f>
        <v>20.85</v>
      </c>
      <c r="Y168" s="110">
        <f t="shared" si="102"/>
        <v>21.5</v>
      </c>
      <c r="Z168" s="212">
        <f>VLOOKUP($A168,FRV!$A$4:$D$208,4,FALSE)</f>
        <v>45108</v>
      </c>
      <c r="AA168" s="212">
        <f>VLOOKUP($A168,FRV!$A$4:$F$208,6,FALSE)</f>
        <v>45291</v>
      </c>
      <c r="AB168" s="248">
        <f>VLOOKUP($A168,FRV!$A$4:$U$208,13,FALSE)</f>
        <v>5042680</v>
      </c>
      <c r="AC168" s="248">
        <f>VLOOKUP($A168,FRV!$A$4:$U$208,15,FALSE)</f>
        <v>254272</v>
      </c>
      <c r="AD168" s="248">
        <f>VLOOKUP($A168,FRV!$A$4:$U$208,14,FALSE)</f>
        <v>20000</v>
      </c>
      <c r="AE168" s="248">
        <f>VLOOKUP($A168,FRV!$A$4:$U$208,7,FALSE)</f>
        <v>61</v>
      </c>
      <c r="AF168" s="107">
        <f t="shared" si="103"/>
        <v>6516952</v>
      </c>
      <c r="AG168" s="107">
        <f t="shared" si="104"/>
        <v>106835</v>
      </c>
      <c r="AH168" s="107">
        <v>120000</v>
      </c>
      <c r="AI168" s="107">
        <f t="shared" si="105"/>
        <v>106835</v>
      </c>
      <c r="AJ168" s="107">
        <f t="shared" si="106"/>
        <v>6516935</v>
      </c>
      <c r="AK168" s="249">
        <f>IF(VLOOKUP($A168,'Rate Calculation'!$A$4:$D$208,4,FALSE)="baltimore city",0.1,0.08)</f>
        <v>0.08</v>
      </c>
      <c r="AL168" s="107">
        <f t="shared" si="107"/>
        <v>521355</v>
      </c>
      <c r="AM168" s="105">
        <f>IF(ISERROR(MATCH(A168&amp;AA168,'Days Exceptions'!$C$3:$C$16,0)),ROUND(AL168/(MAX(S168,T168)),2),ROUND(AL168/VLOOKUP(A168,'Days Exceptions'!$A$3:$J$16,8,FALSE),2))</f>
        <v>27.21</v>
      </c>
      <c r="AN168" s="213">
        <f>VLOOKUP($A168,'Rate Calculation'!$A$4:$AF$208,32,FALSE)</f>
        <v>1.05</v>
      </c>
      <c r="AO168" s="109">
        <f t="shared" si="108"/>
        <v>28.26</v>
      </c>
      <c r="AP168" s="247">
        <f>VLOOKUP($A168,'Rate Calculation'!$A$4:$Q$208,17,FALSE)</f>
        <v>167.33</v>
      </c>
      <c r="AQ168" s="247">
        <f t="shared" si="124"/>
        <v>172.52</v>
      </c>
      <c r="AR168" s="247">
        <f>VLOOKUP($A168,'Rate Calculation'!$A$4:$K$208,11,FALSE)</f>
        <v>195.33</v>
      </c>
      <c r="AS168" s="247">
        <f t="shared" si="109"/>
        <v>201.39</v>
      </c>
      <c r="AT168" s="110">
        <f t="shared" si="110"/>
        <v>216.31</v>
      </c>
      <c r="AU168" s="110">
        <f t="shared" si="111"/>
        <v>203.75</v>
      </c>
      <c r="AV168" s="111">
        <f t="shared" si="112"/>
        <v>-31.06</v>
      </c>
      <c r="AW168" s="110">
        <f t="shared" si="113"/>
        <v>172.69</v>
      </c>
      <c r="AX168" s="105">
        <f t="shared" si="114"/>
        <v>162.5</v>
      </c>
      <c r="AY168" s="105">
        <f t="shared" si="115"/>
        <v>193.56</v>
      </c>
      <c r="AZ168" s="105">
        <f t="shared" si="116"/>
        <v>31.06</v>
      </c>
      <c r="BA168" s="105">
        <f t="shared" si="117"/>
        <v>241.29</v>
      </c>
      <c r="BB168" s="105">
        <f t="shared" si="118"/>
        <v>154.94</v>
      </c>
      <c r="BC168" s="110">
        <f t="shared" si="119"/>
        <v>351.77</v>
      </c>
      <c r="BD168" s="110">
        <f t="shared" si="120"/>
        <v>269.45</v>
      </c>
      <c r="BE168" s="110">
        <f t="shared" si="121"/>
        <v>183.1</v>
      </c>
      <c r="BF168" s="105"/>
      <c r="BG168" s="105"/>
      <c r="BH168" s="111"/>
      <c r="BI168" s="105"/>
      <c r="BJ168" s="105"/>
      <c r="BK168" s="109"/>
      <c r="BL168" s="111"/>
      <c r="BM168" s="109"/>
      <c r="BN168" s="109"/>
      <c r="BO168" s="105"/>
      <c r="BP168" s="105"/>
      <c r="BQ168" s="109"/>
      <c r="BR168" s="110"/>
      <c r="BS168" s="110"/>
      <c r="BT168" s="110"/>
      <c r="BU168" s="110"/>
      <c r="BV168" s="110"/>
      <c r="BW168" s="112"/>
      <c r="BX168" s="112"/>
      <c r="BY168" s="110"/>
      <c r="BZ168" s="105"/>
      <c r="CA168" s="105"/>
      <c r="CB168" s="105"/>
      <c r="CC168" s="105"/>
      <c r="CD168" s="105"/>
      <c r="CE168" s="105"/>
    </row>
    <row r="169" spans="1:83" x14ac:dyDescent="0.15">
      <c r="A169" s="103">
        <v>124</v>
      </c>
      <c r="B169" s="98" t="str">
        <f>VLOOKUP($A169,'Rate Calculation'!$A$4:$AQ$208,42,FALSE)</f>
        <v>581070100</v>
      </c>
      <c r="C169" s="98" t="str">
        <f>VLOOKUP($A169,'Rate Calculation'!$A$4:$AQ$208,43,FALSE)</f>
        <v>Copper Ridge Nursing and Assisted Living Center</v>
      </c>
      <c r="D169" s="98" t="str">
        <f>VLOOKUP($A169,'Rate Calculation'!$A$4:$F$208,5,FALSE)</f>
        <v>BALTIMORE METRO</v>
      </c>
      <c r="E169" s="98" t="str">
        <f>VLOOKUP($A169,'Rate Calculation'!$A$4:$F$208,6,FALSE)</f>
        <v>BALTIMORE METRO</v>
      </c>
      <c r="F169" s="105">
        <f t="shared" si="96"/>
        <v>105.18</v>
      </c>
      <c r="G169" s="105">
        <f t="shared" si="97"/>
        <v>21.5</v>
      </c>
      <c r="H169" s="105">
        <f t="shared" si="98"/>
        <v>31.18</v>
      </c>
      <c r="I169" s="105">
        <f t="shared" si="99"/>
        <v>164.93</v>
      </c>
      <c r="J169" s="105">
        <f>VLOOKUP($A169,'Rate Calculation'!$A$4:$AZ$208,34,FALSE)</f>
        <v>0</v>
      </c>
      <c r="K169" s="105">
        <f t="shared" si="122"/>
        <v>322.79000000000002</v>
      </c>
      <c r="L169" s="164">
        <f t="shared" si="100"/>
        <v>0.98772000000000004</v>
      </c>
      <c r="M169" s="105">
        <f t="shared" si="123"/>
        <v>318.83</v>
      </c>
      <c r="N169" s="105">
        <f>VLOOKUP($A169,'Rate Calculation'!$A$4:$AL$208,38,FALSE)</f>
        <v>24.31</v>
      </c>
      <c r="O169" s="183">
        <f>VLOOKUP($A169,'Rate Calculation'!$A$4:$I$208,9,FALSE)</f>
        <v>1.3944000000000001</v>
      </c>
      <c r="P169" s="183">
        <f t="shared" si="69"/>
        <v>1.4432</v>
      </c>
      <c r="Q169" s="183">
        <f>VLOOKUP(A169,'CMI Data'!$A$4:$C$208,3,FALSE)</f>
        <v>1.1819</v>
      </c>
      <c r="R169" s="246">
        <f>VLOOKUP($A169,FRV!$A$4:$K$208,11,FALSE)</f>
        <v>24090</v>
      </c>
      <c r="S169" s="246">
        <f t="shared" si="70"/>
        <v>19641</v>
      </c>
      <c r="T169" s="246">
        <f>VLOOKUP($A169,FRV!$A$4:$L$208,12,FALSE)</f>
        <v>22598</v>
      </c>
      <c r="U169" s="183">
        <f>Inflation!$G$24</f>
        <v>1.0309999999999999</v>
      </c>
      <c r="V169" s="247">
        <f>VLOOKUP($A169,'Rate Calculation'!A170:X373,24,FALSE)</f>
        <v>102.02</v>
      </c>
      <c r="W169" s="110">
        <f t="shared" si="101"/>
        <v>105.18</v>
      </c>
      <c r="X169" s="110">
        <f>VLOOKUP($A169,'Rate Calculation'!A170:V373,22,FALSE)</f>
        <v>20.85</v>
      </c>
      <c r="Y169" s="110">
        <f t="shared" si="102"/>
        <v>21.5</v>
      </c>
      <c r="Z169" s="212">
        <f>VLOOKUP($A169,FRV!$A$4:$D$208,4,FALSE)</f>
        <v>45108</v>
      </c>
      <c r="AA169" s="212">
        <f>VLOOKUP($A169,FRV!$A$4:$F$208,6,FALSE)</f>
        <v>45351</v>
      </c>
      <c r="AB169" s="248">
        <f>VLOOKUP($A169,FRV!$A$4:$U$208,13,FALSE)</f>
        <v>11876138</v>
      </c>
      <c r="AC169" s="248">
        <f>VLOOKUP($A169,FRV!$A$4:$U$208,15,FALSE)</f>
        <v>164383</v>
      </c>
      <c r="AD169" s="248">
        <f>VLOOKUP($A169,FRV!$A$4:$U$208,14,FALSE)</f>
        <v>22000</v>
      </c>
      <c r="AE169" s="248">
        <f>VLOOKUP($A169,FRV!$A$4:$U$208,7,FALSE)</f>
        <v>66</v>
      </c>
      <c r="AF169" s="107">
        <f t="shared" si="103"/>
        <v>13492521</v>
      </c>
      <c r="AG169" s="107">
        <f t="shared" si="104"/>
        <v>204432</v>
      </c>
      <c r="AH169" s="107">
        <v>120000</v>
      </c>
      <c r="AI169" s="107">
        <f t="shared" si="105"/>
        <v>120000</v>
      </c>
      <c r="AJ169" s="107">
        <f t="shared" si="106"/>
        <v>7920000</v>
      </c>
      <c r="AK169" s="249">
        <f>IF(VLOOKUP($A169,'Rate Calculation'!$A$4:$D$208,4,FALSE)="baltimore city",0.1,0.08)</f>
        <v>0.08</v>
      </c>
      <c r="AL169" s="107">
        <f t="shared" si="107"/>
        <v>633600</v>
      </c>
      <c r="AM169" s="105">
        <f>IF(ISERROR(MATCH(A169&amp;AA169,'Days Exceptions'!$C$3:$C$16,0)),ROUND(AL169/(MAX(S169,T169)),2),ROUND(AL169/VLOOKUP(A169,'Days Exceptions'!$A$3:$J$16,8,FALSE),2))</f>
        <v>28.04</v>
      </c>
      <c r="AN169" s="213">
        <f>VLOOKUP($A169,'Rate Calculation'!$A$4:$AF$208,32,FALSE)</f>
        <v>3.14</v>
      </c>
      <c r="AO169" s="109">
        <f t="shared" si="108"/>
        <v>31.18</v>
      </c>
      <c r="AP169" s="247">
        <f>VLOOKUP($A169,'Rate Calculation'!$A$4:$Q$208,17,FALSE)</f>
        <v>189.56</v>
      </c>
      <c r="AQ169" s="247">
        <f t="shared" si="124"/>
        <v>195.44</v>
      </c>
      <c r="AR169" s="247">
        <f>VLOOKUP($A169,'Rate Calculation'!$A$4:$K$208,11,FALSE)</f>
        <v>195.33</v>
      </c>
      <c r="AS169" s="247">
        <f t="shared" si="109"/>
        <v>201.39</v>
      </c>
      <c r="AT169" s="110">
        <f t="shared" si="110"/>
        <v>194.58</v>
      </c>
      <c r="AU169" s="110">
        <f t="shared" si="111"/>
        <v>164.93</v>
      </c>
      <c r="AV169" s="111">
        <f t="shared" si="112"/>
        <v>0</v>
      </c>
      <c r="AW169" s="110">
        <f t="shared" si="113"/>
        <v>164.93</v>
      </c>
      <c r="AX169" s="105">
        <f t="shared" si="114"/>
        <v>165.66</v>
      </c>
      <c r="AY169" s="105">
        <f t="shared" si="115"/>
        <v>156.68</v>
      </c>
      <c r="AZ169" s="105">
        <f t="shared" si="116"/>
        <v>-8.98</v>
      </c>
      <c r="BA169" s="105">
        <f t="shared" si="117"/>
        <v>240.33</v>
      </c>
      <c r="BB169" s="105">
        <f t="shared" si="118"/>
        <v>157.86000000000001</v>
      </c>
      <c r="BC169" s="110">
        <f t="shared" si="119"/>
        <v>343.14</v>
      </c>
      <c r="BD169" s="110">
        <f t="shared" si="120"/>
        <v>264.64</v>
      </c>
      <c r="BE169" s="110">
        <f t="shared" si="121"/>
        <v>182.17</v>
      </c>
      <c r="BF169" s="105"/>
      <c r="BG169" s="105"/>
      <c r="BH169" s="111"/>
      <c r="BI169" s="105"/>
      <c r="BJ169" s="105"/>
      <c r="BK169" s="109"/>
      <c r="BL169" s="111"/>
      <c r="BM169" s="109"/>
      <c r="BN169" s="109"/>
      <c r="BO169" s="105"/>
      <c r="BP169" s="105"/>
      <c r="BQ169" s="109"/>
      <c r="BR169" s="110"/>
      <c r="BS169" s="110"/>
      <c r="BT169" s="110"/>
      <c r="BU169" s="110"/>
      <c r="BV169" s="110"/>
      <c r="BW169" s="112"/>
      <c r="BX169" s="112"/>
      <c r="BY169" s="110"/>
      <c r="BZ169" s="105"/>
      <c r="CA169" s="105"/>
      <c r="CB169" s="105"/>
      <c r="CC169" s="105"/>
      <c r="CD169" s="105"/>
      <c r="CE169" s="105"/>
    </row>
    <row r="170" spans="1:83" x14ac:dyDescent="0.15">
      <c r="A170" s="103">
        <v>364</v>
      </c>
      <c r="B170" s="98" t="str">
        <f>VLOOKUP($A170,'Rate Calculation'!$A$4:$AQ$208,42,FALSE)</f>
        <v>032007200</v>
      </c>
      <c r="C170" s="98" t="str">
        <f>VLOOKUP($A170,'Rate Calculation'!$A$4:$AQ$208,43,FALSE)</f>
        <v>Pickersgill Retirement Community</v>
      </c>
      <c r="D170" s="98" t="str">
        <f>VLOOKUP($A170,'Rate Calculation'!$A$4:$F$208,5,FALSE)</f>
        <v>BALTIMORE METRO</v>
      </c>
      <c r="E170" s="98" t="str">
        <f>VLOOKUP($A170,'Rate Calculation'!$A$4:$F$208,6,FALSE)</f>
        <v>BALTIMORE METRO</v>
      </c>
      <c r="F170" s="105">
        <f t="shared" si="96"/>
        <v>105.18</v>
      </c>
      <c r="G170" s="105">
        <f t="shared" si="97"/>
        <v>21.5</v>
      </c>
      <c r="H170" s="105">
        <f t="shared" si="98"/>
        <v>26.97</v>
      </c>
      <c r="I170" s="105">
        <f t="shared" si="99"/>
        <v>182.94</v>
      </c>
      <c r="J170" s="105">
        <f>VLOOKUP($A170,'Rate Calculation'!$A$4:$AZ$208,34,FALSE)</f>
        <v>0</v>
      </c>
      <c r="K170" s="105">
        <f t="shared" si="122"/>
        <v>336.59</v>
      </c>
      <c r="L170" s="164">
        <f t="shared" si="100"/>
        <v>0.98772000000000004</v>
      </c>
      <c r="M170" s="105">
        <f t="shared" si="123"/>
        <v>332.46</v>
      </c>
      <c r="N170" s="105">
        <f>VLOOKUP($A170,'Rate Calculation'!$A$4:$AL$208,38,FALSE)</f>
        <v>0</v>
      </c>
      <c r="O170" s="183">
        <f>VLOOKUP($A170,'Rate Calculation'!$A$4:$I$208,9,FALSE)</f>
        <v>1.1990000000000001</v>
      </c>
      <c r="P170" s="183">
        <f t="shared" si="69"/>
        <v>1.4432</v>
      </c>
      <c r="Q170" s="183">
        <f>VLOOKUP(A170,'CMI Data'!$A$4:$C$208,3,FALSE)</f>
        <v>1.3109999999999999</v>
      </c>
      <c r="R170" s="246">
        <f>VLOOKUP($A170,FRV!$A$4:$K$208,11,FALSE)</f>
        <v>12775</v>
      </c>
      <c r="S170" s="246">
        <f t="shared" si="70"/>
        <v>10415</v>
      </c>
      <c r="T170" s="246">
        <f>VLOOKUP($A170,FRV!$A$4:$L$208,12,FALSE)</f>
        <v>12456</v>
      </c>
      <c r="U170" s="183">
        <f>Inflation!$G$24</f>
        <v>1.0309999999999999</v>
      </c>
      <c r="V170" s="247">
        <f>VLOOKUP($A170,'Rate Calculation'!A171:X374,24,FALSE)</f>
        <v>102.02</v>
      </c>
      <c r="W170" s="110">
        <f t="shared" si="101"/>
        <v>105.18</v>
      </c>
      <c r="X170" s="110">
        <f>VLOOKUP($A170,'Rate Calculation'!A171:V374,22,FALSE)</f>
        <v>20.85</v>
      </c>
      <c r="Y170" s="110">
        <f t="shared" si="102"/>
        <v>21.5</v>
      </c>
      <c r="Z170" s="212">
        <f>VLOOKUP($A170,FRV!$A$4:$D$208,4,FALSE)</f>
        <v>44743</v>
      </c>
      <c r="AA170" s="212">
        <f>VLOOKUP($A170,FRV!$A$4:$F$208,6,FALSE)</f>
        <v>44926</v>
      </c>
      <c r="AB170" s="248">
        <f>VLOOKUP($A170,FRV!$A$4:$U$208,13,FALSE)</f>
        <v>5785517</v>
      </c>
      <c r="AC170" s="248">
        <f>VLOOKUP($A170,FRV!$A$4:$U$208,15,FALSE)</f>
        <v>158552</v>
      </c>
      <c r="AD170" s="248">
        <f>VLOOKUP($A170,FRV!$A$4:$U$208,14,FALSE)</f>
        <v>25000</v>
      </c>
      <c r="AE170" s="248">
        <f>VLOOKUP($A170,FRV!$A$4:$U$208,7,FALSE)</f>
        <v>35</v>
      </c>
      <c r="AF170" s="107">
        <f t="shared" si="103"/>
        <v>6819069</v>
      </c>
      <c r="AG170" s="107">
        <f t="shared" si="104"/>
        <v>194831</v>
      </c>
      <c r="AH170" s="107">
        <v>120000</v>
      </c>
      <c r="AI170" s="107">
        <f t="shared" si="105"/>
        <v>120000</v>
      </c>
      <c r="AJ170" s="107">
        <f t="shared" si="106"/>
        <v>4200000</v>
      </c>
      <c r="AK170" s="249">
        <f>IF(VLOOKUP($A170,'Rate Calculation'!$A$4:$D$208,4,FALSE)="baltimore city",0.1,0.08)</f>
        <v>0.08</v>
      </c>
      <c r="AL170" s="107">
        <f t="shared" si="107"/>
        <v>336000</v>
      </c>
      <c r="AM170" s="105">
        <f>IF(ISERROR(MATCH(A170&amp;AA170,'Days Exceptions'!$C$3:$C$16,0)),ROUND(AL170/(MAX(S170,T170)),2),ROUND(AL170/VLOOKUP(A170,'Days Exceptions'!$A$3:$J$16,8,FALSE),2))</f>
        <v>26.97</v>
      </c>
      <c r="AN170" s="213">
        <f>VLOOKUP($A170,'Rate Calculation'!$A$4:$AF$208,32,FALSE)</f>
        <v>0</v>
      </c>
      <c r="AO170" s="109">
        <f t="shared" si="108"/>
        <v>26.97</v>
      </c>
      <c r="AP170" s="247">
        <f>VLOOKUP($A170,'Rate Calculation'!$A$4:$Q$208,17,FALSE)</f>
        <v>222.35</v>
      </c>
      <c r="AQ170" s="247">
        <f t="shared" si="124"/>
        <v>229.24</v>
      </c>
      <c r="AR170" s="247">
        <f>VLOOKUP($A170,'Rate Calculation'!$A$4:$K$208,11,FALSE)</f>
        <v>195.33</v>
      </c>
      <c r="AS170" s="247">
        <f t="shared" si="109"/>
        <v>201.39</v>
      </c>
      <c r="AT170" s="110">
        <f t="shared" si="110"/>
        <v>167.31</v>
      </c>
      <c r="AU170" s="110">
        <f t="shared" si="111"/>
        <v>182.94</v>
      </c>
      <c r="AV170" s="111">
        <f t="shared" si="112"/>
        <v>0</v>
      </c>
      <c r="AW170" s="110">
        <f t="shared" si="113"/>
        <v>182.94</v>
      </c>
      <c r="AX170" s="105">
        <f t="shared" si="114"/>
        <v>250.65</v>
      </c>
      <c r="AY170" s="105">
        <f t="shared" si="115"/>
        <v>173.79</v>
      </c>
      <c r="AZ170" s="105">
        <f t="shared" si="116"/>
        <v>-76.86</v>
      </c>
      <c r="BA170" s="105">
        <f t="shared" si="117"/>
        <v>245.12</v>
      </c>
      <c r="BB170" s="105">
        <f t="shared" si="118"/>
        <v>153.65</v>
      </c>
      <c r="BC170" s="110">
        <f t="shared" si="119"/>
        <v>332.46</v>
      </c>
      <c r="BD170" s="110">
        <f t="shared" si="120"/>
        <v>245.12</v>
      </c>
      <c r="BE170" s="110">
        <f t="shared" si="121"/>
        <v>153.65</v>
      </c>
      <c r="BF170" s="105"/>
      <c r="BG170" s="105"/>
      <c r="BH170" s="111"/>
      <c r="BI170" s="105"/>
      <c r="BJ170" s="105"/>
      <c r="BK170" s="109"/>
      <c r="BL170" s="111"/>
      <c r="BM170" s="109"/>
      <c r="BN170" s="109"/>
      <c r="BO170" s="105"/>
      <c r="BP170" s="105"/>
      <c r="BQ170" s="109"/>
      <c r="BR170" s="110"/>
      <c r="BS170" s="110"/>
      <c r="BT170" s="110"/>
      <c r="BU170" s="110"/>
      <c r="BV170" s="110"/>
      <c r="BW170" s="112"/>
      <c r="BX170" s="112"/>
      <c r="BY170" s="110"/>
      <c r="BZ170" s="105"/>
      <c r="CA170" s="105"/>
      <c r="CB170" s="105"/>
      <c r="CC170" s="105"/>
      <c r="CD170" s="105"/>
      <c r="CE170" s="105"/>
    </row>
    <row r="171" spans="1:83" x14ac:dyDescent="0.15">
      <c r="A171" s="103">
        <v>436</v>
      </c>
      <c r="B171" s="98" t="str">
        <f>VLOOKUP($A171,'Rate Calculation'!$A$4:$AQ$208,42,FALSE)</f>
        <v>210786400</v>
      </c>
      <c r="C171" s="98" t="str">
        <f>VLOOKUP($A171,'Rate Calculation'!$A$4:$AQ$208,43,FALSE)</f>
        <v>Pines Nursing and Rehab</v>
      </c>
      <c r="D171" s="98" t="str">
        <f>VLOOKUP($A171,'Rate Calculation'!$A$4:$F$208,5,FALSE)</f>
        <v>EASTERN REGION</v>
      </c>
      <c r="E171" s="98" t="str">
        <f>VLOOKUP($A171,'Rate Calculation'!$A$4:$F$208,6,FALSE)</f>
        <v>NON METRO</v>
      </c>
      <c r="F171" s="105">
        <f t="shared" si="96"/>
        <v>92.33</v>
      </c>
      <c r="G171" s="105">
        <f t="shared" si="97"/>
        <v>20.87</v>
      </c>
      <c r="H171" s="105">
        <f t="shared" si="98"/>
        <v>32.08</v>
      </c>
      <c r="I171" s="105">
        <f t="shared" si="99"/>
        <v>180.97</v>
      </c>
      <c r="J171" s="105">
        <f>VLOOKUP($A171,'Rate Calculation'!$A$4:$AZ$208,34,FALSE)</f>
        <v>0</v>
      </c>
      <c r="K171" s="105">
        <f t="shared" si="122"/>
        <v>326.25</v>
      </c>
      <c r="L171" s="164">
        <f t="shared" si="100"/>
        <v>0.98772000000000004</v>
      </c>
      <c r="M171" s="105">
        <f t="shared" si="123"/>
        <v>322.24</v>
      </c>
      <c r="N171" s="105">
        <f>VLOOKUP($A171,'Rate Calculation'!$A$4:$AL$208,38,FALSE)</f>
        <v>25.42</v>
      </c>
      <c r="O171" s="183">
        <f>VLOOKUP($A171,'Rate Calculation'!$A$4:$I$208,9,FALSE)</f>
        <v>1.5841000000000001</v>
      </c>
      <c r="P171" s="183">
        <f t="shared" si="69"/>
        <v>1.4432</v>
      </c>
      <c r="Q171" s="183">
        <f>VLOOKUP(A171,'CMI Data'!$A$4:$C$208,3,FALSE)</f>
        <v>1.6532</v>
      </c>
      <c r="R171" s="246">
        <f>VLOOKUP($A171,FRV!$A$4:$K$208,11,FALSE)</f>
        <v>62050</v>
      </c>
      <c r="S171" s="246">
        <f t="shared" si="70"/>
        <v>50589</v>
      </c>
      <c r="T171" s="246">
        <f>VLOOKUP($A171,FRV!$A$4:$L$208,12,FALSE)</f>
        <v>33274</v>
      </c>
      <c r="U171" s="183">
        <f>Inflation!$G$24</f>
        <v>1.0309999999999999</v>
      </c>
      <c r="V171" s="247">
        <f>VLOOKUP($A171,'Rate Calculation'!A172:X375,24,FALSE)</f>
        <v>89.55</v>
      </c>
      <c r="W171" s="110">
        <f t="shared" si="101"/>
        <v>92.33</v>
      </c>
      <c r="X171" s="110">
        <f>VLOOKUP($A171,'Rate Calculation'!A172:V375,22,FALSE)</f>
        <v>20.239999999999998</v>
      </c>
      <c r="Y171" s="110">
        <f t="shared" si="102"/>
        <v>20.87</v>
      </c>
      <c r="Z171" s="212">
        <f>VLOOKUP($A171,FRV!$A$4:$D$208,4,FALSE)</f>
        <v>44743</v>
      </c>
      <c r="AA171" s="212">
        <f>VLOOKUP($A171,FRV!$A$4:$F$208,6,FALSE)</f>
        <v>44926</v>
      </c>
      <c r="AB171" s="248">
        <f>VLOOKUP($A171,FRV!$A$4:$U$208,13,FALSE)</f>
        <v>16482298</v>
      </c>
      <c r="AC171" s="248">
        <f>VLOOKUP($A171,FRV!$A$4:$U$208,15,FALSE)</f>
        <v>273855</v>
      </c>
      <c r="AD171" s="248">
        <f>VLOOKUP($A171,FRV!$A$4:$U$208,14,FALSE)</f>
        <v>16000</v>
      </c>
      <c r="AE171" s="248">
        <f>VLOOKUP($A171,FRV!$A$4:$U$208,7,FALSE)</f>
        <v>170</v>
      </c>
      <c r="AF171" s="107">
        <f t="shared" si="103"/>
        <v>19476153</v>
      </c>
      <c r="AG171" s="107">
        <f t="shared" si="104"/>
        <v>114566</v>
      </c>
      <c r="AH171" s="107">
        <v>120000</v>
      </c>
      <c r="AI171" s="107">
        <f t="shared" si="105"/>
        <v>114566</v>
      </c>
      <c r="AJ171" s="107">
        <f t="shared" si="106"/>
        <v>19476220</v>
      </c>
      <c r="AK171" s="249">
        <f>IF(VLOOKUP($A171,'Rate Calculation'!$A$4:$D$208,4,FALSE)="baltimore city",0.1,0.08)</f>
        <v>0.08</v>
      </c>
      <c r="AL171" s="107">
        <f t="shared" si="107"/>
        <v>1558098</v>
      </c>
      <c r="AM171" s="105">
        <f>IF(ISERROR(MATCH(A171&amp;AA171,'Days Exceptions'!$C$3:$C$16,0)),ROUND(AL171/(MAX(S171,T171)),2),ROUND(AL171/VLOOKUP(A171,'Days Exceptions'!$A$3:$J$16,8,FALSE),2))</f>
        <v>30.8</v>
      </c>
      <c r="AN171" s="213">
        <f>VLOOKUP($A171,'Rate Calculation'!$A$4:$AF$208,32,FALSE)</f>
        <v>1.28</v>
      </c>
      <c r="AO171" s="109">
        <f t="shared" si="108"/>
        <v>32.08</v>
      </c>
      <c r="AP171" s="247">
        <f>VLOOKUP($A171,'Rate Calculation'!$A$4:$Q$208,17,FALSE)</f>
        <v>157.97</v>
      </c>
      <c r="AQ171" s="247">
        <f t="shared" si="124"/>
        <v>162.87</v>
      </c>
      <c r="AR171" s="247">
        <f>VLOOKUP($A171,'Rate Calculation'!$A$4:$K$208,11,FALSE)</f>
        <v>186.31</v>
      </c>
      <c r="AS171" s="247">
        <f t="shared" si="109"/>
        <v>192.09</v>
      </c>
      <c r="AT171" s="110">
        <f t="shared" si="110"/>
        <v>210.84</v>
      </c>
      <c r="AU171" s="110">
        <f t="shared" si="111"/>
        <v>220.04</v>
      </c>
      <c r="AV171" s="111">
        <f t="shared" si="112"/>
        <v>-39.07</v>
      </c>
      <c r="AW171" s="110">
        <f t="shared" si="113"/>
        <v>180.97</v>
      </c>
      <c r="AX171" s="105">
        <f t="shared" si="114"/>
        <v>169.97</v>
      </c>
      <c r="AY171" s="105">
        <f t="shared" si="115"/>
        <v>209.04</v>
      </c>
      <c r="AZ171" s="105">
        <f t="shared" si="116"/>
        <v>39.07</v>
      </c>
      <c r="BA171" s="105">
        <f t="shared" si="117"/>
        <v>235.77</v>
      </c>
      <c r="BB171" s="105">
        <f t="shared" si="118"/>
        <v>145.28</v>
      </c>
      <c r="BC171" s="110">
        <f t="shared" si="119"/>
        <v>347.66</v>
      </c>
      <c r="BD171" s="110">
        <f t="shared" si="120"/>
        <v>261.19</v>
      </c>
      <c r="BE171" s="110">
        <f t="shared" si="121"/>
        <v>170.7</v>
      </c>
      <c r="BF171" s="105"/>
      <c r="BG171" s="105"/>
      <c r="BH171" s="111"/>
      <c r="BI171" s="105"/>
      <c r="BJ171" s="105"/>
      <c r="BK171" s="109"/>
      <c r="BL171" s="111"/>
      <c r="BM171" s="109"/>
      <c r="BN171" s="109"/>
      <c r="BO171" s="105"/>
      <c r="BP171" s="105"/>
      <c r="BQ171" s="109"/>
      <c r="BR171" s="110"/>
      <c r="BS171" s="110"/>
      <c r="BT171" s="110"/>
      <c r="BU171" s="110"/>
      <c r="BV171" s="110"/>
      <c r="BW171" s="112"/>
      <c r="BX171" s="112"/>
      <c r="BY171" s="110"/>
      <c r="BZ171" s="105"/>
      <c r="CA171" s="105"/>
      <c r="CB171" s="105"/>
      <c r="CC171" s="105"/>
      <c r="CD171" s="105"/>
      <c r="CE171" s="105"/>
    </row>
    <row r="172" spans="1:83" x14ac:dyDescent="0.15">
      <c r="A172" s="103">
        <v>366</v>
      </c>
      <c r="B172" s="98" t="str">
        <f>VLOOKUP($A172,'Rate Calculation'!$A$4:$AQ$208,42,FALSE)</f>
        <v>271011100</v>
      </c>
      <c r="C172" s="98" t="str">
        <f>VLOOKUP($A172,'Rate Calculation'!$A$4:$AQ$208,43,FALSE)</f>
        <v>Pleasant View Healthcare Center</v>
      </c>
      <c r="D172" s="98" t="str">
        <f>VLOOKUP($A172,'Rate Calculation'!$A$4:$F$208,5,FALSE)</f>
        <v>BALTIMORE METRO</v>
      </c>
      <c r="E172" s="98" t="str">
        <f>VLOOKUP($A172,'Rate Calculation'!$A$4:$F$208,6,FALSE)</f>
        <v>BALTIMORE METRO</v>
      </c>
      <c r="F172" s="105">
        <f t="shared" si="96"/>
        <v>105.18</v>
      </c>
      <c r="G172" s="105">
        <f t="shared" si="97"/>
        <v>21.5</v>
      </c>
      <c r="H172" s="105">
        <f t="shared" si="98"/>
        <v>22.96</v>
      </c>
      <c r="I172" s="105">
        <f t="shared" si="99"/>
        <v>157.80000000000001</v>
      </c>
      <c r="J172" s="105">
        <f>VLOOKUP($A172,'Rate Calculation'!$A$4:$AZ$208,34,FALSE)</f>
        <v>0</v>
      </c>
      <c r="K172" s="105">
        <f t="shared" si="122"/>
        <v>307.44</v>
      </c>
      <c r="L172" s="164">
        <f t="shared" si="100"/>
        <v>0.98772000000000004</v>
      </c>
      <c r="M172" s="105">
        <f t="shared" si="123"/>
        <v>303.66000000000003</v>
      </c>
      <c r="N172" s="105">
        <f>VLOOKUP($A172,'Rate Calculation'!$A$4:$AL$208,38,FALSE)</f>
        <v>31.57</v>
      </c>
      <c r="O172" s="183">
        <f>VLOOKUP($A172,'Rate Calculation'!$A$4:$I$208,9,FALSE)</f>
        <v>1.2108000000000001</v>
      </c>
      <c r="P172" s="183">
        <f t="shared" si="69"/>
        <v>1.4432</v>
      </c>
      <c r="Q172" s="183">
        <f>VLOOKUP(A172,'CMI Data'!$A$4:$C$208,3,FALSE)</f>
        <v>1.244</v>
      </c>
      <c r="R172" s="246">
        <f>VLOOKUP($A172,FRV!$A$4:$K$208,11,FALSE)</f>
        <v>38064</v>
      </c>
      <c r="S172" s="246">
        <f t="shared" si="70"/>
        <v>31034</v>
      </c>
      <c r="T172" s="246">
        <f>VLOOKUP($A172,FRV!$A$4:$L$208,12,FALSE)</f>
        <v>28330</v>
      </c>
      <c r="U172" s="183">
        <f>Inflation!$G$24</f>
        <v>1.0309999999999999</v>
      </c>
      <c r="V172" s="247">
        <f>VLOOKUP($A172,'Rate Calculation'!A173:X376,24,FALSE)</f>
        <v>102.02</v>
      </c>
      <c r="W172" s="110">
        <f t="shared" si="101"/>
        <v>105.18</v>
      </c>
      <c r="X172" s="110">
        <f>VLOOKUP($A172,'Rate Calculation'!A173:V376,22,FALSE)</f>
        <v>20.85</v>
      </c>
      <c r="Y172" s="110">
        <f t="shared" si="102"/>
        <v>21.5</v>
      </c>
      <c r="Z172" s="212">
        <f>VLOOKUP($A172,FRV!$A$4:$D$208,4,FALSE)</f>
        <v>45474</v>
      </c>
      <c r="AA172" s="212">
        <f>VLOOKUP($A172,FRV!$A$4:$F$208,6,FALSE)</f>
        <v>45473</v>
      </c>
      <c r="AB172" s="248">
        <f>VLOOKUP($A172,FRV!$A$4:$U$208,13,FALSE)</f>
        <v>6747542</v>
      </c>
      <c r="AC172" s="248">
        <f>VLOOKUP($A172,FRV!$A$4:$U$208,15,FALSE)</f>
        <v>91608</v>
      </c>
      <c r="AD172" s="248">
        <f>VLOOKUP($A172,FRV!$A$4:$U$208,14,FALSE)</f>
        <v>10000</v>
      </c>
      <c r="AE172" s="248">
        <f>VLOOKUP($A172,FRV!$A$4:$U$208,7,FALSE)</f>
        <v>104</v>
      </c>
      <c r="AF172" s="107">
        <f t="shared" si="103"/>
        <v>7879150</v>
      </c>
      <c r="AG172" s="107">
        <f t="shared" si="104"/>
        <v>75761</v>
      </c>
      <c r="AH172" s="107">
        <v>120000</v>
      </c>
      <c r="AI172" s="107">
        <f t="shared" si="105"/>
        <v>75761</v>
      </c>
      <c r="AJ172" s="107">
        <f t="shared" si="106"/>
        <v>7879144</v>
      </c>
      <c r="AK172" s="249">
        <f>IF(VLOOKUP($A172,'Rate Calculation'!$A$4:$D$208,4,FALSE)="baltimore city",0.1,0.08)</f>
        <v>0.08</v>
      </c>
      <c r="AL172" s="107">
        <f t="shared" si="107"/>
        <v>630332</v>
      </c>
      <c r="AM172" s="105">
        <f>IF(ISERROR(MATCH(A172&amp;AA172,'Days Exceptions'!$C$3:$C$16,0)),ROUND(AL172/(MAX(S172,T172)),2),ROUND(AL172/VLOOKUP(A172,'Days Exceptions'!$A$3:$J$16,8,FALSE),2))</f>
        <v>20.309999999999999</v>
      </c>
      <c r="AN172" s="213">
        <f>VLOOKUP($A172,'Rate Calculation'!$A$4:$AF$208,32,FALSE)</f>
        <v>2.65</v>
      </c>
      <c r="AO172" s="109">
        <f t="shared" si="108"/>
        <v>22.96</v>
      </c>
      <c r="AP172" s="247">
        <f>VLOOKUP($A172,'Rate Calculation'!$A$4:$Q$208,17,FALSE)</f>
        <v>140.78</v>
      </c>
      <c r="AQ172" s="247">
        <f t="shared" si="124"/>
        <v>145.13999999999999</v>
      </c>
      <c r="AR172" s="247">
        <f>VLOOKUP($A172,'Rate Calculation'!$A$4:$K$208,11,FALSE)</f>
        <v>195.33</v>
      </c>
      <c r="AS172" s="247">
        <f t="shared" si="109"/>
        <v>201.39</v>
      </c>
      <c r="AT172" s="110">
        <f t="shared" si="110"/>
        <v>168.96</v>
      </c>
      <c r="AU172" s="110">
        <f t="shared" si="111"/>
        <v>173.59</v>
      </c>
      <c r="AV172" s="111">
        <f t="shared" si="112"/>
        <v>-15.79</v>
      </c>
      <c r="AW172" s="110">
        <f t="shared" si="113"/>
        <v>157.80000000000001</v>
      </c>
      <c r="AX172" s="105">
        <f t="shared" si="114"/>
        <v>149.12</v>
      </c>
      <c r="AY172" s="105">
        <f t="shared" si="115"/>
        <v>164.91</v>
      </c>
      <c r="AZ172" s="105">
        <f t="shared" si="116"/>
        <v>15.79</v>
      </c>
      <c r="BA172" s="105">
        <f t="shared" si="117"/>
        <v>228.54</v>
      </c>
      <c r="BB172" s="105">
        <f t="shared" si="118"/>
        <v>149.63999999999999</v>
      </c>
      <c r="BC172" s="110">
        <f t="shared" si="119"/>
        <v>335.23</v>
      </c>
      <c r="BD172" s="110">
        <f t="shared" si="120"/>
        <v>260.11</v>
      </c>
      <c r="BE172" s="110">
        <f t="shared" si="121"/>
        <v>181.21</v>
      </c>
      <c r="BF172" s="105"/>
      <c r="BG172" s="105"/>
      <c r="BH172" s="111"/>
      <c r="BI172" s="105"/>
      <c r="BJ172" s="105"/>
      <c r="BK172" s="109"/>
      <c r="BL172" s="111"/>
      <c r="BM172" s="109"/>
      <c r="BN172" s="109"/>
      <c r="BO172" s="105"/>
      <c r="BP172" s="105"/>
      <c r="BQ172" s="109"/>
      <c r="BR172" s="110"/>
      <c r="BS172" s="110"/>
      <c r="BT172" s="110"/>
      <c r="BU172" s="110"/>
      <c r="BV172" s="110"/>
      <c r="BW172" s="112"/>
      <c r="BX172" s="112"/>
      <c r="BY172" s="110"/>
      <c r="BZ172" s="105"/>
      <c r="CA172" s="105"/>
      <c r="CB172" s="105"/>
      <c r="CC172" s="105"/>
      <c r="CD172" s="105"/>
      <c r="CE172" s="105"/>
    </row>
    <row r="173" spans="1:83" x14ac:dyDescent="0.15">
      <c r="A173" s="103">
        <v>294</v>
      </c>
      <c r="B173" s="98" t="str">
        <f>VLOOKUP($A173,'Rate Calculation'!$A$4:$AQ$208,42,FALSE)</f>
        <v>887130200</v>
      </c>
      <c r="C173" s="98" t="str">
        <f>VLOOKUP($A173,'Rate Calculation'!$A$4:$AQ$208,43,FALSE)</f>
        <v>Post-Acute Care Center</v>
      </c>
      <c r="D173" s="98" t="str">
        <f>VLOOKUP($A173,'Rate Calculation'!$A$4:$F$208,5,FALSE)</f>
        <v>BALTIMORE METRO</v>
      </c>
      <c r="E173" s="98" t="str">
        <f>VLOOKUP($A173,'Rate Calculation'!$A$4:$F$208,6,FALSE)</f>
        <v>BALTIMORE CITY</v>
      </c>
      <c r="F173" s="105">
        <f t="shared" si="96"/>
        <v>117.69</v>
      </c>
      <c r="G173" s="105">
        <f t="shared" si="97"/>
        <v>25.66</v>
      </c>
      <c r="H173" s="105">
        <f t="shared" si="98"/>
        <v>41.88</v>
      </c>
      <c r="I173" s="105">
        <f t="shared" si="99"/>
        <v>199.69</v>
      </c>
      <c r="J173" s="105">
        <f>VLOOKUP($A173,'Rate Calculation'!$A$4:$AZ$208,34,FALSE)</f>
        <v>0</v>
      </c>
      <c r="K173" s="105">
        <f t="shared" si="122"/>
        <v>384.92</v>
      </c>
      <c r="L173" s="164">
        <f t="shared" si="100"/>
        <v>0.98772000000000004</v>
      </c>
      <c r="M173" s="105">
        <f t="shared" si="123"/>
        <v>380.19</v>
      </c>
      <c r="N173" s="105">
        <f>VLOOKUP($A173,'Rate Calculation'!$A$4:$AL$208,38,FALSE)</f>
        <v>2.4300000000000002</v>
      </c>
      <c r="O173" s="183">
        <f>VLOOKUP($A173,'Rate Calculation'!$A$4:$I$208,9,FALSE)</f>
        <v>1.7730999999999999</v>
      </c>
      <c r="P173" s="183">
        <f t="shared" si="69"/>
        <v>1.4432</v>
      </c>
      <c r="Q173" s="183">
        <f>VLOOKUP(A173,'CMI Data'!$A$4:$C$208,3,FALSE)</f>
        <v>1.5521</v>
      </c>
      <c r="R173" s="246">
        <f>VLOOKUP($A173,FRV!$A$4:$K$208,11,FALSE)</f>
        <v>82125</v>
      </c>
      <c r="S173" s="246">
        <f t="shared" si="70"/>
        <v>66957</v>
      </c>
      <c r="T173" s="246">
        <f>VLOOKUP($A173,FRV!$A$4:$L$208,12,FALSE)</f>
        <v>75694</v>
      </c>
      <c r="U173" s="183">
        <f>Inflation!$G$24</f>
        <v>1.0309999999999999</v>
      </c>
      <c r="V173" s="247">
        <f>VLOOKUP($A173,'Rate Calculation'!A174:X377,24,FALSE)</f>
        <v>114.15</v>
      </c>
      <c r="W173" s="110">
        <f t="shared" si="101"/>
        <v>117.69</v>
      </c>
      <c r="X173" s="110">
        <f>VLOOKUP($A173,'Rate Calculation'!A174:V377,22,FALSE)</f>
        <v>24.89</v>
      </c>
      <c r="Y173" s="110">
        <f t="shared" si="102"/>
        <v>25.66</v>
      </c>
      <c r="Z173" s="212">
        <f>VLOOKUP($A173,FRV!$A$4:$D$208,4,FALSE)</f>
        <v>45108</v>
      </c>
      <c r="AA173" s="212">
        <f>VLOOKUP($A173,FRV!$A$4:$F$208,6,FALSE)</f>
        <v>45291</v>
      </c>
      <c r="AB173" s="248">
        <f>VLOOKUP($A173,FRV!$A$4:$U$208,13,FALSE)</f>
        <v>25086294</v>
      </c>
      <c r="AC173" s="248">
        <f>VLOOKUP($A173,FRV!$A$4:$U$208,15,FALSE)</f>
        <v>470031</v>
      </c>
      <c r="AD173" s="248">
        <f>VLOOKUP($A173,FRV!$A$4:$U$208,14,FALSE)</f>
        <v>20000</v>
      </c>
      <c r="AE173" s="248">
        <f>VLOOKUP($A173,FRV!$A$4:$U$208,7,FALSE)</f>
        <v>225</v>
      </c>
      <c r="AF173" s="107">
        <f t="shared" si="103"/>
        <v>30056325</v>
      </c>
      <c r="AG173" s="107">
        <f t="shared" si="104"/>
        <v>133584</v>
      </c>
      <c r="AH173" s="107">
        <v>120000</v>
      </c>
      <c r="AI173" s="107">
        <f t="shared" si="105"/>
        <v>120000</v>
      </c>
      <c r="AJ173" s="107">
        <f t="shared" si="106"/>
        <v>27000000</v>
      </c>
      <c r="AK173" s="249">
        <f>IF(VLOOKUP($A173,'Rate Calculation'!$A$4:$D$208,4,FALSE)="baltimore city",0.1,0.08)</f>
        <v>0.1</v>
      </c>
      <c r="AL173" s="107">
        <f t="shared" si="107"/>
        <v>2700000</v>
      </c>
      <c r="AM173" s="105">
        <f>IF(ISERROR(MATCH(A173&amp;AA173,'Days Exceptions'!$C$3:$C$16,0)),ROUND(AL173/(MAX(S173,T173)),2),ROUND(AL173/VLOOKUP(A173,'Days Exceptions'!$A$3:$J$16,8,FALSE),2))</f>
        <v>35.67</v>
      </c>
      <c r="AN173" s="213">
        <f>VLOOKUP($A173,'Rate Calculation'!$A$4:$AF$208,32,FALSE)</f>
        <v>6.21</v>
      </c>
      <c r="AO173" s="109">
        <f t="shared" si="108"/>
        <v>41.88</v>
      </c>
      <c r="AP173" s="247">
        <f>VLOOKUP($A173,'Rate Calculation'!$A$4:$Q$208,17,FALSE)</f>
        <v>209.26</v>
      </c>
      <c r="AQ173" s="247">
        <f t="shared" si="124"/>
        <v>215.75</v>
      </c>
      <c r="AR173" s="247">
        <f>VLOOKUP($A173,'Rate Calculation'!$A$4:$K$208,11,FALSE)</f>
        <v>195.33</v>
      </c>
      <c r="AS173" s="247">
        <f t="shared" si="109"/>
        <v>201.39</v>
      </c>
      <c r="AT173" s="110">
        <f t="shared" si="110"/>
        <v>247.43</v>
      </c>
      <c r="AU173" s="110">
        <f t="shared" si="111"/>
        <v>216.59</v>
      </c>
      <c r="AV173" s="111">
        <f t="shared" si="112"/>
        <v>-16.899999999999999</v>
      </c>
      <c r="AW173" s="110">
        <f t="shared" si="113"/>
        <v>199.69</v>
      </c>
      <c r="AX173" s="105">
        <f t="shared" si="114"/>
        <v>188.86</v>
      </c>
      <c r="AY173" s="105">
        <f t="shared" si="115"/>
        <v>205.76</v>
      </c>
      <c r="AZ173" s="105">
        <f t="shared" si="116"/>
        <v>16.899999999999999</v>
      </c>
      <c r="BA173" s="105">
        <f t="shared" si="117"/>
        <v>285.08</v>
      </c>
      <c r="BB173" s="105">
        <f t="shared" si="118"/>
        <v>185.23</v>
      </c>
      <c r="BC173" s="110">
        <f t="shared" si="119"/>
        <v>382.62</v>
      </c>
      <c r="BD173" s="110">
        <f t="shared" si="120"/>
        <v>287.51</v>
      </c>
      <c r="BE173" s="110">
        <f t="shared" si="121"/>
        <v>187.66</v>
      </c>
      <c r="BF173" s="105"/>
      <c r="BG173" s="105"/>
      <c r="BH173" s="111"/>
      <c r="BI173" s="105"/>
      <c r="BJ173" s="105"/>
      <c r="BK173" s="109"/>
      <c r="BL173" s="111"/>
      <c r="BM173" s="109"/>
      <c r="BN173" s="109"/>
      <c r="BO173" s="105"/>
      <c r="BP173" s="105"/>
      <c r="BQ173" s="109"/>
      <c r="BR173" s="110"/>
      <c r="BS173" s="110"/>
      <c r="BT173" s="110"/>
      <c r="BU173" s="110"/>
      <c r="BV173" s="110"/>
      <c r="BW173" s="112"/>
      <c r="BX173" s="112"/>
      <c r="BY173" s="110"/>
      <c r="BZ173" s="105"/>
      <c r="CA173" s="105"/>
      <c r="CB173" s="105"/>
      <c r="CC173" s="105"/>
      <c r="CD173" s="105"/>
      <c r="CE173" s="105"/>
    </row>
    <row r="174" spans="1:83" x14ac:dyDescent="0.15">
      <c r="A174" s="103">
        <v>368</v>
      </c>
      <c r="B174" s="98" t="str">
        <f>VLOOKUP($A174,'Rate Calculation'!$A$4:$AQ$208,42,FALSE)</f>
        <v>907374400</v>
      </c>
      <c r="C174" s="98" t="str">
        <f>VLOOKUP($A174,'Rate Calculation'!$A$4:$AQ$208,43,FALSE)</f>
        <v>Potomac Valley Rehabilitation &amp; Healthcare Center</v>
      </c>
      <c r="D174" s="98" t="str">
        <f>VLOOKUP($A174,'Rate Calculation'!$A$4:$F$208,5,FALSE)</f>
        <v>WASHINGTON METRO</v>
      </c>
      <c r="E174" s="98" t="str">
        <f>VLOOKUP($A174,'Rate Calculation'!$A$4:$F$208,6,FALSE)</f>
        <v>WASHINGTON METRO</v>
      </c>
      <c r="F174" s="105">
        <f t="shared" si="96"/>
        <v>103.73</v>
      </c>
      <c r="G174" s="105">
        <f t="shared" si="97"/>
        <v>19.829999999999998</v>
      </c>
      <c r="H174" s="105">
        <f t="shared" si="98"/>
        <v>32.26</v>
      </c>
      <c r="I174" s="105">
        <f t="shared" si="99"/>
        <v>143.32</v>
      </c>
      <c r="J174" s="105">
        <f>VLOOKUP($A174,'Rate Calculation'!$A$4:$AZ$208,34,FALSE)</f>
        <v>0</v>
      </c>
      <c r="K174" s="105">
        <f t="shared" si="122"/>
        <v>299.14</v>
      </c>
      <c r="L174" s="164">
        <f t="shared" si="100"/>
        <v>0.98772000000000004</v>
      </c>
      <c r="M174" s="105">
        <f t="shared" si="123"/>
        <v>295.47000000000003</v>
      </c>
      <c r="N174" s="105">
        <f>VLOOKUP($A174,'Rate Calculation'!$A$4:$AL$208,38,FALSE)</f>
        <v>27.02</v>
      </c>
      <c r="O174" s="183">
        <f>VLOOKUP($A174,'Rate Calculation'!$A$4:$I$208,9,FALSE)</f>
        <v>1.4387000000000001</v>
      </c>
      <c r="P174" s="183">
        <f t="shared" si="69"/>
        <v>1.4432</v>
      </c>
      <c r="Q174" s="183">
        <f>VLOOKUP(A174,'CMI Data'!$A$4:$C$208,3,FALSE)</f>
        <v>1.3631</v>
      </c>
      <c r="R174" s="246">
        <f>VLOOKUP($A174,FRV!$A$4:$K$208,11,FALSE)</f>
        <v>63875</v>
      </c>
      <c r="S174" s="246">
        <f t="shared" si="70"/>
        <v>52077</v>
      </c>
      <c r="T174" s="246">
        <f>VLOOKUP($A174,FRV!$A$4:$L$208,12,FALSE)</f>
        <v>60612</v>
      </c>
      <c r="U174" s="183">
        <f>Inflation!$G$24</f>
        <v>1.0309999999999999</v>
      </c>
      <c r="V174" s="247">
        <f>VLOOKUP($A174,'Rate Calculation'!A175:X378,24,FALSE)</f>
        <v>100.61</v>
      </c>
      <c r="W174" s="110">
        <f t="shared" si="101"/>
        <v>103.73</v>
      </c>
      <c r="X174" s="110">
        <f>VLOOKUP($A174,'Rate Calculation'!A175:V378,22,FALSE)</f>
        <v>19.23</v>
      </c>
      <c r="Y174" s="110">
        <f t="shared" si="102"/>
        <v>19.829999999999998</v>
      </c>
      <c r="Z174" s="212">
        <f>VLOOKUP($A174,FRV!$A$4:$D$208,4,FALSE)</f>
        <v>44743</v>
      </c>
      <c r="AA174" s="212">
        <f>VLOOKUP($A174,FRV!$A$4:$F$208,6,FALSE)</f>
        <v>44926</v>
      </c>
      <c r="AB174" s="248">
        <f>VLOOKUP($A174,FRV!$A$4:$U$208,13,FALSE)</f>
        <v>17098373</v>
      </c>
      <c r="AC174" s="248">
        <f>VLOOKUP($A174,FRV!$A$4:$U$208,15,FALSE)</f>
        <v>219447</v>
      </c>
      <c r="AD174" s="248">
        <f>VLOOKUP($A174,FRV!$A$4:$U$208,14,FALSE)</f>
        <v>40000</v>
      </c>
      <c r="AE174" s="248">
        <f>VLOOKUP($A174,FRV!$A$4:$U$208,7,FALSE)</f>
        <v>175</v>
      </c>
      <c r="AF174" s="107">
        <f t="shared" si="103"/>
        <v>24317820</v>
      </c>
      <c r="AG174" s="107">
        <f t="shared" si="104"/>
        <v>138959</v>
      </c>
      <c r="AH174" s="107">
        <v>120000</v>
      </c>
      <c r="AI174" s="107">
        <f t="shared" si="105"/>
        <v>120000</v>
      </c>
      <c r="AJ174" s="107">
        <f t="shared" si="106"/>
        <v>21000000</v>
      </c>
      <c r="AK174" s="249">
        <f>IF(VLOOKUP($A174,'Rate Calculation'!$A$4:$D$208,4,FALSE)="baltimore city",0.1,0.08)</f>
        <v>0.08</v>
      </c>
      <c r="AL174" s="107">
        <f t="shared" si="107"/>
        <v>1680000</v>
      </c>
      <c r="AM174" s="105">
        <f>IF(ISERROR(MATCH(A174&amp;AA174,'Days Exceptions'!$C$3:$C$16,0)),ROUND(AL174/(MAX(S174,T174)),2),ROUND(AL174/VLOOKUP(A174,'Days Exceptions'!$A$3:$J$16,8,FALSE),2))</f>
        <v>27.72</v>
      </c>
      <c r="AN174" s="213">
        <f>VLOOKUP($A174,'Rate Calculation'!$A$4:$AF$208,32,FALSE)</f>
        <v>4.54</v>
      </c>
      <c r="AO174" s="109">
        <f t="shared" si="108"/>
        <v>32.26</v>
      </c>
      <c r="AP174" s="247">
        <f>VLOOKUP($A174,'Rate Calculation'!$A$4:$Q$208,17,FALSE)</f>
        <v>137.94</v>
      </c>
      <c r="AQ174" s="247">
        <f t="shared" si="124"/>
        <v>142.22</v>
      </c>
      <c r="AR174" s="247">
        <f>VLOOKUP($A174,'Rate Calculation'!$A$4:$K$208,11,FALSE)</f>
        <v>176.01</v>
      </c>
      <c r="AS174" s="247">
        <f t="shared" si="109"/>
        <v>181.47</v>
      </c>
      <c r="AT174" s="110">
        <f t="shared" si="110"/>
        <v>180.9</v>
      </c>
      <c r="AU174" s="110">
        <f t="shared" si="111"/>
        <v>171.39</v>
      </c>
      <c r="AV174" s="111">
        <f t="shared" si="112"/>
        <v>-28.07</v>
      </c>
      <c r="AW174" s="110">
        <f t="shared" si="113"/>
        <v>143.32</v>
      </c>
      <c r="AX174" s="105">
        <f t="shared" si="114"/>
        <v>134.75</v>
      </c>
      <c r="AY174" s="105">
        <f t="shared" si="115"/>
        <v>162.82</v>
      </c>
      <c r="AZ174" s="105">
        <f t="shared" si="116"/>
        <v>28.07</v>
      </c>
      <c r="BA174" s="105">
        <f t="shared" si="117"/>
        <v>227.48</v>
      </c>
      <c r="BB174" s="105">
        <f t="shared" si="118"/>
        <v>155.82</v>
      </c>
      <c r="BC174" s="110">
        <f t="shared" si="119"/>
        <v>322.49</v>
      </c>
      <c r="BD174" s="110">
        <f t="shared" si="120"/>
        <v>254.5</v>
      </c>
      <c r="BE174" s="110">
        <f t="shared" si="121"/>
        <v>182.84</v>
      </c>
      <c r="BF174" s="105"/>
      <c r="BG174" s="105"/>
      <c r="BH174" s="111"/>
      <c r="BI174" s="105"/>
      <c r="BJ174" s="105"/>
      <c r="BK174" s="109"/>
      <c r="BL174" s="111"/>
      <c r="BM174" s="109"/>
      <c r="BN174" s="109"/>
      <c r="BO174" s="105"/>
      <c r="BP174" s="105"/>
      <c r="BQ174" s="109"/>
      <c r="BR174" s="110"/>
      <c r="BS174" s="110"/>
      <c r="BT174" s="110"/>
      <c r="BU174" s="110"/>
      <c r="BV174" s="110"/>
      <c r="BW174" s="112"/>
      <c r="BX174" s="112"/>
      <c r="BY174" s="110"/>
      <c r="BZ174" s="105"/>
      <c r="CA174" s="105"/>
      <c r="CB174" s="105"/>
      <c r="CC174" s="105"/>
      <c r="CD174" s="105"/>
      <c r="CE174" s="105"/>
    </row>
    <row r="175" spans="1:83" x14ac:dyDescent="0.15">
      <c r="A175" s="115">
        <v>462</v>
      </c>
      <c r="B175" s="98" t="str">
        <f>VLOOKUP($A175,'Rate Calculation'!$A$4:$AQ$208,42,FALSE)</f>
        <v>300099100</v>
      </c>
      <c r="C175" s="98" t="str">
        <f>VLOOKUP($A175,'Rate Calculation'!$A$4:$AQ$208,43,FALSE)</f>
        <v>Regency Care of Silver Spring, LLC</v>
      </c>
      <c r="D175" s="98" t="str">
        <f>VLOOKUP($A175,'Rate Calculation'!$A$4:$F$208,5,FALSE)</f>
        <v>WASHINGTON METRO</v>
      </c>
      <c r="E175" s="98" t="str">
        <f>VLOOKUP($A175,'Rate Calculation'!$A$4:$F$208,6,FALSE)</f>
        <v>WASHINGTON METRO</v>
      </c>
      <c r="F175" s="105">
        <f t="shared" si="96"/>
        <v>103.73</v>
      </c>
      <c r="G175" s="105">
        <f t="shared" si="97"/>
        <v>19.829999999999998</v>
      </c>
      <c r="H175" s="105">
        <f t="shared" si="98"/>
        <v>35.47</v>
      </c>
      <c r="I175" s="105">
        <f t="shared" si="99"/>
        <v>154.21</v>
      </c>
      <c r="J175" s="105">
        <f>VLOOKUP($A175,'Rate Calculation'!$A$4:$AZ$208,34,FALSE)</f>
        <v>0</v>
      </c>
      <c r="K175" s="105">
        <f t="shared" si="122"/>
        <v>313.24</v>
      </c>
      <c r="L175" s="164">
        <f t="shared" si="100"/>
        <v>0.98772000000000004</v>
      </c>
      <c r="M175" s="105">
        <f t="shared" si="123"/>
        <v>309.39</v>
      </c>
      <c r="N175" s="105">
        <f>VLOOKUP($A175,'Rate Calculation'!$A$4:$AL$208,38,FALSE)</f>
        <v>24.92</v>
      </c>
      <c r="O175" s="183">
        <f>VLOOKUP($A175,'Rate Calculation'!$A$4:$I$208,9,FALSE)</f>
        <v>1.2593000000000001</v>
      </c>
      <c r="P175" s="183">
        <f t="shared" si="69"/>
        <v>1.4432</v>
      </c>
      <c r="Q175" s="183">
        <f>VLOOKUP(A175,'CMI Data'!$A$4:$C$208,3,FALSE)</f>
        <v>1.2595000000000001</v>
      </c>
      <c r="R175" s="246">
        <f>VLOOKUP($A175,FRV!$A$4:$K$208,11,FALSE)</f>
        <v>33580</v>
      </c>
      <c r="S175" s="246">
        <f t="shared" si="70"/>
        <v>27378</v>
      </c>
      <c r="T175" s="246">
        <f>VLOOKUP($A175,FRV!$A$4:$L$208,12,FALSE)</f>
        <v>25151</v>
      </c>
      <c r="U175" s="183">
        <f>Inflation!$G$24</f>
        <v>1.0309999999999999</v>
      </c>
      <c r="V175" s="247">
        <f>VLOOKUP($A175,'Rate Calculation'!A176:X379,24,FALSE)</f>
        <v>100.61</v>
      </c>
      <c r="W175" s="110">
        <f t="shared" si="101"/>
        <v>103.73</v>
      </c>
      <c r="X175" s="110">
        <f>VLOOKUP($A175,'Rate Calculation'!A176:V379,22,FALSE)</f>
        <v>19.23</v>
      </c>
      <c r="Y175" s="110">
        <f t="shared" si="102"/>
        <v>19.829999999999998</v>
      </c>
      <c r="Z175" s="212">
        <f>VLOOKUP($A175,FRV!$A$4:$D$208,4,FALSE)</f>
        <v>44743</v>
      </c>
      <c r="AA175" s="212">
        <f>VLOOKUP($A175,FRV!$A$4:$F$208,6,FALSE)</f>
        <v>44926</v>
      </c>
      <c r="AB175" s="248">
        <f>VLOOKUP($A175,FRV!$A$4:$U$208,13,FALSE)</f>
        <v>9944579</v>
      </c>
      <c r="AC175" s="248">
        <f>VLOOKUP($A175,FRV!$A$4:$U$208,15,FALSE)</f>
        <v>272666</v>
      </c>
      <c r="AD175" s="248">
        <f>VLOOKUP($A175,FRV!$A$4:$U$208,14,FALSE)</f>
        <v>35000</v>
      </c>
      <c r="AE175" s="248">
        <f>VLOOKUP($A175,FRV!$A$4:$U$208,7,FALSE)</f>
        <v>92</v>
      </c>
      <c r="AF175" s="107">
        <f t="shared" si="103"/>
        <v>13437245</v>
      </c>
      <c r="AG175" s="107">
        <f t="shared" si="104"/>
        <v>146057</v>
      </c>
      <c r="AH175" s="107">
        <v>120000</v>
      </c>
      <c r="AI175" s="107">
        <f t="shared" si="105"/>
        <v>120000</v>
      </c>
      <c r="AJ175" s="107">
        <f t="shared" si="106"/>
        <v>11040000</v>
      </c>
      <c r="AK175" s="249">
        <f>IF(VLOOKUP($A175,'Rate Calculation'!$A$4:$D$208,4,FALSE)="baltimore city",0.1,0.08)</f>
        <v>0.08</v>
      </c>
      <c r="AL175" s="107">
        <f t="shared" si="107"/>
        <v>883200</v>
      </c>
      <c r="AM175" s="105">
        <f>IF(ISERROR(MATCH(A175&amp;AA175,'Days Exceptions'!$C$3:$C$16,0)),ROUND(AL175/(MAX(S175,T175)),2),ROUND(AL175/VLOOKUP(A175,'Days Exceptions'!$A$3:$J$16,8,FALSE),2))</f>
        <v>32.26</v>
      </c>
      <c r="AN175" s="213">
        <f>VLOOKUP($A175,'Rate Calculation'!$A$4:$AF$208,32,FALSE)</f>
        <v>3.21</v>
      </c>
      <c r="AO175" s="109">
        <f t="shared" si="108"/>
        <v>35.47</v>
      </c>
      <c r="AP175" s="247">
        <f>VLOOKUP($A175,'Rate Calculation'!$A$4:$Q$208,17,FALSE)</f>
        <v>141.87</v>
      </c>
      <c r="AQ175" s="247">
        <f t="shared" si="124"/>
        <v>146.27000000000001</v>
      </c>
      <c r="AR175" s="247">
        <f>VLOOKUP($A175,'Rate Calculation'!$A$4:$K$208,11,FALSE)</f>
        <v>176.01</v>
      </c>
      <c r="AS175" s="247">
        <f t="shared" si="109"/>
        <v>181.47</v>
      </c>
      <c r="AT175" s="110">
        <f t="shared" si="110"/>
        <v>158.35</v>
      </c>
      <c r="AU175" s="110">
        <f t="shared" si="111"/>
        <v>158.38</v>
      </c>
      <c r="AV175" s="111">
        <f t="shared" si="112"/>
        <v>-4.17</v>
      </c>
      <c r="AW175" s="110">
        <f t="shared" si="113"/>
        <v>154.21</v>
      </c>
      <c r="AX175" s="105">
        <f t="shared" si="114"/>
        <v>146.29</v>
      </c>
      <c r="AY175" s="105">
        <f t="shared" si="115"/>
        <v>150.46</v>
      </c>
      <c r="AZ175" s="105">
        <f t="shared" si="116"/>
        <v>4.17</v>
      </c>
      <c r="BA175" s="105">
        <f t="shared" si="117"/>
        <v>236.14</v>
      </c>
      <c r="BB175" s="105">
        <f t="shared" si="118"/>
        <v>159.03</v>
      </c>
      <c r="BC175" s="110">
        <f t="shared" si="119"/>
        <v>334.31</v>
      </c>
      <c r="BD175" s="110">
        <f t="shared" si="120"/>
        <v>261.06</v>
      </c>
      <c r="BE175" s="110">
        <f t="shared" si="121"/>
        <v>183.95</v>
      </c>
      <c r="BF175" s="105"/>
      <c r="BG175" s="105"/>
      <c r="BH175" s="111"/>
      <c r="BI175" s="105"/>
      <c r="BJ175" s="105"/>
      <c r="BK175" s="109"/>
      <c r="BL175" s="111"/>
      <c r="BM175" s="109"/>
      <c r="BN175" s="109"/>
      <c r="BO175" s="105"/>
      <c r="BP175" s="105"/>
      <c r="BQ175" s="109"/>
      <c r="BR175" s="110"/>
      <c r="BS175" s="110"/>
      <c r="BT175" s="110"/>
      <c r="BU175" s="110"/>
      <c r="BV175" s="110"/>
      <c r="BW175" s="112"/>
      <c r="BX175" s="112"/>
      <c r="BY175" s="110"/>
      <c r="BZ175" s="105"/>
      <c r="CA175" s="105"/>
      <c r="CB175" s="105"/>
      <c r="CC175" s="105"/>
      <c r="CD175" s="105"/>
      <c r="CE175" s="105"/>
    </row>
    <row r="176" spans="1:83" x14ac:dyDescent="0.15">
      <c r="A176" s="115">
        <v>102</v>
      </c>
      <c r="B176" s="98" t="str">
        <f>VLOOKUP($A176,'Rate Calculation'!$A$4:$AQ$208,42,FALSE)</f>
        <v>700166500</v>
      </c>
      <c r="C176" s="98" t="str">
        <f>VLOOKUP($A176,'Rate Calculation'!$A$4:$AQ$208,43,FALSE)</f>
        <v>Resorts at Chester River Manor Corp</v>
      </c>
      <c r="D176" s="98" t="str">
        <f>VLOOKUP($A176,'Rate Calculation'!$A$4:$F$208,5,FALSE)</f>
        <v>EASTERN REGION</v>
      </c>
      <c r="E176" s="98" t="str">
        <f>VLOOKUP($A176,'Rate Calculation'!$A$4:$F$208,6,FALSE)</f>
        <v>NON METRO</v>
      </c>
      <c r="F176" s="105">
        <f t="shared" si="96"/>
        <v>92.33</v>
      </c>
      <c r="G176" s="105">
        <f t="shared" si="97"/>
        <v>20.87</v>
      </c>
      <c r="H176" s="105">
        <f t="shared" si="98"/>
        <v>30.24</v>
      </c>
      <c r="I176" s="105">
        <f t="shared" si="99"/>
        <v>194.39</v>
      </c>
      <c r="J176" s="105">
        <f>VLOOKUP($A176,'Rate Calculation'!$A$4:$AZ$208,34,FALSE)</f>
        <v>0</v>
      </c>
      <c r="K176" s="105">
        <f t="shared" si="122"/>
        <v>337.83</v>
      </c>
      <c r="L176" s="164">
        <f t="shared" si="100"/>
        <v>0.98772000000000004</v>
      </c>
      <c r="M176" s="105">
        <f t="shared" si="123"/>
        <v>333.68</v>
      </c>
      <c r="N176" s="105">
        <f>VLOOKUP($A176,'Rate Calculation'!$A$4:$AL$208,38,FALSE)</f>
        <v>26.66</v>
      </c>
      <c r="O176" s="183">
        <f>VLOOKUP($A176,'Rate Calculation'!$A$4:$I$208,9,FALSE)</f>
        <v>1.304</v>
      </c>
      <c r="P176" s="183">
        <f t="shared" si="69"/>
        <v>1.4432</v>
      </c>
      <c r="Q176" s="183">
        <f>VLOOKUP(A176,'CMI Data'!$A$4:$C$208,3,FALSE)</f>
        <v>1.4604999999999999</v>
      </c>
      <c r="R176" s="246">
        <f>VLOOKUP($A176,FRV!$A$4:$K$208,11,FALSE)</f>
        <v>35770</v>
      </c>
      <c r="S176" s="246">
        <f t="shared" si="70"/>
        <v>29163</v>
      </c>
      <c r="T176" s="246">
        <f>VLOOKUP($A176,FRV!$A$4:$L$208,12,FALSE)</f>
        <v>32233</v>
      </c>
      <c r="U176" s="183">
        <f>Inflation!$G$24</f>
        <v>1.0309999999999999</v>
      </c>
      <c r="V176" s="247">
        <f>VLOOKUP($A176,'Rate Calculation'!A177:X380,24,FALSE)</f>
        <v>89.55</v>
      </c>
      <c r="W176" s="110">
        <f t="shared" si="101"/>
        <v>92.33</v>
      </c>
      <c r="X176" s="110">
        <f>VLOOKUP($A176,'Rate Calculation'!A177:V380,22,FALSE)</f>
        <v>20.239999999999998</v>
      </c>
      <c r="Y176" s="110">
        <f t="shared" si="102"/>
        <v>20.87</v>
      </c>
      <c r="Z176" s="212">
        <f>VLOOKUP($A176,FRV!$A$4:$D$208,4,FALSE)</f>
        <v>44743</v>
      </c>
      <c r="AA176" s="212">
        <f>VLOOKUP($A176,FRV!$A$4:$F$208,6,FALSE)</f>
        <v>44926</v>
      </c>
      <c r="AB176" s="248">
        <f>VLOOKUP($A176,FRV!$A$4:$U$208,13,FALSE)</f>
        <v>10712831</v>
      </c>
      <c r="AC176" s="248">
        <f>VLOOKUP($A176,FRV!$A$4:$U$208,15,FALSE)</f>
        <v>488229</v>
      </c>
      <c r="AD176" s="248">
        <f>VLOOKUP($A176,FRV!$A$4:$U$208,14,FALSE)</f>
        <v>15000</v>
      </c>
      <c r="AE176" s="248">
        <f>VLOOKUP($A176,FRV!$A$4:$U$208,7,FALSE)</f>
        <v>98</v>
      </c>
      <c r="AF176" s="107">
        <f t="shared" si="103"/>
        <v>12671060</v>
      </c>
      <c r="AG176" s="107">
        <f t="shared" si="104"/>
        <v>129297</v>
      </c>
      <c r="AH176" s="107">
        <v>120000</v>
      </c>
      <c r="AI176" s="107">
        <f t="shared" si="105"/>
        <v>120000</v>
      </c>
      <c r="AJ176" s="107">
        <f t="shared" si="106"/>
        <v>11760000</v>
      </c>
      <c r="AK176" s="249">
        <f>IF(VLOOKUP($A176,'Rate Calculation'!$A$4:$D$208,4,FALSE)="baltimore city",0.1,0.08)</f>
        <v>0.08</v>
      </c>
      <c r="AL176" s="107">
        <f t="shared" si="107"/>
        <v>940800</v>
      </c>
      <c r="AM176" s="105">
        <f>IF(ISERROR(MATCH(A176&amp;AA176,'Days Exceptions'!$C$3:$C$16,0)),ROUND(AL176/(MAX(S176,T176)),2),ROUND(AL176/VLOOKUP(A176,'Days Exceptions'!$A$3:$J$16,8,FALSE),2))</f>
        <v>29.19</v>
      </c>
      <c r="AN176" s="213">
        <f>VLOOKUP($A176,'Rate Calculation'!$A$4:$AF$208,32,FALSE)</f>
        <v>1.05</v>
      </c>
      <c r="AO176" s="109">
        <f t="shared" si="108"/>
        <v>30.24</v>
      </c>
      <c r="AP176" s="247">
        <f>VLOOKUP($A176,'Rate Calculation'!$A$4:$Q$208,17,FALSE)</f>
        <v>171.83</v>
      </c>
      <c r="AQ176" s="247">
        <f t="shared" si="124"/>
        <v>177.16</v>
      </c>
      <c r="AR176" s="247">
        <f>VLOOKUP($A176,'Rate Calculation'!$A$4:$K$208,11,FALSE)</f>
        <v>186.31</v>
      </c>
      <c r="AS176" s="247">
        <f t="shared" si="109"/>
        <v>192.09</v>
      </c>
      <c r="AT176" s="110">
        <f t="shared" si="110"/>
        <v>173.56</v>
      </c>
      <c r="AU176" s="110">
        <f t="shared" si="111"/>
        <v>194.39</v>
      </c>
      <c r="AV176" s="111">
        <f t="shared" si="112"/>
        <v>0</v>
      </c>
      <c r="AW176" s="110">
        <f t="shared" si="113"/>
        <v>194.39</v>
      </c>
      <c r="AX176" s="105">
        <f t="shared" si="114"/>
        <v>198.42</v>
      </c>
      <c r="AY176" s="105">
        <f t="shared" si="115"/>
        <v>184.67</v>
      </c>
      <c r="AZ176" s="105">
        <f t="shared" si="116"/>
        <v>-13.75</v>
      </c>
      <c r="BA176" s="105">
        <f t="shared" si="117"/>
        <v>240.64</v>
      </c>
      <c r="BB176" s="105">
        <f t="shared" si="118"/>
        <v>143.44</v>
      </c>
      <c r="BC176" s="110">
        <f t="shared" si="119"/>
        <v>360.34</v>
      </c>
      <c r="BD176" s="110">
        <f t="shared" si="120"/>
        <v>267.3</v>
      </c>
      <c r="BE176" s="110">
        <f t="shared" si="121"/>
        <v>170.1</v>
      </c>
      <c r="BF176" s="105"/>
      <c r="BG176" s="105"/>
      <c r="BH176" s="111"/>
      <c r="BI176" s="105"/>
      <c r="BJ176" s="105"/>
      <c r="BK176" s="109"/>
      <c r="BL176" s="111"/>
      <c r="BM176" s="109"/>
      <c r="BN176" s="109"/>
      <c r="BO176" s="105"/>
      <c r="BP176" s="105"/>
      <c r="BQ176" s="109"/>
      <c r="BR176" s="110"/>
      <c r="BS176" s="110"/>
      <c r="BT176" s="110"/>
      <c r="BU176" s="110"/>
      <c r="BV176" s="110"/>
      <c r="BW176" s="112"/>
      <c r="BX176" s="112"/>
      <c r="BY176" s="110"/>
      <c r="BZ176" s="105"/>
      <c r="CA176" s="105"/>
      <c r="CB176" s="105"/>
      <c r="CC176" s="105"/>
      <c r="CD176" s="105"/>
      <c r="CE176" s="105"/>
    </row>
    <row r="177" spans="1:83" x14ac:dyDescent="0.15">
      <c r="A177" s="115">
        <v>1282</v>
      </c>
      <c r="B177" s="98" t="str">
        <f>VLOOKUP($A177,'Rate Calculation'!$A$4:$AQ$208,42,FALSE)</f>
        <v>424421400</v>
      </c>
      <c r="C177" s="98" t="str">
        <f>VLOOKUP($A177,'Rate Calculation'!$A$4:$AQ$208,43,FALSE)</f>
        <v>Restore Health Rehabilitation Center</v>
      </c>
      <c r="D177" s="98" t="str">
        <f>VLOOKUP($A177,'Rate Calculation'!$A$4:$F$208,5,FALSE)</f>
        <v>WASHINGTON METRO</v>
      </c>
      <c r="E177" s="98" t="str">
        <f>VLOOKUP($A177,'Rate Calculation'!$A$4:$F$208,6,FALSE)</f>
        <v>WASHINGTON METRO</v>
      </c>
      <c r="F177" s="105">
        <f t="shared" si="96"/>
        <v>103.73</v>
      </c>
      <c r="G177" s="105">
        <f t="shared" si="97"/>
        <v>19.829999999999998</v>
      </c>
      <c r="H177" s="105">
        <f t="shared" si="98"/>
        <v>37.74</v>
      </c>
      <c r="I177" s="105">
        <f t="shared" si="99"/>
        <v>158.4</v>
      </c>
      <c r="J177" s="105">
        <f>VLOOKUP($A177,'Rate Calculation'!$A$4:$AZ$208,34,FALSE)</f>
        <v>0</v>
      </c>
      <c r="K177" s="105">
        <f t="shared" si="122"/>
        <v>319.7</v>
      </c>
      <c r="L177" s="164">
        <f t="shared" si="100"/>
        <v>0.98772000000000004</v>
      </c>
      <c r="M177" s="105">
        <f t="shared" si="123"/>
        <v>315.77</v>
      </c>
      <c r="N177" s="105">
        <f>VLOOKUP($A177,'Rate Calculation'!$A$4:$AL$208,38,FALSE)</f>
        <v>16</v>
      </c>
      <c r="O177" s="183">
        <f>VLOOKUP($A177,'Rate Calculation'!$A$4:$I$208,9,FALSE)</f>
        <v>1.3956999999999999</v>
      </c>
      <c r="P177" s="183">
        <f t="shared" si="69"/>
        <v>1.4432</v>
      </c>
      <c r="Q177" s="183">
        <f>VLOOKUP(A177,'CMI Data'!$A$4:$C$208,3,FALSE)</f>
        <v>1.3193999999999999</v>
      </c>
      <c r="R177" s="246">
        <f>VLOOKUP($A177,FRV!$A$4:$K$208,11,FALSE)</f>
        <v>29280</v>
      </c>
      <c r="S177" s="246">
        <f t="shared" si="70"/>
        <v>23872</v>
      </c>
      <c r="T177" s="246">
        <f>VLOOKUP($A177,FRV!$A$4:$L$208,12,FALSE)</f>
        <v>22910</v>
      </c>
      <c r="U177" s="183">
        <f>Inflation!$G$24</f>
        <v>1.0309999999999999</v>
      </c>
      <c r="V177" s="247">
        <f>VLOOKUP($A177,'Rate Calculation'!A178:X381,24,FALSE)</f>
        <v>100.61</v>
      </c>
      <c r="W177" s="110">
        <f t="shared" si="101"/>
        <v>103.73</v>
      </c>
      <c r="X177" s="110">
        <f>VLOOKUP($A177,'Rate Calculation'!A178:V381,22,FALSE)</f>
        <v>19.23</v>
      </c>
      <c r="Y177" s="110">
        <f t="shared" si="102"/>
        <v>19.829999999999998</v>
      </c>
      <c r="Z177" s="212">
        <f>VLOOKUP($A177,FRV!$A$4:$D$208,4,FALSE)</f>
        <v>45474</v>
      </c>
      <c r="AA177" s="212">
        <f>VLOOKUP($A177,FRV!$A$4:$F$208,6,FALSE)</f>
        <v>45657</v>
      </c>
      <c r="AB177" s="248">
        <f>VLOOKUP($A177,FRV!$A$4:$U$208,13,FALSE)</f>
        <v>13066343</v>
      </c>
      <c r="AC177" s="248">
        <f>VLOOKUP($A177,FRV!$A$4:$U$208,15,FALSE)</f>
        <v>241183</v>
      </c>
      <c r="AD177" s="248">
        <f>VLOOKUP($A177,FRV!$A$4:$U$208,14,FALSE)</f>
        <v>27000</v>
      </c>
      <c r="AE177" s="248">
        <f>VLOOKUP($A177,FRV!$A$4:$U$208,7,FALSE)</f>
        <v>80</v>
      </c>
      <c r="AF177" s="107">
        <f t="shared" si="103"/>
        <v>15467526</v>
      </c>
      <c r="AG177" s="107">
        <f t="shared" si="104"/>
        <v>193344</v>
      </c>
      <c r="AH177" s="107">
        <v>120000</v>
      </c>
      <c r="AI177" s="107">
        <f t="shared" si="105"/>
        <v>120000</v>
      </c>
      <c r="AJ177" s="107">
        <f t="shared" si="106"/>
        <v>9600000</v>
      </c>
      <c r="AK177" s="249">
        <f>IF(VLOOKUP($A177,'Rate Calculation'!$A$4:$D$208,4,FALSE)="baltimore city",0.1,0.08)</f>
        <v>0.08</v>
      </c>
      <c r="AL177" s="107">
        <f t="shared" si="107"/>
        <v>768000</v>
      </c>
      <c r="AM177" s="105">
        <f>IF(ISERROR(MATCH(A177&amp;AA177,'Days Exceptions'!$C$3:$C$16,0)),ROUND(AL177/(MAX(S177,T177)),2),ROUND(AL177/VLOOKUP(A177,'Days Exceptions'!$A$3:$J$16,8,FALSE),2))</f>
        <v>32.17</v>
      </c>
      <c r="AN177" s="213">
        <f>VLOOKUP($A177,'Rate Calculation'!$A$4:$AF$208,32,FALSE)</f>
        <v>5.57</v>
      </c>
      <c r="AO177" s="109">
        <f t="shared" si="108"/>
        <v>37.74</v>
      </c>
      <c r="AP177" s="247">
        <f>VLOOKUP($A177,'Rate Calculation'!$A$4:$Q$208,17,FALSE)</f>
        <v>154.01</v>
      </c>
      <c r="AQ177" s="247">
        <f t="shared" si="124"/>
        <v>158.78</v>
      </c>
      <c r="AR177" s="247">
        <f>VLOOKUP($A177,'Rate Calculation'!$A$4:$K$208,11,FALSE)</f>
        <v>176.01</v>
      </c>
      <c r="AS177" s="247">
        <f t="shared" si="109"/>
        <v>181.47</v>
      </c>
      <c r="AT177" s="110">
        <f t="shared" si="110"/>
        <v>175.5</v>
      </c>
      <c r="AU177" s="110">
        <f t="shared" si="111"/>
        <v>165.91</v>
      </c>
      <c r="AV177" s="111">
        <f t="shared" si="112"/>
        <v>-7.51</v>
      </c>
      <c r="AW177" s="110">
        <f t="shared" si="113"/>
        <v>158.4</v>
      </c>
      <c r="AX177" s="105">
        <f t="shared" si="114"/>
        <v>150.1</v>
      </c>
      <c r="AY177" s="105">
        <f t="shared" si="115"/>
        <v>157.61000000000001</v>
      </c>
      <c r="AZ177" s="105">
        <f t="shared" si="116"/>
        <v>7.51</v>
      </c>
      <c r="BA177" s="105">
        <f t="shared" si="117"/>
        <v>240.5</v>
      </c>
      <c r="BB177" s="105">
        <f t="shared" si="118"/>
        <v>161.30000000000001</v>
      </c>
      <c r="BC177" s="110">
        <f t="shared" si="119"/>
        <v>331.77</v>
      </c>
      <c r="BD177" s="110">
        <f t="shared" si="120"/>
        <v>256.5</v>
      </c>
      <c r="BE177" s="110">
        <f t="shared" si="121"/>
        <v>177.3</v>
      </c>
      <c r="BF177" s="105"/>
      <c r="BG177" s="105"/>
      <c r="BH177" s="111"/>
      <c r="BI177" s="105"/>
      <c r="BJ177" s="105"/>
      <c r="BK177" s="109"/>
      <c r="BL177" s="111"/>
      <c r="BM177" s="109"/>
      <c r="BN177" s="109"/>
      <c r="BO177" s="105"/>
      <c r="BP177" s="105"/>
      <c r="BQ177" s="109"/>
      <c r="BR177" s="110"/>
      <c r="BS177" s="110"/>
      <c r="BT177" s="110"/>
      <c r="BU177" s="110"/>
      <c r="BV177" s="110"/>
      <c r="BW177" s="112"/>
      <c r="BX177" s="112"/>
      <c r="BY177" s="110"/>
      <c r="BZ177" s="105"/>
      <c r="CA177" s="105"/>
      <c r="CB177" s="105"/>
      <c r="CC177" s="105"/>
      <c r="CD177" s="105"/>
      <c r="CE177" s="105"/>
    </row>
    <row r="178" spans="1:83" x14ac:dyDescent="0.15">
      <c r="A178" s="115">
        <v>380</v>
      </c>
      <c r="B178" s="98" t="str">
        <f>VLOOKUP($A178,'Rate Calculation'!$A$4:$AQ$208,42,FALSE)</f>
        <v>407335500</v>
      </c>
      <c r="C178" s="98" t="str">
        <f>VLOOKUP($A178,'Rate Calculation'!$A$4:$AQ$208,43,FALSE)</f>
        <v>Riderwood Village, Inc.</v>
      </c>
      <c r="D178" s="98" t="str">
        <f>VLOOKUP($A178,'Rate Calculation'!$A$4:$F$208,5,FALSE)</f>
        <v>WASHINGTON METRO</v>
      </c>
      <c r="E178" s="98" t="str">
        <f>VLOOKUP($A178,'Rate Calculation'!$A$4:$F$208,6,FALSE)</f>
        <v>WASHINGTON METRO</v>
      </c>
      <c r="F178" s="105">
        <f t="shared" si="96"/>
        <v>103.73</v>
      </c>
      <c r="G178" s="105">
        <f t="shared" si="97"/>
        <v>19.829999999999998</v>
      </c>
      <c r="H178" s="105">
        <f t="shared" si="98"/>
        <v>32.69</v>
      </c>
      <c r="I178" s="105">
        <f t="shared" si="99"/>
        <v>170.21</v>
      </c>
      <c r="J178" s="105">
        <f>VLOOKUP($A178,'Rate Calculation'!$A$4:$AZ$208,34,FALSE)</f>
        <v>0</v>
      </c>
      <c r="K178" s="105">
        <f t="shared" si="122"/>
        <v>326.45999999999998</v>
      </c>
      <c r="L178" s="164">
        <f t="shared" si="100"/>
        <v>0.98772000000000004</v>
      </c>
      <c r="M178" s="105">
        <f t="shared" si="123"/>
        <v>322.45</v>
      </c>
      <c r="N178" s="105">
        <f>VLOOKUP($A178,'Rate Calculation'!$A$4:$AL$208,38,FALSE)</f>
        <v>0</v>
      </c>
      <c r="O178" s="183">
        <f>VLOOKUP($A178,'Rate Calculation'!$A$4:$I$208,9,FALSE)</f>
        <v>1.4474</v>
      </c>
      <c r="P178" s="183">
        <f t="shared" si="69"/>
        <v>1.4432</v>
      </c>
      <c r="Q178" s="183">
        <f>VLOOKUP(A178,'CMI Data'!$A$4:$C$208,3,FALSE)</f>
        <v>1.3535999999999999</v>
      </c>
      <c r="R178" s="246">
        <f>VLOOKUP($A178,FRV!$A$4:$K$208,11,FALSE)</f>
        <v>42705</v>
      </c>
      <c r="S178" s="246">
        <f t="shared" si="70"/>
        <v>34817</v>
      </c>
      <c r="T178" s="246">
        <f>VLOOKUP($A178,FRV!$A$4:$L$208,12,FALSE)</f>
        <v>25621</v>
      </c>
      <c r="U178" s="183">
        <f>Inflation!$G$24</f>
        <v>1.0309999999999999</v>
      </c>
      <c r="V178" s="247">
        <f>VLOOKUP($A178,'Rate Calculation'!A179:X382,24,FALSE)</f>
        <v>100.61</v>
      </c>
      <c r="W178" s="110">
        <f t="shared" si="101"/>
        <v>103.73</v>
      </c>
      <c r="X178" s="110">
        <f>VLOOKUP($A178,'Rate Calculation'!A179:V382,22,FALSE)</f>
        <v>19.23</v>
      </c>
      <c r="Y178" s="110">
        <f t="shared" si="102"/>
        <v>19.829999999999998</v>
      </c>
      <c r="Z178" s="212">
        <f>VLOOKUP($A178,FRV!$A$4:$D$208,4,FALSE)</f>
        <v>44743</v>
      </c>
      <c r="AA178" s="212">
        <f>VLOOKUP($A178,FRV!$A$4:$F$208,6,FALSE)</f>
        <v>44926</v>
      </c>
      <c r="AB178" s="248">
        <f>VLOOKUP($A178,FRV!$A$4:$U$208,13,FALSE)</f>
        <v>25996793</v>
      </c>
      <c r="AC178" s="248">
        <f>VLOOKUP($A178,FRV!$A$4:$U$208,15,FALSE)</f>
        <v>535628</v>
      </c>
      <c r="AD178" s="248">
        <f>VLOOKUP($A178,FRV!$A$4:$U$208,14,FALSE)</f>
        <v>41500</v>
      </c>
      <c r="AE178" s="248">
        <f>VLOOKUP($A178,FRV!$A$4:$U$208,7,FALSE)</f>
        <v>117</v>
      </c>
      <c r="AF178" s="107">
        <f t="shared" si="103"/>
        <v>31387921</v>
      </c>
      <c r="AG178" s="107">
        <f t="shared" si="104"/>
        <v>268273</v>
      </c>
      <c r="AH178" s="107">
        <v>120000</v>
      </c>
      <c r="AI178" s="107">
        <f t="shared" si="105"/>
        <v>120000</v>
      </c>
      <c r="AJ178" s="107">
        <f t="shared" si="106"/>
        <v>14040000</v>
      </c>
      <c r="AK178" s="249">
        <f>IF(VLOOKUP($A178,'Rate Calculation'!$A$4:$D$208,4,FALSE)="baltimore city",0.1,0.08)</f>
        <v>0.08</v>
      </c>
      <c r="AL178" s="107">
        <f t="shared" si="107"/>
        <v>1123200</v>
      </c>
      <c r="AM178" s="105">
        <f>IF(ISERROR(MATCH(A178&amp;AA178,'Days Exceptions'!$C$3:$C$16,0)),ROUND(AL178/(MAX(S178,T178)),2),ROUND(AL178/VLOOKUP(A178,'Days Exceptions'!$A$3:$J$16,8,FALSE),2))</f>
        <v>32.26</v>
      </c>
      <c r="AN178" s="213">
        <f>VLOOKUP($A178,'Rate Calculation'!$A$4:$AF$208,32,FALSE)</f>
        <v>0.43</v>
      </c>
      <c r="AO178" s="109">
        <f t="shared" si="108"/>
        <v>32.69</v>
      </c>
      <c r="AP178" s="247">
        <f>VLOOKUP($A178,'Rate Calculation'!$A$4:$Q$208,17,FALSE)</f>
        <v>291.35000000000002</v>
      </c>
      <c r="AQ178" s="247">
        <f t="shared" si="124"/>
        <v>300.38</v>
      </c>
      <c r="AR178" s="247">
        <f>VLOOKUP($A178,'Rate Calculation'!$A$4:$K$208,11,FALSE)</f>
        <v>176.01</v>
      </c>
      <c r="AS178" s="247">
        <f t="shared" si="109"/>
        <v>181.47</v>
      </c>
      <c r="AT178" s="110">
        <f t="shared" si="110"/>
        <v>182</v>
      </c>
      <c r="AU178" s="110">
        <f t="shared" si="111"/>
        <v>170.21</v>
      </c>
      <c r="AV178" s="111">
        <f t="shared" si="112"/>
        <v>0</v>
      </c>
      <c r="AW178" s="110">
        <f t="shared" si="113"/>
        <v>170.21</v>
      </c>
      <c r="AX178" s="105">
        <f t="shared" si="114"/>
        <v>280.91000000000003</v>
      </c>
      <c r="AY178" s="105">
        <f t="shared" si="115"/>
        <v>161.69999999999999</v>
      </c>
      <c r="AZ178" s="105">
        <f t="shared" si="116"/>
        <v>-119.21</v>
      </c>
      <c r="BA178" s="105">
        <f t="shared" si="117"/>
        <v>241.36</v>
      </c>
      <c r="BB178" s="105">
        <f t="shared" si="118"/>
        <v>156.25</v>
      </c>
      <c r="BC178" s="110">
        <f t="shared" si="119"/>
        <v>322.45</v>
      </c>
      <c r="BD178" s="110">
        <f t="shared" si="120"/>
        <v>241.36</v>
      </c>
      <c r="BE178" s="110">
        <f t="shared" si="121"/>
        <v>156.25</v>
      </c>
      <c r="BF178" s="105"/>
      <c r="BG178" s="105"/>
      <c r="BH178" s="111"/>
      <c r="BI178" s="105"/>
      <c r="BJ178" s="105"/>
      <c r="BK178" s="109"/>
      <c r="BL178" s="111"/>
      <c r="BM178" s="109"/>
      <c r="BN178" s="109"/>
      <c r="BO178" s="105"/>
      <c r="BP178" s="105"/>
      <c r="BQ178" s="109"/>
      <c r="BR178" s="110"/>
      <c r="BS178" s="110"/>
      <c r="BT178" s="110"/>
      <c r="BU178" s="110"/>
      <c r="BV178" s="110"/>
      <c r="BW178" s="112"/>
      <c r="BX178" s="112"/>
      <c r="BY178" s="110"/>
      <c r="BZ178" s="105"/>
      <c r="CA178" s="105"/>
      <c r="CB178" s="105"/>
      <c r="CC178" s="105"/>
      <c r="CD178" s="105"/>
      <c r="CE178" s="105"/>
    </row>
    <row r="179" spans="1:83" x14ac:dyDescent="0.15">
      <c r="A179" s="115">
        <v>394</v>
      </c>
      <c r="B179" s="98" t="str">
        <f>VLOOKUP($A179,'Rate Calculation'!$A$4:$AQ$208,42,FALSE)</f>
        <v>166737800</v>
      </c>
      <c r="C179" s="98" t="str">
        <f>VLOOKUP($A179,'Rate Calculation'!$A$4:$AQ$208,43,FALSE)</f>
        <v>Sacred Heart Home, Inc.</v>
      </c>
      <c r="D179" s="98" t="str">
        <f>VLOOKUP($A179,'Rate Calculation'!$A$4:$F$208,5,FALSE)</f>
        <v>WASHINGTON METRO</v>
      </c>
      <c r="E179" s="98" t="str">
        <f>VLOOKUP($A179,'Rate Calculation'!$A$4:$F$208,6,FALSE)</f>
        <v>WASHINGTON METRO</v>
      </c>
      <c r="F179" s="105">
        <f t="shared" si="96"/>
        <v>103.73</v>
      </c>
      <c r="G179" s="105">
        <f t="shared" si="97"/>
        <v>19.829999999999998</v>
      </c>
      <c r="H179" s="105">
        <f t="shared" si="98"/>
        <v>23.64</v>
      </c>
      <c r="I179" s="105">
        <f t="shared" si="99"/>
        <v>147.09</v>
      </c>
      <c r="J179" s="105">
        <f>VLOOKUP($A179,'Rate Calculation'!$A$4:$AZ$208,34,FALSE)</f>
        <v>0</v>
      </c>
      <c r="K179" s="105">
        <f t="shared" si="122"/>
        <v>294.29000000000002</v>
      </c>
      <c r="L179" s="164">
        <f t="shared" si="100"/>
        <v>0.98772000000000004</v>
      </c>
      <c r="M179" s="105">
        <f t="shared" si="123"/>
        <v>290.68</v>
      </c>
      <c r="N179" s="105">
        <f>VLOOKUP($A179,'Rate Calculation'!$A$4:$AL$208,38,FALSE)</f>
        <v>0</v>
      </c>
      <c r="O179" s="183">
        <f>VLOOKUP($A179,'Rate Calculation'!$A$4:$I$208,9,FALSE)</f>
        <v>1.2256</v>
      </c>
      <c r="P179" s="183">
        <f t="shared" si="69"/>
        <v>1.4432</v>
      </c>
      <c r="Q179" s="183">
        <f>VLOOKUP(A179,'CMI Data'!$A$4:$C$208,3,FALSE)</f>
        <v>1.1698</v>
      </c>
      <c r="R179" s="246">
        <f>VLOOKUP($A179,FRV!$A$4:$K$208,11,FALSE)</f>
        <v>21918</v>
      </c>
      <c r="S179" s="246">
        <f t="shared" si="70"/>
        <v>17870</v>
      </c>
      <c r="T179" s="246">
        <f>VLOOKUP($A179,FRV!$A$4:$L$208,12,FALSE)</f>
        <v>16019</v>
      </c>
      <c r="U179" s="183">
        <f>Inflation!$G$24</f>
        <v>1.0309999999999999</v>
      </c>
      <c r="V179" s="247">
        <f>VLOOKUP($A179,'Rate Calculation'!A180:X383,24,FALSE)</f>
        <v>100.61</v>
      </c>
      <c r="W179" s="110">
        <f t="shared" si="101"/>
        <v>103.73</v>
      </c>
      <c r="X179" s="110">
        <f>VLOOKUP($A179,'Rate Calculation'!A180:V383,22,FALSE)</f>
        <v>19.23</v>
      </c>
      <c r="Y179" s="110">
        <f t="shared" si="102"/>
        <v>19.829999999999998</v>
      </c>
      <c r="Z179" s="212">
        <f>VLOOKUP($A179,FRV!$A$4:$D$208,4,FALSE)</f>
        <v>44743</v>
      </c>
      <c r="AA179" s="212">
        <f>VLOOKUP($A179,FRV!$A$4:$F$208,6,FALSE)</f>
        <v>44926</v>
      </c>
      <c r="AB179" s="248">
        <f>VLOOKUP($A179,FRV!$A$4:$U$208,13,FALSE)</f>
        <v>11186912</v>
      </c>
      <c r="AC179" s="248">
        <f>VLOOKUP($A179,FRV!$A$4:$U$208,15,FALSE)</f>
        <v>248859</v>
      </c>
      <c r="AD179" s="248">
        <f>VLOOKUP($A179,FRV!$A$4:$U$208,14,FALSE)</f>
        <v>25000</v>
      </c>
      <c r="AE179" s="248">
        <f>VLOOKUP($A179,FRV!$A$4:$U$208,7,FALSE)</f>
        <v>44</v>
      </c>
      <c r="AF179" s="107">
        <f t="shared" si="103"/>
        <v>12535771</v>
      </c>
      <c r="AG179" s="107">
        <f t="shared" si="104"/>
        <v>284904</v>
      </c>
      <c r="AH179" s="107">
        <v>120000</v>
      </c>
      <c r="AI179" s="107">
        <f t="shared" si="105"/>
        <v>120000</v>
      </c>
      <c r="AJ179" s="107">
        <f t="shared" si="106"/>
        <v>5280000</v>
      </c>
      <c r="AK179" s="249">
        <f>IF(VLOOKUP($A179,'Rate Calculation'!$A$4:$D$208,4,FALSE)="baltimore city",0.1,0.08)</f>
        <v>0.08</v>
      </c>
      <c r="AL179" s="107">
        <f t="shared" si="107"/>
        <v>422400</v>
      </c>
      <c r="AM179" s="105">
        <f>IF(ISERROR(MATCH(A179&amp;AA179,'Days Exceptions'!$C$3:$C$16,0)),ROUND(AL179/(MAX(S179,T179)),2),ROUND(AL179/VLOOKUP(A179,'Days Exceptions'!$A$3:$J$16,8,FALSE),2))</f>
        <v>23.64</v>
      </c>
      <c r="AN179" s="213">
        <f>VLOOKUP($A179,'Rate Calculation'!$A$4:$AF$208,32,FALSE)</f>
        <v>0</v>
      </c>
      <c r="AO179" s="109">
        <f t="shared" si="108"/>
        <v>23.64</v>
      </c>
      <c r="AP179" s="247">
        <f>VLOOKUP($A179,'Rate Calculation'!$A$4:$Q$208,17,FALSE)</f>
        <v>143.78</v>
      </c>
      <c r="AQ179" s="247">
        <f t="shared" si="124"/>
        <v>148.24</v>
      </c>
      <c r="AR179" s="247">
        <f>VLOOKUP($A179,'Rate Calculation'!$A$4:$K$208,11,FALSE)</f>
        <v>176.01</v>
      </c>
      <c r="AS179" s="247">
        <f t="shared" si="109"/>
        <v>181.47</v>
      </c>
      <c r="AT179" s="110">
        <f t="shared" si="110"/>
        <v>154.11000000000001</v>
      </c>
      <c r="AU179" s="110">
        <f t="shared" si="111"/>
        <v>147.09</v>
      </c>
      <c r="AV179" s="111">
        <f t="shared" si="112"/>
        <v>0</v>
      </c>
      <c r="AW179" s="110">
        <f t="shared" si="113"/>
        <v>147.09</v>
      </c>
      <c r="AX179" s="105">
        <f t="shared" si="114"/>
        <v>141.49</v>
      </c>
      <c r="AY179" s="105">
        <f t="shared" si="115"/>
        <v>139.74</v>
      </c>
      <c r="AZ179" s="105">
        <f t="shared" si="116"/>
        <v>-1.75</v>
      </c>
      <c r="BA179" s="105">
        <f t="shared" si="117"/>
        <v>220.75</v>
      </c>
      <c r="BB179" s="105">
        <f t="shared" si="118"/>
        <v>147.19999999999999</v>
      </c>
      <c r="BC179" s="110">
        <f t="shared" si="119"/>
        <v>290.68</v>
      </c>
      <c r="BD179" s="110">
        <f t="shared" si="120"/>
        <v>220.75</v>
      </c>
      <c r="BE179" s="110">
        <f t="shared" si="121"/>
        <v>147.19999999999999</v>
      </c>
      <c r="BF179" s="105"/>
      <c r="BG179" s="105"/>
      <c r="BH179" s="111"/>
      <c r="BI179" s="105"/>
      <c r="BJ179" s="105"/>
      <c r="BK179" s="109"/>
      <c r="BL179" s="111"/>
      <c r="BM179" s="109"/>
      <c r="BN179" s="109"/>
      <c r="BO179" s="105"/>
      <c r="BP179" s="105"/>
      <c r="BQ179" s="109"/>
      <c r="BR179" s="110"/>
      <c r="BS179" s="110"/>
      <c r="BT179" s="110"/>
      <c r="BU179" s="110"/>
      <c r="BV179" s="110"/>
      <c r="BW179" s="112"/>
      <c r="BX179" s="112"/>
      <c r="BY179" s="110"/>
      <c r="BZ179" s="105"/>
      <c r="CA179" s="105"/>
      <c r="CB179" s="105"/>
      <c r="CC179" s="105"/>
      <c r="CD179" s="105"/>
      <c r="CE179" s="105"/>
    </row>
    <row r="180" spans="1:83" x14ac:dyDescent="0.15">
      <c r="A180" s="115">
        <v>92</v>
      </c>
      <c r="B180" s="98" t="str">
        <f>VLOOKUP($A180,'Rate Calculation'!$A$4:$AQ$208,42,FALSE)</f>
        <v>699397400</v>
      </c>
      <c r="C180" s="98" t="str">
        <f>VLOOKUP($A180,'Rate Calculation'!$A$4:$AQ$208,43,FALSE)</f>
        <v>Green Acres Nursing and Rehab</v>
      </c>
      <c r="D180" s="98" t="str">
        <f>VLOOKUP($A180,'Rate Calculation'!$A$4:$F$208,5,FALSE)</f>
        <v>WASHINGTON METRO</v>
      </c>
      <c r="E180" s="98" t="str">
        <f>VLOOKUP($A180,'Rate Calculation'!$A$4:$F$208,6,FALSE)</f>
        <v>WASHINGTON METRO</v>
      </c>
      <c r="F180" s="105">
        <f t="shared" si="96"/>
        <v>103.73</v>
      </c>
      <c r="G180" s="105">
        <f t="shared" si="97"/>
        <v>19.829999999999998</v>
      </c>
      <c r="H180" s="105">
        <f t="shared" si="98"/>
        <v>32.26</v>
      </c>
      <c r="I180" s="105">
        <f t="shared" si="99"/>
        <v>187.81</v>
      </c>
      <c r="J180" s="105">
        <f>VLOOKUP($A180,'Rate Calculation'!$A$4:$AZ$208,34,FALSE)</f>
        <v>0</v>
      </c>
      <c r="K180" s="105">
        <f t="shared" si="122"/>
        <v>343.63</v>
      </c>
      <c r="L180" s="164">
        <f t="shared" si="100"/>
        <v>0.98772000000000004</v>
      </c>
      <c r="M180" s="105">
        <f t="shared" si="123"/>
        <v>339.41</v>
      </c>
      <c r="N180" s="105">
        <f>VLOOKUP($A180,'Rate Calculation'!$A$4:$AL$208,38,FALSE)</f>
        <v>25.33</v>
      </c>
      <c r="O180" s="183">
        <f>VLOOKUP($A180,'Rate Calculation'!$A$4:$I$208,9,FALSE)</f>
        <v>1.3344</v>
      </c>
      <c r="P180" s="183">
        <f t="shared" si="69"/>
        <v>1.4432</v>
      </c>
      <c r="Q180" s="183">
        <f>VLOOKUP(A180,'CMI Data'!$A$4:$C$208,3,FALSE)</f>
        <v>1.4936</v>
      </c>
      <c r="R180" s="246">
        <f>VLOOKUP($A180,FRV!$A$4:$K$208,11,FALSE)</f>
        <v>62050</v>
      </c>
      <c r="S180" s="246">
        <f t="shared" si="70"/>
        <v>50589</v>
      </c>
      <c r="T180" s="246">
        <f>VLOOKUP($A180,FRV!$A$4:$L$208,12,FALSE)</f>
        <v>44768</v>
      </c>
      <c r="U180" s="183">
        <f>Inflation!$G$24</f>
        <v>1.0309999999999999</v>
      </c>
      <c r="V180" s="247">
        <f>VLOOKUP($A180,'Rate Calculation'!A181:X384,24,FALSE)</f>
        <v>100.61</v>
      </c>
      <c r="W180" s="110">
        <f t="shared" si="101"/>
        <v>103.73</v>
      </c>
      <c r="X180" s="110">
        <f>VLOOKUP($A180,'Rate Calculation'!A181:V384,22,FALSE)</f>
        <v>19.23</v>
      </c>
      <c r="Y180" s="110">
        <f t="shared" si="102"/>
        <v>19.829999999999998</v>
      </c>
      <c r="Z180" s="212">
        <f>VLOOKUP($A180,FRV!$A$4:$D$208,4,FALSE)</f>
        <v>45108</v>
      </c>
      <c r="AA180" s="212">
        <f>VLOOKUP($A180,FRV!$A$4:$F$208,6,FALSE)</f>
        <v>45107</v>
      </c>
      <c r="AB180" s="248">
        <f>VLOOKUP($A180,FRV!$A$4:$U$208,13,FALSE)</f>
        <v>17818378</v>
      </c>
      <c r="AC180" s="248">
        <f>VLOOKUP($A180,FRV!$A$4:$U$208,15,FALSE)</f>
        <v>511480</v>
      </c>
      <c r="AD180" s="248">
        <f>VLOOKUP($A180,FRV!$A$4:$U$208,14,FALSE)</f>
        <v>17500</v>
      </c>
      <c r="AE180" s="248">
        <f>VLOOKUP($A180,FRV!$A$4:$U$208,7,FALSE)</f>
        <v>170</v>
      </c>
      <c r="AF180" s="107">
        <f t="shared" si="103"/>
        <v>21304858</v>
      </c>
      <c r="AG180" s="107">
        <f t="shared" si="104"/>
        <v>125323</v>
      </c>
      <c r="AH180" s="107">
        <v>120000</v>
      </c>
      <c r="AI180" s="107">
        <f t="shared" si="105"/>
        <v>120000</v>
      </c>
      <c r="AJ180" s="107">
        <f t="shared" si="106"/>
        <v>20400000</v>
      </c>
      <c r="AK180" s="249">
        <f>IF(VLOOKUP($A180,'Rate Calculation'!$A$4:$D$208,4,FALSE)="baltimore city",0.1,0.08)</f>
        <v>0.08</v>
      </c>
      <c r="AL180" s="107">
        <f t="shared" si="107"/>
        <v>1632000</v>
      </c>
      <c r="AM180" s="105">
        <f>IF(ISERROR(MATCH(A180&amp;AA180,'Days Exceptions'!$C$3:$C$16,0)),ROUND(AL180/(MAX(S180,T180)),2),ROUND(AL180/VLOOKUP(A180,'Days Exceptions'!$A$3:$J$16,8,FALSE),2))</f>
        <v>32.26</v>
      </c>
      <c r="AN180" s="213">
        <f>VLOOKUP($A180,'Rate Calculation'!$A$4:$AF$208,32,FALSE)</f>
        <v>0</v>
      </c>
      <c r="AO180" s="109">
        <f t="shared" si="108"/>
        <v>32.26</v>
      </c>
      <c r="AP180" s="247">
        <f>VLOOKUP($A180,'Rate Calculation'!$A$4:$Q$208,17,FALSE)</f>
        <v>181.14</v>
      </c>
      <c r="AQ180" s="247">
        <f t="shared" si="124"/>
        <v>186.76</v>
      </c>
      <c r="AR180" s="247">
        <f>VLOOKUP($A180,'Rate Calculation'!$A$4:$K$208,11,FALSE)</f>
        <v>176.01</v>
      </c>
      <c r="AS180" s="247">
        <f t="shared" si="109"/>
        <v>181.47</v>
      </c>
      <c r="AT180" s="110">
        <f t="shared" si="110"/>
        <v>167.79</v>
      </c>
      <c r="AU180" s="110">
        <f t="shared" si="111"/>
        <v>187.81</v>
      </c>
      <c r="AV180" s="111">
        <f t="shared" si="112"/>
        <v>0</v>
      </c>
      <c r="AW180" s="110">
        <f t="shared" si="113"/>
        <v>187.81</v>
      </c>
      <c r="AX180" s="105">
        <f t="shared" si="114"/>
        <v>209.04</v>
      </c>
      <c r="AY180" s="105">
        <f t="shared" si="115"/>
        <v>178.42</v>
      </c>
      <c r="AZ180" s="105">
        <f t="shared" si="116"/>
        <v>-30.62</v>
      </c>
      <c r="BA180" s="105">
        <f t="shared" si="117"/>
        <v>249.73</v>
      </c>
      <c r="BB180" s="105">
        <f t="shared" si="118"/>
        <v>155.82</v>
      </c>
      <c r="BC180" s="110">
        <f t="shared" si="119"/>
        <v>364.74</v>
      </c>
      <c r="BD180" s="110">
        <f t="shared" si="120"/>
        <v>275.06</v>
      </c>
      <c r="BE180" s="110">
        <f t="shared" si="121"/>
        <v>181.15</v>
      </c>
      <c r="BF180" s="105"/>
      <c r="BG180" s="105"/>
      <c r="BH180" s="111"/>
      <c r="BI180" s="105"/>
      <c r="BJ180" s="105"/>
      <c r="BK180" s="109"/>
      <c r="BL180" s="111"/>
      <c r="BM180" s="109"/>
      <c r="BN180" s="109"/>
      <c r="BO180" s="105"/>
      <c r="BP180" s="105"/>
      <c r="BQ180" s="109"/>
      <c r="BR180" s="110"/>
      <c r="BS180" s="110"/>
      <c r="BT180" s="110"/>
      <c r="BU180" s="110"/>
      <c r="BV180" s="110"/>
      <c r="BW180" s="112"/>
      <c r="BX180" s="112"/>
      <c r="BY180" s="110"/>
      <c r="BZ180" s="105"/>
      <c r="CA180" s="105"/>
      <c r="CB180" s="105"/>
      <c r="CC180" s="105"/>
      <c r="CD180" s="105"/>
      <c r="CE180" s="105"/>
    </row>
    <row r="181" spans="1:83" x14ac:dyDescent="0.15">
      <c r="A181" s="115">
        <v>398</v>
      </c>
      <c r="B181" s="98" t="str">
        <f>VLOOKUP($A181,'Rate Calculation'!$A$4:$AQ$208,42,FALSE)</f>
        <v>966032100</v>
      </c>
      <c r="C181" s="98" t="str">
        <f>VLOOKUP($A181,'Rate Calculation'!$A$4:$AQ$208,43,FALSE)</f>
        <v>Bay Harbor Post Acute and Healthcare Center</v>
      </c>
      <c r="D181" s="98" t="str">
        <f>VLOOKUP($A181,'Rate Calculation'!$A$4:$F$208,5,FALSE)</f>
        <v>EASTERN REGION</v>
      </c>
      <c r="E181" s="98" t="str">
        <f>VLOOKUP($A181,'Rate Calculation'!$A$4:$F$208,6,FALSE)</f>
        <v>NON METRO</v>
      </c>
      <c r="F181" s="105">
        <f t="shared" si="96"/>
        <v>92.33</v>
      </c>
      <c r="G181" s="105">
        <f t="shared" si="97"/>
        <v>20.87</v>
      </c>
      <c r="H181" s="105">
        <f t="shared" si="98"/>
        <v>32.9</v>
      </c>
      <c r="I181" s="105">
        <f t="shared" si="99"/>
        <v>183.87</v>
      </c>
      <c r="J181" s="105">
        <f>VLOOKUP($A181,'Rate Calculation'!$A$4:$AZ$208,34,FALSE)</f>
        <v>0</v>
      </c>
      <c r="K181" s="105">
        <f t="shared" si="122"/>
        <v>329.97</v>
      </c>
      <c r="L181" s="164">
        <f t="shared" si="100"/>
        <v>0.98772000000000004</v>
      </c>
      <c r="M181" s="105">
        <f t="shared" si="123"/>
        <v>325.92</v>
      </c>
      <c r="N181" s="105">
        <f>VLOOKUP($A181,'Rate Calculation'!$A$4:$AL$208,38,FALSE)</f>
        <v>25.83</v>
      </c>
      <c r="O181" s="183">
        <f>VLOOKUP($A181,'Rate Calculation'!$A$4:$I$208,9,FALSE)</f>
        <v>1.3281000000000001</v>
      </c>
      <c r="P181" s="183">
        <f t="shared" si="69"/>
        <v>1.4432</v>
      </c>
      <c r="Q181" s="183">
        <f>VLOOKUP(A181,'CMI Data'!$A$4:$C$208,3,FALSE)</f>
        <v>1.4177999999999999</v>
      </c>
      <c r="R181" s="246">
        <f>VLOOKUP($A181,FRV!$A$4:$K$208,11,FALSE)</f>
        <v>111325</v>
      </c>
      <c r="S181" s="246">
        <f t="shared" si="70"/>
        <v>90763</v>
      </c>
      <c r="T181" s="246">
        <f>VLOOKUP($A181,FRV!$A$4:$L$208,12,FALSE)</f>
        <v>70890</v>
      </c>
      <c r="U181" s="183">
        <f>Inflation!$G$24</f>
        <v>1.0309999999999999</v>
      </c>
      <c r="V181" s="247">
        <f>VLOOKUP($A181,'Rate Calculation'!A182:X385,24,FALSE)</f>
        <v>89.55</v>
      </c>
      <c r="W181" s="110">
        <f t="shared" si="101"/>
        <v>92.33</v>
      </c>
      <c r="X181" s="110">
        <f>VLOOKUP($A181,'Rate Calculation'!A182:V385,22,FALSE)</f>
        <v>20.239999999999998</v>
      </c>
      <c r="Y181" s="110">
        <f t="shared" si="102"/>
        <v>20.87</v>
      </c>
      <c r="Z181" s="212">
        <f>VLOOKUP($A181,FRV!$A$4:$D$208,4,FALSE)</f>
        <v>44743</v>
      </c>
      <c r="AA181" s="212">
        <f>VLOOKUP($A181,FRV!$A$4:$F$208,6,FALSE)</f>
        <v>44834</v>
      </c>
      <c r="AB181" s="248">
        <f>VLOOKUP($A181,FRV!$A$4:$U$208,13,FALSE)</f>
        <v>33023712</v>
      </c>
      <c r="AC181" s="248">
        <f>VLOOKUP($A181,FRV!$A$4:$U$208,15,FALSE)</f>
        <v>643442</v>
      </c>
      <c r="AD181" s="248">
        <f>VLOOKUP($A181,FRV!$A$4:$U$208,14,FALSE)</f>
        <v>15000</v>
      </c>
      <c r="AE181" s="248">
        <f>VLOOKUP($A181,FRV!$A$4:$U$208,7,FALSE)</f>
        <v>305</v>
      </c>
      <c r="AF181" s="107">
        <f t="shared" si="103"/>
        <v>38242154</v>
      </c>
      <c r="AG181" s="107">
        <f t="shared" si="104"/>
        <v>125384</v>
      </c>
      <c r="AH181" s="107">
        <v>120000</v>
      </c>
      <c r="AI181" s="107">
        <f t="shared" si="105"/>
        <v>120000</v>
      </c>
      <c r="AJ181" s="107">
        <f t="shared" si="106"/>
        <v>36600000</v>
      </c>
      <c r="AK181" s="249">
        <f>IF(VLOOKUP($A181,'Rate Calculation'!$A$4:$D$208,4,FALSE)="baltimore city",0.1,0.08)</f>
        <v>0.08</v>
      </c>
      <c r="AL181" s="107">
        <f t="shared" si="107"/>
        <v>2928000</v>
      </c>
      <c r="AM181" s="105">
        <f>IF(ISERROR(MATCH(A181&amp;AA181,'Days Exceptions'!$C$3:$C$16,0)),ROUND(AL181/(MAX(S181,T181)),2),ROUND(AL181/VLOOKUP(A181,'Days Exceptions'!$A$3:$J$16,8,FALSE),2))</f>
        <v>32.26</v>
      </c>
      <c r="AN181" s="213">
        <f>VLOOKUP($A181,'Rate Calculation'!$A$4:$AF$208,32,FALSE)</f>
        <v>0.64</v>
      </c>
      <c r="AO181" s="109">
        <f t="shared" si="108"/>
        <v>32.9</v>
      </c>
      <c r="AP181" s="247">
        <f>VLOOKUP($A181,'Rate Calculation'!$A$4:$Q$208,17,FALSE)</f>
        <v>158.47999999999999</v>
      </c>
      <c r="AQ181" s="247">
        <f t="shared" si="124"/>
        <v>163.38999999999999</v>
      </c>
      <c r="AR181" s="247">
        <f>VLOOKUP($A181,'Rate Calculation'!$A$4:$K$208,11,FALSE)</f>
        <v>186.31</v>
      </c>
      <c r="AS181" s="247">
        <f t="shared" si="109"/>
        <v>192.09</v>
      </c>
      <c r="AT181" s="110">
        <f t="shared" si="110"/>
        <v>176.77</v>
      </c>
      <c r="AU181" s="110">
        <f t="shared" si="111"/>
        <v>188.71</v>
      </c>
      <c r="AV181" s="111">
        <f t="shared" si="112"/>
        <v>-4.84</v>
      </c>
      <c r="AW181" s="110">
        <f t="shared" si="113"/>
        <v>183.87</v>
      </c>
      <c r="AX181" s="105">
        <f t="shared" si="114"/>
        <v>174.43</v>
      </c>
      <c r="AY181" s="105">
        <f t="shared" si="115"/>
        <v>179.27</v>
      </c>
      <c r="AZ181" s="105">
        <f t="shared" si="116"/>
        <v>4.84</v>
      </c>
      <c r="BA181" s="105">
        <f t="shared" si="117"/>
        <v>238.04</v>
      </c>
      <c r="BB181" s="105">
        <f t="shared" si="118"/>
        <v>146.1</v>
      </c>
      <c r="BC181" s="110">
        <f t="shared" si="119"/>
        <v>351.75</v>
      </c>
      <c r="BD181" s="110">
        <f t="shared" si="120"/>
        <v>263.87</v>
      </c>
      <c r="BE181" s="110">
        <f t="shared" si="121"/>
        <v>171.93</v>
      </c>
      <c r="BF181" s="105"/>
      <c r="BG181" s="105"/>
      <c r="BH181" s="111"/>
      <c r="BI181" s="105"/>
      <c r="BJ181" s="105"/>
      <c r="BK181" s="109"/>
      <c r="BL181" s="111"/>
      <c r="BM181" s="109"/>
      <c r="BN181" s="109"/>
      <c r="BO181" s="105"/>
      <c r="BP181" s="105"/>
      <c r="BQ181" s="109"/>
      <c r="BR181" s="110"/>
      <c r="BS181" s="110"/>
      <c r="BT181" s="110"/>
      <c r="BU181" s="110"/>
      <c r="BV181" s="110"/>
      <c r="BW181" s="112"/>
      <c r="BX181" s="112"/>
      <c r="BY181" s="110"/>
      <c r="BZ181" s="105"/>
      <c r="CA181" s="105"/>
      <c r="CB181" s="105"/>
      <c r="CC181" s="105"/>
      <c r="CD181" s="105"/>
      <c r="CE181" s="105"/>
    </row>
    <row r="182" spans="1:83" x14ac:dyDescent="0.15">
      <c r="A182" s="115">
        <v>402</v>
      </c>
      <c r="B182" s="98" t="str">
        <f>VLOOKUP($A182,'Rate Calculation'!$A$4:$AQ$208,42,FALSE)</f>
        <v>270022100</v>
      </c>
      <c r="C182" s="98" t="str">
        <f>VLOOKUP($A182,'Rate Calculation'!$A$4:$AQ$208,43,FALSE)</f>
        <v>Shady Grove Nursing and Rehabilitation Center</v>
      </c>
      <c r="D182" s="98" t="str">
        <f>VLOOKUP($A182,'Rate Calculation'!$A$4:$F$208,5,FALSE)</f>
        <v>WASHINGTON METRO</v>
      </c>
      <c r="E182" s="98" t="str">
        <f>VLOOKUP($A182,'Rate Calculation'!$A$4:$F$208,6,FALSE)</f>
        <v>WASHINGTON METRO</v>
      </c>
      <c r="F182" s="105">
        <f t="shared" si="96"/>
        <v>103.73</v>
      </c>
      <c r="G182" s="105">
        <f t="shared" si="97"/>
        <v>19.829999999999998</v>
      </c>
      <c r="H182" s="105">
        <f t="shared" si="98"/>
        <v>31.46</v>
      </c>
      <c r="I182" s="105">
        <f t="shared" si="99"/>
        <v>162.87</v>
      </c>
      <c r="J182" s="105">
        <f>VLOOKUP($A182,'Rate Calculation'!$A$4:$AZ$208,34,FALSE)</f>
        <v>0</v>
      </c>
      <c r="K182" s="105">
        <f t="shared" si="122"/>
        <v>317.89</v>
      </c>
      <c r="L182" s="164">
        <f t="shared" si="100"/>
        <v>0.98772000000000004</v>
      </c>
      <c r="M182" s="105">
        <f t="shared" si="123"/>
        <v>313.99</v>
      </c>
      <c r="N182" s="105">
        <f>VLOOKUP($A182,'Rate Calculation'!$A$4:$AL$208,38,FALSE)</f>
        <v>24.86</v>
      </c>
      <c r="O182" s="183">
        <f>VLOOKUP($A182,'Rate Calculation'!$A$4:$I$208,9,FALSE)</f>
        <v>1.431</v>
      </c>
      <c r="P182" s="183">
        <f t="shared" si="69"/>
        <v>1.4432</v>
      </c>
      <c r="Q182" s="183">
        <f>VLOOKUP(A182,'CMI Data'!$A$4:$C$208,3,FALSE)</f>
        <v>1.4459</v>
      </c>
      <c r="R182" s="246">
        <f>VLOOKUP($A182,FRV!$A$4:$K$208,11,FALSE)</f>
        <v>52560</v>
      </c>
      <c r="S182" s="246">
        <f t="shared" si="70"/>
        <v>42852</v>
      </c>
      <c r="T182" s="246">
        <f>VLOOKUP($A182,FRV!$A$4:$L$208,12,FALSE)</f>
        <v>49969</v>
      </c>
      <c r="U182" s="183">
        <f>Inflation!$G$24</f>
        <v>1.0309999999999999</v>
      </c>
      <c r="V182" s="247">
        <f>VLOOKUP($A182,'Rate Calculation'!A183:X386,24,FALSE)</f>
        <v>100.61</v>
      </c>
      <c r="W182" s="110">
        <f t="shared" si="101"/>
        <v>103.73</v>
      </c>
      <c r="X182" s="110">
        <f>VLOOKUP($A182,'Rate Calculation'!A183:V386,22,FALSE)</f>
        <v>19.23</v>
      </c>
      <c r="Y182" s="110">
        <f t="shared" si="102"/>
        <v>19.829999999999998</v>
      </c>
      <c r="Z182" s="212">
        <f>VLOOKUP($A182,FRV!$A$4:$D$208,4,FALSE)</f>
        <v>45108</v>
      </c>
      <c r="AA182" s="212">
        <f>VLOOKUP($A182,FRV!$A$4:$F$208,6,FALSE)</f>
        <v>45291</v>
      </c>
      <c r="AB182" s="248">
        <f>VLOOKUP($A182,FRV!$A$4:$U$208,13,FALSE)</f>
        <v>13842474</v>
      </c>
      <c r="AC182" s="248">
        <f>VLOOKUP($A182,FRV!$A$4:$U$208,15,FALSE)</f>
        <v>368300</v>
      </c>
      <c r="AD182" s="248">
        <f>VLOOKUP($A182,FRV!$A$4:$U$208,14,FALSE)</f>
        <v>31500</v>
      </c>
      <c r="AE182" s="248">
        <f>VLOOKUP($A182,FRV!$A$4:$U$208,7,FALSE)</f>
        <v>144</v>
      </c>
      <c r="AF182" s="107">
        <f t="shared" si="103"/>
        <v>18746774</v>
      </c>
      <c r="AG182" s="107">
        <f t="shared" si="104"/>
        <v>130186</v>
      </c>
      <c r="AH182" s="107">
        <v>120000</v>
      </c>
      <c r="AI182" s="107">
        <f t="shared" si="105"/>
        <v>120000</v>
      </c>
      <c r="AJ182" s="107">
        <f t="shared" si="106"/>
        <v>17280000</v>
      </c>
      <c r="AK182" s="249">
        <f>IF(VLOOKUP($A182,'Rate Calculation'!$A$4:$D$208,4,FALSE)="baltimore city",0.1,0.08)</f>
        <v>0.08</v>
      </c>
      <c r="AL182" s="107">
        <f t="shared" si="107"/>
        <v>1382400</v>
      </c>
      <c r="AM182" s="105">
        <f>IF(ISERROR(MATCH(A182&amp;AA182,'Days Exceptions'!$C$3:$C$16,0)),ROUND(AL182/(MAX(S182,T182)),2),ROUND(AL182/VLOOKUP(A182,'Days Exceptions'!$A$3:$J$16,8,FALSE),2))</f>
        <v>27.67</v>
      </c>
      <c r="AN182" s="213">
        <f>VLOOKUP($A182,'Rate Calculation'!$A$4:$AF$208,32,FALSE)</f>
        <v>3.79</v>
      </c>
      <c r="AO182" s="109">
        <f t="shared" si="108"/>
        <v>31.46</v>
      </c>
      <c r="AP182" s="247">
        <f>VLOOKUP($A182,'Rate Calculation'!$A$4:$Q$208,17,FALSE)</f>
        <v>147.62</v>
      </c>
      <c r="AQ182" s="247">
        <f t="shared" si="124"/>
        <v>152.19999999999999</v>
      </c>
      <c r="AR182" s="247">
        <f>VLOOKUP($A182,'Rate Calculation'!$A$4:$K$208,11,FALSE)</f>
        <v>176.01</v>
      </c>
      <c r="AS182" s="247">
        <f t="shared" si="109"/>
        <v>181.47</v>
      </c>
      <c r="AT182" s="110">
        <f t="shared" si="110"/>
        <v>179.94</v>
      </c>
      <c r="AU182" s="110">
        <f t="shared" si="111"/>
        <v>181.81</v>
      </c>
      <c r="AV182" s="111">
        <f t="shared" si="112"/>
        <v>-18.940000000000001</v>
      </c>
      <c r="AW182" s="110">
        <f t="shared" si="113"/>
        <v>162.87</v>
      </c>
      <c r="AX182" s="105">
        <f t="shared" si="114"/>
        <v>153.78</v>
      </c>
      <c r="AY182" s="105">
        <f t="shared" si="115"/>
        <v>172.72</v>
      </c>
      <c r="AZ182" s="105">
        <f t="shared" si="116"/>
        <v>18.940000000000001</v>
      </c>
      <c r="BA182" s="105">
        <f t="shared" si="117"/>
        <v>236.46</v>
      </c>
      <c r="BB182" s="105">
        <f t="shared" si="118"/>
        <v>155.02000000000001</v>
      </c>
      <c r="BC182" s="110">
        <f t="shared" si="119"/>
        <v>338.85</v>
      </c>
      <c r="BD182" s="110">
        <f t="shared" si="120"/>
        <v>261.32</v>
      </c>
      <c r="BE182" s="110">
        <f t="shared" si="121"/>
        <v>179.88</v>
      </c>
      <c r="BF182" s="105"/>
      <c r="BG182" s="105"/>
      <c r="BH182" s="111"/>
      <c r="BI182" s="105"/>
      <c r="BJ182" s="105"/>
      <c r="BK182" s="109"/>
      <c r="BL182" s="111"/>
      <c r="BM182" s="109"/>
      <c r="BN182" s="109"/>
      <c r="BO182" s="105"/>
      <c r="BP182" s="105"/>
      <c r="BQ182" s="109"/>
      <c r="BR182" s="110"/>
      <c r="BS182" s="110"/>
      <c r="BT182" s="110"/>
      <c r="BU182" s="110"/>
      <c r="BV182" s="110"/>
      <c r="BW182" s="112"/>
      <c r="BX182" s="112"/>
      <c r="BY182" s="110"/>
      <c r="BZ182" s="105"/>
      <c r="CA182" s="105"/>
      <c r="CB182" s="105"/>
      <c r="CC182" s="105"/>
      <c r="CD182" s="105"/>
      <c r="CE182" s="105"/>
    </row>
    <row r="183" spans="1:83" x14ac:dyDescent="0.15">
      <c r="A183" s="115">
        <v>28</v>
      </c>
      <c r="B183" s="98" t="str">
        <f>VLOOKUP($A183,'Rate Calculation'!$A$4:$AQ$208,42,FALSE)</f>
        <v>883498900</v>
      </c>
      <c r="C183" s="98" t="str">
        <f>VLOOKUP($A183,'Rate Calculation'!$A$4:$AQ$208,43,FALSE)</f>
        <v>Sligo Creek Healthcare</v>
      </c>
      <c r="D183" s="98" t="str">
        <f>VLOOKUP($A183,'Rate Calculation'!$A$4:$F$208,5,FALSE)</f>
        <v>WASHINGTON METRO</v>
      </c>
      <c r="E183" s="98" t="str">
        <f>VLOOKUP($A183,'Rate Calculation'!$A$4:$F$208,6,FALSE)</f>
        <v>WASHINGTON METRO</v>
      </c>
      <c r="F183" s="105">
        <f t="shared" si="96"/>
        <v>103.73</v>
      </c>
      <c r="G183" s="105">
        <f t="shared" si="97"/>
        <v>19.829999999999998</v>
      </c>
      <c r="H183" s="105">
        <f t="shared" si="98"/>
        <v>33.18</v>
      </c>
      <c r="I183" s="105">
        <f t="shared" si="99"/>
        <v>148.08000000000001</v>
      </c>
      <c r="J183" s="105">
        <f>VLOOKUP($A183,'Rate Calculation'!$A$4:$AZ$208,34,FALSE)</f>
        <v>0</v>
      </c>
      <c r="K183" s="105">
        <f t="shared" si="122"/>
        <v>304.82</v>
      </c>
      <c r="L183" s="164">
        <f t="shared" si="100"/>
        <v>0.98772000000000004</v>
      </c>
      <c r="M183" s="105">
        <f t="shared" si="123"/>
        <v>301.08</v>
      </c>
      <c r="N183" s="105">
        <f>VLOOKUP($A183,'Rate Calculation'!$A$4:$AL$208,38,FALSE)</f>
        <v>25.83</v>
      </c>
      <c r="O183" s="183">
        <f>VLOOKUP($A183,'Rate Calculation'!$A$4:$I$208,9,FALSE)</f>
        <v>1.5498000000000001</v>
      </c>
      <c r="P183" s="183">
        <f t="shared" si="69"/>
        <v>1.4432</v>
      </c>
      <c r="Q183" s="183">
        <f>VLOOKUP(A183,'CMI Data'!$A$4:$C$208,3,FALSE)</f>
        <v>1.3797999999999999</v>
      </c>
      <c r="R183" s="246">
        <f>VLOOKUP($A183,FRV!$A$4:$K$208,11,FALSE)</f>
        <v>37230</v>
      </c>
      <c r="S183" s="246">
        <f t="shared" si="70"/>
        <v>30354</v>
      </c>
      <c r="T183" s="246">
        <f>VLOOKUP($A183,FRV!$A$4:$L$208,12,FALSE)</f>
        <v>32874</v>
      </c>
      <c r="U183" s="183">
        <f>Inflation!$G$24</f>
        <v>1.0309999999999999</v>
      </c>
      <c r="V183" s="247">
        <f>VLOOKUP($A183,'Rate Calculation'!A184:X387,24,FALSE)</f>
        <v>100.61</v>
      </c>
      <c r="W183" s="110">
        <f t="shared" si="101"/>
        <v>103.73</v>
      </c>
      <c r="X183" s="110">
        <f>VLOOKUP($A183,'Rate Calculation'!A184:V387,22,FALSE)</f>
        <v>19.23</v>
      </c>
      <c r="Y183" s="110">
        <f t="shared" si="102"/>
        <v>19.829999999999998</v>
      </c>
      <c r="Z183" s="212">
        <f>VLOOKUP($A183,FRV!$A$4:$D$208,4,FALSE)</f>
        <v>44743</v>
      </c>
      <c r="AA183" s="212">
        <f>VLOOKUP($A183,FRV!$A$4:$F$208,6,FALSE)</f>
        <v>44926</v>
      </c>
      <c r="AB183" s="248">
        <f>VLOOKUP($A183,FRV!$A$4:$U$208,13,FALSE)</f>
        <v>9835028</v>
      </c>
      <c r="AC183" s="248">
        <f>VLOOKUP($A183,FRV!$A$4:$U$208,15,FALSE)</f>
        <v>180471</v>
      </c>
      <c r="AD183" s="248">
        <f>VLOOKUP($A183,FRV!$A$4:$U$208,14,FALSE)</f>
        <v>40000</v>
      </c>
      <c r="AE183" s="248">
        <f>VLOOKUP($A183,FRV!$A$4:$U$208,7,FALSE)</f>
        <v>102</v>
      </c>
      <c r="AF183" s="107">
        <f t="shared" si="103"/>
        <v>14095499</v>
      </c>
      <c r="AG183" s="107">
        <f t="shared" si="104"/>
        <v>138191</v>
      </c>
      <c r="AH183" s="107">
        <v>120000</v>
      </c>
      <c r="AI183" s="107">
        <f t="shared" si="105"/>
        <v>120000</v>
      </c>
      <c r="AJ183" s="107">
        <f t="shared" si="106"/>
        <v>12240000</v>
      </c>
      <c r="AK183" s="249">
        <f>IF(VLOOKUP($A183,'Rate Calculation'!$A$4:$D$208,4,FALSE)="baltimore city",0.1,0.08)</f>
        <v>0.08</v>
      </c>
      <c r="AL183" s="107">
        <f t="shared" si="107"/>
        <v>979200</v>
      </c>
      <c r="AM183" s="105">
        <f>IF(ISERROR(MATCH(A183&amp;AA183,'Days Exceptions'!$C$3:$C$16,0)),ROUND(AL183/(MAX(S183,T183)),2),ROUND(AL183/VLOOKUP(A183,'Days Exceptions'!$A$3:$J$16,8,FALSE),2))</f>
        <v>29.79</v>
      </c>
      <c r="AN183" s="213">
        <f>VLOOKUP($A183,'Rate Calculation'!$A$4:$AF$208,32,FALSE)</f>
        <v>3.39</v>
      </c>
      <c r="AO183" s="109">
        <f t="shared" si="108"/>
        <v>33.18</v>
      </c>
      <c r="AP183" s="247">
        <f>VLOOKUP($A183,'Rate Calculation'!$A$4:$Q$208,17,FALSE)</f>
        <v>151.88</v>
      </c>
      <c r="AQ183" s="247">
        <f t="shared" si="124"/>
        <v>156.59</v>
      </c>
      <c r="AR183" s="247">
        <f>VLOOKUP($A183,'Rate Calculation'!$A$4:$K$208,11,FALSE)</f>
        <v>176.01</v>
      </c>
      <c r="AS183" s="247">
        <f t="shared" si="109"/>
        <v>181.47</v>
      </c>
      <c r="AT183" s="110">
        <f t="shared" si="110"/>
        <v>194.87</v>
      </c>
      <c r="AU183" s="110">
        <f t="shared" si="111"/>
        <v>173.49</v>
      </c>
      <c r="AV183" s="111">
        <f t="shared" si="112"/>
        <v>-25.41</v>
      </c>
      <c r="AW183" s="110">
        <f t="shared" si="113"/>
        <v>148.08000000000001</v>
      </c>
      <c r="AX183" s="105">
        <f t="shared" si="114"/>
        <v>139.41</v>
      </c>
      <c r="AY183" s="105">
        <f t="shared" si="115"/>
        <v>164.82</v>
      </c>
      <c r="AZ183" s="105">
        <f t="shared" si="116"/>
        <v>25.41</v>
      </c>
      <c r="BA183" s="105">
        <f t="shared" si="117"/>
        <v>230.78</v>
      </c>
      <c r="BB183" s="105">
        <f t="shared" si="118"/>
        <v>156.74</v>
      </c>
      <c r="BC183" s="110">
        <f t="shared" si="119"/>
        <v>326.91000000000003</v>
      </c>
      <c r="BD183" s="110">
        <f t="shared" si="120"/>
        <v>256.61</v>
      </c>
      <c r="BE183" s="110">
        <f t="shared" si="121"/>
        <v>182.57</v>
      </c>
      <c r="BF183" s="105"/>
      <c r="BG183" s="105"/>
      <c r="BH183" s="111"/>
      <c r="BI183" s="105"/>
      <c r="BJ183" s="105"/>
      <c r="BK183" s="109"/>
      <c r="BL183" s="111"/>
      <c r="BM183" s="109"/>
      <c r="BN183" s="109"/>
      <c r="BO183" s="105"/>
      <c r="BP183" s="105"/>
      <c r="BQ183" s="109"/>
      <c r="BR183" s="110"/>
      <c r="BS183" s="110"/>
      <c r="BT183" s="110"/>
      <c r="BU183" s="110"/>
      <c r="BV183" s="110"/>
      <c r="BW183" s="112"/>
      <c r="BX183" s="112"/>
      <c r="BY183" s="110"/>
      <c r="BZ183" s="105"/>
      <c r="CA183" s="105"/>
      <c r="CB183" s="105"/>
      <c r="CC183" s="105"/>
      <c r="CD183" s="105"/>
      <c r="CE183" s="105"/>
    </row>
    <row r="184" spans="1:83" x14ac:dyDescent="0.15">
      <c r="A184" s="115">
        <v>709</v>
      </c>
      <c r="B184" s="98" t="str">
        <f>VLOOKUP($A184,'Rate Calculation'!$A$4:$AQ$208,42,FALSE)</f>
        <v>403853300</v>
      </c>
      <c r="C184" s="98" t="str">
        <f>VLOOKUP($A184,'Rate Calculation'!$A$4:$AQ$208,43,FALSE)</f>
        <v>Snow Hill Nursing and Rehabilitation Center, LLC</v>
      </c>
      <c r="D184" s="98" t="str">
        <f>VLOOKUP($A184,'Rate Calculation'!$A$4:$F$208,5,FALSE)</f>
        <v>EASTERN REGION</v>
      </c>
      <c r="E184" s="98" t="str">
        <f>VLOOKUP($A184,'Rate Calculation'!$A$4:$F$208,6,FALSE)</f>
        <v>NON METRO</v>
      </c>
      <c r="F184" s="105">
        <f t="shared" si="96"/>
        <v>92.33</v>
      </c>
      <c r="G184" s="105">
        <f t="shared" si="97"/>
        <v>20.87</v>
      </c>
      <c r="H184" s="105">
        <f t="shared" si="98"/>
        <v>27.12</v>
      </c>
      <c r="I184" s="105">
        <f t="shared" si="99"/>
        <v>167.6</v>
      </c>
      <c r="J184" s="105">
        <f>VLOOKUP($A184,'Rate Calculation'!$A$4:$AZ$208,34,FALSE)</f>
        <v>0</v>
      </c>
      <c r="K184" s="105">
        <f t="shared" si="122"/>
        <v>307.92</v>
      </c>
      <c r="L184" s="164">
        <f t="shared" si="100"/>
        <v>0.98772000000000004</v>
      </c>
      <c r="M184" s="105">
        <f t="shared" si="123"/>
        <v>304.14</v>
      </c>
      <c r="N184" s="105">
        <f>VLOOKUP($A184,'Rate Calculation'!$A$4:$AL$208,38,FALSE)</f>
        <v>26.21</v>
      </c>
      <c r="O184" s="183">
        <f>VLOOKUP($A184,'Rate Calculation'!$A$4:$I$208,9,FALSE)</f>
        <v>1.3623000000000001</v>
      </c>
      <c r="P184" s="183">
        <f t="shared" si="69"/>
        <v>1.4432</v>
      </c>
      <c r="Q184" s="183">
        <f>VLOOKUP(A184,'CMI Data'!$A$4:$C$208,3,FALSE)</f>
        <v>1.3269</v>
      </c>
      <c r="R184" s="246">
        <f>VLOOKUP($A184,FRV!$A$4:$K$208,11,FALSE)</f>
        <v>25185</v>
      </c>
      <c r="S184" s="246">
        <f t="shared" si="70"/>
        <v>20533</v>
      </c>
      <c r="T184" s="246">
        <f>VLOOKUP($A184,FRV!$A$4:$L$208,12,FALSE)</f>
        <v>20186</v>
      </c>
      <c r="U184" s="183">
        <f>Inflation!$G$24</f>
        <v>1.0309999999999999</v>
      </c>
      <c r="V184" s="247">
        <f>VLOOKUP($A184,'Rate Calculation'!A185:X388,24,FALSE)</f>
        <v>89.55</v>
      </c>
      <c r="W184" s="110">
        <f t="shared" si="101"/>
        <v>92.33</v>
      </c>
      <c r="X184" s="110">
        <f>VLOOKUP($A184,'Rate Calculation'!A185:V388,22,FALSE)</f>
        <v>20.239999999999998</v>
      </c>
      <c r="Y184" s="110">
        <f t="shared" si="102"/>
        <v>20.87</v>
      </c>
      <c r="Z184" s="212">
        <f>VLOOKUP($A184,FRV!$A$4:$D$208,4,FALSE)</f>
        <v>45108</v>
      </c>
      <c r="AA184" s="212">
        <f>VLOOKUP($A184,FRV!$A$4:$F$208,6,FALSE)</f>
        <v>45291</v>
      </c>
      <c r="AB184" s="248">
        <f>VLOOKUP($A184,FRV!$A$4:$U$208,13,FALSE)</f>
        <v>4904295</v>
      </c>
      <c r="AC184" s="248">
        <f>VLOOKUP($A184,FRV!$A$4:$U$208,15,FALSE)</f>
        <v>93477</v>
      </c>
      <c r="AD184" s="248">
        <f>VLOOKUP($A184,FRV!$A$4:$U$208,14,FALSE)</f>
        <v>13500</v>
      </c>
      <c r="AE184" s="248">
        <f>VLOOKUP($A184,FRV!$A$4:$U$208,7,FALSE)</f>
        <v>69</v>
      </c>
      <c r="AF184" s="107">
        <f t="shared" si="103"/>
        <v>5929272</v>
      </c>
      <c r="AG184" s="107">
        <f t="shared" si="104"/>
        <v>85931</v>
      </c>
      <c r="AH184" s="107">
        <v>120000</v>
      </c>
      <c r="AI184" s="107">
        <f t="shared" si="105"/>
        <v>85931</v>
      </c>
      <c r="AJ184" s="107">
        <f t="shared" si="106"/>
        <v>5929239</v>
      </c>
      <c r="AK184" s="249">
        <f>IF(VLOOKUP($A184,'Rate Calculation'!$A$4:$D$208,4,FALSE)="baltimore city",0.1,0.08)</f>
        <v>0.08</v>
      </c>
      <c r="AL184" s="107">
        <f t="shared" si="107"/>
        <v>474339</v>
      </c>
      <c r="AM184" s="105">
        <f>IF(ISERROR(MATCH(A184&amp;AA184,'Days Exceptions'!$C$3:$C$16,0)),ROUND(AL184/(MAX(S184,T184)),2),ROUND(AL184/VLOOKUP(A184,'Days Exceptions'!$A$3:$J$16,8,FALSE),2))</f>
        <v>23.1</v>
      </c>
      <c r="AN184" s="213">
        <f>VLOOKUP($A184,'Rate Calculation'!$A$4:$AF$208,32,FALSE)</f>
        <v>4.0199999999999996</v>
      </c>
      <c r="AO184" s="109">
        <f t="shared" si="108"/>
        <v>27.12</v>
      </c>
      <c r="AP184" s="247">
        <f>VLOOKUP($A184,'Rate Calculation'!$A$4:$Q$208,17,FALSE)</f>
        <v>158.11000000000001</v>
      </c>
      <c r="AQ184" s="247">
        <f t="shared" si="124"/>
        <v>163.01</v>
      </c>
      <c r="AR184" s="247">
        <f>VLOOKUP($A184,'Rate Calculation'!$A$4:$K$208,11,FALSE)</f>
        <v>186.31</v>
      </c>
      <c r="AS184" s="247">
        <f t="shared" si="109"/>
        <v>192.09</v>
      </c>
      <c r="AT184" s="110">
        <f t="shared" si="110"/>
        <v>181.32</v>
      </c>
      <c r="AU184" s="110">
        <f t="shared" si="111"/>
        <v>176.61</v>
      </c>
      <c r="AV184" s="111">
        <f t="shared" si="112"/>
        <v>-9.01</v>
      </c>
      <c r="AW184" s="110">
        <f t="shared" si="113"/>
        <v>167.6</v>
      </c>
      <c r="AX184" s="105">
        <f t="shared" si="114"/>
        <v>158.77000000000001</v>
      </c>
      <c r="AY184" s="105">
        <f t="shared" si="115"/>
        <v>167.78</v>
      </c>
      <c r="AZ184" s="105">
        <f t="shared" si="116"/>
        <v>9.01</v>
      </c>
      <c r="BA184" s="105">
        <f t="shared" si="117"/>
        <v>224.12</v>
      </c>
      <c r="BB184" s="105">
        <f t="shared" si="118"/>
        <v>140.32</v>
      </c>
      <c r="BC184" s="110">
        <f t="shared" si="119"/>
        <v>330.35</v>
      </c>
      <c r="BD184" s="110">
        <f t="shared" si="120"/>
        <v>250.33</v>
      </c>
      <c r="BE184" s="110">
        <f t="shared" si="121"/>
        <v>166.53</v>
      </c>
      <c r="BF184" s="105"/>
      <c r="BG184" s="105"/>
      <c r="BH184" s="111"/>
      <c r="BI184" s="105"/>
      <c r="BJ184" s="105"/>
      <c r="BK184" s="109"/>
      <c r="BL184" s="111"/>
      <c r="BM184" s="109"/>
      <c r="BN184" s="109"/>
      <c r="BO184" s="105"/>
      <c r="BP184" s="105"/>
      <c r="BQ184" s="109"/>
      <c r="BR184" s="110"/>
      <c r="BS184" s="110"/>
      <c r="BT184" s="110"/>
      <c r="BU184" s="110"/>
      <c r="BV184" s="110"/>
      <c r="BW184" s="112"/>
      <c r="BX184" s="112"/>
      <c r="BY184" s="110"/>
      <c r="BZ184" s="105"/>
      <c r="CA184" s="105"/>
      <c r="CB184" s="105"/>
      <c r="CC184" s="105"/>
      <c r="CD184" s="105"/>
      <c r="CE184" s="105"/>
    </row>
    <row r="185" spans="1:83" x14ac:dyDescent="0.15">
      <c r="A185" s="115">
        <v>406</v>
      </c>
      <c r="B185" s="98" t="str">
        <f>VLOOKUP($A185,'Rate Calculation'!$A$4:$AQ$208,42,FALSE)</f>
        <v>205210500</v>
      </c>
      <c r="C185" s="98" t="str">
        <f>VLOOKUP($A185,'Rate Calculation'!$A$4:$AQ$208,43,FALSE)</f>
        <v>Solomons Rehabilitation and Care Center</v>
      </c>
      <c r="D185" s="98" t="str">
        <f>VLOOKUP($A185,'Rate Calculation'!$A$4:$F$208,5,FALSE)</f>
        <v>WASHINGTON METRO</v>
      </c>
      <c r="E185" s="98" t="str">
        <f>VLOOKUP($A185,'Rate Calculation'!$A$4:$F$208,6,FALSE)</f>
        <v>NON METRO</v>
      </c>
      <c r="F185" s="105">
        <f t="shared" si="96"/>
        <v>92.33</v>
      </c>
      <c r="G185" s="105">
        <f t="shared" si="97"/>
        <v>20.87</v>
      </c>
      <c r="H185" s="105">
        <f t="shared" si="98"/>
        <v>30.64</v>
      </c>
      <c r="I185" s="105">
        <f t="shared" si="99"/>
        <v>159.13</v>
      </c>
      <c r="J185" s="105">
        <f>VLOOKUP($A185,'Rate Calculation'!$A$4:$AZ$208,34,FALSE)</f>
        <v>0</v>
      </c>
      <c r="K185" s="105">
        <f t="shared" si="122"/>
        <v>302.97000000000003</v>
      </c>
      <c r="L185" s="164">
        <f t="shared" si="100"/>
        <v>0.98772000000000004</v>
      </c>
      <c r="M185" s="105">
        <f t="shared" si="123"/>
        <v>299.25</v>
      </c>
      <c r="N185" s="105">
        <f>VLOOKUP($A185,'Rate Calculation'!$A$4:$AL$208,38,FALSE)</f>
        <v>23.82</v>
      </c>
      <c r="O185" s="183">
        <f>VLOOKUP($A185,'Rate Calculation'!$A$4:$I$208,9,FALSE)</f>
        <v>1.5392999999999999</v>
      </c>
      <c r="P185" s="183">
        <f t="shared" si="69"/>
        <v>1.4432</v>
      </c>
      <c r="Q185" s="183">
        <f>VLOOKUP(A185,'CMI Data'!$A$4:$C$208,3,FALSE)</f>
        <v>1.3888</v>
      </c>
      <c r="R185" s="246">
        <f>VLOOKUP($A185,FRV!$A$4:$K$208,11,FALSE)</f>
        <v>34675</v>
      </c>
      <c r="S185" s="246">
        <f t="shared" si="70"/>
        <v>28271</v>
      </c>
      <c r="T185" s="246">
        <f>VLOOKUP($A185,FRV!$A$4:$L$208,12,FALSE)</f>
        <v>32623</v>
      </c>
      <c r="U185" s="183">
        <f>Inflation!$G$24</f>
        <v>1.0309999999999999</v>
      </c>
      <c r="V185" s="247">
        <f>VLOOKUP($A185,'Rate Calculation'!A186:X389,24,FALSE)</f>
        <v>89.55</v>
      </c>
      <c r="W185" s="110">
        <f t="shared" si="101"/>
        <v>92.33</v>
      </c>
      <c r="X185" s="110">
        <f>VLOOKUP($A185,'Rate Calculation'!A186:V389,22,FALSE)</f>
        <v>20.239999999999998</v>
      </c>
      <c r="Y185" s="110">
        <f t="shared" si="102"/>
        <v>20.87</v>
      </c>
      <c r="Z185" s="212">
        <f>VLOOKUP($A185,FRV!$A$4:$D$208,4,FALSE)</f>
        <v>45108</v>
      </c>
      <c r="AA185" s="212">
        <f>VLOOKUP($A185,FRV!$A$4:$F$208,6,FALSE)</f>
        <v>45291</v>
      </c>
      <c r="AB185" s="248">
        <f>VLOOKUP($A185,FRV!$A$4:$U$208,13,FALSE)</f>
        <v>10173228</v>
      </c>
      <c r="AC185" s="248">
        <f>VLOOKUP($A185,FRV!$A$4:$U$208,15,FALSE)</f>
        <v>191530</v>
      </c>
      <c r="AD185" s="248">
        <f>VLOOKUP($A185,FRV!$A$4:$U$208,14,FALSE)</f>
        <v>22000</v>
      </c>
      <c r="AE185" s="248">
        <f>VLOOKUP($A185,FRV!$A$4:$U$208,7,FALSE)</f>
        <v>95</v>
      </c>
      <c r="AF185" s="107">
        <f t="shared" si="103"/>
        <v>12454758</v>
      </c>
      <c r="AG185" s="107">
        <f t="shared" si="104"/>
        <v>131103</v>
      </c>
      <c r="AH185" s="107">
        <v>120000</v>
      </c>
      <c r="AI185" s="107">
        <f t="shared" si="105"/>
        <v>120000</v>
      </c>
      <c r="AJ185" s="107">
        <f t="shared" si="106"/>
        <v>11400000</v>
      </c>
      <c r="AK185" s="249">
        <f>IF(VLOOKUP($A185,'Rate Calculation'!$A$4:$D$208,4,FALSE)="baltimore city",0.1,0.08)</f>
        <v>0.08</v>
      </c>
      <c r="AL185" s="107">
        <f t="shared" si="107"/>
        <v>912000</v>
      </c>
      <c r="AM185" s="105">
        <f>IF(ISERROR(MATCH(A185&amp;AA185,'Days Exceptions'!$C$3:$C$16,0)),ROUND(AL185/(MAX(S185,T185)),2),ROUND(AL185/VLOOKUP(A185,'Days Exceptions'!$A$3:$J$16,8,FALSE),2))</f>
        <v>27.96</v>
      </c>
      <c r="AN185" s="213">
        <f>VLOOKUP($A185,'Rate Calculation'!$A$4:$AF$208,32,FALSE)</f>
        <v>2.68</v>
      </c>
      <c r="AO185" s="109">
        <f t="shared" si="108"/>
        <v>30.64</v>
      </c>
      <c r="AP185" s="247">
        <f>VLOOKUP($A185,'Rate Calculation'!$A$4:$Q$208,17,FALSE)</f>
        <v>161.69</v>
      </c>
      <c r="AQ185" s="247">
        <f t="shared" si="124"/>
        <v>166.7</v>
      </c>
      <c r="AR185" s="247">
        <f>VLOOKUP($A185,'Rate Calculation'!$A$4:$K$208,11,FALSE)</f>
        <v>176.01</v>
      </c>
      <c r="AS185" s="247">
        <f t="shared" si="109"/>
        <v>181.47</v>
      </c>
      <c r="AT185" s="110">
        <f t="shared" si="110"/>
        <v>193.55</v>
      </c>
      <c r="AU185" s="110">
        <f t="shared" si="111"/>
        <v>174.63</v>
      </c>
      <c r="AV185" s="111">
        <f t="shared" si="112"/>
        <v>-15.5</v>
      </c>
      <c r="AW185" s="110">
        <f t="shared" si="113"/>
        <v>159.13</v>
      </c>
      <c r="AX185" s="105">
        <f t="shared" si="114"/>
        <v>150.4</v>
      </c>
      <c r="AY185" s="105">
        <f t="shared" si="115"/>
        <v>165.9</v>
      </c>
      <c r="AZ185" s="105">
        <f t="shared" si="116"/>
        <v>15.5</v>
      </c>
      <c r="BA185" s="105">
        <f t="shared" si="117"/>
        <v>223.41</v>
      </c>
      <c r="BB185" s="105">
        <f t="shared" si="118"/>
        <v>143.84</v>
      </c>
      <c r="BC185" s="110">
        <f t="shared" si="119"/>
        <v>323.07</v>
      </c>
      <c r="BD185" s="110">
        <f t="shared" si="120"/>
        <v>247.23</v>
      </c>
      <c r="BE185" s="110">
        <f t="shared" si="121"/>
        <v>167.66</v>
      </c>
      <c r="BF185" s="105"/>
      <c r="BG185" s="105"/>
      <c r="BH185" s="111"/>
      <c r="BI185" s="105"/>
      <c r="BJ185" s="105"/>
      <c r="BK185" s="109"/>
      <c r="BL185" s="111"/>
      <c r="BM185" s="109"/>
      <c r="BN185" s="109"/>
      <c r="BO185" s="105"/>
      <c r="BP185" s="105"/>
      <c r="BQ185" s="109"/>
      <c r="BR185" s="110"/>
      <c r="BS185" s="110"/>
      <c r="BT185" s="110"/>
      <c r="BU185" s="110"/>
      <c r="BV185" s="110"/>
      <c r="BW185" s="112"/>
      <c r="BX185" s="112"/>
      <c r="BY185" s="110"/>
      <c r="BZ185" s="105"/>
      <c r="CA185" s="105"/>
      <c r="CB185" s="105"/>
      <c r="CC185" s="105"/>
      <c r="CD185" s="105"/>
      <c r="CE185" s="105"/>
    </row>
    <row r="186" spans="1:83" x14ac:dyDescent="0.15">
      <c r="A186" s="115">
        <v>715</v>
      </c>
      <c r="B186" s="98" t="str">
        <f>VLOOKUP($A186,'Rate Calculation'!$A$4:$AQ$208,42,FALSE)</f>
        <v>414425200</v>
      </c>
      <c r="C186" s="98" t="str">
        <f>VLOOKUP($A186,'Rate Calculation'!$A$4:$AQ$208,43,FALSE)</f>
        <v>South River Health and Rehabilitation Center</v>
      </c>
      <c r="D186" s="98" t="str">
        <f>VLOOKUP($A186,'Rate Calculation'!$A$4:$F$208,5,FALSE)</f>
        <v>BALTIMORE METRO</v>
      </c>
      <c r="E186" s="98" t="str">
        <f>VLOOKUP($A186,'Rate Calculation'!$A$4:$F$208,6,FALSE)</f>
        <v>BALTIMORE METRO</v>
      </c>
      <c r="F186" s="105">
        <f t="shared" si="96"/>
        <v>105.18</v>
      </c>
      <c r="G186" s="105">
        <f t="shared" si="97"/>
        <v>21.5</v>
      </c>
      <c r="H186" s="105">
        <f t="shared" si="98"/>
        <v>29</v>
      </c>
      <c r="I186" s="105">
        <f t="shared" si="99"/>
        <v>186.97</v>
      </c>
      <c r="J186" s="105">
        <f>VLOOKUP($A186,'Rate Calculation'!$A$4:$AZ$208,34,FALSE)</f>
        <v>0</v>
      </c>
      <c r="K186" s="105">
        <f t="shared" si="122"/>
        <v>342.65</v>
      </c>
      <c r="L186" s="164">
        <f t="shared" si="100"/>
        <v>0.98772000000000004</v>
      </c>
      <c r="M186" s="105">
        <f t="shared" si="123"/>
        <v>338.44</v>
      </c>
      <c r="N186" s="105">
        <f>VLOOKUP($A186,'Rate Calculation'!$A$4:$AL$208,38,FALSE)</f>
        <v>27.56</v>
      </c>
      <c r="O186" s="183">
        <f>VLOOKUP($A186,'Rate Calculation'!$A$4:$I$208,9,FALSE)</f>
        <v>1.3957999999999999</v>
      </c>
      <c r="P186" s="183">
        <f t="shared" si="69"/>
        <v>1.4432</v>
      </c>
      <c r="Q186" s="183">
        <f>VLOOKUP(A186,'CMI Data'!$A$4:$C$208,3,FALSE)</f>
        <v>1.3398000000000001</v>
      </c>
      <c r="R186" s="246">
        <f>VLOOKUP($A186,FRV!$A$4:$K$208,11,FALSE)</f>
        <v>40515</v>
      </c>
      <c r="S186" s="246">
        <f t="shared" si="70"/>
        <v>33032</v>
      </c>
      <c r="T186" s="246">
        <f>VLOOKUP($A186,FRV!$A$4:$L$208,12,FALSE)</f>
        <v>37262</v>
      </c>
      <c r="U186" s="183">
        <f>Inflation!$G$24</f>
        <v>1.0309999999999999</v>
      </c>
      <c r="V186" s="247">
        <f>VLOOKUP($A186,'Rate Calculation'!A187:X390,24,FALSE)</f>
        <v>102.02</v>
      </c>
      <c r="W186" s="110">
        <f t="shared" si="101"/>
        <v>105.18</v>
      </c>
      <c r="X186" s="110">
        <f>VLOOKUP($A186,'Rate Calculation'!A187:V390,22,FALSE)</f>
        <v>20.85</v>
      </c>
      <c r="Y186" s="110">
        <f t="shared" si="102"/>
        <v>21.5</v>
      </c>
      <c r="Z186" s="212">
        <f>VLOOKUP($A186,FRV!$A$4:$D$208,4,FALSE)</f>
        <v>45108</v>
      </c>
      <c r="AA186" s="212">
        <f>VLOOKUP($A186,FRV!$A$4:$F$208,6,FALSE)</f>
        <v>45107</v>
      </c>
      <c r="AB186" s="248">
        <f>VLOOKUP($A186,FRV!$A$4:$U$208,13,FALSE)</f>
        <v>8983782</v>
      </c>
      <c r="AC186" s="248">
        <f>VLOOKUP($A186,FRV!$A$4:$U$208,15,FALSE)</f>
        <v>290463</v>
      </c>
      <c r="AD186" s="248">
        <f>VLOOKUP($A186,FRV!$A$4:$U$208,14,FALSE)</f>
        <v>32500</v>
      </c>
      <c r="AE186" s="248">
        <f>VLOOKUP($A186,FRV!$A$4:$U$208,7,FALSE)</f>
        <v>111</v>
      </c>
      <c r="AF186" s="107">
        <f t="shared" si="103"/>
        <v>12881745</v>
      </c>
      <c r="AG186" s="107">
        <f t="shared" si="104"/>
        <v>116052</v>
      </c>
      <c r="AH186" s="107">
        <v>120000</v>
      </c>
      <c r="AI186" s="107">
        <f t="shared" si="105"/>
        <v>116052</v>
      </c>
      <c r="AJ186" s="107">
        <f t="shared" si="106"/>
        <v>12881772</v>
      </c>
      <c r="AK186" s="249">
        <f>IF(VLOOKUP($A186,'Rate Calculation'!$A$4:$D$208,4,FALSE)="baltimore city",0.1,0.08)</f>
        <v>0.08</v>
      </c>
      <c r="AL186" s="107">
        <f t="shared" si="107"/>
        <v>1030542</v>
      </c>
      <c r="AM186" s="105">
        <f>IF(ISERROR(MATCH(A186&amp;AA186,'Days Exceptions'!$C$3:$C$16,0)),ROUND(AL186/(MAX(S186,T186)),2),ROUND(AL186/VLOOKUP(A186,'Days Exceptions'!$A$3:$J$16,8,FALSE),2))</f>
        <v>27.66</v>
      </c>
      <c r="AN186" s="213">
        <f>VLOOKUP($A186,'Rate Calculation'!$A$4:$AF$208,32,FALSE)</f>
        <v>1.34</v>
      </c>
      <c r="AO186" s="109">
        <f t="shared" si="108"/>
        <v>29</v>
      </c>
      <c r="AP186" s="247">
        <f>VLOOKUP($A186,'Rate Calculation'!$A$4:$Q$208,17,FALSE)</f>
        <v>195.58</v>
      </c>
      <c r="AQ186" s="247">
        <f t="shared" si="124"/>
        <v>201.64</v>
      </c>
      <c r="AR186" s="247">
        <f>VLOOKUP($A186,'Rate Calculation'!$A$4:$K$208,11,FALSE)</f>
        <v>195.33</v>
      </c>
      <c r="AS186" s="247">
        <f t="shared" si="109"/>
        <v>201.39</v>
      </c>
      <c r="AT186" s="110">
        <f t="shared" si="110"/>
        <v>194.78</v>
      </c>
      <c r="AU186" s="110">
        <f t="shared" si="111"/>
        <v>186.97</v>
      </c>
      <c r="AV186" s="111">
        <f t="shared" si="112"/>
        <v>0</v>
      </c>
      <c r="AW186" s="110">
        <f t="shared" si="113"/>
        <v>186.97</v>
      </c>
      <c r="AX186" s="105">
        <f t="shared" si="114"/>
        <v>193.55</v>
      </c>
      <c r="AY186" s="105">
        <f t="shared" si="115"/>
        <v>177.62</v>
      </c>
      <c r="AZ186" s="105">
        <f t="shared" si="116"/>
        <v>-15.93</v>
      </c>
      <c r="BA186" s="105">
        <f t="shared" si="117"/>
        <v>249.17</v>
      </c>
      <c r="BB186" s="105">
        <f t="shared" si="118"/>
        <v>155.68</v>
      </c>
      <c r="BC186" s="110">
        <f t="shared" si="119"/>
        <v>366</v>
      </c>
      <c r="BD186" s="110">
        <f t="shared" si="120"/>
        <v>276.73</v>
      </c>
      <c r="BE186" s="110">
        <f t="shared" si="121"/>
        <v>183.24</v>
      </c>
      <c r="BF186" s="105"/>
      <c r="BG186" s="105"/>
      <c r="BH186" s="111"/>
      <c r="BI186" s="105"/>
      <c r="BJ186" s="105"/>
      <c r="BK186" s="109"/>
      <c r="BL186" s="111"/>
      <c r="BM186" s="109"/>
      <c r="BN186" s="109"/>
      <c r="BO186" s="105"/>
      <c r="BP186" s="105"/>
      <c r="BQ186" s="109"/>
      <c r="BR186" s="110"/>
      <c r="BS186" s="110"/>
      <c r="BT186" s="110"/>
      <c r="BU186" s="110"/>
      <c r="BV186" s="110"/>
      <c r="BW186" s="112"/>
      <c r="BX186" s="112"/>
      <c r="BY186" s="110"/>
      <c r="BZ186" s="105"/>
      <c r="CA186" s="105"/>
      <c r="CB186" s="105"/>
      <c r="CC186" s="105"/>
      <c r="CD186" s="105"/>
      <c r="CE186" s="105"/>
    </row>
    <row r="187" spans="1:83" x14ac:dyDescent="0.15">
      <c r="A187" s="115">
        <v>416</v>
      </c>
      <c r="B187" s="98" t="str">
        <f>VLOOKUP($A187,'Rate Calculation'!$A$4:$AQ$208,42,FALSE)</f>
        <v>300811800</v>
      </c>
      <c r="C187" s="98" t="str">
        <f>VLOOKUP($A187,'Rate Calculation'!$A$4:$AQ$208,43,FALSE)</f>
        <v>St. Elizabeth Rehabilitation and Nursing Center</v>
      </c>
      <c r="D187" s="98" t="str">
        <f>VLOOKUP($A187,'Rate Calculation'!$A$4:$F$208,5,FALSE)</f>
        <v>BALTIMORE METRO</v>
      </c>
      <c r="E187" s="98" t="str">
        <f>VLOOKUP($A187,'Rate Calculation'!$A$4:$F$208,6,FALSE)</f>
        <v>BALTIMORE CITY</v>
      </c>
      <c r="F187" s="105">
        <f t="shared" si="96"/>
        <v>117.69</v>
      </c>
      <c r="G187" s="105">
        <f t="shared" si="97"/>
        <v>25.66</v>
      </c>
      <c r="H187" s="105">
        <f t="shared" si="98"/>
        <v>37.65</v>
      </c>
      <c r="I187" s="105">
        <f t="shared" si="99"/>
        <v>185.2</v>
      </c>
      <c r="J187" s="105">
        <f>VLOOKUP($A187,'Rate Calculation'!$A$4:$AZ$208,34,FALSE)</f>
        <v>0</v>
      </c>
      <c r="K187" s="105">
        <f t="shared" si="122"/>
        <v>366.2</v>
      </c>
      <c r="L187" s="164">
        <f t="shared" si="100"/>
        <v>0.98772000000000004</v>
      </c>
      <c r="M187" s="105">
        <f t="shared" si="123"/>
        <v>361.7</v>
      </c>
      <c r="N187" s="105">
        <f>VLOOKUP($A187,'Rate Calculation'!$A$4:$AL$208,38,FALSE)</f>
        <v>23.2</v>
      </c>
      <c r="O187" s="183">
        <f>VLOOKUP($A187,'Rate Calculation'!$A$4:$I$208,9,FALSE)</f>
        <v>1.3141</v>
      </c>
      <c r="P187" s="183">
        <f t="shared" si="69"/>
        <v>1.4432</v>
      </c>
      <c r="Q187" s="183">
        <f>VLOOKUP(A187,'CMI Data'!$A$4:$C$208,3,FALSE)</f>
        <v>1.3271999999999999</v>
      </c>
      <c r="R187" s="246">
        <f>VLOOKUP($A187,FRV!$A$4:$K$208,11,FALSE)</f>
        <v>59130</v>
      </c>
      <c r="S187" s="246">
        <f t="shared" si="70"/>
        <v>48209</v>
      </c>
      <c r="T187" s="246">
        <f>VLOOKUP($A187,FRV!$A$4:$L$208,12,FALSE)</f>
        <v>51629</v>
      </c>
      <c r="U187" s="183">
        <f>Inflation!$G$24</f>
        <v>1.0309999999999999</v>
      </c>
      <c r="V187" s="247">
        <f>VLOOKUP($A187,'Rate Calculation'!A188:X391,24,FALSE)</f>
        <v>114.15</v>
      </c>
      <c r="W187" s="110">
        <f t="shared" si="101"/>
        <v>117.69</v>
      </c>
      <c r="X187" s="110">
        <f>VLOOKUP($A187,'Rate Calculation'!A188:V391,22,FALSE)</f>
        <v>24.89</v>
      </c>
      <c r="Y187" s="110">
        <f t="shared" si="102"/>
        <v>25.66</v>
      </c>
      <c r="Z187" s="212">
        <f>VLOOKUP($A187,FRV!$A$4:$D$208,4,FALSE)</f>
        <v>45108</v>
      </c>
      <c r="AA187" s="212">
        <f>VLOOKUP($A187,FRV!$A$4:$F$208,6,FALSE)</f>
        <v>45107</v>
      </c>
      <c r="AB187" s="248">
        <f>VLOOKUP($A187,FRV!$A$4:$U$208,13,FALSE)</f>
        <v>25814422</v>
      </c>
      <c r="AC187" s="248">
        <f>VLOOKUP($A187,FRV!$A$4:$U$208,15,FALSE)</f>
        <v>359981</v>
      </c>
      <c r="AD187" s="248">
        <f>VLOOKUP($A187,FRV!$A$4:$U$208,14,FALSE)</f>
        <v>18500</v>
      </c>
      <c r="AE187" s="248">
        <f>VLOOKUP($A187,FRV!$A$4:$U$208,7,FALSE)</f>
        <v>162</v>
      </c>
      <c r="AF187" s="107">
        <f t="shared" si="103"/>
        <v>29171403</v>
      </c>
      <c r="AG187" s="107">
        <f t="shared" si="104"/>
        <v>180070</v>
      </c>
      <c r="AH187" s="107">
        <v>120000</v>
      </c>
      <c r="AI187" s="107">
        <f t="shared" si="105"/>
        <v>120000</v>
      </c>
      <c r="AJ187" s="107">
        <f t="shared" si="106"/>
        <v>19440000</v>
      </c>
      <c r="AK187" s="249">
        <f>IF(VLOOKUP($A187,'Rate Calculation'!$A$4:$D$208,4,FALSE)="baltimore city",0.1,0.08)</f>
        <v>0.1</v>
      </c>
      <c r="AL187" s="107">
        <f t="shared" si="107"/>
        <v>1944000</v>
      </c>
      <c r="AM187" s="105">
        <f>IF(ISERROR(MATCH(A187&amp;AA187,'Days Exceptions'!$C$3:$C$16,0)),ROUND(AL187/(MAX(S187,T187)),2),ROUND(AL187/VLOOKUP(A187,'Days Exceptions'!$A$3:$J$16,8,FALSE),2))</f>
        <v>37.65</v>
      </c>
      <c r="AN187" s="213">
        <f>VLOOKUP($A187,'Rate Calculation'!$A$4:$AF$208,32,FALSE)</f>
        <v>0</v>
      </c>
      <c r="AO187" s="109">
        <f t="shared" si="108"/>
        <v>37.65</v>
      </c>
      <c r="AP187" s="247">
        <f>VLOOKUP($A187,'Rate Calculation'!$A$4:$Q$208,17,FALSE)</f>
        <v>237.05</v>
      </c>
      <c r="AQ187" s="247">
        <f t="shared" si="124"/>
        <v>244.4</v>
      </c>
      <c r="AR187" s="247">
        <f>VLOOKUP($A187,'Rate Calculation'!$A$4:$K$208,11,FALSE)</f>
        <v>195.33</v>
      </c>
      <c r="AS187" s="247">
        <f t="shared" si="109"/>
        <v>201.39</v>
      </c>
      <c r="AT187" s="110">
        <f t="shared" si="110"/>
        <v>183.37</v>
      </c>
      <c r="AU187" s="110">
        <f t="shared" si="111"/>
        <v>185.2</v>
      </c>
      <c r="AV187" s="111">
        <f t="shared" si="112"/>
        <v>0</v>
      </c>
      <c r="AW187" s="110">
        <f t="shared" si="113"/>
        <v>185.2</v>
      </c>
      <c r="AX187" s="105">
        <f t="shared" si="114"/>
        <v>246.84</v>
      </c>
      <c r="AY187" s="105">
        <f t="shared" si="115"/>
        <v>175.94</v>
      </c>
      <c r="AZ187" s="105">
        <f t="shared" si="116"/>
        <v>-70.900000000000006</v>
      </c>
      <c r="BA187" s="105">
        <f t="shared" si="117"/>
        <v>273.60000000000002</v>
      </c>
      <c r="BB187" s="105">
        <f t="shared" si="118"/>
        <v>181</v>
      </c>
      <c r="BC187" s="110">
        <f t="shared" si="119"/>
        <v>384.9</v>
      </c>
      <c r="BD187" s="110">
        <f t="shared" si="120"/>
        <v>296.8</v>
      </c>
      <c r="BE187" s="110">
        <f t="shared" si="121"/>
        <v>204.2</v>
      </c>
      <c r="BF187" s="105"/>
      <c r="BG187" s="105"/>
      <c r="BH187" s="111"/>
      <c r="BI187" s="105"/>
      <c r="BJ187" s="105"/>
      <c r="BK187" s="109"/>
      <c r="BL187" s="111"/>
      <c r="BM187" s="109"/>
      <c r="BN187" s="109"/>
      <c r="BO187" s="105"/>
      <c r="BP187" s="105"/>
      <c r="BQ187" s="109"/>
      <c r="BR187" s="110"/>
      <c r="BS187" s="110"/>
      <c r="BT187" s="110"/>
      <c r="BU187" s="110"/>
      <c r="BV187" s="110"/>
      <c r="BW187" s="112"/>
      <c r="BX187" s="112"/>
      <c r="BY187" s="110"/>
      <c r="BZ187" s="105"/>
      <c r="CA187" s="105"/>
      <c r="CB187" s="105"/>
      <c r="CC187" s="105"/>
      <c r="CD187" s="105"/>
      <c r="CE187" s="105"/>
    </row>
    <row r="188" spans="1:83" x14ac:dyDescent="0.15">
      <c r="A188" s="115">
        <v>418</v>
      </c>
      <c r="B188" s="98" t="str">
        <f>VLOOKUP($A188,'Rate Calculation'!$A$4:$AQ$208,42,FALSE)</f>
        <v>073434900</v>
      </c>
      <c r="C188" s="98" t="str">
        <f>VLOOKUP($A188,'Rate Calculation'!$A$4:$AQ$208,43,FALSE)</f>
        <v>St. Joseph's Nursing Home, Inc.</v>
      </c>
      <c r="D188" s="98" t="str">
        <f>VLOOKUP($A188,'Rate Calculation'!$A$4:$F$208,5,FALSE)</f>
        <v>BALTIMORE METRO</v>
      </c>
      <c r="E188" s="98" t="str">
        <f>VLOOKUP($A188,'Rate Calculation'!$A$4:$F$208,6,FALSE)</f>
        <v>BALTIMORE METRO</v>
      </c>
      <c r="F188" s="105">
        <f t="shared" si="96"/>
        <v>105.18</v>
      </c>
      <c r="G188" s="105">
        <f t="shared" si="97"/>
        <v>21.5</v>
      </c>
      <c r="H188" s="105">
        <f t="shared" si="98"/>
        <v>27.61</v>
      </c>
      <c r="I188" s="105">
        <f t="shared" si="99"/>
        <v>134.49</v>
      </c>
      <c r="J188" s="105">
        <f>VLOOKUP($A188,'Rate Calculation'!$A$4:$AZ$208,34,FALSE)</f>
        <v>0</v>
      </c>
      <c r="K188" s="105">
        <f t="shared" si="122"/>
        <v>288.77999999999997</v>
      </c>
      <c r="L188" s="164">
        <f t="shared" si="100"/>
        <v>0.98772000000000004</v>
      </c>
      <c r="M188" s="105">
        <f t="shared" si="123"/>
        <v>285.23</v>
      </c>
      <c r="N188" s="105">
        <f>VLOOKUP($A188,'Rate Calculation'!$A$4:$AL$208,38,FALSE)</f>
        <v>0</v>
      </c>
      <c r="O188" s="183">
        <f>VLOOKUP($A188,'Rate Calculation'!$A$4:$I$208,9,FALSE)</f>
        <v>1.2295</v>
      </c>
      <c r="P188" s="183">
        <f t="shared" si="69"/>
        <v>1.4432</v>
      </c>
      <c r="Q188" s="183">
        <f>VLOOKUP(A188,'CMI Data'!$A$4:$C$208,3,FALSE)</f>
        <v>1.0669999999999999</v>
      </c>
      <c r="R188" s="246">
        <f>VLOOKUP($A188,FRV!$A$4:$K$208,11,FALSE)</f>
        <v>16104</v>
      </c>
      <c r="S188" s="246">
        <f t="shared" si="70"/>
        <v>13130</v>
      </c>
      <c r="T188" s="246">
        <f>VLOOKUP($A188,FRV!$A$4:$L$208,12,FALSE)</f>
        <v>15297</v>
      </c>
      <c r="U188" s="183">
        <f>Inflation!$G$24</f>
        <v>1.0309999999999999</v>
      </c>
      <c r="V188" s="247">
        <f>VLOOKUP($A188,'Rate Calculation'!A189:X392,24,FALSE)</f>
        <v>102.02</v>
      </c>
      <c r="W188" s="110">
        <f t="shared" si="101"/>
        <v>105.18</v>
      </c>
      <c r="X188" s="110">
        <f>VLOOKUP($A188,'Rate Calculation'!A189:V392,22,FALSE)</f>
        <v>20.85</v>
      </c>
      <c r="Y188" s="110">
        <f t="shared" si="102"/>
        <v>21.5</v>
      </c>
      <c r="Z188" s="212">
        <f>VLOOKUP($A188,FRV!$A$4:$D$208,4,FALSE)</f>
        <v>45474</v>
      </c>
      <c r="AA188" s="212">
        <f>VLOOKUP($A188,FRV!$A$4:$F$208,6,FALSE)</f>
        <v>45657</v>
      </c>
      <c r="AB188" s="248">
        <f>VLOOKUP($A188,FRV!$A$4:$U$208,13,FALSE)</f>
        <v>9277989</v>
      </c>
      <c r="AC188" s="248">
        <f>VLOOKUP($A188,FRV!$A$4:$U$208,15,FALSE)</f>
        <v>309443</v>
      </c>
      <c r="AD188" s="248">
        <f>VLOOKUP($A188,FRV!$A$4:$U$208,14,FALSE)</f>
        <v>30000</v>
      </c>
      <c r="AE188" s="248">
        <f>VLOOKUP($A188,FRV!$A$4:$U$208,7,FALSE)</f>
        <v>44</v>
      </c>
      <c r="AF188" s="107">
        <f t="shared" si="103"/>
        <v>10907432</v>
      </c>
      <c r="AG188" s="107">
        <f t="shared" si="104"/>
        <v>247896</v>
      </c>
      <c r="AH188" s="107">
        <v>120000</v>
      </c>
      <c r="AI188" s="107">
        <f t="shared" si="105"/>
        <v>120000</v>
      </c>
      <c r="AJ188" s="107">
        <f t="shared" si="106"/>
        <v>5280000</v>
      </c>
      <c r="AK188" s="249">
        <f>IF(VLOOKUP($A188,'Rate Calculation'!$A$4:$D$208,4,FALSE)="baltimore city",0.1,0.08)</f>
        <v>0.08</v>
      </c>
      <c r="AL188" s="107">
        <f t="shared" si="107"/>
        <v>422400</v>
      </c>
      <c r="AM188" s="105">
        <f>IF(ISERROR(MATCH(A188&amp;AA188,'Days Exceptions'!$C$3:$C$16,0)),ROUND(AL188/(MAX(S188,T188)),2),ROUND(AL188/VLOOKUP(A188,'Days Exceptions'!$A$3:$J$16,8,FALSE),2))</f>
        <v>27.61</v>
      </c>
      <c r="AN188" s="213">
        <f>VLOOKUP($A188,'Rate Calculation'!$A$4:$AF$208,32,FALSE)</f>
        <v>0</v>
      </c>
      <c r="AO188" s="109">
        <f t="shared" si="108"/>
        <v>27.61</v>
      </c>
      <c r="AP188" s="247">
        <f>VLOOKUP($A188,'Rate Calculation'!$A$4:$Q$208,17,FALSE)</f>
        <v>142</v>
      </c>
      <c r="AQ188" s="247">
        <f t="shared" si="124"/>
        <v>146.4</v>
      </c>
      <c r="AR188" s="247">
        <f>VLOOKUP($A188,'Rate Calculation'!$A$4:$K$208,11,FALSE)</f>
        <v>195.33</v>
      </c>
      <c r="AS188" s="247">
        <f t="shared" si="109"/>
        <v>201.39</v>
      </c>
      <c r="AT188" s="110">
        <f t="shared" si="110"/>
        <v>171.57</v>
      </c>
      <c r="AU188" s="110">
        <f t="shared" si="111"/>
        <v>148.88999999999999</v>
      </c>
      <c r="AV188" s="111">
        <f t="shared" si="112"/>
        <v>-14.4</v>
      </c>
      <c r="AW188" s="110">
        <f t="shared" si="113"/>
        <v>134.49</v>
      </c>
      <c r="AX188" s="105">
        <f t="shared" si="114"/>
        <v>127.05</v>
      </c>
      <c r="AY188" s="105">
        <f t="shared" si="115"/>
        <v>141.44999999999999</v>
      </c>
      <c r="AZ188" s="105">
        <f t="shared" si="116"/>
        <v>14.4</v>
      </c>
      <c r="BA188" s="105">
        <f t="shared" si="117"/>
        <v>221.54</v>
      </c>
      <c r="BB188" s="105">
        <f t="shared" si="118"/>
        <v>154.29</v>
      </c>
      <c r="BC188" s="110">
        <f t="shared" si="119"/>
        <v>285.23</v>
      </c>
      <c r="BD188" s="110">
        <f t="shared" si="120"/>
        <v>221.54</v>
      </c>
      <c r="BE188" s="110">
        <f t="shared" si="121"/>
        <v>154.29</v>
      </c>
      <c r="BF188" s="105"/>
      <c r="BG188" s="105"/>
      <c r="BH188" s="111"/>
      <c r="BI188" s="105"/>
      <c r="BJ188" s="105"/>
      <c r="BK188" s="109"/>
      <c r="BL188" s="111"/>
      <c r="BM188" s="109"/>
      <c r="BN188" s="109"/>
      <c r="BO188" s="105"/>
      <c r="BP188" s="105"/>
      <c r="BQ188" s="109"/>
      <c r="BR188" s="110"/>
      <c r="BS188" s="110"/>
      <c r="BT188" s="110"/>
      <c r="BU188" s="110"/>
      <c r="BV188" s="110"/>
      <c r="BW188" s="112"/>
      <c r="BX188" s="112"/>
      <c r="BY188" s="110"/>
      <c r="BZ188" s="105"/>
      <c r="CA188" s="105"/>
      <c r="CB188" s="105"/>
      <c r="CC188" s="105"/>
      <c r="CD188" s="105"/>
      <c r="CE188" s="105"/>
    </row>
    <row r="189" spans="1:83" x14ac:dyDescent="0.15">
      <c r="A189" s="115">
        <v>767</v>
      </c>
      <c r="B189" s="98" t="str">
        <f>VLOOKUP($A189,'Rate Calculation'!$A$4:$AQ$208,42,FALSE)</f>
        <v>695502900</v>
      </c>
      <c r="C189" s="98" t="str">
        <f>VLOOKUP($A189,'Rate Calculation'!$A$4:$AQ$208,43,FALSE)</f>
        <v>St. Mary's Nursing Center, Inc.</v>
      </c>
      <c r="D189" s="98" t="str">
        <f>VLOOKUP($A189,'Rate Calculation'!$A$4:$F$208,5,FALSE)</f>
        <v>WASHINGTON METRO</v>
      </c>
      <c r="E189" s="98" t="str">
        <f>VLOOKUP($A189,'Rate Calculation'!$A$4:$F$208,6,FALSE)</f>
        <v>NON METRO</v>
      </c>
      <c r="F189" s="105">
        <f t="shared" si="96"/>
        <v>92.33</v>
      </c>
      <c r="G189" s="105">
        <f t="shared" si="97"/>
        <v>20.87</v>
      </c>
      <c r="H189" s="105">
        <f t="shared" si="98"/>
        <v>32.26</v>
      </c>
      <c r="I189" s="105">
        <f t="shared" si="99"/>
        <v>137.22999999999999</v>
      </c>
      <c r="J189" s="105">
        <f>VLOOKUP($A189,'Rate Calculation'!$A$4:$AZ$208,34,FALSE)</f>
        <v>0</v>
      </c>
      <c r="K189" s="105">
        <f t="shared" si="122"/>
        <v>282.69</v>
      </c>
      <c r="L189" s="164">
        <f t="shared" si="100"/>
        <v>0.98772000000000004</v>
      </c>
      <c r="M189" s="105">
        <f t="shared" si="123"/>
        <v>279.22000000000003</v>
      </c>
      <c r="N189" s="105">
        <f>VLOOKUP($A189,'Rate Calculation'!$A$4:$AL$208,38,FALSE)</f>
        <v>29.3</v>
      </c>
      <c r="O189" s="183">
        <f>VLOOKUP($A189,'Rate Calculation'!$A$4:$I$208,9,FALSE)</f>
        <v>1.47</v>
      </c>
      <c r="P189" s="183">
        <f t="shared" si="69"/>
        <v>1.4432</v>
      </c>
      <c r="Q189" s="183">
        <f>VLOOKUP(A189,'CMI Data'!$A$4:$C$208,3,FALSE)</f>
        <v>1.3452</v>
      </c>
      <c r="R189" s="246">
        <f>VLOOKUP($A189,FRV!$A$4:$K$208,11,FALSE)</f>
        <v>58400</v>
      </c>
      <c r="S189" s="246">
        <f t="shared" si="70"/>
        <v>47614</v>
      </c>
      <c r="T189" s="246">
        <f>VLOOKUP($A189,FRV!$A$4:$L$208,12,FALSE)</f>
        <v>40180</v>
      </c>
      <c r="U189" s="183">
        <f>Inflation!$G$24</f>
        <v>1.0309999999999999</v>
      </c>
      <c r="V189" s="247">
        <f>VLOOKUP($A189,'Rate Calculation'!A190:X393,24,FALSE)</f>
        <v>89.55</v>
      </c>
      <c r="W189" s="110">
        <f t="shared" si="101"/>
        <v>92.33</v>
      </c>
      <c r="X189" s="110">
        <f>VLOOKUP($A189,'Rate Calculation'!A190:V393,22,FALSE)</f>
        <v>20.239999999999998</v>
      </c>
      <c r="Y189" s="110">
        <f t="shared" si="102"/>
        <v>20.87</v>
      </c>
      <c r="Z189" s="212">
        <f>VLOOKUP($A189,FRV!$A$4:$D$208,4,FALSE)</f>
        <v>44743</v>
      </c>
      <c r="AA189" s="212">
        <f>VLOOKUP($A189,FRV!$A$4:$F$208,6,FALSE)</f>
        <v>44742</v>
      </c>
      <c r="AB189" s="248">
        <f>VLOOKUP($A189,FRV!$A$4:$U$208,13,FALSE)</f>
        <v>26352505</v>
      </c>
      <c r="AC189" s="248">
        <f>VLOOKUP($A189,FRV!$A$4:$U$208,15,FALSE)</f>
        <v>573631</v>
      </c>
      <c r="AD189" s="248">
        <f>VLOOKUP($A189,FRV!$A$4:$U$208,14,FALSE)</f>
        <v>17000</v>
      </c>
      <c r="AE189" s="248">
        <f>VLOOKUP($A189,FRV!$A$4:$U$208,7,FALSE)</f>
        <v>160</v>
      </c>
      <c r="AF189" s="107">
        <f t="shared" si="103"/>
        <v>29646136</v>
      </c>
      <c r="AG189" s="107">
        <f t="shared" si="104"/>
        <v>185288</v>
      </c>
      <c r="AH189" s="107">
        <v>120000</v>
      </c>
      <c r="AI189" s="107">
        <f t="shared" si="105"/>
        <v>120000</v>
      </c>
      <c r="AJ189" s="107">
        <f t="shared" si="106"/>
        <v>19200000</v>
      </c>
      <c r="AK189" s="249">
        <f>IF(VLOOKUP($A189,'Rate Calculation'!$A$4:$D$208,4,FALSE)="baltimore city",0.1,0.08)</f>
        <v>0.08</v>
      </c>
      <c r="AL189" s="107">
        <f t="shared" si="107"/>
        <v>1536000</v>
      </c>
      <c r="AM189" s="105">
        <f>IF(ISERROR(MATCH(A189&amp;AA189,'Days Exceptions'!$C$3:$C$16,0)),ROUND(AL189/(MAX(S189,T189)),2),ROUND(AL189/VLOOKUP(A189,'Days Exceptions'!$A$3:$J$16,8,FALSE),2))</f>
        <v>32.26</v>
      </c>
      <c r="AN189" s="213">
        <f>VLOOKUP($A189,'Rate Calculation'!$A$4:$AF$208,32,FALSE)</f>
        <v>0</v>
      </c>
      <c r="AO189" s="109">
        <f t="shared" si="108"/>
        <v>32.26</v>
      </c>
      <c r="AP189" s="247">
        <f>VLOOKUP($A189,'Rate Calculation'!$A$4:$Q$208,17,FALSE)</f>
        <v>136.49</v>
      </c>
      <c r="AQ189" s="247">
        <f t="shared" si="124"/>
        <v>140.72</v>
      </c>
      <c r="AR189" s="247">
        <f>VLOOKUP($A189,'Rate Calculation'!$A$4:$K$208,11,FALSE)</f>
        <v>176.01</v>
      </c>
      <c r="AS189" s="247">
        <f t="shared" si="109"/>
        <v>181.47</v>
      </c>
      <c r="AT189" s="110">
        <f t="shared" si="110"/>
        <v>184.84</v>
      </c>
      <c r="AU189" s="110">
        <f t="shared" si="111"/>
        <v>169.15</v>
      </c>
      <c r="AV189" s="111">
        <f t="shared" si="112"/>
        <v>-31.92</v>
      </c>
      <c r="AW189" s="110">
        <f t="shared" si="113"/>
        <v>137.22999999999999</v>
      </c>
      <c r="AX189" s="105">
        <f t="shared" si="114"/>
        <v>128.77000000000001</v>
      </c>
      <c r="AY189" s="105">
        <f t="shared" si="115"/>
        <v>160.69</v>
      </c>
      <c r="AZ189" s="105">
        <f t="shared" si="116"/>
        <v>31.92</v>
      </c>
      <c r="BA189" s="105">
        <f t="shared" si="117"/>
        <v>214.08</v>
      </c>
      <c r="BB189" s="105">
        <f t="shared" si="118"/>
        <v>145.46</v>
      </c>
      <c r="BC189" s="110">
        <f t="shared" si="119"/>
        <v>308.52</v>
      </c>
      <c r="BD189" s="110">
        <f t="shared" si="120"/>
        <v>243.38</v>
      </c>
      <c r="BE189" s="110">
        <f t="shared" si="121"/>
        <v>174.76</v>
      </c>
      <c r="BF189" s="105"/>
      <c r="BG189" s="105"/>
      <c r="BH189" s="111"/>
      <c r="BI189" s="105"/>
      <c r="BJ189" s="105"/>
      <c r="BK189" s="109"/>
      <c r="BL189" s="111"/>
      <c r="BM189" s="109"/>
      <c r="BN189" s="109"/>
      <c r="BO189" s="105"/>
      <c r="BP189" s="105"/>
      <c r="BQ189" s="109"/>
      <c r="BR189" s="110"/>
      <c r="BS189" s="110"/>
      <c r="BT189" s="110"/>
      <c r="BU189" s="110"/>
      <c r="BV189" s="110"/>
      <c r="BW189" s="112"/>
      <c r="BX189" s="112"/>
      <c r="BY189" s="110"/>
      <c r="BZ189" s="105"/>
      <c r="CA189" s="105"/>
      <c r="CB189" s="105"/>
      <c r="CC189" s="105"/>
      <c r="CD189" s="105"/>
      <c r="CE189" s="105"/>
    </row>
    <row r="190" spans="1:83" x14ac:dyDescent="0.15">
      <c r="A190" s="115">
        <v>428</v>
      </c>
      <c r="B190" s="98" t="str">
        <f>VLOOKUP($A190,'Rate Calculation'!$A$4:$AQ$208,42,FALSE)</f>
        <v>960200300</v>
      </c>
      <c r="C190" s="98" t="str">
        <f>VLOOKUP($A190,'Rate Calculation'!$A$4:$AQ$208,43,FALSE)</f>
        <v>Stella Maris, Inc.</v>
      </c>
      <c r="D190" s="98" t="str">
        <f>VLOOKUP($A190,'Rate Calculation'!$A$4:$F$208,5,FALSE)</f>
        <v>BALTIMORE METRO</v>
      </c>
      <c r="E190" s="98" t="str">
        <f>VLOOKUP($A190,'Rate Calculation'!$A$4:$F$208,6,FALSE)</f>
        <v>BALTIMORE METRO</v>
      </c>
      <c r="F190" s="105">
        <f t="shared" si="96"/>
        <v>105.18</v>
      </c>
      <c r="G190" s="105">
        <f t="shared" si="97"/>
        <v>21.5</v>
      </c>
      <c r="H190" s="105">
        <f t="shared" si="98"/>
        <v>30.5</v>
      </c>
      <c r="I190" s="105">
        <f t="shared" si="99"/>
        <v>188.99</v>
      </c>
      <c r="J190" s="105">
        <f>VLOOKUP($A190,'Rate Calculation'!$A$4:$AZ$208,34,FALSE)</f>
        <v>0</v>
      </c>
      <c r="K190" s="105">
        <f t="shared" si="122"/>
        <v>346.17</v>
      </c>
      <c r="L190" s="164">
        <f t="shared" si="100"/>
        <v>0.98772000000000004</v>
      </c>
      <c r="M190" s="105">
        <f t="shared" si="123"/>
        <v>341.92</v>
      </c>
      <c r="N190" s="105">
        <f>VLOOKUP($A190,'Rate Calculation'!$A$4:$AL$208,38,FALSE)</f>
        <v>2.35</v>
      </c>
      <c r="O190" s="183">
        <f>VLOOKUP($A190,'Rate Calculation'!$A$4:$I$208,9,FALSE)</f>
        <v>1.4958</v>
      </c>
      <c r="P190" s="183">
        <f t="shared" si="69"/>
        <v>1.4432</v>
      </c>
      <c r="Q190" s="183">
        <f>VLOOKUP(A190,'CMI Data'!$A$4:$C$208,3,FALSE)</f>
        <v>1.4831000000000001</v>
      </c>
      <c r="R190" s="246">
        <f>VLOOKUP($A190,FRV!$A$4:$K$208,11,FALSE)</f>
        <v>142350</v>
      </c>
      <c r="S190" s="246">
        <f t="shared" si="70"/>
        <v>116058</v>
      </c>
      <c r="T190" s="246">
        <f>VLOOKUP($A190,FRV!$A$4:$L$208,12,FALSE)</f>
        <v>123944</v>
      </c>
      <c r="U190" s="183">
        <f>Inflation!$G$24</f>
        <v>1.0309999999999999</v>
      </c>
      <c r="V190" s="247">
        <f>VLOOKUP($A190,'Rate Calculation'!A191:X394,24,FALSE)</f>
        <v>102.02</v>
      </c>
      <c r="W190" s="110">
        <f t="shared" si="101"/>
        <v>105.18</v>
      </c>
      <c r="X190" s="110">
        <f>VLOOKUP($A190,'Rate Calculation'!A191:V394,22,FALSE)</f>
        <v>20.85</v>
      </c>
      <c r="Y190" s="110">
        <f t="shared" si="102"/>
        <v>21.5</v>
      </c>
      <c r="Z190" s="212">
        <f>VLOOKUP($A190,FRV!$A$4:$D$208,4,FALSE)</f>
        <v>45108</v>
      </c>
      <c r="AA190" s="212">
        <f>VLOOKUP($A190,FRV!$A$4:$F$208,6,FALSE)</f>
        <v>45107</v>
      </c>
      <c r="AB190" s="248">
        <f>VLOOKUP($A190,FRV!$A$4:$U$208,13,FALSE)</f>
        <v>82205168</v>
      </c>
      <c r="AC190" s="248">
        <f>VLOOKUP($A190,FRV!$A$4:$U$208,15,FALSE)</f>
        <v>509784</v>
      </c>
      <c r="AD190" s="248">
        <f>VLOOKUP($A190,FRV!$A$4:$U$208,14,FALSE)</f>
        <v>21000</v>
      </c>
      <c r="AE190" s="248">
        <f>VLOOKUP($A190,FRV!$A$4:$U$208,7,FALSE)</f>
        <v>390</v>
      </c>
      <c r="AF190" s="107">
        <f t="shared" si="103"/>
        <v>90904952</v>
      </c>
      <c r="AG190" s="107">
        <f t="shared" si="104"/>
        <v>233090</v>
      </c>
      <c r="AH190" s="107">
        <v>120000</v>
      </c>
      <c r="AI190" s="107">
        <f t="shared" si="105"/>
        <v>120000</v>
      </c>
      <c r="AJ190" s="107">
        <f t="shared" si="106"/>
        <v>46800000</v>
      </c>
      <c r="AK190" s="249">
        <f>IF(VLOOKUP($A190,'Rate Calculation'!$A$4:$D$208,4,FALSE)="baltimore city",0.1,0.08)</f>
        <v>0.08</v>
      </c>
      <c r="AL190" s="107">
        <f t="shared" si="107"/>
        <v>3744000</v>
      </c>
      <c r="AM190" s="105">
        <f>IF(ISERROR(MATCH(A190&amp;AA190,'Days Exceptions'!$C$3:$C$16,0)),ROUND(AL190/(MAX(S190,T190)),2),ROUND(AL190/VLOOKUP(A190,'Days Exceptions'!$A$3:$J$16,8,FALSE),2))</f>
        <v>30.21</v>
      </c>
      <c r="AN190" s="213">
        <f>VLOOKUP($A190,'Rate Calculation'!$A$4:$AF$208,32,FALSE)</f>
        <v>0.28999999999999998</v>
      </c>
      <c r="AO190" s="109">
        <f t="shared" si="108"/>
        <v>30.5</v>
      </c>
      <c r="AP190" s="247">
        <f>VLOOKUP($A190,'Rate Calculation'!$A$4:$Q$208,17,FALSE)</f>
        <v>174.75</v>
      </c>
      <c r="AQ190" s="247">
        <f t="shared" si="124"/>
        <v>180.17</v>
      </c>
      <c r="AR190" s="247">
        <f>VLOOKUP($A190,'Rate Calculation'!$A$4:$K$208,11,FALSE)</f>
        <v>195.33</v>
      </c>
      <c r="AS190" s="247">
        <f t="shared" si="109"/>
        <v>201.39</v>
      </c>
      <c r="AT190" s="110">
        <f t="shared" si="110"/>
        <v>208.73</v>
      </c>
      <c r="AU190" s="110">
        <f t="shared" si="111"/>
        <v>206.96</v>
      </c>
      <c r="AV190" s="111">
        <f t="shared" si="112"/>
        <v>-17.97</v>
      </c>
      <c r="AW190" s="110">
        <f t="shared" si="113"/>
        <v>188.99</v>
      </c>
      <c r="AX190" s="105">
        <f t="shared" si="114"/>
        <v>178.64</v>
      </c>
      <c r="AY190" s="105">
        <f t="shared" si="115"/>
        <v>196.61</v>
      </c>
      <c r="AZ190" s="105">
        <f t="shared" si="116"/>
        <v>17.97</v>
      </c>
      <c r="BA190" s="105">
        <f t="shared" si="117"/>
        <v>251.68</v>
      </c>
      <c r="BB190" s="105">
        <f t="shared" si="118"/>
        <v>157.18</v>
      </c>
      <c r="BC190" s="110">
        <f t="shared" si="119"/>
        <v>344.27</v>
      </c>
      <c r="BD190" s="110">
        <f t="shared" si="120"/>
        <v>254.03</v>
      </c>
      <c r="BE190" s="110">
        <f t="shared" si="121"/>
        <v>159.53</v>
      </c>
      <c r="BF190" s="105"/>
      <c r="BG190" s="105"/>
      <c r="BH190" s="111"/>
      <c r="BI190" s="105"/>
      <c r="BJ190" s="105"/>
      <c r="BK190" s="109"/>
      <c r="BL190" s="111"/>
      <c r="BM190" s="109"/>
      <c r="BN190" s="109"/>
      <c r="BO190" s="105"/>
      <c r="BP190" s="105"/>
      <c r="BQ190" s="109"/>
      <c r="BR190" s="110"/>
      <c r="BS190" s="110"/>
      <c r="BT190" s="110"/>
      <c r="BU190" s="110"/>
      <c r="BV190" s="110"/>
      <c r="BW190" s="112"/>
      <c r="BX190" s="112"/>
      <c r="BY190" s="110"/>
      <c r="BZ190" s="105"/>
      <c r="CA190" s="105"/>
      <c r="CB190" s="105"/>
      <c r="CC190" s="105"/>
      <c r="CD190" s="105"/>
      <c r="CE190" s="105"/>
    </row>
    <row r="191" spans="1:83" x14ac:dyDescent="0.15">
      <c r="A191" s="115">
        <v>176</v>
      </c>
      <c r="B191" s="98" t="str">
        <f>VLOOKUP($A191,'Rate Calculation'!$A$4:$AQ$208,42,FALSE)</f>
        <v>199733500</v>
      </c>
      <c r="C191" s="98" t="str">
        <f>VLOOKUP($A191,'Rate Calculation'!$A$4:$AQ$208,43,FALSE)</f>
        <v>Frostburg Village Rehab Center</v>
      </c>
      <c r="D191" s="98" t="str">
        <f>VLOOKUP($A191,'Rate Calculation'!$A$4:$F$208,5,FALSE)</f>
        <v>WESTERN REGION</v>
      </c>
      <c r="E191" s="98" t="str">
        <f>VLOOKUP($A191,'Rate Calculation'!$A$4:$F$208,6,FALSE)</f>
        <v>NON METRO</v>
      </c>
      <c r="F191" s="105">
        <f t="shared" si="96"/>
        <v>92.33</v>
      </c>
      <c r="G191" s="105">
        <f t="shared" si="97"/>
        <v>20.87</v>
      </c>
      <c r="H191" s="105">
        <f t="shared" si="98"/>
        <v>31.75</v>
      </c>
      <c r="I191" s="105">
        <f t="shared" si="99"/>
        <v>153.82</v>
      </c>
      <c r="J191" s="105">
        <f>VLOOKUP($A191,'Rate Calculation'!$A$4:$AZ$208,34,FALSE)</f>
        <v>0</v>
      </c>
      <c r="K191" s="105">
        <f t="shared" si="122"/>
        <v>298.77</v>
      </c>
      <c r="L191" s="164">
        <f t="shared" si="100"/>
        <v>0.98772000000000004</v>
      </c>
      <c r="M191" s="105">
        <f t="shared" si="123"/>
        <v>295.10000000000002</v>
      </c>
      <c r="N191" s="105">
        <f>VLOOKUP($A191,'Rate Calculation'!$A$4:$AL$208,38,FALSE)</f>
        <v>26.92</v>
      </c>
      <c r="O191" s="183">
        <f>VLOOKUP($A191,'Rate Calculation'!$A$4:$I$208,9,FALSE)</f>
        <v>1.3543000000000001</v>
      </c>
      <c r="P191" s="183">
        <f t="shared" si="69"/>
        <v>1.4432</v>
      </c>
      <c r="Q191" s="183">
        <f>VLOOKUP(A191,'CMI Data'!$A$4:$C$208,3,FALSE)</f>
        <v>1.33</v>
      </c>
      <c r="R191" s="246">
        <f>VLOOKUP($A191,FRV!$A$4:$K$208,11,FALSE)</f>
        <v>48312</v>
      </c>
      <c r="S191" s="246">
        <f t="shared" si="70"/>
        <v>39389</v>
      </c>
      <c r="T191" s="246">
        <f>VLOOKUP($A191,FRV!$A$4:$L$208,12,FALSE)</f>
        <v>39179</v>
      </c>
      <c r="U191" s="183">
        <f>Inflation!$G$24</f>
        <v>1.0309999999999999</v>
      </c>
      <c r="V191" s="247">
        <f>VLOOKUP($A191,'Rate Calculation'!A192:X395,24,FALSE)</f>
        <v>89.55</v>
      </c>
      <c r="W191" s="110">
        <f t="shared" si="101"/>
        <v>92.33</v>
      </c>
      <c r="X191" s="110">
        <f>VLOOKUP($A191,'Rate Calculation'!A192:V395,22,FALSE)</f>
        <v>20.239999999999998</v>
      </c>
      <c r="Y191" s="110">
        <f t="shared" si="102"/>
        <v>20.87</v>
      </c>
      <c r="Z191" s="212">
        <f>VLOOKUP($A191,FRV!$A$4:$D$208,4,FALSE)</f>
        <v>45474</v>
      </c>
      <c r="AA191" s="212">
        <f>VLOOKUP($A191,FRV!$A$4:$F$208,6,FALSE)</f>
        <v>45657</v>
      </c>
      <c r="AB191" s="248">
        <f>VLOOKUP($A191,FRV!$A$4:$U$208,13,FALSE)</f>
        <v>12331989</v>
      </c>
      <c r="AC191" s="248">
        <f>VLOOKUP($A191,FRV!$A$4:$U$208,15,FALSE)</f>
        <v>225363</v>
      </c>
      <c r="AD191" s="248">
        <f>VLOOKUP($A191,FRV!$A$4:$U$208,14,FALSE)</f>
        <v>13000</v>
      </c>
      <c r="AE191" s="248">
        <f>VLOOKUP($A191,FRV!$A$4:$U$208,7,FALSE)</f>
        <v>132</v>
      </c>
      <c r="AF191" s="107">
        <f t="shared" si="103"/>
        <v>14273352</v>
      </c>
      <c r="AG191" s="107">
        <f t="shared" si="104"/>
        <v>108131</v>
      </c>
      <c r="AH191" s="107">
        <v>120000</v>
      </c>
      <c r="AI191" s="107">
        <f t="shared" si="105"/>
        <v>108131</v>
      </c>
      <c r="AJ191" s="107">
        <f t="shared" si="106"/>
        <v>14273292</v>
      </c>
      <c r="AK191" s="249">
        <f>IF(VLOOKUP($A191,'Rate Calculation'!$A$4:$D$208,4,FALSE)="baltimore city",0.1,0.08)</f>
        <v>0.08</v>
      </c>
      <c r="AL191" s="107">
        <f t="shared" si="107"/>
        <v>1141863</v>
      </c>
      <c r="AM191" s="105">
        <f>IF(ISERROR(MATCH(A191&amp;AA191,'Days Exceptions'!$C$3:$C$16,0)),ROUND(AL191/(MAX(S191,T191)),2),ROUND(AL191/VLOOKUP(A191,'Days Exceptions'!$A$3:$J$16,8,FALSE),2))</f>
        <v>28.99</v>
      </c>
      <c r="AN191" s="213">
        <f>VLOOKUP($A191,'Rate Calculation'!$A$4:$AF$208,32,FALSE)</f>
        <v>2.76</v>
      </c>
      <c r="AO191" s="109">
        <f t="shared" si="108"/>
        <v>31.75</v>
      </c>
      <c r="AP191" s="247">
        <f>VLOOKUP($A191,'Rate Calculation'!$A$4:$Q$208,17,FALSE)</f>
        <v>144.12</v>
      </c>
      <c r="AQ191" s="247">
        <f t="shared" si="124"/>
        <v>148.59</v>
      </c>
      <c r="AR191" s="247">
        <f>VLOOKUP($A191,'Rate Calculation'!$A$4:$K$208,11,FALSE)</f>
        <v>166.26</v>
      </c>
      <c r="AS191" s="247">
        <f t="shared" si="109"/>
        <v>171.41</v>
      </c>
      <c r="AT191" s="110">
        <f t="shared" si="110"/>
        <v>160.85</v>
      </c>
      <c r="AU191" s="110">
        <f t="shared" si="111"/>
        <v>157.96</v>
      </c>
      <c r="AV191" s="111">
        <f t="shared" si="112"/>
        <v>-4.1399999999999997</v>
      </c>
      <c r="AW191" s="110">
        <f t="shared" si="113"/>
        <v>153.82</v>
      </c>
      <c r="AX191" s="105">
        <f t="shared" si="114"/>
        <v>145.91999999999999</v>
      </c>
      <c r="AY191" s="105">
        <f t="shared" si="115"/>
        <v>150.06</v>
      </c>
      <c r="AZ191" s="105">
        <f t="shared" si="116"/>
        <v>4.1399999999999997</v>
      </c>
      <c r="BA191" s="105">
        <f t="shared" si="117"/>
        <v>221.86</v>
      </c>
      <c r="BB191" s="105">
        <f t="shared" si="118"/>
        <v>144.94999999999999</v>
      </c>
      <c r="BC191" s="110">
        <f t="shared" si="119"/>
        <v>322.02</v>
      </c>
      <c r="BD191" s="110">
        <f t="shared" si="120"/>
        <v>248.78</v>
      </c>
      <c r="BE191" s="110">
        <f t="shared" si="121"/>
        <v>171.87</v>
      </c>
      <c r="BF191" s="105"/>
      <c r="BG191" s="105"/>
      <c r="BH191" s="111"/>
      <c r="BI191" s="105"/>
      <c r="BJ191" s="105"/>
      <c r="BK191" s="109"/>
      <c r="BL191" s="111"/>
      <c r="BM191" s="109"/>
      <c r="BN191" s="109"/>
      <c r="BO191" s="105"/>
      <c r="BP191" s="105"/>
      <c r="BQ191" s="109"/>
      <c r="BR191" s="110"/>
      <c r="BS191" s="110"/>
      <c r="BT191" s="110"/>
      <c r="BU191" s="110"/>
      <c r="BV191" s="110"/>
      <c r="BW191" s="112"/>
      <c r="BX191" s="112"/>
      <c r="BY191" s="110"/>
      <c r="BZ191" s="105"/>
      <c r="CA191" s="105"/>
      <c r="CB191" s="105"/>
      <c r="CC191" s="105"/>
      <c r="CD191" s="105"/>
      <c r="CE191" s="105"/>
    </row>
    <row r="192" spans="1:83" x14ac:dyDescent="0.15">
      <c r="A192" s="115">
        <v>378</v>
      </c>
      <c r="B192" s="98" t="str">
        <f>VLOOKUP($A192,'Rate Calculation'!$A$4:$AQ$208,42,FALSE)</f>
        <v>280020900</v>
      </c>
      <c r="C192" s="98" t="str">
        <f>VLOOKUP($A192,'Rate Calculation'!$A$4:$AQ$208,43,FALSE)</f>
        <v>Sterling Care at South Mountain</v>
      </c>
      <c r="D192" s="98" t="str">
        <f>VLOOKUP($A192,'Rate Calculation'!$A$4:$F$208,5,FALSE)</f>
        <v>WESTERN REGION</v>
      </c>
      <c r="E192" s="98" t="str">
        <f>VLOOKUP($A192,'Rate Calculation'!$A$4:$F$208,6,FALSE)</f>
        <v>NON METRO</v>
      </c>
      <c r="F192" s="105">
        <f t="shared" si="96"/>
        <v>92.33</v>
      </c>
      <c r="G192" s="105">
        <f t="shared" si="97"/>
        <v>20.87</v>
      </c>
      <c r="H192" s="105">
        <f t="shared" si="98"/>
        <v>35.67</v>
      </c>
      <c r="I192" s="105">
        <f t="shared" si="99"/>
        <v>154.5</v>
      </c>
      <c r="J192" s="105">
        <f>VLOOKUP($A192,'Rate Calculation'!$A$4:$AZ$208,34,FALSE)</f>
        <v>0</v>
      </c>
      <c r="K192" s="105">
        <f t="shared" si="122"/>
        <v>303.37</v>
      </c>
      <c r="L192" s="164">
        <f t="shared" si="100"/>
        <v>0.98772000000000004</v>
      </c>
      <c r="M192" s="105">
        <f t="shared" si="123"/>
        <v>299.64</v>
      </c>
      <c r="N192" s="105">
        <f>VLOOKUP($A192,'Rate Calculation'!$A$4:$AL$208,38,FALSE)</f>
        <v>25.7</v>
      </c>
      <c r="O192" s="183">
        <f>VLOOKUP($A192,'Rate Calculation'!$A$4:$I$208,9,FALSE)</f>
        <v>1.3633</v>
      </c>
      <c r="P192" s="183">
        <f t="shared" si="69"/>
        <v>1.4432</v>
      </c>
      <c r="Q192" s="183">
        <f>VLOOKUP(A192,'CMI Data'!$A$4:$C$208,3,FALSE)</f>
        <v>1.3787</v>
      </c>
      <c r="R192" s="246">
        <f>VLOOKUP($A192,FRV!$A$4:$K$208,11,FALSE)</f>
        <v>54168</v>
      </c>
      <c r="S192" s="246">
        <f t="shared" si="70"/>
        <v>44163</v>
      </c>
      <c r="T192" s="246">
        <f>VLOOKUP($A192,FRV!$A$4:$L$208,12,FALSE)</f>
        <v>43453</v>
      </c>
      <c r="U192" s="183">
        <f>Inflation!$G$24</f>
        <v>1.0309999999999999</v>
      </c>
      <c r="V192" s="247">
        <f>VLOOKUP($A192,'Rate Calculation'!A193:X396,24,FALSE)</f>
        <v>89.55</v>
      </c>
      <c r="W192" s="110">
        <f t="shared" si="101"/>
        <v>92.33</v>
      </c>
      <c r="X192" s="110">
        <f>VLOOKUP($A192,'Rate Calculation'!A193:V396,22,FALSE)</f>
        <v>20.239999999999998</v>
      </c>
      <c r="Y192" s="110">
        <f t="shared" si="102"/>
        <v>20.87</v>
      </c>
      <c r="Z192" s="212">
        <f>VLOOKUP($A192,FRV!$A$4:$D$208,4,FALSE)</f>
        <v>45474</v>
      </c>
      <c r="AA192" s="212">
        <f>VLOOKUP($A192,FRV!$A$4:$F$208,6,FALSE)</f>
        <v>45657</v>
      </c>
      <c r="AB192" s="248">
        <f>VLOOKUP($A192,FRV!$A$4:$U$208,13,FALSE)</f>
        <v>23966942</v>
      </c>
      <c r="AC192" s="248">
        <f>VLOOKUP($A192,FRV!$A$4:$U$208,15,FALSE)</f>
        <v>71593</v>
      </c>
      <c r="AD192" s="248">
        <f>VLOOKUP($A192,FRV!$A$4:$U$208,14,FALSE)</f>
        <v>11000</v>
      </c>
      <c r="AE192" s="248">
        <f>VLOOKUP($A192,FRV!$A$4:$U$208,7,FALSE)</f>
        <v>148</v>
      </c>
      <c r="AF192" s="107">
        <f t="shared" si="103"/>
        <v>25666535</v>
      </c>
      <c r="AG192" s="107">
        <f t="shared" si="104"/>
        <v>173423</v>
      </c>
      <c r="AH192" s="107">
        <v>120000</v>
      </c>
      <c r="AI192" s="107">
        <f t="shared" si="105"/>
        <v>120000</v>
      </c>
      <c r="AJ192" s="107">
        <f t="shared" si="106"/>
        <v>17760000</v>
      </c>
      <c r="AK192" s="249">
        <f>IF(VLOOKUP($A192,'Rate Calculation'!$A$4:$D$208,4,FALSE)="baltimore city",0.1,0.08)</f>
        <v>0.08</v>
      </c>
      <c r="AL192" s="107">
        <f t="shared" si="107"/>
        <v>1420800</v>
      </c>
      <c r="AM192" s="105">
        <f>IF(ISERROR(MATCH(A192&amp;AA192,'Days Exceptions'!$C$3:$C$16,0)),ROUND(AL192/(MAX(S192,T192)),2),ROUND(AL192/VLOOKUP(A192,'Days Exceptions'!$A$3:$J$16,8,FALSE),2))</f>
        <v>32.17</v>
      </c>
      <c r="AN192" s="213">
        <f>VLOOKUP($A192,'Rate Calculation'!$A$4:$AF$208,32,FALSE)</f>
        <v>3.5</v>
      </c>
      <c r="AO192" s="109">
        <f t="shared" si="108"/>
        <v>35.67</v>
      </c>
      <c r="AP192" s="247">
        <f>VLOOKUP($A192,'Rate Calculation'!$A$4:$Q$208,17,FALSE)</f>
        <v>140.33000000000001</v>
      </c>
      <c r="AQ192" s="247">
        <f t="shared" si="124"/>
        <v>144.68</v>
      </c>
      <c r="AR192" s="247">
        <f>VLOOKUP($A192,'Rate Calculation'!$A$4:$K$208,11,FALSE)</f>
        <v>166.26</v>
      </c>
      <c r="AS192" s="247">
        <f t="shared" si="109"/>
        <v>171.41</v>
      </c>
      <c r="AT192" s="110">
        <f t="shared" si="110"/>
        <v>161.91999999999999</v>
      </c>
      <c r="AU192" s="110">
        <f t="shared" si="111"/>
        <v>163.75</v>
      </c>
      <c r="AV192" s="111">
        <f t="shared" si="112"/>
        <v>-9.25</v>
      </c>
      <c r="AW192" s="110">
        <f t="shared" si="113"/>
        <v>154.5</v>
      </c>
      <c r="AX192" s="105">
        <f t="shared" si="114"/>
        <v>146.31</v>
      </c>
      <c r="AY192" s="105">
        <f t="shared" si="115"/>
        <v>155.56</v>
      </c>
      <c r="AZ192" s="105">
        <f t="shared" si="116"/>
        <v>9.25</v>
      </c>
      <c r="BA192" s="105">
        <f t="shared" si="117"/>
        <v>226.12</v>
      </c>
      <c r="BB192" s="105">
        <f t="shared" si="118"/>
        <v>148.87</v>
      </c>
      <c r="BC192" s="110">
        <f t="shared" si="119"/>
        <v>325.33999999999997</v>
      </c>
      <c r="BD192" s="110">
        <f t="shared" si="120"/>
        <v>251.82</v>
      </c>
      <c r="BE192" s="110">
        <f t="shared" si="121"/>
        <v>174.57</v>
      </c>
      <c r="BF192" s="105"/>
      <c r="BG192" s="105"/>
      <c r="BH192" s="111"/>
      <c r="BI192" s="105"/>
      <c r="BJ192" s="105"/>
      <c r="BK192" s="109"/>
      <c r="BL192" s="111"/>
      <c r="BM192" s="109"/>
      <c r="BN192" s="109"/>
      <c r="BO192" s="105"/>
      <c r="BP192" s="105"/>
      <c r="BQ192" s="109"/>
      <c r="BR192" s="110"/>
      <c r="BS192" s="110"/>
      <c r="BT192" s="110"/>
      <c r="BU192" s="110"/>
      <c r="BV192" s="110"/>
      <c r="BW192" s="112"/>
      <c r="BX192" s="112"/>
      <c r="BY192" s="110"/>
      <c r="BZ192" s="105"/>
      <c r="CA192" s="105"/>
      <c r="CB192" s="105"/>
      <c r="CC192" s="105"/>
      <c r="CD192" s="105"/>
      <c r="CE192" s="105"/>
    </row>
    <row r="193" spans="1:108" x14ac:dyDescent="0.15">
      <c r="A193" s="115">
        <v>54</v>
      </c>
      <c r="B193" s="98" t="str">
        <f>VLOOKUP($A193,'Rate Calculation'!$A$4:$AQ$208,42,FALSE)</f>
        <v>425042700</v>
      </c>
      <c r="C193" s="98" t="str">
        <f>VLOOKUP($A193,'Rate Calculation'!$A$4:$AQ$208,43,FALSE)</f>
        <v>Sterling Care Bel Air</v>
      </c>
      <c r="D193" s="98" t="str">
        <f>VLOOKUP($A193,'Rate Calculation'!$A$4:$F$208,5,FALSE)</f>
        <v>BALTIMORE METRO</v>
      </c>
      <c r="E193" s="98" t="str">
        <f>VLOOKUP($A193,'Rate Calculation'!$A$4:$F$208,6,FALSE)</f>
        <v>BALTIMORE METRO</v>
      </c>
      <c r="F193" s="105">
        <f t="shared" si="96"/>
        <v>105.18</v>
      </c>
      <c r="G193" s="105">
        <f t="shared" si="97"/>
        <v>21.5</v>
      </c>
      <c r="H193" s="105">
        <f t="shared" si="98"/>
        <v>27.18</v>
      </c>
      <c r="I193" s="105">
        <f t="shared" si="99"/>
        <v>196.93</v>
      </c>
      <c r="J193" s="105">
        <f>VLOOKUP($A193,'Rate Calculation'!$A$4:$AZ$208,34,FALSE)</f>
        <v>0</v>
      </c>
      <c r="K193" s="105">
        <f t="shared" si="122"/>
        <v>350.79</v>
      </c>
      <c r="L193" s="164">
        <f t="shared" si="100"/>
        <v>0.98772000000000004</v>
      </c>
      <c r="M193" s="105">
        <f t="shared" si="123"/>
        <v>346.48</v>
      </c>
      <c r="N193" s="105">
        <f>VLOOKUP($A193,'Rate Calculation'!$A$4:$AL$208,38,FALSE)</f>
        <v>26.7</v>
      </c>
      <c r="O193" s="183">
        <f>VLOOKUP($A193,'Rate Calculation'!$A$4:$I$208,9,FALSE)</f>
        <v>1.3629</v>
      </c>
      <c r="P193" s="183">
        <f t="shared" si="69"/>
        <v>1.4432</v>
      </c>
      <c r="Q193" s="183">
        <f>VLOOKUP(A193,'CMI Data'!$A$4:$C$208,3,FALSE)</f>
        <v>1.4113</v>
      </c>
      <c r="R193" s="246">
        <f>VLOOKUP($A193,FRV!$A$4:$K$208,11,FALSE)</f>
        <v>56730</v>
      </c>
      <c r="S193" s="246">
        <f t="shared" si="70"/>
        <v>46252</v>
      </c>
      <c r="T193" s="246">
        <f>VLOOKUP($A193,FRV!$A$4:$L$208,12,FALSE)</f>
        <v>46057</v>
      </c>
      <c r="U193" s="183">
        <f>Inflation!$G$24</f>
        <v>1.0309999999999999</v>
      </c>
      <c r="V193" s="247">
        <f>VLOOKUP($A193,'Rate Calculation'!A194:X397,24,FALSE)</f>
        <v>102.02</v>
      </c>
      <c r="W193" s="110">
        <f t="shared" si="101"/>
        <v>105.18</v>
      </c>
      <c r="X193" s="110">
        <f>VLOOKUP($A193,'Rate Calculation'!A194:V397,22,FALSE)</f>
        <v>20.85</v>
      </c>
      <c r="Y193" s="110">
        <f t="shared" si="102"/>
        <v>21.5</v>
      </c>
      <c r="Z193" s="212">
        <f>VLOOKUP($A193,FRV!$A$4:$D$208,4,FALSE)</f>
        <v>45474</v>
      </c>
      <c r="AA193" s="212">
        <f>VLOOKUP($A193,FRV!$A$4:$F$208,6,FALSE)</f>
        <v>45657</v>
      </c>
      <c r="AB193" s="248">
        <f>VLOOKUP($A193,FRV!$A$4:$U$208,13,FALSE)</f>
        <v>12057697</v>
      </c>
      <c r="AC193" s="248">
        <f>VLOOKUP($A193,FRV!$A$4:$U$208,15,FALSE)</f>
        <v>230006</v>
      </c>
      <c r="AD193" s="248">
        <f>VLOOKUP($A193,FRV!$A$4:$U$208,14,FALSE)</f>
        <v>16000</v>
      </c>
      <c r="AE193" s="248">
        <f>VLOOKUP($A193,FRV!$A$4:$U$208,7,FALSE)</f>
        <v>155</v>
      </c>
      <c r="AF193" s="107">
        <f t="shared" si="103"/>
        <v>14767703</v>
      </c>
      <c r="AG193" s="107">
        <f t="shared" si="104"/>
        <v>95276</v>
      </c>
      <c r="AH193" s="107">
        <v>120000</v>
      </c>
      <c r="AI193" s="107">
        <f t="shared" si="105"/>
        <v>95276</v>
      </c>
      <c r="AJ193" s="107">
        <f t="shared" si="106"/>
        <v>14767780</v>
      </c>
      <c r="AK193" s="249">
        <f>IF(VLOOKUP($A193,'Rate Calculation'!$A$4:$D$208,4,FALSE)="baltimore city",0.1,0.08)</f>
        <v>0.08</v>
      </c>
      <c r="AL193" s="107">
        <f t="shared" si="107"/>
        <v>1181422</v>
      </c>
      <c r="AM193" s="105">
        <f>IF(ISERROR(MATCH(A193&amp;AA193,'Days Exceptions'!$C$3:$C$16,0)),ROUND(AL193/(MAX(S193,T193)),2),ROUND(AL193/VLOOKUP(A193,'Days Exceptions'!$A$3:$J$16,8,FALSE),2))</f>
        <v>25.54</v>
      </c>
      <c r="AN193" s="213">
        <f>VLOOKUP($A193,'Rate Calculation'!$A$4:$AF$208,32,FALSE)</f>
        <v>1.64</v>
      </c>
      <c r="AO193" s="109">
        <f t="shared" si="108"/>
        <v>27.18</v>
      </c>
      <c r="AP193" s="247">
        <f>VLOOKUP($A193,'Rate Calculation'!$A$4:$Q$208,17,FALSE)</f>
        <v>189.01</v>
      </c>
      <c r="AQ193" s="247">
        <f t="shared" si="124"/>
        <v>194.87</v>
      </c>
      <c r="AR193" s="247">
        <f>VLOOKUP($A193,'Rate Calculation'!$A$4:$K$208,11,FALSE)</f>
        <v>195.33</v>
      </c>
      <c r="AS193" s="247">
        <f t="shared" si="109"/>
        <v>201.39</v>
      </c>
      <c r="AT193" s="110">
        <f t="shared" si="110"/>
        <v>190.18</v>
      </c>
      <c r="AU193" s="110">
        <f t="shared" si="111"/>
        <v>196.93</v>
      </c>
      <c r="AV193" s="111">
        <f t="shared" si="112"/>
        <v>0</v>
      </c>
      <c r="AW193" s="110">
        <f t="shared" si="113"/>
        <v>196.93</v>
      </c>
      <c r="AX193" s="105">
        <f t="shared" si="114"/>
        <v>201.79</v>
      </c>
      <c r="AY193" s="105">
        <f t="shared" si="115"/>
        <v>187.08</v>
      </c>
      <c r="AZ193" s="105">
        <f t="shared" si="116"/>
        <v>-14.71</v>
      </c>
      <c r="BA193" s="105">
        <f t="shared" si="117"/>
        <v>252.33</v>
      </c>
      <c r="BB193" s="105">
        <f t="shared" si="118"/>
        <v>153.86000000000001</v>
      </c>
      <c r="BC193" s="110">
        <f t="shared" si="119"/>
        <v>373.18</v>
      </c>
      <c r="BD193" s="110">
        <f t="shared" si="120"/>
        <v>279.02999999999997</v>
      </c>
      <c r="BE193" s="110">
        <f t="shared" si="121"/>
        <v>180.56</v>
      </c>
      <c r="BF193" s="105"/>
      <c r="BG193" s="105"/>
      <c r="BH193" s="111"/>
      <c r="BI193" s="105"/>
      <c r="BJ193" s="105"/>
      <c r="BK193" s="109"/>
      <c r="BL193" s="111"/>
      <c r="BM193" s="109"/>
      <c r="BN193" s="109"/>
      <c r="BO193" s="105"/>
      <c r="BP193" s="105"/>
      <c r="BQ193" s="109"/>
      <c r="BR193" s="110"/>
      <c r="BS193" s="110"/>
      <c r="BT193" s="110"/>
      <c r="BU193" s="110"/>
      <c r="BV193" s="110"/>
      <c r="BW193" s="112"/>
      <c r="BX193" s="112"/>
      <c r="BY193" s="110"/>
      <c r="BZ193" s="105"/>
      <c r="CA193" s="105"/>
      <c r="CB193" s="105"/>
      <c r="CC193" s="105"/>
      <c r="CD193" s="105"/>
      <c r="CE193" s="105"/>
    </row>
    <row r="194" spans="1:108" x14ac:dyDescent="0.15">
      <c r="A194" s="115">
        <v>60</v>
      </c>
      <c r="B194" s="98" t="str">
        <f>VLOOKUP($A194,'Rate Calculation'!$A$4:$AQ$208,42,FALSE)</f>
        <v>425044300</v>
      </c>
      <c r="C194" s="98" t="str">
        <f>VLOOKUP($A194,'Rate Calculation'!$A$4:$AQ$208,43,FALSE)</f>
        <v>Sterling Care Bethesda</v>
      </c>
      <c r="D194" s="98" t="str">
        <f>VLOOKUP($A194,'Rate Calculation'!$A$4:$F$208,5,FALSE)</f>
        <v>WASHINGTON METRO</v>
      </c>
      <c r="E194" s="98" t="str">
        <f>VLOOKUP($A194,'Rate Calculation'!$A$4:$F$208,6,FALSE)</f>
        <v>WASHINGTON METRO</v>
      </c>
      <c r="F194" s="105">
        <f t="shared" si="96"/>
        <v>103.73</v>
      </c>
      <c r="G194" s="105">
        <f t="shared" si="97"/>
        <v>19.829999999999998</v>
      </c>
      <c r="H194" s="105">
        <f t="shared" si="98"/>
        <v>35.090000000000003</v>
      </c>
      <c r="I194" s="105">
        <f t="shared" si="99"/>
        <v>165.49</v>
      </c>
      <c r="J194" s="105">
        <f>VLOOKUP($A194,'Rate Calculation'!$A$4:$AZ$208,34,FALSE)</f>
        <v>0</v>
      </c>
      <c r="K194" s="105">
        <f t="shared" si="122"/>
        <v>324.14</v>
      </c>
      <c r="L194" s="164">
        <f t="shared" si="100"/>
        <v>0.98772000000000004</v>
      </c>
      <c r="M194" s="105">
        <f t="shared" si="123"/>
        <v>320.16000000000003</v>
      </c>
      <c r="N194" s="105">
        <f>VLOOKUP($A194,'Rate Calculation'!$A$4:$AL$208,38,FALSE)</f>
        <v>30.78</v>
      </c>
      <c r="O194" s="183">
        <f>VLOOKUP($A194,'Rate Calculation'!$A$4:$I$208,9,FALSE)</f>
        <v>1.2111000000000001</v>
      </c>
      <c r="P194" s="183">
        <f t="shared" si="69"/>
        <v>1.4432</v>
      </c>
      <c r="Q194" s="183">
        <f>VLOOKUP(A194,'CMI Data'!$A$4:$C$208,3,FALSE)</f>
        <v>1.3161</v>
      </c>
      <c r="R194" s="246">
        <f>VLOOKUP($A194,FRV!$A$4:$K$208,11,FALSE)</f>
        <v>71175</v>
      </c>
      <c r="S194" s="246">
        <f t="shared" si="70"/>
        <v>58029</v>
      </c>
      <c r="T194" s="246">
        <f>VLOOKUP($A194,FRV!$A$4:$L$208,12,FALSE)</f>
        <v>59749</v>
      </c>
      <c r="U194" s="183">
        <f>Inflation!$G$24</f>
        <v>1.0309999999999999</v>
      </c>
      <c r="V194" s="247">
        <f>VLOOKUP($A194,'Rate Calculation'!A195:X398,24,FALSE)</f>
        <v>100.61</v>
      </c>
      <c r="W194" s="110">
        <f t="shared" si="101"/>
        <v>103.73</v>
      </c>
      <c r="X194" s="110">
        <f>VLOOKUP($A194,'Rate Calculation'!A195:V398,22,FALSE)</f>
        <v>19.23</v>
      </c>
      <c r="Y194" s="110">
        <f t="shared" si="102"/>
        <v>19.829999999999998</v>
      </c>
      <c r="Z194" s="212">
        <f>VLOOKUP($A194,FRV!$A$4:$D$208,4,FALSE)</f>
        <v>44743</v>
      </c>
      <c r="AA194" s="212">
        <f>VLOOKUP($A194,FRV!$A$4:$F$208,6,FALSE)</f>
        <v>44926</v>
      </c>
      <c r="AB194" s="248">
        <f>VLOOKUP($A194,FRV!$A$4:$U$208,13,FALSE)</f>
        <v>20367905</v>
      </c>
      <c r="AC194" s="248">
        <f>VLOOKUP($A194,FRV!$A$4:$U$208,15,FALSE)</f>
        <v>396879</v>
      </c>
      <c r="AD194" s="248">
        <f>VLOOKUP($A194,FRV!$A$4:$U$208,14,FALSE)</f>
        <v>45000</v>
      </c>
      <c r="AE194" s="248">
        <f>VLOOKUP($A194,FRV!$A$4:$U$208,7,FALSE)</f>
        <v>195</v>
      </c>
      <c r="AF194" s="107">
        <f t="shared" si="103"/>
        <v>29539784</v>
      </c>
      <c r="AG194" s="107">
        <f t="shared" si="104"/>
        <v>151486</v>
      </c>
      <c r="AH194" s="107">
        <v>120000</v>
      </c>
      <c r="AI194" s="107">
        <f t="shared" si="105"/>
        <v>120000</v>
      </c>
      <c r="AJ194" s="107">
        <f t="shared" si="106"/>
        <v>23400000</v>
      </c>
      <c r="AK194" s="249">
        <f>IF(VLOOKUP($A194,'Rate Calculation'!$A$4:$D$208,4,FALSE)="baltimore city",0.1,0.08)</f>
        <v>0.08</v>
      </c>
      <c r="AL194" s="107">
        <f t="shared" si="107"/>
        <v>1872000</v>
      </c>
      <c r="AM194" s="105">
        <f>IF(ISERROR(MATCH(A194&amp;AA194,'Days Exceptions'!$C$3:$C$16,0)),ROUND(AL194/(MAX(S194,T194)),2),ROUND(AL194/VLOOKUP(A194,'Days Exceptions'!$A$3:$J$16,8,FALSE),2))</f>
        <v>31.33</v>
      </c>
      <c r="AN194" s="213">
        <f>VLOOKUP($A194,'Rate Calculation'!$A$4:$AF$208,32,FALSE)</f>
        <v>3.76</v>
      </c>
      <c r="AO194" s="109">
        <f t="shared" si="108"/>
        <v>35.090000000000003</v>
      </c>
      <c r="AP194" s="247">
        <f>VLOOKUP($A194,'Rate Calculation'!$A$4:$Q$208,17,FALSE)</f>
        <v>153.08000000000001</v>
      </c>
      <c r="AQ194" s="247">
        <f t="shared" si="124"/>
        <v>157.83000000000001</v>
      </c>
      <c r="AR194" s="247">
        <f>VLOOKUP($A194,'Rate Calculation'!$A$4:$K$208,11,FALSE)</f>
        <v>176.01</v>
      </c>
      <c r="AS194" s="247">
        <f t="shared" si="109"/>
        <v>181.47</v>
      </c>
      <c r="AT194" s="110">
        <f t="shared" si="110"/>
        <v>152.29</v>
      </c>
      <c r="AU194" s="110">
        <f t="shared" si="111"/>
        <v>165.49</v>
      </c>
      <c r="AV194" s="111">
        <f t="shared" si="112"/>
        <v>0</v>
      </c>
      <c r="AW194" s="110">
        <f t="shared" si="113"/>
        <v>165.49</v>
      </c>
      <c r="AX194" s="105">
        <f t="shared" si="114"/>
        <v>171.51</v>
      </c>
      <c r="AY194" s="105">
        <f t="shared" si="115"/>
        <v>157.22</v>
      </c>
      <c r="AZ194" s="105">
        <f t="shared" si="116"/>
        <v>-14.29</v>
      </c>
      <c r="BA194" s="105">
        <f t="shared" si="117"/>
        <v>241.4</v>
      </c>
      <c r="BB194" s="105">
        <f t="shared" si="118"/>
        <v>158.65</v>
      </c>
      <c r="BC194" s="110">
        <f t="shared" si="119"/>
        <v>350.94</v>
      </c>
      <c r="BD194" s="110">
        <f t="shared" si="120"/>
        <v>272.18</v>
      </c>
      <c r="BE194" s="110">
        <f t="shared" si="121"/>
        <v>189.43</v>
      </c>
      <c r="BF194" s="105"/>
      <c r="BG194" s="105"/>
      <c r="BH194" s="111"/>
      <c r="BI194" s="105"/>
      <c r="BJ194" s="105"/>
      <c r="BK194" s="109"/>
      <c r="BL194" s="111"/>
      <c r="BM194" s="109"/>
      <c r="BN194" s="109"/>
      <c r="BO194" s="105"/>
      <c r="BP194" s="105"/>
      <c r="BQ194" s="109"/>
      <c r="BR194" s="110"/>
      <c r="BS194" s="110"/>
      <c r="BT194" s="110"/>
      <c r="BU194" s="110"/>
      <c r="BV194" s="110"/>
      <c r="BW194" s="112"/>
      <c r="BX194" s="112"/>
      <c r="BY194" s="110"/>
      <c r="BZ194" s="105"/>
      <c r="CA194" s="105"/>
      <c r="CB194" s="105"/>
      <c r="CC194" s="105"/>
      <c r="CD194" s="105"/>
      <c r="CE194" s="105"/>
    </row>
    <row r="195" spans="1:108" x14ac:dyDescent="0.15">
      <c r="A195" s="115">
        <v>663</v>
      </c>
      <c r="B195" s="98" t="str">
        <f>VLOOKUP($A195,'Rate Calculation'!$A$4:$AQ$208,42,FALSE)</f>
        <v>888667900</v>
      </c>
      <c r="C195" s="98" t="str">
        <f>VLOOKUP($A195,'Rate Calculation'!$A$4:$AQ$208,43,FALSE)</f>
        <v>Sterling Care Forest Hill</v>
      </c>
      <c r="D195" s="98" t="str">
        <f>VLOOKUP($A195,'Rate Calculation'!$A$4:$F$208,5,FALSE)</f>
        <v>BALTIMORE METRO</v>
      </c>
      <c r="E195" s="98" t="str">
        <f>VLOOKUP($A195,'Rate Calculation'!$A$4:$F$208,6,FALSE)</f>
        <v>BALTIMORE METRO</v>
      </c>
      <c r="F195" s="105">
        <f t="shared" si="96"/>
        <v>105.18</v>
      </c>
      <c r="G195" s="105">
        <f t="shared" si="97"/>
        <v>21.5</v>
      </c>
      <c r="H195" s="105">
        <f t="shared" si="98"/>
        <v>34.229999999999997</v>
      </c>
      <c r="I195" s="105">
        <f t="shared" si="99"/>
        <v>214.66</v>
      </c>
      <c r="J195" s="105">
        <f>VLOOKUP($A195,'Rate Calculation'!$A$4:$AZ$208,34,FALSE)</f>
        <v>0</v>
      </c>
      <c r="K195" s="105">
        <f t="shared" si="122"/>
        <v>375.57</v>
      </c>
      <c r="L195" s="164">
        <f t="shared" si="100"/>
        <v>0.98772000000000004</v>
      </c>
      <c r="M195" s="105">
        <f t="shared" si="123"/>
        <v>370.96</v>
      </c>
      <c r="N195" s="105">
        <f>VLOOKUP($A195,'Rate Calculation'!$A$4:$AL$208,38,FALSE)</f>
        <v>23.38</v>
      </c>
      <c r="O195" s="183">
        <f>VLOOKUP($A195,'Rate Calculation'!$A$4:$I$208,9,FALSE)</f>
        <v>1.2698</v>
      </c>
      <c r="P195" s="183">
        <f t="shared" si="69"/>
        <v>1.4432</v>
      </c>
      <c r="Q195" s="183">
        <f>VLOOKUP(A195,'CMI Data'!$A$4:$C$208,3,FALSE)</f>
        <v>1.5383</v>
      </c>
      <c r="R195" s="246">
        <f>VLOOKUP($A195,FRV!$A$4:$K$208,11,FALSE)</f>
        <v>56940</v>
      </c>
      <c r="S195" s="246">
        <f t="shared" si="70"/>
        <v>46423</v>
      </c>
      <c r="T195" s="246">
        <f>VLOOKUP($A195,FRV!$A$4:$L$208,12,FALSE)</f>
        <v>44880</v>
      </c>
      <c r="U195" s="183">
        <f>Inflation!$G$24</f>
        <v>1.0309999999999999</v>
      </c>
      <c r="V195" s="247">
        <f>VLOOKUP($A195,'Rate Calculation'!A196:X399,24,FALSE)</f>
        <v>102.02</v>
      </c>
      <c r="W195" s="110">
        <f t="shared" si="101"/>
        <v>105.18</v>
      </c>
      <c r="X195" s="110">
        <f>VLOOKUP($A195,'Rate Calculation'!A196:V399,22,FALSE)</f>
        <v>20.85</v>
      </c>
      <c r="Y195" s="110">
        <f t="shared" si="102"/>
        <v>21.5</v>
      </c>
      <c r="Z195" s="212">
        <f>VLOOKUP($A195,FRV!$A$4:$D$208,4,FALSE)</f>
        <v>44743</v>
      </c>
      <c r="AA195" s="212">
        <f>VLOOKUP($A195,FRV!$A$4:$F$208,6,FALSE)</f>
        <v>44926</v>
      </c>
      <c r="AB195" s="248">
        <f>VLOOKUP($A195,FRV!$A$4:$U$208,13,FALSE)</f>
        <v>14941632</v>
      </c>
      <c r="AC195" s="248">
        <f>VLOOKUP($A195,FRV!$A$4:$U$208,15,FALSE)</f>
        <v>360621</v>
      </c>
      <c r="AD195" s="248">
        <f>VLOOKUP($A195,FRV!$A$4:$U$208,14,FALSE)</f>
        <v>18000</v>
      </c>
      <c r="AE195" s="248">
        <f>VLOOKUP($A195,FRV!$A$4:$U$208,7,FALSE)</f>
        <v>156</v>
      </c>
      <c r="AF195" s="107">
        <f t="shared" si="103"/>
        <v>18110253</v>
      </c>
      <c r="AG195" s="107">
        <f t="shared" si="104"/>
        <v>116091</v>
      </c>
      <c r="AH195" s="107">
        <v>120000</v>
      </c>
      <c r="AI195" s="107">
        <f t="shared" si="105"/>
        <v>116091</v>
      </c>
      <c r="AJ195" s="107">
        <f t="shared" si="106"/>
        <v>18110196</v>
      </c>
      <c r="AK195" s="249">
        <f>IF(VLOOKUP($A195,'Rate Calculation'!$A$4:$D$208,4,FALSE)="baltimore city",0.1,0.08)</f>
        <v>0.08</v>
      </c>
      <c r="AL195" s="107">
        <f t="shared" si="107"/>
        <v>1448816</v>
      </c>
      <c r="AM195" s="105">
        <f>IF(ISERROR(MATCH(A195&amp;AA195,'Days Exceptions'!$C$3:$C$16,0)),ROUND(AL195/(MAX(S195,T195)),2),ROUND(AL195/VLOOKUP(A195,'Days Exceptions'!$A$3:$J$16,8,FALSE),2))</f>
        <v>31.21</v>
      </c>
      <c r="AN195" s="213">
        <f>VLOOKUP($A195,'Rate Calculation'!$A$4:$AF$208,32,FALSE)</f>
        <v>3.02</v>
      </c>
      <c r="AO195" s="109">
        <f t="shared" si="108"/>
        <v>34.229999999999997</v>
      </c>
      <c r="AP195" s="247">
        <f>VLOOKUP($A195,'Rate Calculation'!$A$4:$Q$208,17,FALSE)</f>
        <v>191.81</v>
      </c>
      <c r="AQ195" s="247">
        <f t="shared" si="124"/>
        <v>197.76</v>
      </c>
      <c r="AR195" s="247">
        <f>VLOOKUP($A195,'Rate Calculation'!$A$4:$K$208,11,FALSE)</f>
        <v>195.33</v>
      </c>
      <c r="AS195" s="247">
        <f t="shared" si="109"/>
        <v>201.39</v>
      </c>
      <c r="AT195" s="110">
        <f t="shared" si="110"/>
        <v>177.19</v>
      </c>
      <c r="AU195" s="110">
        <f t="shared" si="111"/>
        <v>214.66</v>
      </c>
      <c r="AV195" s="111">
        <f t="shared" si="112"/>
        <v>0</v>
      </c>
      <c r="AW195" s="110">
        <f t="shared" si="113"/>
        <v>214.66</v>
      </c>
      <c r="AX195" s="105">
        <f t="shared" si="114"/>
        <v>239.58</v>
      </c>
      <c r="AY195" s="105">
        <f t="shared" si="115"/>
        <v>203.93</v>
      </c>
      <c r="AZ195" s="105">
        <f t="shared" si="116"/>
        <v>-35.65</v>
      </c>
      <c r="BA195" s="105">
        <f t="shared" si="117"/>
        <v>268.24</v>
      </c>
      <c r="BB195" s="105">
        <f t="shared" si="118"/>
        <v>160.91</v>
      </c>
      <c r="BC195" s="110">
        <f t="shared" si="119"/>
        <v>394.34</v>
      </c>
      <c r="BD195" s="110">
        <f t="shared" si="120"/>
        <v>291.62</v>
      </c>
      <c r="BE195" s="110">
        <f t="shared" si="121"/>
        <v>184.29</v>
      </c>
      <c r="BF195" s="105"/>
      <c r="BG195" s="105"/>
      <c r="BH195" s="111"/>
      <c r="BI195" s="105"/>
      <c r="BJ195" s="105"/>
      <c r="BK195" s="109"/>
      <c r="BL195" s="111"/>
      <c r="BM195" s="109"/>
      <c r="BN195" s="109"/>
      <c r="BO195" s="105"/>
      <c r="BP195" s="105"/>
      <c r="BQ195" s="109"/>
      <c r="BR195" s="110"/>
      <c r="BS195" s="110"/>
      <c r="BT195" s="110"/>
      <c r="BU195" s="110"/>
      <c r="BV195" s="110"/>
      <c r="BW195" s="112"/>
      <c r="BX195" s="112"/>
      <c r="BY195" s="110"/>
      <c r="BZ195" s="105"/>
      <c r="CA195" s="105"/>
      <c r="CB195" s="105"/>
      <c r="CC195" s="105"/>
      <c r="CD195" s="105"/>
      <c r="CE195" s="105"/>
    </row>
    <row r="196" spans="1:108" x14ac:dyDescent="0.15">
      <c r="A196" s="115">
        <v>236</v>
      </c>
      <c r="B196" s="98" t="str">
        <f>VLOOKUP($A196,'Rate Calculation'!$A$4:$AQ$208,42,FALSE)</f>
        <v>447056700</v>
      </c>
      <c r="C196" s="98" t="str">
        <f>VLOOKUP($A196,'Rate Calculation'!$A$4:$AQ$208,43,FALSE)</f>
        <v>Sterling Care Hillhaven</v>
      </c>
      <c r="D196" s="98" t="str">
        <f>VLOOKUP($A196,'Rate Calculation'!$A$4:$F$208,5,FALSE)</f>
        <v>WASHINGTON METRO</v>
      </c>
      <c r="E196" s="98" t="str">
        <f>VLOOKUP($A196,'Rate Calculation'!$A$4:$F$208,6,FALSE)</f>
        <v>WASHINGTON METRO</v>
      </c>
      <c r="F196" s="105">
        <f t="shared" si="96"/>
        <v>103.73</v>
      </c>
      <c r="G196" s="105">
        <f t="shared" si="97"/>
        <v>19.829999999999998</v>
      </c>
      <c r="H196" s="105">
        <f t="shared" si="98"/>
        <v>36.44</v>
      </c>
      <c r="I196" s="105">
        <f t="shared" si="99"/>
        <v>172.22</v>
      </c>
      <c r="J196" s="105">
        <f>VLOOKUP($A196,'Rate Calculation'!$A$4:$AZ$208,34,FALSE)</f>
        <v>0</v>
      </c>
      <c r="K196" s="105">
        <f t="shared" ref="K196:K207" si="125">SUM(F196:J196)</f>
        <v>332.22</v>
      </c>
      <c r="L196" s="164">
        <f t="shared" si="100"/>
        <v>0.98772000000000004</v>
      </c>
      <c r="M196" s="105">
        <f t="shared" ref="M196:M207" si="126">ROUND(K196*L196,2)</f>
        <v>328.14</v>
      </c>
      <c r="N196" s="105">
        <f>VLOOKUP($A196,'Rate Calculation'!$A$4:$AL$208,38,FALSE)</f>
        <v>18.61</v>
      </c>
      <c r="O196" s="183">
        <f>VLOOKUP($A196,'Rate Calculation'!$A$4:$I$208,9,FALSE)</f>
        <v>1.4798</v>
      </c>
      <c r="P196" s="183">
        <f t="shared" ref="P196:P207" si="127">+SW_CR_CMI</f>
        <v>1.4432</v>
      </c>
      <c r="Q196" s="183">
        <f>VLOOKUP(A196,'CMI Data'!$A$4:$C$208,3,FALSE)</f>
        <v>1.4287000000000001</v>
      </c>
      <c r="R196" s="246">
        <f>VLOOKUP($A196,FRV!$A$4:$K$208,11,FALSE)</f>
        <v>24156</v>
      </c>
      <c r="S196" s="246">
        <f t="shared" ref="S196:S207" si="128">ROUND(R196*Min_Occ,2)</f>
        <v>19694</v>
      </c>
      <c r="T196" s="246">
        <f>VLOOKUP($A196,FRV!$A$4:$L$208,12,FALSE)</f>
        <v>21757</v>
      </c>
      <c r="U196" s="183">
        <f>Inflation!$G$24</f>
        <v>1.0309999999999999</v>
      </c>
      <c r="V196" s="247">
        <f>VLOOKUP($A196,'Rate Calculation'!A197:X400,24,FALSE)</f>
        <v>100.61</v>
      </c>
      <c r="W196" s="110">
        <f t="shared" si="101"/>
        <v>103.73</v>
      </c>
      <c r="X196" s="110">
        <f>VLOOKUP($A196,'Rate Calculation'!A197:V400,22,FALSE)</f>
        <v>19.23</v>
      </c>
      <c r="Y196" s="110">
        <f t="shared" si="102"/>
        <v>19.829999999999998</v>
      </c>
      <c r="Z196" s="212">
        <f>VLOOKUP($A196,FRV!$A$4:$D$208,4,FALSE)</f>
        <v>45474</v>
      </c>
      <c r="AA196" s="212">
        <f>VLOOKUP($A196,FRV!$A$4:$F$208,6,FALSE)</f>
        <v>45657</v>
      </c>
      <c r="AB196" s="248">
        <f>VLOOKUP($A196,FRV!$A$4:$U$208,13,FALSE)</f>
        <v>9974094</v>
      </c>
      <c r="AC196" s="248">
        <f>VLOOKUP($A196,FRV!$A$4:$U$208,15,FALSE)</f>
        <v>235848</v>
      </c>
      <c r="AD196" s="248">
        <f>VLOOKUP($A196,FRV!$A$4:$U$208,14,FALSE)</f>
        <v>27000</v>
      </c>
      <c r="AE196" s="248">
        <f>VLOOKUP($A196,FRV!$A$4:$U$208,7,FALSE)</f>
        <v>66</v>
      </c>
      <c r="AF196" s="107">
        <f t="shared" si="103"/>
        <v>11991942</v>
      </c>
      <c r="AG196" s="107">
        <f t="shared" si="104"/>
        <v>181696</v>
      </c>
      <c r="AH196" s="107">
        <v>120000</v>
      </c>
      <c r="AI196" s="107">
        <f t="shared" si="105"/>
        <v>120000</v>
      </c>
      <c r="AJ196" s="107">
        <f t="shared" si="106"/>
        <v>7920000</v>
      </c>
      <c r="AK196" s="249">
        <f>IF(VLOOKUP($A196,'Rate Calculation'!$A$4:$D$208,4,FALSE)="baltimore city",0.1,0.08)</f>
        <v>0.08</v>
      </c>
      <c r="AL196" s="107">
        <f t="shared" si="107"/>
        <v>633600</v>
      </c>
      <c r="AM196" s="105">
        <f>IF(ISERROR(MATCH(A196&amp;AA196,'Days Exceptions'!$C$3:$C$16,0)),ROUND(AL196/(MAX(S196,T196)),2),ROUND(AL196/VLOOKUP(A196,'Days Exceptions'!$A$3:$J$16,8,FALSE),2))</f>
        <v>29.12</v>
      </c>
      <c r="AN196" s="213">
        <f>VLOOKUP($A196,'Rate Calculation'!$A$4:$AF$208,32,FALSE)</f>
        <v>7.32</v>
      </c>
      <c r="AO196" s="109">
        <f t="shared" si="108"/>
        <v>36.44</v>
      </c>
      <c r="AP196" s="247">
        <f>VLOOKUP($A196,'Rate Calculation'!$A$4:$Q$208,17,FALSE)</f>
        <v>164</v>
      </c>
      <c r="AQ196" s="247">
        <f t="shared" si="124"/>
        <v>169.08</v>
      </c>
      <c r="AR196" s="247">
        <f>VLOOKUP($A196,'Rate Calculation'!$A$4:$K$208,11,FALSE)</f>
        <v>176.01</v>
      </c>
      <c r="AS196" s="247">
        <f t="shared" si="109"/>
        <v>181.47</v>
      </c>
      <c r="AT196" s="110">
        <f t="shared" si="110"/>
        <v>186.07</v>
      </c>
      <c r="AU196" s="110">
        <f t="shared" si="111"/>
        <v>179.64</v>
      </c>
      <c r="AV196" s="111">
        <f t="shared" si="112"/>
        <v>-7.42</v>
      </c>
      <c r="AW196" s="110">
        <f t="shared" si="113"/>
        <v>172.22</v>
      </c>
      <c r="AX196" s="105">
        <f t="shared" si="114"/>
        <v>163.24</v>
      </c>
      <c r="AY196" s="105">
        <f t="shared" si="115"/>
        <v>170.66</v>
      </c>
      <c r="AZ196" s="105">
        <f t="shared" si="116"/>
        <v>7.42</v>
      </c>
      <c r="BA196" s="105">
        <f t="shared" si="117"/>
        <v>246.11</v>
      </c>
      <c r="BB196" s="105">
        <f t="shared" si="118"/>
        <v>160</v>
      </c>
      <c r="BC196" s="110">
        <f t="shared" si="119"/>
        <v>346.75</v>
      </c>
      <c r="BD196" s="110">
        <f t="shared" si="120"/>
        <v>264.72000000000003</v>
      </c>
      <c r="BE196" s="110">
        <f t="shared" si="121"/>
        <v>178.61</v>
      </c>
      <c r="BF196" s="105"/>
      <c r="BG196" s="105"/>
      <c r="BH196" s="111"/>
      <c r="BI196" s="105"/>
      <c r="BJ196" s="105"/>
      <c r="BK196" s="109"/>
      <c r="BL196" s="111"/>
      <c r="BM196" s="109"/>
      <c r="BN196" s="109"/>
      <c r="BO196" s="105"/>
      <c r="BP196" s="105"/>
      <c r="BQ196" s="109"/>
      <c r="BR196" s="110"/>
      <c r="BS196" s="110"/>
      <c r="BT196" s="110"/>
      <c r="BU196" s="110"/>
      <c r="BV196" s="110"/>
      <c r="BW196" s="112"/>
      <c r="BX196" s="112"/>
      <c r="BY196" s="110"/>
      <c r="BZ196" s="105"/>
      <c r="CA196" s="105"/>
      <c r="CB196" s="105"/>
      <c r="CC196" s="105"/>
      <c r="CD196" s="105"/>
      <c r="CE196" s="105"/>
    </row>
    <row r="197" spans="1:108" x14ac:dyDescent="0.15">
      <c r="A197" s="115">
        <v>288</v>
      </c>
      <c r="B197" s="98" t="str">
        <f>VLOOKUP($A197,'Rate Calculation'!$A$4:$AQ$208,42,FALSE)</f>
        <v>302075400</v>
      </c>
      <c r="C197" s="98" t="str">
        <f>VLOOKUP($A197,'Rate Calculation'!$A$4:$AQ$208,43,FALSE)</f>
        <v>Sterling Care Riverside</v>
      </c>
      <c r="D197" s="98" t="str">
        <f>VLOOKUP($A197,'Rate Calculation'!$A$4:$F$208,5,FALSE)</f>
        <v>BALTIMORE METRO</v>
      </c>
      <c r="E197" s="98" t="str">
        <f>VLOOKUP($A197,'Rate Calculation'!$A$4:$F$208,6,FALSE)</f>
        <v>BALTIMORE METRO</v>
      </c>
      <c r="F197" s="105">
        <f t="shared" ref="F197:F207" si="129">+W197</f>
        <v>105.18</v>
      </c>
      <c r="G197" s="105">
        <f t="shared" ref="G197:G207" si="130">+Y197</f>
        <v>21.5</v>
      </c>
      <c r="H197" s="105">
        <f t="shared" ref="H197:H207" si="131">+AO197</f>
        <v>33.799999999999997</v>
      </c>
      <c r="I197" s="105">
        <f t="shared" ref="I197:I207" si="132">+AW197</f>
        <v>213.96</v>
      </c>
      <c r="J197" s="105">
        <f>VLOOKUP($A197,'Rate Calculation'!$A$4:$AZ$208,34,FALSE)</f>
        <v>0</v>
      </c>
      <c r="K197" s="105">
        <f t="shared" si="125"/>
        <v>374.44</v>
      </c>
      <c r="L197" s="164">
        <f t="shared" ref="L197:L207" si="133">+_baf</f>
        <v>0.98772000000000004</v>
      </c>
      <c r="M197" s="105">
        <f t="shared" si="126"/>
        <v>369.84</v>
      </c>
      <c r="N197" s="105">
        <f>VLOOKUP($A197,'Rate Calculation'!$A$4:$AL$208,38,FALSE)</f>
        <v>23.08</v>
      </c>
      <c r="O197" s="183">
        <f>VLOOKUP($A197,'Rate Calculation'!$A$4:$I$208,9,FALSE)</f>
        <v>1.3982000000000001</v>
      </c>
      <c r="P197" s="183">
        <f t="shared" si="127"/>
        <v>1.4432</v>
      </c>
      <c r="Q197" s="183">
        <f>VLOOKUP(A197,'CMI Data'!$A$4:$C$208,3,FALSE)</f>
        <v>1.5995999999999999</v>
      </c>
      <c r="R197" s="246">
        <f>VLOOKUP($A197,FRV!$A$4:$K$208,11,FALSE)</f>
        <v>46482</v>
      </c>
      <c r="S197" s="246">
        <f t="shared" si="128"/>
        <v>37897</v>
      </c>
      <c r="T197" s="246">
        <f>VLOOKUP($A197,FRV!$A$4:$L$208,12,FALSE)</f>
        <v>39815</v>
      </c>
      <c r="U197" s="183">
        <f>Inflation!$G$24</f>
        <v>1.0309999999999999</v>
      </c>
      <c r="V197" s="247">
        <f>VLOOKUP($A197,'Rate Calculation'!A198:X401,24,FALSE)</f>
        <v>102.02</v>
      </c>
      <c r="W197" s="110">
        <f t="shared" ref="W197:W207" si="134">ROUND(V197*$U197,2)</f>
        <v>105.18</v>
      </c>
      <c r="X197" s="110">
        <f>VLOOKUP($A197,'Rate Calculation'!A198:V401,22,FALSE)</f>
        <v>20.85</v>
      </c>
      <c r="Y197" s="110">
        <f t="shared" ref="Y197:Y207" si="135">ROUND(X197*$U197,2)</f>
        <v>21.5</v>
      </c>
      <c r="Z197" s="212">
        <f>VLOOKUP($A197,FRV!$A$4:$D$208,4,FALSE)</f>
        <v>45474</v>
      </c>
      <c r="AA197" s="212">
        <f>VLOOKUP($A197,FRV!$A$4:$F$208,6,FALSE)</f>
        <v>45657</v>
      </c>
      <c r="AB197" s="248">
        <f>VLOOKUP($A197,FRV!$A$4:$U$208,13,FALSE)</f>
        <v>15146818</v>
      </c>
      <c r="AC197" s="248">
        <f>VLOOKUP($A197,FRV!$A$4:$U$208,15,FALSE)</f>
        <v>344282</v>
      </c>
      <c r="AD197" s="248">
        <f>VLOOKUP($A197,FRV!$A$4:$U$208,14,FALSE)</f>
        <v>16500</v>
      </c>
      <c r="AE197" s="248">
        <f>VLOOKUP($A197,FRV!$A$4:$U$208,7,FALSE)</f>
        <v>127</v>
      </c>
      <c r="AF197" s="107">
        <f t="shared" ref="AF197:AF207" si="136">ROUND(AB197+AC197+(AD197*AE197),0)</f>
        <v>17586600</v>
      </c>
      <c r="AG197" s="107">
        <f t="shared" ref="AG197:AG207" si="137">ROUND(AF197/AE197,0)</f>
        <v>138477</v>
      </c>
      <c r="AH197" s="107">
        <v>120000</v>
      </c>
      <c r="AI197" s="107">
        <f t="shared" ref="AI197:AI207" si="138">IF(AG197=0,120000,MIN(AH197,AG197))</f>
        <v>120000</v>
      </c>
      <c r="AJ197" s="107">
        <f t="shared" ref="AJ197:AJ207" si="139">AE197*AI197</f>
        <v>15240000</v>
      </c>
      <c r="AK197" s="249">
        <f>IF(VLOOKUP($A197,'Rate Calculation'!$A$4:$D$208,4,FALSE)="baltimore city",0.1,0.08)</f>
        <v>0.08</v>
      </c>
      <c r="AL197" s="107">
        <f t="shared" ref="AL197:AL207" si="140">ROUND(AE197*AI197*AK197,0)</f>
        <v>1219200</v>
      </c>
      <c r="AM197" s="105">
        <f>IF(ISERROR(MATCH(A197&amp;AA197,'Days Exceptions'!$C$3:$C$16,0)),ROUND(AL197/(MAX(S197,T197)),2),ROUND(AL197/VLOOKUP(A197,'Days Exceptions'!$A$3:$J$16,8,FALSE),2))</f>
        <v>30.62</v>
      </c>
      <c r="AN197" s="213">
        <f>VLOOKUP($A197,'Rate Calculation'!$A$4:$AF$208,32,FALSE)</f>
        <v>3.18</v>
      </c>
      <c r="AO197" s="109">
        <f t="shared" ref="AO197:AO207" si="141">+AM197+AN197</f>
        <v>33.799999999999997</v>
      </c>
      <c r="AP197" s="247">
        <f>VLOOKUP($A197,'Rate Calculation'!$A$4:$Q$208,17,FALSE)</f>
        <v>171.94</v>
      </c>
      <c r="AQ197" s="247">
        <f t="shared" si="124"/>
        <v>177.27</v>
      </c>
      <c r="AR197" s="247">
        <f>VLOOKUP($A197,'Rate Calculation'!$A$4:$K$208,11,FALSE)</f>
        <v>195.33</v>
      </c>
      <c r="AS197" s="247">
        <f t="shared" ref="AS197:AS207" si="142">ROUND(AR197*U197,2)</f>
        <v>201.39</v>
      </c>
      <c r="AT197" s="110">
        <f t="shared" ref="AT197:AT207" si="143">IF(AP197="NA","NA",ROUND(AS197*(O197/P197),2))</f>
        <v>195.11</v>
      </c>
      <c r="AU197" s="110">
        <f t="shared" ref="AU197:AU207" si="144">IF(O197="NA",ROUND(AS197*Q197,2),ROUND(AT197*(Q197/O197),2))</f>
        <v>223.21</v>
      </c>
      <c r="AV197" s="111">
        <f t="shared" ref="AV197:AV207" si="145">(MAX(0,AZ197))*-1</f>
        <v>-9.25</v>
      </c>
      <c r="AW197" s="110">
        <f t="shared" ref="AW197:AW207" si="146">+AU197+AV197</f>
        <v>213.96</v>
      </c>
      <c r="AX197" s="105">
        <f t="shared" ref="AX197:AX207" si="147">IF(AP197="NA","NA",ROUND(AQ197*(Q197/O197),2))</f>
        <v>202.8</v>
      </c>
      <c r="AY197" s="105">
        <f t="shared" ref="AY197:AY207" si="148">ROUND(AU197*0.95,2)</f>
        <v>212.05</v>
      </c>
      <c r="AZ197" s="105">
        <f t="shared" ref="AZ197:AZ207" si="149">IF(AX197="NA",0,AY197-AX197)</f>
        <v>9.25</v>
      </c>
      <c r="BA197" s="105">
        <f t="shared" ref="BA197:BA207" si="150">F197+G197+H197+ROUND(I197*0.5,2)+J197</f>
        <v>267.45999999999998</v>
      </c>
      <c r="BB197" s="105">
        <f t="shared" ref="BB197:BB207" si="151">F197+G197+H197+J197</f>
        <v>160.47999999999999</v>
      </c>
      <c r="BC197" s="110">
        <f t="shared" ref="BC197:BC207" si="152">M197+N197</f>
        <v>392.92</v>
      </c>
      <c r="BD197" s="110">
        <f t="shared" ref="BD197:BD207" si="153">N197+BA197</f>
        <v>290.54000000000002</v>
      </c>
      <c r="BE197" s="110">
        <f t="shared" ref="BE197:BE207" si="154">N197+BB197</f>
        <v>183.56</v>
      </c>
      <c r="BF197" s="105"/>
      <c r="BG197" s="105"/>
      <c r="BH197" s="111"/>
      <c r="BI197" s="105"/>
      <c r="BJ197" s="105"/>
      <c r="BK197" s="109"/>
      <c r="BL197" s="111"/>
      <c r="BM197" s="109"/>
      <c r="BN197" s="109"/>
      <c r="BO197" s="105"/>
      <c r="BP197" s="105"/>
      <c r="BQ197" s="109"/>
      <c r="BR197" s="110"/>
      <c r="BS197" s="110"/>
      <c r="BT197" s="110"/>
      <c r="BU197" s="110"/>
      <c r="BV197" s="110"/>
      <c r="BW197" s="112"/>
      <c r="BX197" s="112"/>
      <c r="BY197" s="110"/>
      <c r="BZ197" s="105"/>
      <c r="CA197" s="105"/>
      <c r="CB197" s="105"/>
      <c r="CC197" s="105"/>
      <c r="CD197" s="105"/>
      <c r="CE197" s="105"/>
    </row>
    <row r="198" spans="1:108" x14ac:dyDescent="0.15">
      <c r="A198" s="115">
        <v>388</v>
      </c>
      <c r="B198" s="98" t="str">
        <f>VLOOKUP($A198,'Rate Calculation'!$A$4:$AQ$208,42,FALSE)</f>
        <v>655048700</v>
      </c>
      <c r="C198" s="98" t="str">
        <f>VLOOKUP($A198,'Rate Calculation'!$A$4:$AQ$208,43,FALSE)</f>
        <v>Sterling Care Rockville Nursing</v>
      </c>
      <c r="D198" s="98" t="str">
        <f>VLOOKUP($A198,'Rate Calculation'!$A$4:$F$208,5,FALSE)</f>
        <v>WASHINGTON METRO</v>
      </c>
      <c r="E198" s="98" t="str">
        <f>VLOOKUP($A198,'Rate Calculation'!$A$4:$F$208,6,FALSE)</f>
        <v>WASHINGTON METRO</v>
      </c>
      <c r="F198" s="105">
        <f t="shared" si="129"/>
        <v>103.73</v>
      </c>
      <c r="G198" s="105">
        <f t="shared" si="130"/>
        <v>19.829999999999998</v>
      </c>
      <c r="H198" s="105">
        <f t="shared" si="131"/>
        <v>34.06</v>
      </c>
      <c r="I198" s="105">
        <f t="shared" si="132"/>
        <v>177.76</v>
      </c>
      <c r="J198" s="105">
        <f>VLOOKUP($A198,'Rate Calculation'!$A$4:$AZ$208,34,FALSE)</f>
        <v>0</v>
      </c>
      <c r="K198" s="105">
        <f t="shared" si="125"/>
        <v>335.38</v>
      </c>
      <c r="L198" s="164">
        <f t="shared" si="133"/>
        <v>0.98772000000000004</v>
      </c>
      <c r="M198" s="105">
        <f t="shared" si="126"/>
        <v>331.26</v>
      </c>
      <c r="N198" s="105">
        <f>VLOOKUP($A198,'Rate Calculation'!$A$4:$AL$208,38,FALSE)</f>
        <v>23.38</v>
      </c>
      <c r="O198" s="183">
        <f>VLOOKUP($A198,'Rate Calculation'!$A$4:$I$208,9,FALSE)</f>
        <v>1.3887</v>
      </c>
      <c r="P198" s="183">
        <f t="shared" si="127"/>
        <v>1.4432</v>
      </c>
      <c r="Q198" s="183">
        <f>VLOOKUP(A198,'CMI Data'!$A$4:$C$208,3,FALSE)</f>
        <v>1.5607</v>
      </c>
      <c r="R198" s="246">
        <f>VLOOKUP($A198,FRV!$A$4:$K$208,11,FALSE)</f>
        <v>36500</v>
      </c>
      <c r="S198" s="246">
        <f t="shared" si="128"/>
        <v>29758</v>
      </c>
      <c r="T198" s="246">
        <f>VLOOKUP($A198,FRV!$A$4:$L$208,12,FALSE)</f>
        <v>31374</v>
      </c>
      <c r="U198" s="183">
        <f>Inflation!$G$24</f>
        <v>1.0309999999999999</v>
      </c>
      <c r="V198" s="247">
        <f>VLOOKUP($A198,'Rate Calculation'!A199:X402,24,FALSE)</f>
        <v>100.61</v>
      </c>
      <c r="W198" s="110">
        <f t="shared" si="134"/>
        <v>103.73</v>
      </c>
      <c r="X198" s="110">
        <f>VLOOKUP($A198,'Rate Calculation'!A199:V402,22,FALSE)</f>
        <v>19.23</v>
      </c>
      <c r="Y198" s="110">
        <f t="shared" si="135"/>
        <v>19.829999999999998</v>
      </c>
      <c r="Z198" s="212">
        <f>VLOOKUP($A198,FRV!$A$4:$D$208,4,FALSE)</f>
        <v>45108</v>
      </c>
      <c r="AA198" s="212">
        <f>VLOOKUP($A198,FRV!$A$4:$F$208,6,FALSE)</f>
        <v>45291</v>
      </c>
      <c r="AB198" s="248">
        <f>VLOOKUP($A198,FRV!$A$4:$U$208,13,FALSE)</f>
        <v>14521211</v>
      </c>
      <c r="AC198" s="248">
        <f>VLOOKUP($A198,FRV!$A$4:$U$208,15,FALSE)</f>
        <v>160513</v>
      </c>
      <c r="AD198" s="248">
        <f>VLOOKUP($A198,FRV!$A$4:$U$208,14,FALSE)</f>
        <v>28500</v>
      </c>
      <c r="AE198" s="248">
        <f>VLOOKUP($A198,FRV!$A$4:$U$208,7,FALSE)</f>
        <v>100</v>
      </c>
      <c r="AF198" s="107">
        <f t="shared" si="136"/>
        <v>17531724</v>
      </c>
      <c r="AG198" s="107">
        <f t="shared" si="137"/>
        <v>175317</v>
      </c>
      <c r="AH198" s="107">
        <v>120000</v>
      </c>
      <c r="AI198" s="107">
        <f t="shared" si="138"/>
        <v>120000</v>
      </c>
      <c r="AJ198" s="107">
        <f t="shared" si="139"/>
        <v>12000000</v>
      </c>
      <c r="AK198" s="249">
        <f>IF(VLOOKUP($A198,'Rate Calculation'!$A$4:$D$208,4,FALSE)="baltimore city",0.1,0.08)</f>
        <v>0.08</v>
      </c>
      <c r="AL198" s="107">
        <f t="shared" si="140"/>
        <v>960000</v>
      </c>
      <c r="AM198" s="105">
        <f>IF(ISERROR(MATCH(A198&amp;AA198,'Days Exceptions'!$C$3:$C$16,0)),ROUND(AL198/(MAX(S198,T198)),2),ROUND(AL198/VLOOKUP(A198,'Days Exceptions'!$A$3:$J$16,8,FALSE),2))</f>
        <v>30.6</v>
      </c>
      <c r="AN198" s="213">
        <f>VLOOKUP($A198,'Rate Calculation'!$A$4:$AF$208,32,FALSE)</f>
        <v>3.46</v>
      </c>
      <c r="AO198" s="109">
        <f t="shared" si="141"/>
        <v>34.06</v>
      </c>
      <c r="AP198" s="247">
        <f>VLOOKUP($A198,'Rate Calculation'!$A$4:$Q$208,17,FALSE)</f>
        <v>144.94999999999999</v>
      </c>
      <c r="AQ198" s="247">
        <f t="shared" si="124"/>
        <v>149.44</v>
      </c>
      <c r="AR198" s="247">
        <f>VLOOKUP($A198,'Rate Calculation'!$A$4:$K$208,11,FALSE)</f>
        <v>176.01</v>
      </c>
      <c r="AS198" s="247">
        <f t="shared" si="142"/>
        <v>181.47</v>
      </c>
      <c r="AT198" s="110">
        <f t="shared" si="143"/>
        <v>174.62</v>
      </c>
      <c r="AU198" s="110">
        <f t="shared" si="144"/>
        <v>196.25</v>
      </c>
      <c r="AV198" s="111">
        <f t="shared" si="145"/>
        <v>-18.489999999999998</v>
      </c>
      <c r="AW198" s="110">
        <f t="shared" si="146"/>
        <v>177.76</v>
      </c>
      <c r="AX198" s="105">
        <f t="shared" si="147"/>
        <v>167.95</v>
      </c>
      <c r="AY198" s="105">
        <f t="shared" si="148"/>
        <v>186.44</v>
      </c>
      <c r="AZ198" s="105">
        <f t="shared" si="149"/>
        <v>18.489999999999998</v>
      </c>
      <c r="BA198" s="105">
        <f t="shared" si="150"/>
        <v>246.5</v>
      </c>
      <c r="BB198" s="105">
        <f t="shared" si="151"/>
        <v>157.62</v>
      </c>
      <c r="BC198" s="110">
        <f t="shared" si="152"/>
        <v>354.64</v>
      </c>
      <c r="BD198" s="110">
        <f t="shared" si="153"/>
        <v>269.88</v>
      </c>
      <c r="BE198" s="110">
        <f t="shared" si="154"/>
        <v>181</v>
      </c>
      <c r="BF198" s="105"/>
      <c r="BG198" s="105"/>
      <c r="BH198" s="111"/>
      <c r="BI198" s="105"/>
      <c r="BJ198" s="105"/>
      <c r="BK198" s="109"/>
      <c r="BL198" s="111"/>
      <c r="BM198" s="109"/>
      <c r="BN198" s="109"/>
      <c r="BO198" s="105"/>
      <c r="BP198" s="105"/>
      <c r="BQ198" s="109"/>
      <c r="BR198" s="110"/>
      <c r="BS198" s="110"/>
      <c r="BT198" s="110"/>
      <c r="BU198" s="110"/>
      <c r="BV198" s="110"/>
      <c r="BW198" s="112"/>
      <c r="BX198" s="112"/>
      <c r="BY198" s="110"/>
      <c r="BZ198" s="105"/>
      <c r="CA198" s="105"/>
      <c r="CB198" s="105"/>
      <c r="CC198" s="105"/>
      <c r="CD198" s="105"/>
      <c r="CE198" s="105"/>
    </row>
    <row r="199" spans="1:108" x14ac:dyDescent="0.15">
      <c r="A199" s="115">
        <v>1203</v>
      </c>
      <c r="B199" s="98" t="str">
        <f>VLOOKUP($A199,'Rate Calculation'!$A$4:$AQ$208,42,FALSE)</f>
        <v>600136000</v>
      </c>
      <c r="C199" s="98" t="str">
        <f>VLOOKUP($A199,'Rate Calculation'!$A$4:$AQ$208,43,FALSE)</f>
        <v>The Nursing &amp; Rehab. Center at Stadium Place</v>
      </c>
      <c r="D199" s="98" t="str">
        <f>VLOOKUP($A199,'Rate Calculation'!$A$4:$F$208,5,FALSE)</f>
        <v>BALTIMORE METRO</v>
      </c>
      <c r="E199" s="98" t="str">
        <f>VLOOKUP($A199,'Rate Calculation'!$A$4:$F$208,6,FALSE)</f>
        <v>BALTIMORE CITY</v>
      </c>
      <c r="F199" s="105">
        <f t="shared" si="129"/>
        <v>117.69</v>
      </c>
      <c r="G199" s="105">
        <f t="shared" si="130"/>
        <v>25.66</v>
      </c>
      <c r="H199" s="105">
        <f t="shared" si="131"/>
        <v>39.299999999999997</v>
      </c>
      <c r="I199" s="105">
        <f t="shared" si="132"/>
        <v>159.4</v>
      </c>
      <c r="J199" s="105">
        <f>VLOOKUP($A199,'Rate Calculation'!$A$4:$AZ$208,34,FALSE)</f>
        <v>0</v>
      </c>
      <c r="K199" s="105">
        <f t="shared" si="125"/>
        <v>342.05</v>
      </c>
      <c r="L199" s="164">
        <f t="shared" si="133"/>
        <v>0.98772000000000004</v>
      </c>
      <c r="M199" s="105">
        <f t="shared" si="126"/>
        <v>337.85</v>
      </c>
      <c r="N199" s="105">
        <f>VLOOKUP($A199,'Rate Calculation'!$A$4:$AL$208,38,FALSE)</f>
        <v>18.18</v>
      </c>
      <c r="O199" s="183">
        <f>VLOOKUP($A199,'Rate Calculation'!$A$4:$I$208,9,FALSE)</f>
        <v>1.5901000000000001</v>
      </c>
      <c r="P199" s="183">
        <f t="shared" si="127"/>
        <v>1.4432</v>
      </c>
      <c r="Q199" s="183">
        <f>VLOOKUP(A199,'CMI Data'!$A$4:$C$208,3,FALSE)</f>
        <v>1.4499</v>
      </c>
      <c r="R199" s="246">
        <f>VLOOKUP($A199,FRV!$A$4:$K$208,11,FALSE)</f>
        <v>19398</v>
      </c>
      <c r="S199" s="246">
        <f t="shared" si="128"/>
        <v>15815</v>
      </c>
      <c r="T199" s="246">
        <f>VLOOKUP($A199,FRV!$A$4:$L$208,12,FALSE)</f>
        <v>17983</v>
      </c>
      <c r="U199" s="183">
        <f>Inflation!$G$24</f>
        <v>1.0309999999999999</v>
      </c>
      <c r="V199" s="247">
        <f>VLOOKUP($A199,'Rate Calculation'!A200:X403,24,FALSE)</f>
        <v>114.15</v>
      </c>
      <c r="W199" s="110">
        <f t="shared" si="134"/>
        <v>117.69</v>
      </c>
      <c r="X199" s="110">
        <f>VLOOKUP($A199,'Rate Calculation'!A200:V403,22,FALSE)</f>
        <v>24.89</v>
      </c>
      <c r="Y199" s="110">
        <f t="shared" si="135"/>
        <v>25.66</v>
      </c>
      <c r="Z199" s="212">
        <f>VLOOKUP($A199,FRV!$A$4:$D$208,4,FALSE)</f>
        <v>45474</v>
      </c>
      <c r="AA199" s="212">
        <f>VLOOKUP($A199,FRV!$A$4:$F$208,6,FALSE)</f>
        <v>45657</v>
      </c>
      <c r="AB199" s="248">
        <f>VLOOKUP($A199,FRV!$A$4:$U$208,13,FALSE)</f>
        <v>10627944</v>
      </c>
      <c r="AC199" s="248">
        <f>VLOOKUP($A199,FRV!$A$4:$U$208,15,FALSE)</f>
        <v>153049</v>
      </c>
      <c r="AD199" s="248">
        <f>VLOOKUP($A199,FRV!$A$4:$U$208,14,FALSE)</f>
        <v>16000</v>
      </c>
      <c r="AE199" s="248">
        <f>VLOOKUP($A199,FRV!$A$4:$U$208,7,FALSE)</f>
        <v>53</v>
      </c>
      <c r="AF199" s="107">
        <f t="shared" si="136"/>
        <v>11628993</v>
      </c>
      <c r="AG199" s="107">
        <f t="shared" si="137"/>
        <v>219415</v>
      </c>
      <c r="AH199" s="107">
        <v>120000</v>
      </c>
      <c r="AI199" s="107">
        <f t="shared" si="138"/>
        <v>120000</v>
      </c>
      <c r="AJ199" s="107">
        <f t="shared" si="139"/>
        <v>6360000</v>
      </c>
      <c r="AK199" s="249">
        <f>IF(VLOOKUP($A199,'Rate Calculation'!$A$4:$D$208,4,FALSE)="baltimore city",0.1,0.08)</f>
        <v>0.1</v>
      </c>
      <c r="AL199" s="107">
        <f t="shared" si="140"/>
        <v>636000</v>
      </c>
      <c r="AM199" s="105">
        <f>IF(ISERROR(MATCH(A199&amp;AA199,'Days Exceptions'!$C$3:$C$16,0)),ROUND(AL199/(MAX(S199,T199)),2),ROUND(AL199/VLOOKUP(A199,'Days Exceptions'!$A$3:$J$16,8,FALSE),2))</f>
        <v>35.369999999999997</v>
      </c>
      <c r="AN199" s="213">
        <f>VLOOKUP($A199,'Rate Calculation'!$A$4:$AF$208,32,FALSE)</f>
        <v>3.93</v>
      </c>
      <c r="AO199" s="109">
        <f t="shared" si="141"/>
        <v>39.299999999999997</v>
      </c>
      <c r="AP199" s="247">
        <f>VLOOKUP($A199,'Rate Calculation'!$A$4:$Q$208,17,FALSE)</f>
        <v>158.79</v>
      </c>
      <c r="AQ199" s="247">
        <f t="shared" si="124"/>
        <v>163.71</v>
      </c>
      <c r="AR199" s="247">
        <f>VLOOKUP($A199,'Rate Calculation'!$A$4:$K$208,11,FALSE)</f>
        <v>195.33</v>
      </c>
      <c r="AS199" s="247">
        <f t="shared" si="142"/>
        <v>201.39</v>
      </c>
      <c r="AT199" s="110">
        <f t="shared" si="143"/>
        <v>221.89</v>
      </c>
      <c r="AU199" s="110">
        <f t="shared" si="144"/>
        <v>202.33</v>
      </c>
      <c r="AV199" s="111">
        <f t="shared" si="145"/>
        <v>-42.93</v>
      </c>
      <c r="AW199" s="110">
        <f t="shared" si="146"/>
        <v>159.4</v>
      </c>
      <c r="AX199" s="105">
        <f t="shared" si="147"/>
        <v>149.28</v>
      </c>
      <c r="AY199" s="105">
        <f t="shared" si="148"/>
        <v>192.21</v>
      </c>
      <c r="AZ199" s="105">
        <f t="shared" si="149"/>
        <v>42.93</v>
      </c>
      <c r="BA199" s="105">
        <f t="shared" si="150"/>
        <v>262.35000000000002</v>
      </c>
      <c r="BB199" s="105">
        <f t="shared" si="151"/>
        <v>182.65</v>
      </c>
      <c r="BC199" s="110">
        <f t="shared" si="152"/>
        <v>356.03</v>
      </c>
      <c r="BD199" s="110">
        <f t="shared" si="153"/>
        <v>280.52999999999997</v>
      </c>
      <c r="BE199" s="110">
        <f t="shared" si="154"/>
        <v>200.83</v>
      </c>
      <c r="BF199" s="105"/>
      <c r="BG199" s="105"/>
      <c r="BH199" s="111"/>
      <c r="BI199" s="105"/>
      <c r="BJ199" s="105"/>
      <c r="BK199" s="109"/>
      <c r="BL199" s="111"/>
      <c r="BM199" s="109"/>
      <c r="BN199" s="109"/>
      <c r="BO199" s="105"/>
      <c r="BP199" s="105"/>
      <c r="BQ199" s="109"/>
      <c r="BR199" s="110"/>
      <c r="BS199" s="110"/>
      <c r="BT199" s="110"/>
      <c r="BU199" s="110"/>
      <c r="BV199" s="110"/>
      <c r="BW199" s="112"/>
      <c r="BX199" s="112"/>
      <c r="BY199" s="110"/>
      <c r="BZ199" s="105"/>
      <c r="CA199" s="105"/>
      <c r="CB199" s="105"/>
      <c r="CC199" s="105"/>
      <c r="CD199" s="105"/>
      <c r="CE199" s="105"/>
    </row>
    <row r="200" spans="1:108" x14ac:dyDescent="0.15">
      <c r="A200" s="115">
        <v>344</v>
      </c>
      <c r="B200" s="98" t="str">
        <f>VLOOKUP($A200,'Rate Calculation'!$A$4:$AQ$208,42,FALSE)</f>
        <v>155757200</v>
      </c>
      <c r="C200" s="98" t="str">
        <f>VLOOKUP($A200,'Rate Calculation'!$A$4:$AQ$208,43,FALSE)</f>
        <v>The Village at Rockville</v>
      </c>
      <c r="D200" s="98" t="str">
        <f>VLOOKUP($A200,'Rate Calculation'!$A$4:$F$208,5,FALSE)</f>
        <v>WASHINGTON METRO</v>
      </c>
      <c r="E200" s="98" t="str">
        <f>VLOOKUP($A200,'Rate Calculation'!$A$4:$F$208,6,FALSE)</f>
        <v>WASHINGTON METRO</v>
      </c>
      <c r="F200" s="105">
        <f t="shared" si="129"/>
        <v>103.73</v>
      </c>
      <c r="G200" s="105">
        <f t="shared" si="130"/>
        <v>19.829999999999998</v>
      </c>
      <c r="H200" s="105">
        <f t="shared" si="131"/>
        <v>32.26</v>
      </c>
      <c r="I200" s="105">
        <f t="shared" si="132"/>
        <v>182.16</v>
      </c>
      <c r="J200" s="105">
        <f>VLOOKUP($A200,'Rate Calculation'!$A$4:$AZ$208,34,FALSE)</f>
        <v>0</v>
      </c>
      <c r="K200" s="105">
        <f t="shared" si="125"/>
        <v>337.98</v>
      </c>
      <c r="L200" s="164">
        <f t="shared" si="133"/>
        <v>0.98772000000000004</v>
      </c>
      <c r="M200" s="105">
        <f t="shared" si="126"/>
        <v>333.83</v>
      </c>
      <c r="N200" s="105">
        <f>VLOOKUP($A200,'Rate Calculation'!$A$4:$AL$208,38,FALSE)</f>
        <v>0</v>
      </c>
      <c r="O200" s="183">
        <f>VLOOKUP($A200,'Rate Calculation'!$A$4:$I$208,9,FALSE)</f>
        <v>1.4297</v>
      </c>
      <c r="P200" s="183">
        <f t="shared" si="127"/>
        <v>1.4432</v>
      </c>
      <c r="Q200" s="183">
        <f>VLOOKUP(A200,'CMI Data'!$A$4:$C$208,3,FALSE)</f>
        <v>1.4487000000000001</v>
      </c>
      <c r="R200" s="246">
        <f>VLOOKUP($A200,FRV!$A$4:$K$208,11,FALSE)</f>
        <v>58400</v>
      </c>
      <c r="S200" s="246">
        <f t="shared" si="128"/>
        <v>47614</v>
      </c>
      <c r="T200" s="246">
        <f>VLOOKUP($A200,FRV!$A$4:$L$208,12,FALSE)</f>
        <v>46240</v>
      </c>
      <c r="U200" s="183">
        <f>Inflation!$G$24</f>
        <v>1.0309999999999999</v>
      </c>
      <c r="V200" s="247">
        <f>VLOOKUP($A200,'Rate Calculation'!A201:X404,24,FALSE)</f>
        <v>100.61</v>
      </c>
      <c r="W200" s="110">
        <f t="shared" si="134"/>
        <v>103.73</v>
      </c>
      <c r="X200" s="110">
        <f>VLOOKUP($A200,'Rate Calculation'!A201:V404,22,FALSE)</f>
        <v>19.23</v>
      </c>
      <c r="Y200" s="110">
        <f t="shared" si="135"/>
        <v>19.829999999999998</v>
      </c>
      <c r="Z200" s="212">
        <f>VLOOKUP($A200,FRV!$A$4:$D$208,4,FALSE)</f>
        <v>44743</v>
      </c>
      <c r="AA200" s="212">
        <f>VLOOKUP($A200,FRV!$A$4:$F$208,6,FALSE)</f>
        <v>44926</v>
      </c>
      <c r="AB200" s="248">
        <f>VLOOKUP($A200,FRV!$A$4:$U$208,13,FALSE)</f>
        <v>35457400</v>
      </c>
      <c r="AC200" s="248">
        <f>VLOOKUP($A200,FRV!$A$4:$U$208,15,FALSE)</f>
        <v>723820</v>
      </c>
      <c r="AD200" s="248">
        <f>VLOOKUP($A200,FRV!$A$4:$U$208,14,FALSE)</f>
        <v>45000</v>
      </c>
      <c r="AE200" s="248">
        <f>VLOOKUP($A200,FRV!$A$4:$U$208,7,FALSE)</f>
        <v>160</v>
      </c>
      <c r="AF200" s="107">
        <f t="shared" si="136"/>
        <v>43381220</v>
      </c>
      <c r="AG200" s="107">
        <f t="shared" si="137"/>
        <v>271133</v>
      </c>
      <c r="AH200" s="107">
        <v>120000</v>
      </c>
      <c r="AI200" s="107">
        <f t="shared" si="138"/>
        <v>120000</v>
      </c>
      <c r="AJ200" s="107">
        <f t="shared" si="139"/>
        <v>19200000</v>
      </c>
      <c r="AK200" s="249">
        <f>IF(VLOOKUP($A200,'Rate Calculation'!$A$4:$D$208,4,FALSE)="baltimore city",0.1,0.08)</f>
        <v>0.08</v>
      </c>
      <c r="AL200" s="107">
        <f t="shared" si="140"/>
        <v>1536000</v>
      </c>
      <c r="AM200" s="105">
        <f>IF(ISERROR(MATCH(A200&amp;AA200,'Days Exceptions'!$C$3:$C$16,0)),ROUND(AL200/(MAX(S200,T200)),2),ROUND(AL200/VLOOKUP(A200,'Days Exceptions'!$A$3:$J$16,8,FALSE),2))</f>
        <v>32.26</v>
      </c>
      <c r="AN200" s="213">
        <f>VLOOKUP($A200,'Rate Calculation'!$A$4:$AF$208,32,FALSE)</f>
        <v>0</v>
      </c>
      <c r="AO200" s="109">
        <f t="shared" si="141"/>
        <v>32.26</v>
      </c>
      <c r="AP200" s="247">
        <f>VLOOKUP($A200,'Rate Calculation'!$A$4:$Q$208,17,FALSE)</f>
        <v>210.5</v>
      </c>
      <c r="AQ200" s="247">
        <f t="shared" si="124"/>
        <v>217.03</v>
      </c>
      <c r="AR200" s="247">
        <f>VLOOKUP($A200,'Rate Calculation'!$A$4:$K$208,11,FALSE)</f>
        <v>176.01</v>
      </c>
      <c r="AS200" s="247">
        <f t="shared" si="142"/>
        <v>181.47</v>
      </c>
      <c r="AT200" s="110">
        <f t="shared" si="143"/>
        <v>179.77</v>
      </c>
      <c r="AU200" s="110">
        <f t="shared" si="144"/>
        <v>182.16</v>
      </c>
      <c r="AV200" s="111">
        <f t="shared" si="145"/>
        <v>0</v>
      </c>
      <c r="AW200" s="110">
        <f t="shared" si="146"/>
        <v>182.16</v>
      </c>
      <c r="AX200" s="105">
        <f t="shared" si="147"/>
        <v>219.91</v>
      </c>
      <c r="AY200" s="105">
        <f t="shared" si="148"/>
        <v>173.05</v>
      </c>
      <c r="AZ200" s="105">
        <f t="shared" si="149"/>
        <v>-46.86</v>
      </c>
      <c r="BA200" s="105">
        <f t="shared" si="150"/>
        <v>246.9</v>
      </c>
      <c r="BB200" s="105">
        <f t="shared" si="151"/>
        <v>155.82</v>
      </c>
      <c r="BC200" s="110">
        <f t="shared" si="152"/>
        <v>333.83</v>
      </c>
      <c r="BD200" s="110">
        <f t="shared" si="153"/>
        <v>246.9</v>
      </c>
      <c r="BE200" s="110">
        <f t="shared" si="154"/>
        <v>155.82</v>
      </c>
      <c r="BF200" s="105"/>
      <c r="BG200" s="105"/>
      <c r="BH200" s="111"/>
      <c r="BI200" s="105"/>
      <c r="BJ200" s="105"/>
      <c r="BK200" s="109"/>
      <c r="BL200" s="111"/>
      <c r="BM200" s="109"/>
      <c r="BN200" s="109"/>
      <c r="BO200" s="105"/>
      <c r="BP200" s="105"/>
      <c r="BQ200" s="109"/>
      <c r="BR200" s="110"/>
      <c r="BS200" s="110"/>
      <c r="BT200" s="110"/>
      <c r="BU200" s="110"/>
      <c r="BV200" s="110"/>
      <c r="BW200" s="112"/>
      <c r="BX200" s="112"/>
      <c r="BY200" s="110"/>
      <c r="BZ200" s="105"/>
      <c r="CA200" s="105"/>
      <c r="CB200" s="105"/>
      <c r="CC200" s="105"/>
      <c r="CD200" s="105"/>
      <c r="CE200" s="105"/>
    </row>
    <row r="201" spans="1:108" x14ac:dyDescent="0.15">
      <c r="A201" s="115">
        <v>703</v>
      </c>
      <c r="B201" s="98" t="str">
        <f>VLOOKUP($A201,'Rate Calculation'!$A$4:$AQ$208,42,FALSE)</f>
        <v>882695100</v>
      </c>
      <c r="C201" s="98" t="str">
        <f>VLOOKUP($A201,'Rate Calculation'!$A$4:$AQ$208,43,FALSE)</f>
        <v>Tuckerman Rehabilitation and Healthcare Center</v>
      </c>
      <c r="D201" s="98" t="str">
        <f>VLOOKUP($A201,'Rate Calculation'!$A$4:$F$208,5,FALSE)</f>
        <v>WASHINGTON METRO</v>
      </c>
      <c r="E201" s="98" t="str">
        <f>VLOOKUP($A201,'Rate Calculation'!$A$4:$F$208,6,FALSE)</f>
        <v>WASHINGTON METRO</v>
      </c>
      <c r="F201" s="105">
        <f t="shared" si="129"/>
        <v>103.73</v>
      </c>
      <c r="G201" s="105">
        <f t="shared" si="130"/>
        <v>19.829999999999998</v>
      </c>
      <c r="H201" s="105">
        <f t="shared" si="131"/>
        <v>32.78</v>
      </c>
      <c r="I201" s="105">
        <f t="shared" si="132"/>
        <v>188.97</v>
      </c>
      <c r="J201" s="105">
        <f>VLOOKUP($A201,'Rate Calculation'!$A$4:$AZ$208,34,FALSE)</f>
        <v>0</v>
      </c>
      <c r="K201" s="105">
        <f t="shared" si="125"/>
        <v>345.31</v>
      </c>
      <c r="L201" s="164">
        <f t="shared" si="133"/>
        <v>0.98772000000000004</v>
      </c>
      <c r="M201" s="105">
        <f t="shared" si="126"/>
        <v>341.07</v>
      </c>
      <c r="N201" s="105">
        <f>VLOOKUP($A201,'Rate Calculation'!$A$4:$AL$208,38,FALSE)</f>
        <v>0</v>
      </c>
      <c r="O201" s="183">
        <f>VLOOKUP($A201,'Rate Calculation'!$A$4:$I$208,9,FALSE)</f>
        <v>1.4724999999999999</v>
      </c>
      <c r="P201" s="183">
        <f t="shared" si="127"/>
        <v>1.4432</v>
      </c>
      <c r="Q201" s="183">
        <f>VLOOKUP(A201,'CMI Data'!$A$4:$C$208,3,FALSE)</f>
        <v>1.5028999999999999</v>
      </c>
      <c r="R201" s="246">
        <f>VLOOKUP($A201,FRV!$A$4:$K$208,11,FALSE)</f>
        <v>14274</v>
      </c>
      <c r="S201" s="246">
        <f t="shared" si="128"/>
        <v>11638</v>
      </c>
      <c r="T201" s="246">
        <f>VLOOKUP($A201,FRV!$A$4:$L$208,12,FALSE)</f>
        <v>12746</v>
      </c>
      <c r="U201" s="183">
        <f>Inflation!$G$24</f>
        <v>1.0309999999999999</v>
      </c>
      <c r="V201" s="247">
        <f>VLOOKUP($A201,'Rate Calculation'!A202:X405,24,FALSE)</f>
        <v>100.61</v>
      </c>
      <c r="W201" s="110">
        <f t="shared" si="134"/>
        <v>103.73</v>
      </c>
      <c r="X201" s="110">
        <f>VLOOKUP($A201,'Rate Calculation'!A202:V405,22,FALSE)</f>
        <v>19.23</v>
      </c>
      <c r="Y201" s="110">
        <f t="shared" si="135"/>
        <v>19.829999999999998</v>
      </c>
      <c r="Z201" s="212">
        <f>VLOOKUP($A201,FRV!$A$4:$D$208,4,FALSE)</f>
        <v>45474</v>
      </c>
      <c r="AA201" s="212">
        <f>VLOOKUP($A201,FRV!$A$4:$F$208,6,FALSE)</f>
        <v>45657</v>
      </c>
      <c r="AB201" s="248">
        <f>VLOOKUP($A201,FRV!$A$4:$U$208,13,FALSE)</f>
        <v>6673347</v>
      </c>
      <c r="AC201" s="248">
        <f>VLOOKUP($A201,FRV!$A$4:$U$208,15,FALSE)</f>
        <v>134737</v>
      </c>
      <c r="AD201" s="248">
        <f>VLOOKUP($A201,FRV!$A$4:$U$208,14,FALSE)</f>
        <v>37500</v>
      </c>
      <c r="AE201" s="248">
        <f>VLOOKUP($A201,FRV!$A$4:$U$208,7,FALSE)</f>
        <v>39</v>
      </c>
      <c r="AF201" s="107">
        <f t="shared" si="136"/>
        <v>8270584</v>
      </c>
      <c r="AG201" s="107">
        <f t="shared" si="137"/>
        <v>212066</v>
      </c>
      <c r="AH201" s="107">
        <v>120000</v>
      </c>
      <c r="AI201" s="107">
        <f t="shared" si="138"/>
        <v>120000</v>
      </c>
      <c r="AJ201" s="107">
        <f t="shared" si="139"/>
        <v>4680000</v>
      </c>
      <c r="AK201" s="249">
        <f>IF(VLOOKUP($A201,'Rate Calculation'!$A$4:$D$208,4,FALSE)="baltimore city",0.1,0.08)</f>
        <v>0.08</v>
      </c>
      <c r="AL201" s="107">
        <f t="shared" si="140"/>
        <v>374400</v>
      </c>
      <c r="AM201" s="105">
        <f>IF(ISERROR(MATCH(A201&amp;AA201,'Days Exceptions'!$C$3:$C$16,0)),ROUND(AL201/(MAX(S201,T201)),2),ROUND(AL201/VLOOKUP(A201,'Days Exceptions'!$A$3:$J$16,8,FALSE),2))</f>
        <v>29.37</v>
      </c>
      <c r="AN201" s="213">
        <f>VLOOKUP($A201,'Rate Calculation'!$A$4:$AF$208,32,FALSE)</f>
        <v>3.41</v>
      </c>
      <c r="AO201" s="109">
        <f t="shared" si="141"/>
        <v>32.78</v>
      </c>
      <c r="AP201" s="247">
        <f>VLOOKUP($A201,'Rate Calculation'!$A$4:$Q$208,17,FALSE)</f>
        <v>176.74</v>
      </c>
      <c r="AQ201" s="247">
        <f t="shared" si="124"/>
        <v>182.22</v>
      </c>
      <c r="AR201" s="247">
        <f>VLOOKUP($A201,'Rate Calculation'!$A$4:$K$208,11,FALSE)</f>
        <v>176.01</v>
      </c>
      <c r="AS201" s="247">
        <f t="shared" si="142"/>
        <v>181.47</v>
      </c>
      <c r="AT201" s="110">
        <f t="shared" si="143"/>
        <v>185.15</v>
      </c>
      <c r="AU201" s="110">
        <f t="shared" si="144"/>
        <v>188.97</v>
      </c>
      <c r="AV201" s="111">
        <f t="shared" si="145"/>
        <v>0</v>
      </c>
      <c r="AW201" s="110">
        <f t="shared" si="146"/>
        <v>188.97</v>
      </c>
      <c r="AX201" s="105">
        <f t="shared" si="147"/>
        <v>185.98</v>
      </c>
      <c r="AY201" s="105">
        <f t="shared" si="148"/>
        <v>179.52</v>
      </c>
      <c r="AZ201" s="105">
        <f t="shared" si="149"/>
        <v>-6.46</v>
      </c>
      <c r="BA201" s="105">
        <f t="shared" si="150"/>
        <v>250.83</v>
      </c>
      <c r="BB201" s="105">
        <f t="shared" si="151"/>
        <v>156.34</v>
      </c>
      <c r="BC201" s="110">
        <f t="shared" si="152"/>
        <v>341.07</v>
      </c>
      <c r="BD201" s="110">
        <f t="shared" si="153"/>
        <v>250.83</v>
      </c>
      <c r="BE201" s="110">
        <f t="shared" si="154"/>
        <v>156.34</v>
      </c>
      <c r="BF201" s="105"/>
      <c r="BG201" s="105"/>
      <c r="BH201" s="111"/>
      <c r="BI201" s="105"/>
      <c r="BJ201" s="105"/>
      <c r="BK201" s="109"/>
      <c r="BL201" s="111"/>
      <c r="BM201" s="109"/>
      <c r="BN201" s="109"/>
      <c r="BO201" s="105"/>
      <c r="BP201" s="105"/>
      <c r="BQ201" s="109"/>
      <c r="BR201" s="110"/>
      <c r="BS201" s="110"/>
      <c r="BT201" s="110"/>
      <c r="BU201" s="110"/>
      <c r="BV201" s="110"/>
      <c r="BW201" s="112"/>
      <c r="BX201" s="112"/>
      <c r="BY201" s="110"/>
      <c r="BZ201" s="105"/>
      <c r="CA201" s="105"/>
      <c r="CB201" s="105"/>
      <c r="CC201" s="105"/>
      <c r="CD201" s="105"/>
      <c r="CE201" s="105"/>
    </row>
    <row r="202" spans="1:108" x14ac:dyDescent="0.15">
      <c r="A202" s="115">
        <v>444</v>
      </c>
      <c r="B202" s="98" t="str">
        <f>VLOOKUP($A202,'Rate Calculation'!$A$4:$AQ$208,42,FALSE)</f>
        <v>300156300</v>
      </c>
      <c r="C202" s="98" t="str">
        <f>VLOOKUP($A202,'Rate Calculation'!$A$4:$AQ$208,43,FALSE)</f>
        <v>Villa Rosa Nursing and Rehabilitation</v>
      </c>
      <c r="D202" s="98" t="str">
        <f>VLOOKUP($A202,'Rate Calculation'!$A$4:$F$208,5,FALSE)</f>
        <v>WASHINGTON METRO</v>
      </c>
      <c r="E202" s="98" t="str">
        <f>VLOOKUP($A202,'Rate Calculation'!$A$4:$F$208,6,FALSE)</f>
        <v>WASHINGTON METRO</v>
      </c>
      <c r="F202" s="105">
        <f t="shared" si="129"/>
        <v>103.73</v>
      </c>
      <c r="G202" s="105">
        <f t="shared" si="130"/>
        <v>19.829999999999998</v>
      </c>
      <c r="H202" s="105">
        <f t="shared" si="131"/>
        <v>32.19</v>
      </c>
      <c r="I202" s="105">
        <f t="shared" si="132"/>
        <v>176.71</v>
      </c>
      <c r="J202" s="105">
        <f>VLOOKUP($A202,'Rate Calculation'!$A$4:$AZ$208,34,FALSE)</f>
        <v>0</v>
      </c>
      <c r="K202" s="105">
        <f t="shared" si="125"/>
        <v>332.46</v>
      </c>
      <c r="L202" s="164">
        <f t="shared" si="133"/>
        <v>0.98772000000000004</v>
      </c>
      <c r="M202" s="105">
        <f t="shared" si="126"/>
        <v>328.38</v>
      </c>
      <c r="N202" s="105">
        <f>VLOOKUP($A202,'Rate Calculation'!$A$4:$AL$208,38,FALSE)</f>
        <v>25.41</v>
      </c>
      <c r="O202" s="183">
        <f>VLOOKUP($A202,'Rate Calculation'!$A$4:$I$208,9,FALSE)</f>
        <v>1.4274</v>
      </c>
      <c r="P202" s="183">
        <f t="shared" si="127"/>
        <v>1.4432</v>
      </c>
      <c r="Q202" s="183">
        <f>VLOOKUP(A202,'CMI Data'!$A$4:$C$208,3,FALSE)</f>
        <v>1.4464999999999999</v>
      </c>
      <c r="R202" s="246">
        <f>VLOOKUP($A202,FRV!$A$4:$K$208,11,FALSE)</f>
        <v>39162</v>
      </c>
      <c r="S202" s="246">
        <f t="shared" si="128"/>
        <v>31929</v>
      </c>
      <c r="T202" s="246">
        <f>VLOOKUP($A202,FRV!$A$4:$L$208,12,FALSE)</f>
        <v>31670</v>
      </c>
      <c r="U202" s="183">
        <f>Inflation!$G$24</f>
        <v>1.0309999999999999</v>
      </c>
      <c r="V202" s="247">
        <f>VLOOKUP($A202,'Rate Calculation'!A203:X406,24,FALSE)</f>
        <v>100.61</v>
      </c>
      <c r="W202" s="110">
        <f t="shared" si="134"/>
        <v>103.73</v>
      </c>
      <c r="X202" s="110">
        <f>VLOOKUP($A202,'Rate Calculation'!A203:V406,22,FALSE)</f>
        <v>19.23</v>
      </c>
      <c r="Y202" s="110">
        <f t="shared" si="135"/>
        <v>19.829999999999998</v>
      </c>
      <c r="Z202" s="212">
        <f>VLOOKUP($A202,FRV!$A$4:$D$208,4,FALSE)</f>
        <v>45474</v>
      </c>
      <c r="AA202" s="212">
        <f>VLOOKUP($A202,FRV!$A$4:$F$208,6,FALSE)</f>
        <v>45657</v>
      </c>
      <c r="AB202" s="248">
        <f>VLOOKUP($A202,FRV!$A$4:$U$208,13,FALSE)</f>
        <v>14120365</v>
      </c>
      <c r="AC202" s="248">
        <f>VLOOKUP($A202,FRV!$A$4:$U$208,15,FALSE)</f>
        <v>170358</v>
      </c>
      <c r="AD202" s="248">
        <f>VLOOKUP($A202,FRV!$A$4:$U$208,14,FALSE)</f>
        <v>32500</v>
      </c>
      <c r="AE202" s="248">
        <f>VLOOKUP($A202,FRV!$A$4:$U$208,7,FALSE)</f>
        <v>107</v>
      </c>
      <c r="AF202" s="107">
        <f t="shared" si="136"/>
        <v>17768223</v>
      </c>
      <c r="AG202" s="107">
        <f t="shared" si="137"/>
        <v>166058</v>
      </c>
      <c r="AH202" s="107">
        <v>120000</v>
      </c>
      <c r="AI202" s="107">
        <f t="shared" si="138"/>
        <v>120000</v>
      </c>
      <c r="AJ202" s="107">
        <f t="shared" si="139"/>
        <v>12840000</v>
      </c>
      <c r="AK202" s="249">
        <f>IF(VLOOKUP($A202,'Rate Calculation'!$A$4:$D$208,4,FALSE)="baltimore city",0.1,0.08)</f>
        <v>0.08</v>
      </c>
      <c r="AL202" s="107">
        <f t="shared" si="140"/>
        <v>1027200</v>
      </c>
      <c r="AM202" s="105">
        <f>IF(ISERROR(MATCH(A202&amp;AA202,'Days Exceptions'!$C$3:$C$16,0)),ROUND(AL202/(MAX(S202,T202)),2),ROUND(AL202/VLOOKUP(A202,'Days Exceptions'!$A$3:$J$16,8,FALSE),2))</f>
        <v>32.17</v>
      </c>
      <c r="AN202" s="213">
        <f>VLOOKUP($A202,'Rate Calculation'!$A$4:$AF$208,32,FALSE)</f>
        <v>0.02</v>
      </c>
      <c r="AO202" s="109">
        <f t="shared" si="141"/>
        <v>32.19</v>
      </c>
      <c r="AP202" s="247">
        <f>VLOOKUP($A202,'Rate Calculation'!$A$4:$Q$208,17,FALSE)</f>
        <v>160.44</v>
      </c>
      <c r="AQ202" s="247">
        <f t="shared" ref="AQ202:AQ207" si="155">IF(AP202="NA","NA",ROUND(AP202*U202,2))</f>
        <v>165.41</v>
      </c>
      <c r="AR202" s="247">
        <f>VLOOKUP($A202,'Rate Calculation'!$A$4:$K$208,11,FALSE)</f>
        <v>176.01</v>
      </c>
      <c r="AS202" s="247">
        <f t="shared" si="142"/>
        <v>181.47</v>
      </c>
      <c r="AT202" s="110">
        <f t="shared" si="143"/>
        <v>179.48</v>
      </c>
      <c r="AU202" s="110">
        <f t="shared" si="144"/>
        <v>181.88</v>
      </c>
      <c r="AV202" s="111">
        <f t="shared" si="145"/>
        <v>-5.17</v>
      </c>
      <c r="AW202" s="110">
        <f t="shared" si="146"/>
        <v>176.71</v>
      </c>
      <c r="AX202" s="105">
        <f t="shared" si="147"/>
        <v>167.62</v>
      </c>
      <c r="AY202" s="105">
        <f t="shared" si="148"/>
        <v>172.79</v>
      </c>
      <c r="AZ202" s="105">
        <f t="shared" si="149"/>
        <v>5.17</v>
      </c>
      <c r="BA202" s="105">
        <f t="shared" si="150"/>
        <v>244.11</v>
      </c>
      <c r="BB202" s="105">
        <f t="shared" si="151"/>
        <v>155.75</v>
      </c>
      <c r="BC202" s="110">
        <f t="shared" si="152"/>
        <v>353.79</v>
      </c>
      <c r="BD202" s="110">
        <f t="shared" si="153"/>
        <v>269.52</v>
      </c>
      <c r="BE202" s="110">
        <f t="shared" si="154"/>
        <v>181.16</v>
      </c>
      <c r="BF202" s="105"/>
      <c r="BG202" s="105"/>
      <c r="BH202" s="111"/>
      <c r="BI202" s="105"/>
      <c r="BJ202" s="105"/>
      <c r="BK202" s="109"/>
      <c r="BL202" s="111"/>
      <c r="BM202" s="109"/>
      <c r="BN202" s="109"/>
      <c r="BO202" s="105"/>
      <c r="BP202" s="105"/>
      <c r="BQ202" s="109"/>
      <c r="BR202" s="110"/>
      <c r="BS202" s="110"/>
      <c r="BT202" s="110"/>
      <c r="BU202" s="110"/>
      <c r="BV202" s="110"/>
      <c r="BW202" s="112"/>
      <c r="BX202" s="112"/>
      <c r="BY202" s="110"/>
      <c r="BZ202" s="105"/>
      <c r="CA202" s="105"/>
      <c r="CB202" s="105"/>
      <c r="CC202" s="105"/>
      <c r="CD202" s="105"/>
      <c r="CE202" s="105"/>
    </row>
    <row r="203" spans="1:108" x14ac:dyDescent="0.15">
      <c r="A203" s="115">
        <v>448</v>
      </c>
      <c r="B203" s="98" t="str">
        <f>VLOOKUP($A203,'Rate Calculation'!$A$4:$AQ$208,42,FALSE)</f>
        <v>413976300</v>
      </c>
      <c r="C203" s="98" t="str">
        <f>VLOOKUP($A203,'Rate Calculation'!$A$4:$AQ$208,43,FALSE)</f>
        <v>Waldorf Center</v>
      </c>
      <c r="D203" s="98" t="str">
        <f>VLOOKUP($A203,'Rate Calculation'!$A$4:$F$208,5,FALSE)</f>
        <v>WASHINGTON METRO</v>
      </c>
      <c r="E203" s="98" t="str">
        <f>VLOOKUP($A203,'Rate Calculation'!$A$4:$F$208,6,FALSE)</f>
        <v>WASHINGTON METRO</v>
      </c>
      <c r="F203" s="105">
        <f t="shared" si="129"/>
        <v>103.73</v>
      </c>
      <c r="G203" s="105">
        <f t="shared" si="130"/>
        <v>19.829999999999998</v>
      </c>
      <c r="H203" s="105">
        <f t="shared" si="131"/>
        <v>31.58</v>
      </c>
      <c r="I203" s="105">
        <f t="shared" si="132"/>
        <v>167.24</v>
      </c>
      <c r="J203" s="105">
        <f>VLOOKUP($A203,'Rate Calculation'!$A$4:$AZ$208,34,FALSE)</f>
        <v>0</v>
      </c>
      <c r="K203" s="105">
        <f t="shared" si="125"/>
        <v>322.38</v>
      </c>
      <c r="L203" s="164">
        <f t="shared" si="133"/>
        <v>0.98772000000000004</v>
      </c>
      <c r="M203" s="105">
        <f t="shared" si="126"/>
        <v>318.42</v>
      </c>
      <c r="N203" s="105">
        <f>VLOOKUP($A203,'Rate Calculation'!$A$4:$AL$208,38,FALSE)</f>
        <v>23.63</v>
      </c>
      <c r="O203" s="183">
        <f>VLOOKUP($A203,'Rate Calculation'!$A$4:$I$208,9,FALSE)</f>
        <v>1.4446000000000001</v>
      </c>
      <c r="P203" s="183">
        <f t="shared" si="127"/>
        <v>1.4432</v>
      </c>
      <c r="Q203" s="183">
        <f>VLOOKUP(A203,'CMI Data'!$A$4:$C$208,3,FALSE)</f>
        <v>1.3555999999999999</v>
      </c>
      <c r="R203" s="246">
        <f>VLOOKUP($A203,FRV!$A$4:$K$208,11,FALSE)</f>
        <v>41975</v>
      </c>
      <c r="S203" s="246">
        <f t="shared" si="128"/>
        <v>34222</v>
      </c>
      <c r="T203" s="246">
        <f>VLOOKUP($A203,FRV!$A$4:$L$208,12,FALSE)</f>
        <v>39138</v>
      </c>
      <c r="U203" s="183">
        <f>Inflation!$G$24</f>
        <v>1.0309999999999999</v>
      </c>
      <c r="V203" s="247">
        <f>VLOOKUP($A203,'Rate Calculation'!A204:X407,24,FALSE)</f>
        <v>100.61</v>
      </c>
      <c r="W203" s="110">
        <f t="shared" si="134"/>
        <v>103.73</v>
      </c>
      <c r="X203" s="110">
        <f>VLOOKUP($A203,'Rate Calculation'!A204:V407,22,FALSE)</f>
        <v>19.23</v>
      </c>
      <c r="Y203" s="110">
        <f t="shared" si="135"/>
        <v>19.829999999999998</v>
      </c>
      <c r="Z203" s="212">
        <f>VLOOKUP($A203,FRV!$A$4:$D$208,4,FALSE)</f>
        <v>44743</v>
      </c>
      <c r="AA203" s="212">
        <f>VLOOKUP($A203,FRV!$A$4:$F$208,6,FALSE)</f>
        <v>44926</v>
      </c>
      <c r="AB203" s="248">
        <f>VLOOKUP($A203,FRV!$A$4:$U$208,13,FALSE)</f>
        <v>10543114</v>
      </c>
      <c r="AC203" s="248">
        <f>VLOOKUP($A203,FRV!$A$4:$U$208,15,FALSE)</f>
        <v>314041</v>
      </c>
      <c r="AD203" s="248">
        <f>VLOOKUP($A203,FRV!$A$4:$U$208,14,FALSE)</f>
        <v>22000</v>
      </c>
      <c r="AE203" s="248">
        <f>VLOOKUP($A203,FRV!$A$4:$U$208,7,FALSE)</f>
        <v>115</v>
      </c>
      <c r="AF203" s="107">
        <f t="shared" si="136"/>
        <v>13387155</v>
      </c>
      <c r="AG203" s="107">
        <f t="shared" si="137"/>
        <v>116410</v>
      </c>
      <c r="AH203" s="107">
        <v>120000</v>
      </c>
      <c r="AI203" s="107">
        <f t="shared" si="138"/>
        <v>116410</v>
      </c>
      <c r="AJ203" s="107">
        <f t="shared" si="139"/>
        <v>13387150</v>
      </c>
      <c r="AK203" s="249">
        <f>IF(VLOOKUP($A203,'Rate Calculation'!$A$4:$D$208,4,FALSE)="baltimore city",0.1,0.08)</f>
        <v>0.08</v>
      </c>
      <c r="AL203" s="107">
        <f t="shared" si="140"/>
        <v>1070972</v>
      </c>
      <c r="AM203" s="105">
        <f>IF(ISERROR(MATCH(A203&amp;AA203,'Days Exceptions'!$C$3:$C$16,0)),ROUND(AL203/(MAX(S203,T203)),2),ROUND(AL203/VLOOKUP(A203,'Days Exceptions'!$A$3:$J$16,8,FALSE),2))</f>
        <v>27.36</v>
      </c>
      <c r="AN203" s="213">
        <f>VLOOKUP($A203,'Rate Calculation'!$A$4:$AF$208,32,FALSE)</f>
        <v>4.22</v>
      </c>
      <c r="AO203" s="109">
        <f t="shared" si="141"/>
        <v>31.58</v>
      </c>
      <c r="AP203" s="247">
        <f>VLOOKUP($A203,'Rate Calculation'!$A$4:$Q$208,17,FALSE)</f>
        <v>164.05</v>
      </c>
      <c r="AQ203" s="247">
        <f t="shared" si="155"/>
        <v>169.14</v>
      </c>
      <c r="AR203" s="247">
        <f>VLOOKUP($A203,'Rate Calculation'!$A$4:$K$208,11,FALSE)</f>
        <v>176.01</v>
      </c>
      <c r="AS203" s="247">
        <f t="shared" si="142"/>
        <v>181.47</v>
      </c>
      <c r="AT203" s="110">
        <f t="shared" si="143"/>
        <v>181.65</v>
      </c>
      <c r="AU203" s="110">
        <f t="shared" si="144"/>
        <v>170.46</v>
      </c>
      <c r="AV203" s="111">
        <f t="shared" si="145"/>
        <v>-3.22</v>
      </c>
      <c r="AW203" s="110">
        <f t="shared" si="146"/>
        <v>167.24</v>
      </c>
      <c r="AX203" s="105">
        <f t="shared" si="147"/>
        <v>158.72</v>
      </c>
      <c r="AY203" s="105">
        <f t="shared" si="148"/>
        <v>161.94</v>
      </c>
      <c r="AZ203" s="105">
        <f t="shared" si="149"/>
        <v>3.22</v>
      </c>
      <c r="BA203" s="105">
        <f t="shared" si="150"/>
        <v>238.76</v>
      </c>
      <c r="BB203" s="105">
        <f t="shared" si="151"/>
        <v>155.13999999999999</v>
      </c>
      <c r="BC203" s="110">
        <f t="shared" si="152"/>
        <v>342.05</v>
      </c>
      <c r="BD203" s="110">
        <f t="shared" si="153"/>
        <v>262.39</v>
      </c>
      <c r="BE203" s="110">
        <f t="shared" si="154"/>
        <v>178.77</v>
      </c>
      <c r="BF203" s="105"/>
      <c r="BG203" s="105"/>
      <c r="BH203" s="111"/>
      <c r="BI203" s="105"/>
      <c r="BJ203" s="105"/>
      <c r="BK203" s="109"/>
      <c r="BL203" s="111"/>
      <c r="BM203" s="109"/>
      <c r="BN203" s="109"/>
      <c r="BO203" s="105"/>
      <c r="BP203" s="105"/>
      <c r="BQ203" s="109"/>
      <c r="BR203" s="110"/>
      <c r="BS203" s="110"/>
      <c r="BT203" s="110"/>
      <c r="BU203" s="110"/>
      <c r="BV203" s="110"/>
      <c r="BW203" s="112"/>
      <c r="BX203" s="112"/>
      <c r="BY203" s="110"/>
      <c r="BZ203" s="105"/>
      <c r="CA203" s="105"/>
      <c r="CB203" s="105"/>
      <c r="CC203" s="105"/>
      <c r="CD203" s="105"/>
      <c r="CE203" s="105"/>
    </row>
    <row r="204" spans="1:108" x14ac:dyDescent="0.15">
      <c r="A204" s="98">
        <v>386</v>
      </c>
      <c r="B204" s="98" t="str">
        <f>VLOOKUP($A204,'Rate Calculation'!$A$4:$AQ$208,42,FALSE)</f>
        <v>423284400</v>
      </c>
      <c r="C204" s="98" t="str">
        <f>VLOOKUP($A204,'Rate Calculation'!$A$4:$AQ$208,43,FALSE)</f>
        <v>Westgate Hills Rehabilitation &amp; Healthcare Center</v>
      </c>
      <c r="D204" s="98" t="str">
        <f>VLOOKUP($A204,'Rate Calculation'!$A$4:$F$208,5,FALSE)</f>
        <v>BALTIMORE METRO</v>
      </c>
      <c r="E204" s="98" t="str">
        <f>VLOOKUP($A204,'Rate Calculation'!$A$4:$F$208,6,FALSE)</f>
        <v>BALTIMORE CITY</v>
      </c>
      <c r="F204" s="105">
        <f t="shared" si="129"/>
        <v>117.69</v>
      </c>
      <c r="G204" s="105">
        <f t="shared" si="130"/>
        <v>25.66</v>
      </c>
      <c r="H204" s="105">
        <f t="shared" si="131"/>
        <v>39.33</v>
      </c>
      <c r="I204" s="105">
        <f t="shared" si="132"/>
        <v>173.21</v>
      </c>
      <c r="J204" s="105">
        <f>VLOOKUP($A204,'Rate Calculation'!$A$4:$AZ$208,34,FALSE)</f>
        <v>0</v>
      </c>
      <c r="K204" s="105">
        <f t="shared" si="125"/>
        <v>355.89</v>
      </c>
      <c r="L204" s="164">
        <f t="shared" si="133"/>
        <v>0.98772000000000004</v>
      </c>
      <c r="M204" s="105">
        <f t="shared" si="126"/>
        <v>351.52</v>
      </c>
      <c r="N204" s="105">
        <f>VLOOKUP($A204,'Rate Calculation'!$A$4:$AL$208,38,FALSE)</f>
        <v>27.88</v>
      </c>
      <c r="O204" s="183">
        <f>VLOOKUP($A204,'Rate Calculation'!$A$4:$I$208,9,FALSE)</f>
        <v>1.4722</v>
      </c>
      <c r="P204" s="183">
        <f t="shared" si="127"/>
        <v>1.4432</v>
      </c>
      <c r="Q204" s="183">
        <f>VLOOKUP(A204,'CMI Data'!$A$4:$C$208,3,FALSE)</f>
        <v>1.5327999999999999</v>
      </c>
      <c r="R204" s="246">
        <f>VLOOKUP($A204,FRV!$A$4:$K$208,11,FALSE)</f>
        <v>43800</v>
      </c>
      <c r="S204" s="246">
        <f t="shared" si="128"/>
        <v>35710</v>
      </c>
      <c r="T204" s="246">
        <f>VLOOKUP($A204,FRV!$A$4:$L$208,12,FALSE)</f>
        <v>40496</v>
      </c>
      <c r="U204" s="183">
        <f>Inflation!$G$24</f>
        <v>1.0309999999999999</v>
      </c>
      <c r="V204" s="247">
        <f>VLOOKUP($A204,'Rate Calculation'!A205:X408,24,FALSE)</f>
        <v>114.15</v>
      </c>
      <c r="W204" s="110">
        <f t="shared" si="134"/>
        <v>117.69</v>
      </c>
      <c r="X204" s="110">
        <f>VLOOKUP($A204,'Rate Calculation'!A205:V408,22,FALSE)</f>
        <v>24.89</v>
      </c>
      <c r="Y204" s="110">
        <f t="shared" si="135"/>
        <v>25.66</v>
      </c>
      <c r="Z204" s="212">
        <f>VLOOKUP($A204,FRV!$A$4:$D$208,4,FALSE)</f>
        <v>44743</v>
      </c>
      <c r="AA204" s="212">
        <f>VLOOKUP($A204,FRV!$A$4:$F$208,6,FALSE)</f>
        <v>44926</v>
      </c>
      <c r="AB204" s="248">
        <f>VLOOKUP($A204,FRV!$A$4:$U$208,13,FALSE)</f>
        <v>15288927</v>
      </c>
      <c r="AC204" s="248">
        <f>VLOOKUP($A204,FRV!$A$4:$U$208,15,FALSE)</f>
        <v>380555</v>
      </c>
      <c r="AD204" s="248">
        <f>VLOOKUP($A204,FRV!$A$4:$U$208,14,FALSE)</f>
        <v>25000</v>
      </c>
      <c r="AE204" s="248">
        <f>VLOOKUP($A204,FRV!$A$4:$U$208,7,FALSE)</f>
        <v>120</v>
      </c>
      <c r="AF204" s="107">
        <f t="shared" si="136"/>
        <v>18669482</v>
      </c>
      <c r="AG204" s="107">
        <f t="shared" si="137"/>
        <v>155579</v>
      </c>
      <c r="AH204" s="107">
        <v>120000</v>
      </c>
      <c r="AI204" s="107">
        <f t="shared" si="138"/>
        <v>120000</v>
      </c>
      <c r="AJ204" s="107">
        <f t="shared" si="139"/>
        <v>14400000</v>
      </c>
      <c r="AK204" s="249">
        <f>IF(VLOOKUP($A204,'Rate Calculation'!$A$4:$D$208,4,FALSE)="baltimore city",0.1,0.08)</f>
        <v>0.1</v>
      </c>
      <c r="AL204" s="107">
        <f t="shared" si="140"/>
        <v>1440000</v>
      </c>
      <c r="AM204" s="105">
        <f>IF(ISERROR(MATCH(A204&amp;AA204,'Days Exceptions'!$C$3:$C$16,0)),ROUND(AL204/(MAX(S204,T204)),2),ROUND(AL204/VLOOKUP(A204,'Days Exceptions'!$A$3:$J$16,8,FALSE),2))</f>
        <v>35.56</v>
      </c>
      <c r="AN204" s="213">
        <f>VLOOKUP($A204,'Rate Calculation'!$A$4:$AF$208,32,FALSE)</f>
        <v>3.77</v>
      </c>
      <c r="AO204" s="109">
        <f t="shared" si="141"/>
        <v>39.33</v>
      </c>
      <c r="AP204" s="247">
        <f>VLOOKUP($A204,'Rate Calculation'!$A$4:$Q$208,17,FALSE)</f>
        <v>151.4</v>
      </c>
      <c r="AQ204" s="247">
        <f t="shared" si="155"/>
        <v>156.09</v>
      </c>
      <c r="AR204" s="247">
        <f>VLOOKUP($A204,'Rate Calculation'!$A$4:$K$208,11,FALSE)</f>
        <v>195.33</v>
      </c>
      <c r="AS204" s="247">
        <f t="shared" si="142"/>
        <v>201.39</v>
      </c>
      <c r="AT204" s="110">
        <f t="shared" si="143"/>
        <v>205.44</v>
      </c>
      <c r="AU204" s="110">
        <f t="shared" si="144"/>
        <v>213.9</v>
      </c>
      <c r="AV204" s="111">
        <f t="shared" si="145"/>
        <v>-40.69</v>
      </c>
      <c r="AW204" s="110">
        <f t="shared" si="146"/>
        <v>173.21</v>
      </c>
      <c r="AX204" s="105">
        <f t="shared" si="147"/>
        <v>162.52000000000001</v>
      </c>
      <c r="AY204" s="105">
        <f t="shared" si="148"/>
        <v>203.21</v>
      </c>
      <c r="AZ204" s="105">
        <f t="shared" si="149"/>
        <v>40.69</v>
      </c>
      <c r="BA204" s="105">
        <f t="shared" si="150"/>
        <v>269.29000000000002</v>
      </c>
      <c r="BB204" s="105">
        <f t="shared" si="151"/>
        <v>182.68</v>
      </c>
      <c r="BC204" s="110">
        <f t="shared" si="152"/>
        <v>379.4</v>
      </c>
      <c r="BD204" s="110">
        <f t="shared" si="153"/>
        <v>297.17</v>
      </c>
      <c r="BE204" s="110">
        <f t="shared" si="154"/>
        <v>210.56</v>
      </c>
      <c r="BF204" s="105"/>
      <c r="BG204" s="105"/>
      <c r="BH204" s="111"/>
      <c r="BI204" s="105"/>
      <c r="BJ204" s="105"/>
      <c r="BK204" s="109"/>
      <c r="BL204" s="111"/>
      <c r="BM204" s="109"/>
      <c r="BN204" s="109"/>
      <c r="BO204" s="105"/>
      <c r="BP204" s="105"/>
      <c r="BQ204" s="109"/>
      <c r="BR204" s="110"/>
      <c r="BS204" s="110"/>
      <c r="BT204" s="110"/>
      <c r="BU204" s="110"/>
      <c r="BV204" s="110"/>
      <c r="BW204" s="112"/>
      <c r="BX204" s="112"/>
      <c r="BY204" s="110"/>
      <c r="BZ204" s="105"/>
      <c r="CA204" s="105"/>
      <c r="CB204" s="105"/>
      <c r="CC204" s="105"/>
      <c r="CD204" s="105"/>
      <c r="CE204" s="105"/>
    </row>
    <row r="205" spans="1:108" x14ac:dyDescent="0.15">
      <c r="A205" s="115">
        <v>452</v>
      </c>
      <c r="B205" s="98" t="str">
        <f>VLOOKUP($A205,'Rate Calculation'!$A$4:$AQ$208,42,FALSE)</f>
        <v>500222200</v>
      </c>
      <c r="C205" s="98" t="str">
        <f>VLOOKUP($A205,'Rate Calculation'!$A$4:$AQ$208,43,FALSE)</f>
        <v>Westminster Healthcare Center</v>
      </c>
      <c r="D205" s="98" t="str">
        <f>VLOOKUP($A205,'Rate Calculation'!$A$4:$F$208,5,FALSE)</f>
        <v>BALTIMORE METRO</v>
      </c>
      <c r="E205" s="98" t="str">
        <f>VLOOKUP($A205,'Rate Calculation'!$A$4:$F$208,6,FALSE)</f>
        <v>BALTIMORE METRO</v>
      </c>
      <c r="F205" s="105">
        <f t="shared" si="129"/>
        <v>105.18</v>
      </c>
      <c r="G205" s="105">
        <f t="shared" si="130"/>
        <v>21.5</v>
      </c>
      <c r="H205" s="105">
        <f t="shared" si="131"/>
        <v>24.12</v>
      </c>
      <c r="I205" s="105">
        <f t="shared" si="132"/>
        <v>190.75</v>
      </c>
      <c r="J205" s="105">
        <f>VLOOKUP($A205,'Rate Calculation'!$A$4:$AZ$208,34,FALSE)</f>
        <v>0</v>
      </c>
      <c r="K205" s="105">
        <f t="shared" si="125"/>
        <v>341.55</v>
      </c>
      <c r="L205" s="164">
        <f t="shared" si="133"/>
        <v>0.98772000000000004</v>
      </c>
      <c r="M205" s="105">
        <f t="shared" si="126"/>
        <v>337.36</v>
      </c>
      <c r="N205" s="105">
        <f>VLOOKUP($A205,'Rate Calculation'!$A$4:$AL$208,38,FALSE)</f>
        <v>30.12</v>
      </c>
      <c r="O205" s="183">
        <f>VLOOKUP($A205,'Rate Calculation'!$A$4:$I$208,9,FALSE)</f>
        <v>1.2858000000000001</v>
      </c>
      <c r="P205" s="183">
        <f t="shared" si="127"/>
        <v>1.4432</v>
      </c>
      <c r="Q205" s="183">
        <f>VLOOKUP(A205,'CMI Data'!$A$4:$C$208,3,FALSE)</f>
        <v>1.3669</v>
      </c>
      <c r="R205" s="246">
        <f>VLOOKUP($A205,FRV!$A$4:$K$208,11,FALSE)</f>
        <v>57828</v>
      </c>
      <c r="S205" s="246">
        <f t="shared" si="128"/>
        <v>47147</v>
      </c>
      <c r="T205" s="246">
        <f>VLOOKUP($A205,FRV!$A$4:$L$208,12,FALSE)</f>
        <v>40785</v>
      </c>
      <c r="U205" s="183">
        <f>Inflation!$G$24</f>
        <v>1.0309999999999999</v>
      </c>
      <c r="V205" s="247">
        <f>VLOOKUP($A205,'Rate Calculation'!A206:X409,24,FALSE)</f>
        <v>102.02</v>
      </c>
      <c r="W205" s="110">
        <f t="shared" si="134"/>
        <v>105.18</v>
      </c>
      <c r="X205" s="110">
        <f>VLOOKUP($A205,'Rate Calculation'!A206:V409,22,FALSE)</f>
        <v>20.85</v>
      </c>
      <c r="Y205" s="110">
        <f t="shared" si="135"/>
        <v>21.5</v>
      </c>
      <c r="Z205" s="212">
        <f>VLOOKUP($A205,FRV!$A$4:$D$208,4,FALSE)</f>
        <v>45474</v>
      </c>
      <c r="AA205" s="212">
        <f>VLOOKUP($A205,FRV!$A$4:$F$208,6,FALSE)</f>
        <v>45473</v>
      </c>
      <c r="AB205" s="248">
        <f>VLOOKUP($A205,FRV!$A$4:$U$208,13,FALSE)</f>
        <v>10907304</v>
      </c>
      <c r="AC205" s="248">
        <f>VLOOKUP($A205,FRV!$A$4:$U$208,15,FALSE)</f>
        <v>259968</v>
      </c>
      <c r="AD205" s="248">
        <f>VLOOKUP($A205,FRV!$A$4:$U$208,14,FALSE)</f>
        <v>11000</v>
      </c>
      <c r="AE205" s="248">
        <f>VLOOKUP($A205,FRV!$A$4:$U$208,7,FALSE)</f>
        <v>158</v>
      </c>
      <c r="AF205" s="107">
        <f t="shared" si="136"/>
        <v>12905272</v>
      </c>
      <c r="AG205" s="107">
        <f t="shared" si="137"/>
        <v>81679</v>
      </c>
      <c r="AH205" s="107">
        <v>120000</v>
      </c>
      <c r="AI205" s="107">
        <f t="shared" si="138"/>
        <v>81679</v>
      </c>
      <c r="AJ205" s="107">
        <f t="shared" si="139"/>
        <v>12905282</v>
      </c>
      <c r="AK205" s="249">
        <f>IF(VLOOKUP($A205,'Rate Calculation'!$A$4:$D$208,4,FALSE)="baltimore city",0.1,0.08)</f>
        <v>0.08</v>
      </c>
      <c r="AL205" s="107">
        <f t="shared" si="140"/>
        <v>1032423</v>
      </c>
      <c r="AM205" s="105">
        <f>IF(ISERROR(MATCH(A205&amp;AA205,'Days Exceptions'!$C$3:$C$16,0)),ROUND(AL205/(MAX(S205,T205)),2),ROUND(AL205/VLOOKUP(A205,'Days Exceptions'!$A$3:$J$16,8,FALSE),2))</f>
        <v>21.9</v>
      </c>
      <c r="AN205" s="213">
        <f>VLOOKUP($A205,'Rate Calculation'!$A$4:$AF$208,32,FALSE)</f>
        <v>2.2200000000000002</v>
      </c>
      <c r="AO205" s="109">
        <f t="shared" si="141"/>
        <v>24.12</v>
      </c>
      <c r="AP205" s="247">
        <f>VLOOKUP($A205,'Rate Calculation'!$A$4:$Q$208,17,FALSE)</f>
        <v>174.5</v>
      </c>
      <c r="AQ205" s="247">
        <f t="shared" si="155"/>
        <v>179.91</v>
      </c>
      <c r="AR205" s="247">
        <f>VLOOKUP($A205,'Rate Calculation'!$A$4:$K$208,11,FALSE)</f>
        <v>195.33</v>
      </c>
      <c r="AS205" s="247">
        <f t="shared" si="142"/>
        <v>201.39</v>
      </c>
      <c r="AT205" s="110">
        <f t="shared" si="143"/>
        <v>179.43</v>
      </c>
      <c r="AU205" s="110">
        <f t="shared" si="144"/>
        <v>190.75</v>
      </c>
      <c r="AV205" s="111">
        <f t="shared" si="145"/>
        <v>0</v>
      </c>
      <c r="AW205" s="110">
        <f t="shared" si="146"/>
        <v>190.75</v>
      </c>
      <c r="AX205" s="105">
        <f t="shared" si="147"/>
        <v>191.26</v>
      </c>
      <c r="AY205" s="105">
        <f t="shared" si="148"/>
        <v>181.21</v>
      </c>
      <c r="AZ205" s="105">
        <f t="shared" si="149"/>
        <v>-10.050000000000001</v>
      </c>
      <c r="BA205" s="105">
        <f t="shared" si="150"/>
        <v>246.18</v>
      </c>
      <c r="BB205" s="105">
        <f t="shared" si="151"/>
        <v>150.80000000000001</v>
      </c>
      <c r="BC205" s="110">
        <f t="shared" si="152"/>
        <v>367.48</v>
      </c>
      <c r="BD205" s="110">
        <f t="shared" si="153"/>
        <v>276.3</v>
      </c>
      <c r="BE205" s="110">
        <f t="shared" si="154"/>
        <v>180.92</v>
      </c>
      <c r="BF205" s="105"/>
      <c r="BG205" s="105"/>
      <c r="BH205" s="111"/>
      <c r="BI205" s="105"/>
      <c r="BJ205" s="105"/>
      <c r="BK205" s="109"/>
      <c r="BL205" s="111"/>
      <c r="BM205" s="109"/>
      <c r="BN205" s="109"/>
      <c r="BO205" s="105"/>
      <c r="BP205" s="105"/>
      <c r="BQ205" s="109"/>
      <c r="BR205" s="110"/>
      <c r="BS205" s="110"/>
      <c r="BT205" s="110"/>
      <c r="BU205" s="110"/>
      <c r="BV205" s="110"/>
      <c r="BW205" s="112"/>
      <c r="BX205" s="112"/>
      <c r="BY205" s="110"/>
      <c r="BZ205" s="105"/>
      <c r="CA205" s="105"/>
      <c r="CB205" s="105"/>
      <c r="CC205" s="105"/>
      <c r="CD205" s="105"/>
      <c r="CE205" s="105"/>
    </row>
    <row r="206" spans="1:108" x14ac:dyDescent="0.15">
      <c r="A206" s="115">
        <v>454</v>
      </c>
      <c r="B206" s="98" t="str">
        <f>VLOOKUP($A206,'Rate Calculation'!$A$4:$AQ$208,42,FALSE)</f>
        <v>228687400</v>
      </c>
      <c r="C206" s="98" t="str">
        <f>VLOOKUP($A206,'Rate Calculation'!$A$4:$AQ$208,43,FALSE)</f>
        <v>Wicomico Nursing Home</v>
      </c>
      <c r="D206" s="98" t="str">
        <f>VLOOKUP($A206,'Rate Calculation'!$A$4:$F$208,5,FALSE)</f>
        <v>EASTERN REGION</v>
      </c>
      <c r="E206" s="98" t="str">
        <f>VLOOKUP($A206,'Rate Calculation'!$A$4:$F$208,6,FALSE)</f>
        <v>NON METRO</v>
      </c>
      <c r="F206" s="105">
        <f t="shared" si="129"/>
        <v>92.33</v>
      </c>
      <c r="G206" s="105">
        <f t="shared" si="130"/>
        <v>20.87</v>
      </c>
      <c r="H206" s="105">
        <f t="shared" si="131"/>
        <v>30.54</v>
      </c>
      <c r="I206" s="105">
        <f t="shared" si="132"/>
        <v>182.12</v>
      </c>
      <c r="J206" s="105">
        <f>VLOOKUP($A206,'Rate Calculation'!$A$4:$AZ$208,34,FALSE)</f>
        <v>0</v>
      </c>
      <c r="K206" s="105">
        <f>SUM(F206:J206)</f>
        <v>325.86</v>
      </c>
      <c r="L206" s="164">
        <f t="shared" si="133"/>
        <v>0.98772000000000004</v>
      </c>
      <c r="M206" s="105">
        <f t="shared" si="126"/>
        <v>321.86</v>
      </c>
      <c r="N206" s="105">
        <f>VLOOKUP($A206,'Rate Calculation'!$A$4:$AL$208,38,FALSE)</f>
        <v>28.26</v>
      </c>
      <c r="O206" s="183">
        <f>VLOOKUP($A206,'Rate Calculation'!$A$4:$I$208,9,FALSE)</f>
        <v>1.3137000000000001</v>
      </c>
      <c r="P206" s="183">
        <f t="shared" si="127"/>
        <v>1.4432</v>
      </c>
      <c r="Q206" s="183">
        <f>VLOOKUP(A206,'CMI Data'!$A$4:$C$208,3,FALSE)</f>
        <v>1.3683000000000001</v>
      </c>
      <c r="R206" s="246">
        <f>VLOOKUP($A206,FRV!$A$4:$K$208,11,FALSE)</f>
        <v>37230</v>
      </c>
      <c r="S206" s="246">
        <f t="shared" si="128"/>
        <v>30354</v>
      </c>
      <c r="T206" s="246">
        <f>VLOOKUP($A206,FRV!$A$4:$L$208,12,FALSE)</f>
        <v>26625</v>
      </c>
      <c r="U206" s="183">
        <f>Inflation!$G$24</f>
        <v>1.0309999999999999</v>
      </c>
      <c r="V206" s="247">
        <f>VLOOKUP($A206,'Rate Calculation'!A207:X410,24,FALSE)</f>
        <v>89.55</v>
      </c>
      <c r="W206" s="110">
        <f t="shared" si="134"/>
        <v>92.33</v>
      </c>
      <c r="X206" s="110">
        <f>VLOOKUP($A206,'Rate Calculation'!A207:V410,22,FALSE)</f>
        <v>20.239999999999998</v>
      </c>
      <c r="Y206" s="110">
        <f t="shared" si="135"/>
        <v>20.87</v>
      </c>
      <c r="Z206" s="212">
        <f>VLOOKUP($A206,FRV!$A$4:$D$208,4,FALSE)</f>
        <v>44743</v>
      </c>
      <c r="AA206" s="212">
        <f>VLOOKUP($A206,FRV!$A$4:$F$208,6,FALSE)</f>
        <v>44742</v>
      </c>
      <c r="AB206" s="248">
        <f>VLOOKUP($A206,FRV!$A$4:$U$208,13,FALSE)</f>
        <v>9523435</v>
      </c>
      <c r="AC206" s="248">
        <f>VLOOKUP($A206,FRV!$A$4:$U$208,15,FALSE)</f>
        <v>280228</v>
      </c>
      <c r="AD206" s="248">
        <f>VLOOKUP($A206,FRV!$A$4:$U$208,14,FALSE)</f>
        <v>17500</v>
      </c>
      <c r="AE206" s="248">
        <f>VLOOKUP($A206,FRV!$A$4:$U$208,7,FALSE)</f>
        <v>102</v>
      </c>
      <c r="AF206" s="107">
        <f t="shared" si="136"/>
        <v>11588663</v>
      </c>
      <c r="AG206" s="107">
        <f t="shared" si="137"/>
        <v>113614</v>
      </c>
      <c r="AH206" s="107">
        <v>120000</v>
      </c>
      <c r="AI206" s="107">
        <f t="shared" si="138"/>
        <v>113614</v>
      </c>
      <c r="AJ206" s="107">
        <f t="shared" si="139"/>
        <v>11588628</v>
      </c>
      <c r="AK206" s="249">
        <f>IF(VLOOKUP($A206,'Rate Calculation'!$A$4:$D$208,4,FALSE)="baltimore city",0.1,0.08)</f>
        <v>0.08</v>
      </c>
      <c r="AL206" s="107">
        <f t="shared" si="140"/>
        <v>927090</v>
      </c>
      <c r="AM206" s="105">
        <f>IF(ISERROR(MATCH(A206&amp;AA206,'Days Exceptions'!$C$3:$C$16,0)),ROUND(AL206/(MAX(S206,T206)),2),ROUND(AL206/VLOOKUP(A206,'Days Exceptions'!$A$3:$J$16,8,FALSE),2))</f>
        <v>30.54</v>
      </c>
      <c r="AN206" s="213">
        <f>VLOOKUP($A206,'Rate Calculation'!$A$4:$AF$208,32,FALSE)</f>
        <v>0</v>
      </c>
      <c r="AO206" s="109">
        <f t="shared" si="141"/>
        <v>30.54</v>
      </c>
      <c r="AP206" s="247">
        <f>VLOOKUP($A206,'Rate Calculation'!$A$4:$Q$208,17,FALSE)</f>
        <v>165.16</v>
      </c>
      <c r="AQ206" s="247">
        <f t="shared" si="155"/>
        <v>170.28</v>
      </c>
      <c r="AR206" s="247">
        <f>VLOOKUP($A206,'Rate Calculation'!$A$4:$K$208,11,FALSE)</f>
        <v>186.31</v>
      </c>
      <c r="AS206" s="247">
        <f t="shared" si="142"/>
        <v>192.09</v>
      </c>
      <c r="AT206" s="110">
        <f t="shared" si="143"/>
        <v>174.85</v>
      </c>
      <c r="AU206" s="110">
        <f t="shared" si="144"/>
        <v>182.12</v>
      </c>
      <c r="AV206" s="111">
        <f t="shared" si="145"/>
        <v>0</v>
      </c>
      <c r="AW206" s="110">
        <f t="shared" si="146"/>
        <v>182.12</v>
      </c>
      <c r="AX206" s="105">
        <f t="shared" si="147"/>
        <v>177.36</v>
      </c>
      <c r="AY206" s="105">
        <f t="shared" si="148"/>
        <v>173.01</v>
      </c>
      <c r="AZ206" s="105">
        <f t="shared" si="149"/>
        <v>-4.3499999999999996</v>
      </c>
      <c r="BA206" s="105">
        <f t="shared" si="150"/>
        <v>234.8</v>
      </c>
      <c r="BB206" s="105">
        <f t="shared" si="151"/>
        <v>143.74</v>
      </c>
      <c r="BC206" s="110">
        <f t="shared" si="152"/>
        <v>350.12</v>
      </c>
      <c r="BD206" s="110">
        <f t="shared" si="153"/>
        <v>263.06</v>
      </c>
      <c r="BE206" s="110">
        <f t="shared" si="154"/>
        <v>172</v>
      </c>
      <c r="BF206" s="105"/>
      <c r="BG206" s="105"/>
      <c r="BH206" s="111"/>
      <c r="BI206" s="105"/>
      <c r="BJ206" s="105"/>
      <c r="BK206" s="109"/>
      <c r="BL206" s="111"/>
      <c r="BM206" s="109"/>
      <c r="BN206" s="109"/>
      <c r="BO206" s="105"/>
      <c r="BP206" s="105"/>
      <c r="BQ206" s="109"/>
      <c r="BR206" s="110"/>
      <c r="BS206" s="110"/>
      <c r="BT206" s="110"/>
      <c r="BU206" s="110"/>
      <c r="BV206" s="110"/>
      <c r="BW206" s="112"/>
      <c r="BX206" s="112"/>
      <c r="BY206" s="110"/>
      <c r="BZ206" s="105"/>
      <c r="CA206" s="105"/>
      <c r="CB206" s="105"/>
      <c r="CC206" s="105"/>
      <c r="CD206" s="105"/>
      <c r="CE206" s="105"/>
    </row>
    <row r="207" spans="1:108" x14ac:dyDescent="0.15">
      <c r="A207" s="115">
        <v>458</v>
      </c>
      <c r="B207" s="98" t="str">
        <f>VLOOKUP($A207,'Rate Calculation'!$A$4:$AQ$208,42,FALSE)</f>
        <v>265222600</v>
      </c>
      <c r="C207" s="98" t="str">
        <f>VLOOKUP($A207,'Rate Calculation'!$A$4:$AQ$208,43,FALSE)</f>
        <v>Williamsport Health and Rehabilitation Center</v>
      </c>
      <c r="D207" s="98" t="str">
        <f>VLOOKUP($A207,'Rate Calculation'!$A$4:$F$208,5,FALSE)</f>
        <v>WESTERN REGION</v>
      </c>
      <c r="E207" s="98" t="str">
        <f>VLOOKUP($A207,'Rate Calculation'!$A$4:$F$208,6,FALSE)</f>
        <v>NON METRO</v>
      </c>
      <c r="F207" s="105">
        <f t="shared" si="129"/>
        <v>92.33</v>
      </c>
      <c r="G207" s="105">
        <f t="shared" si="130"/>
        <v>20.87</v>
      </c>
      <c r="H207" s="105">
        <f t="shared" si="131"/>
        <v>30.77</v>
      </c>
      <c r="I207" s="105">
        <f t="shared" si="132"/>
        <v>191.31</v>
      </c>
      <c r="J207" s="105">
        <f>VLOOKUP($A207,'Rate Calculation'!$A$4:$AZ$208,34,FALSE)</f>
        <v>0</v>
      </c>
      <c r="K207" s="105">
        <f t="shared" si="125"/>
        <v>335.28</v>
      </c>
      <c r="L207" s="164">
        <f t="shared" si="133"/>
        <v>0.98772000000000004</v>
      </c>
      <c r="M207" s="105">
        <f t="shared" si="126"/>
        <v>331.16</v>
      </c>
      <c r="N207" s="105">
        <f>VLOOKUP($A207,'Rate Calculation'!$A$4:$AL$208,38,FALSE)</f>
        <v>24.65</v>
      </c>
      <c r="O207" s="183">
        <f>VLOOKUP($A207,'Rate Calculation'!$A$4:$I$208,9,FALSE)</f>
        <v>1.4460999999999999</v>
      </c>
      <c r="P207" s="183">
        <f t="shared" si="127"/>
        <v>1.4432</v>
      </c>
      <c r="Q207" s="183">
        <f>VLOOKUP(A207,'CMI Data'!$A$4:$C$208,3,FALSE)</f>
        <v>1.6108</v>
      </c>
      <c r="R207" s="246">
        <f>VLOOKUP($A207,FRV!$A$4:$K$208,11,FALSE)</f>
        <v>46720</v>
      </c>
      <c r="S207" s="246">
        <f t="shared" si="128"/>
        <v>38091</v>
      </c>
      <c r="T207" s="246">
        <f>VLOOKUP($A207,FRV!$A$4:$L$208,12,FALSE)</f>
        <v>39972</v>
      </c>
      <c r="U207" s="183">
        <f>Inflation!$G$24</f>
        <v>1.0309999999999999</v>
      </c>
      <c r="V207" s="247">
        <f>VLOOKUP($A207,'Rate Calculation'!A208:X411,24,FALSE)</f>
        <v>89.55</v>
      </c>
      <c r="W207" s="110">
        <f t="shared" si="134"/>
        <v>92.33</v>
      </c>
      <c r="X207" s="110">
        <f>VLOOKUP($A207,'Rate Calculation'!A208:V411,22,FALSE)</f>
        <v>20.239999999999998</v>
      </c>
      <c r="Y207" s="110">
        <f t="shared" si="135"/>
        <v>20.87</v>
      </c>
      <c r="Z207" s="212">
        <f>VLOOKUP($A207,FRV!$A$4:$D$208,4,FALSE)</f>
        <v>44743</v>
      </c>
      <c r="AA207" s="212">
        <f>VLOOKUP($A207,FRV!$A$4:$F$208,6,FALSE)</f>
        <v>44742</v>
      </c>
      <c r="AB207" s="248">
        <f>VLOOKUP($A207,FRV!$A$4:$U$208,13,FALSE)</f>
        <v>21183655</v>
      </c>
      <c r="AC207" s="248">
        <f>VLOOKUP($A207,FRV!$A$4:$U$208,15,FALSE)</f>
        <v>532036</v>
      </c>
      <c r="AD207" s="248">
        <f>VLOOKUP($A207,FRV!$A$4:$U$208,14,FALSE)</f>
        <v>15000</v>
      </c>
      <c r="AE207" s="248">
        <f>VLOOKUP($A207,FRV!$A$4:$U$208,7,FALSE)</f>
        <v>128</v>
      </c>
      <c r="AF207" s="107">
        <f t="shared" si="136"/>
        <v>23635691</v>
      </c>
      <c r="AG207" s="107">
        <f t="shared" si="137"/>
        <v>184654</v>
      </c>
      <c r="AH207" s="107">
        <v>120000</v>
      </c>
      <c r="AI207" s="107">
        <f t="shared" si="138"/>
        <v>120000</v>
      </c>
      <c r="AJ207" s="107">
        <f t="shared" si="139"/>
        <v>15360000</v>
      </c>
      <c r="AK207" s="249">
        <f>IF(VLOOKUP($A207,'Rate Calculation'!$A$4:$D$208,4,FALSE)="baltimore city",0.1,0.08)</f>
        <v>0.08</v>
      </c>
      <c r="AL207" s="107">
        <f t="shared" si="140"/>
        <v>1228800</v>
      </c>
      <c r="AM207" s="105">
        <f>IF(ISERROR(MATCH(A207&amp;AA207,'Days Exceptions'!$C$3:$C$16,0)),ROUND(AL207/(MAX(S207,T207)),2),ROUND(AL207/VLOOKUP(A207,'Days Exceptions'!$A$3:$J$16,8,FALSE),2))</f>
        <v>30.74</v>
      </c>
      <c r="AN207" s="213">
        <f>VLOOKUP($A207,'Rate Calculation'!$A$4:$AF$208,32,FALSE)</f>
        <v>0.03</v>
      </c>
      <c r="AO207" s="109">
        <f t="shared" si="141"/>
        <v>30.77</v>
      </c>
      <c r="AP207" s="247">
        <f>VLOOKUP($A207,'Rate Calculation'!$A$4:$Q$208,17,FALSE)</f>
        <v>172.61</v>
      </c>
      <c r="AQ207" s="247">
        <f t="shared" si="155"/>
        <v>177.96</v>
      </c>
      <c r="AR207" s="247">
        <f>VLOOKUP($A207,'Rate Calculation'!$A$4:$K$208,11,FALSE)</f>
        <v>166.26</v>
      </c>
      <c r="AS207" s="247">
        <f t="shared" si="142"/>
        <v>171.41</v>
      </c>
      <c r="AT207" s="110">
        <f t="shared" si="143"/>
        <v>171.75</v>
      </c>
      <c r="AU207" s="110">
        <f t="shared" si="144"/>
        <v>191.31</v>
      </c>
      <c r="AV207" s="111">
        <f t="shared" si="145"/>
        <v>0</v>
      </c>
      <c r="AW207" s="110">
        <f t="shared" si="146"/>
        <v>191.31</v>
      </c>
      <c r="AX207" s="105">
        <f t="shared" si="147"/>
        <v>198.23</v>
      </c>
      <c r="AY207" s="105">
        <f t="shared" si="148"/>
        <v>181.74</v>
      </c>
      <c r="AZ207" s="105">
        <f t="shared" si="149"/>
        <v>-16.489999999999998</v>
      </c>
      <c r="BA207" s="105">
        <f t="shared" si="150"/>
        <v>239.63</v>
      </c>
      <c r="BB207" s="105">
        <f t="shared" si="151"/>
        <v>143.97</v>
      </c>
      <c r="BC207" s="110">
        <f t="shared" si="152"/>
        <v>355.81</v>
      </c>
      <c r="BD207" s="110">
        <f t="shared" si="153"/>
        <v>264.27999999999997</v>
      </c>
      <c r="BE207" s="110">
        <f t="shared" si="154"/>
        <v>168.62</v>
      </c>
      <c r="BF207" s="105"/>
      <c r="BG207" s="105"/>
      <c r="BH207" s="111"/>
      <c r="BI207" s="105"/>
      <c r="BJ207" s="105"/>
      <c r="BK207" s="109"/>
      <c r="BL207" s="111"/>
      <c r="BM207" s="109"/>
      <c r="BN207" s="109"/>
      <c r="BO207" s="105"/>
      <c r="BP207" s="105"/>
      <c r="BQ207" s="109"/>
      <c r="BR207" s="110"/>
      <c r="BS207" s="110"/>
      <c r="BT207" s="110"/>
      <c r="BU207" s="110"/>
      <c r="BV207" s="110"/>
      <c r="BW207" s="112"/>
      <c r="BX207" s="112"/>
      <c r="BY207" s="110"/>
      <c r="BZ207" s="105"/>
      <c r="CA207" s="105"/>
      <c r="CB207" s="105"/>
      <c r="CC207" s="105"/>
      <c r="CD207" s="105"/>
      <c r="CE207" s="105"/>
    </row>
    <row r="208" spans="1:108" x14ac:dyDescent="0.15">
      <c r="AB208" s="108"/>
      <c r="AC208" s="108"/>
      <c r="AD208" s="107"/>
      <c r="AE208" s="107"/>
      <c r="AF208" s="107"/>
      <c r="AH208" s="107"/>
      <c r="AI208" s="107"/>
      <c r="AJ208" s="107"/>
      <c r="AK208" s="107"/>
      <c r="AL208" s="107"/>
      <c r="AM208" s="214"/>
      <c r="AN208" s="107"/>
      <c r="AO208" s="109"/>
      <c r="AP208" s="109"/>
      <c r="AQ208" s="109"/>
      <c r="AT208" s="109"/>
      <c r="AU208" s="109"/>
      <c r="AV208" s="109"/>
      <c r="AW208" s="109"/>
      <c r="AX208" s="109"/>
      <c r="BB208" s="105"/>
      <c r="BC208" s="105"/>
      <c r="BD208" s="105"/>
      <c r="BG208" s="105"/>
      <c r="CI208" s="107"/>
      <c r="CJ208" s="107"/>
      <c r="CM208" s="107"/>
      <c r="CN208" s="107"/>
      <c r="CO208" s="105"/>
      <c r="CP208" s="105"/>
      <c r="CQ208" s="105"/>
      <c r="CS208" s="108"/>
      <c r="CT208" s="108"/>
      <c r="CU208" s="107"/>
      <c r="DB208" s="98">
        <f>SUM(CF3:CF207)</f>
        <v>0</v>
      </c>
      <c r="DC208" s="98">
        <f>SUM(CG3:CG207)</f>
        <v>0</v>
      </c>
      <c r="DD208" s="98">
        <f>SUM(CH3:CH207)</f>
        <v>0</v>
      </c>
    </row>
    <row r="209" spans="1:62" ht="98" x14ac:dyDescent="0.15">
      <c r="B209" s="354" t="s">
        <v>1866</v>
      </c>
      <c r="C209" s="354"/>
      <c r="D209" s="99" t="s">
        <v>320</v>
      </c>
      <c r="E209" s="99" t="s">
        <v>321</v>
      </c>
      <c r="F209" s="99" t="str">
        <f>VLOOKUP(F210,'Vent Profile'!$A$26:$E$89,2,FALSE)</f>
        <v>Administrative and Routine (Line 18)</v>
      </c>
      <c r="G209" s="99" t="str">
        <f>VLOOKUP(G210,'Vent Profile'!$A$26:$E$89,2,FALSE)</f>
        <v>Other Patient Care (Line 20)</v>
      </c>
      <c r="H209" s="99" t="str">
        <f>VLOOKUP(H210,'Vent Profile'!$A$26:$E$89,2,FALSE)</f>
        <v>Capital (Line 36)</v>
      </c>
      <c r="I209" s="99" t="str">
        <f>VLOOKUP(I210,'Vent Profile'!$A$26:$E$89,2,FALSE)</f>
        <v>Nursing Service (Line 44)</v>
      </c>
      <c r="J209" s="99" t="str">
        <f>VLOOKUP(J210,'Vent Profile'!$A$26:$E$89,2,FALSE)</f>
        <v>Total Kosher Kitchen Add On</v>
      </c>
      <c r="K209" s="99" t="str">
        <f>VLOOKUP(K210,'Vent Profile'!$A$26:$E$89,2,FALSE)</f>
        <v xml:space="preserve">   Total Rate for All Levels (Sum of Lines 1 - 5) </v>
      </c>
      <c r="L209" s="99" t="str">
        <f>VLOOKUP(L210,'Vent Profile'!$A$26:$E$89,2,FALSE)</f>
        <v>Budget Adjustment Factor</v>
      </c>
      <c r="M209" s="99" t="str">
        <f>VLOOKUP(M210,'Vent Profile'!$A$26:$E$89,2,FALSE)</f>
        <v xml:space="preserve">   Final Adjusted Rate  (Line 6 x Line 7)</v>
      </c>
      <c r="N209" s="99" t="s">
        <v>313</v>
      </c>
      <c r="O209" s="99" t="s">
        <v>481</v>
      </c>
      <c r="P209" s="99" t="str">
        <f>VLOOKUP(P210,'Vent Profile'!$A$26:$E$89,2,FALSE)</f>
        <v>Quality Assessment Add On</v>
      </c>
      <c r="Q209" s="99" t="str">
        <f>VLOOKUP(Q210,'Vent Profile'!$A$26:$E$89,2,FALSE)</f>
        <v>Cost Report Period CMI (See July 2024 letter)</v>
      </c>
      <c r="R209" s="99" t="str">
        <f>VLOOKUP(R210,'Vent Profile'!$A$26:$E$89,2,FALSE)</f>
        <v>Statewide Average CMI</v>
      </c>
      <c r="S209" s="99" t="str">
        <f>VLOOKUP(S210,'Vent Profile'!$A$26:$E$89,2,FALSE)</f>
        <v>Quarter Ending 03/31/2025 Facility Average Medicaid CMI (1)</v>
      </c>
      <c r="T209" s="99" t="str">
        <f>VLOOKUP(T210,'Vent Profile'!$A$26:$E$89,2,FALSE)</f>
        <v>Annualized Available Days for Capital Rate</v>
      </c>
      <c r="U209" s="99" t="str">
        <f>VLOOKUP(U210,'Vent Profile'!$A$26:$E$89,2,FALSE)</f>
        <v>Annualized Days at Occupancy Threshold (Line 13 x .8153)</v>
      </c>
      <c r="V209" s="99" t="str">
        <f>VLOOKUP(V210,'Vent Profile'!$A$26:$E$89,2,FALSE)</f>
        <v>Annualized Actual Days for Capital Rate</v>
      </c>
      <c r="W209" s="99" t="str">
        <f>VLOOKUP(W210,'Vent Profile'!$A$26:$E$89,2,FALSE)</f>
        <v>Index from Midpoint of 2024-2025 to Midpoint of 2025-2026</v>
      </c>
      <c r="X209" s="99" t="str">
        <f>VLOOKUP(X210,'Vent Profile'!$A$26:$E$89,2,FALSE)</f>
        <v>Regional Price (See July 2024 letter)</v>
      </c>
      <c r="Y209" s="99" t="str">
        <f>VLOOKUP(Y210,'Vent Profile'!$A$26:$E$89,2,FALSE)</f>
        <v>Indexed Regional Price (Line 16 x Line 17)</v>
      </c>
      <c r="Z209" s="99" t="str">
        <f>VLOOKUP(Z210,'Vent Profile'!$A$26:$E$89,2,FALSE)</f>
        <v>Regional Price (See July 2024 letter)</v>
      </c>
      <c r="AA209" s="99" t="str">
        <f>VLOOKUP(AA210,'Vent Profile'!$A$26:$E$89,2,FALSE)</f>
        <v>Indexed Regional Price (Line 16 x Line 19)</v>
      </c>
      <c r="AB209" s="99" t="str">
        <f>VLOOKUP(AB210,'Vent Profile'!$A$26:$E$89,2,FALSE)</f>
        <v>Appraisal Effective Date</v>
      </c>
      <c r="AC209" s="99" t="str">
        <f>VLOOKUP(AC210,'Vent Profile'!$A$26:$E$89,2,FALSE)</f>
        <v>Cost Report End Date Used for Statistics</v>
      </c>
      <c r="AD209" s="99" t="str">
        <f>VLOOKUP(AD210,'Vent Profile'!$A$26:$E$89,2,FALSE)</f>
        <v>Building</v>
      </c>
      <c r="AE209" s="99" t="str">
        <f>VLOOKUP(AE210,'Vent Profile'!$A$26:$E$89,2,FALSE)</f>
        <v>Equipment</v>
      </c>
      <c r="AF209" s="99" t="str">
        <f>VLOOKUP(AF210,'Vent Profile'!$A$26:$E$89,2,FALSE)</f>
        <v>Land Per Bed</v>
      </c>
      <c r="AG209" s="99" t="str">
        <f>VLOOKUP(AG210,'Vent Profile'!$A$26:$E$89,2,FALSE)</f>
        <v>Ending Comprehensive Beds From Cost Report Covering the Appraisal Effective Date</v>
      </c>
      <c r="AH209" s="99" t="str">
        <f>VLOOKUP(AH210,'Vent Profile'!$A$26:$E$89,2,FALSE)</f>
        <v>Total Appraisal Amount (Line 23 + Line 24 + (Line 25 x Line 26))</v>
      </c>
      <c r="AI209" s="99" t="str">
        <f>VLOOKUP(AI210,'Vent Profile'!$A$26:$E$89,2,FALSE)</f>
        <v>Appraised Value Per Bed (Line 27 ÷ Line 26)</v>
      </c>
      <c r="AJ209" s="99" t="str">
        <f>VLOOKUP(AJ210,'Vent Profile'!$A$26:$E$89,2,FALSE)</f>
        <v>Maximum Appraised Value Per Bed</v>
      </c>
      <c r="AK209" s="99" t="str">
        <f>VLOOKUP(AK210,'Vent Profile'!$A$26:$E$89,2,FALSE)</f>
        <v>Final Appraised Value Per Bed (Line 28 Capped at Line 29)</v>
      </c>
      <c r="AL209" s="99" t="str">
        <f>VLOOKUP(AL210,'Vent Profile'!$A$26:$E$89,2,FALSE)</f>
        <v>Gross Value (Line 26 x Line 30)</v>
      </c>
      <c r="AM209" s="99" t="str">
        <f>VLOOKUP(AM210,'Vent Profile'!$A$26:$E$89,2,FALSE)</f>
        <v>Rental Factor</v>
      </c>
      <c r="AN209" s="99" t="str">
        <f>VLOOKUP(AN210,'Vent Profile'!$A$26:$E$89,2,FALSE)</f>
        <v>Facility Annual Fair Rental Value (Line 26 x Line 30 x Line 32)</v>
      </c>
      <c r="AO209" s="99" t="str">
        <f>VLOOKUP(AO210,'Vent Profile'!$A$26:$E$89,2,FALSE)</f>
        <v>Fair Rental Value Per Diem (Line 33 ÷ Higher of Line 14 or Line 15)</v>
      </c>
      <c r="AP209" s="99" t="str">
        <f>VLOOKUP(AP210,'Vent Profile'!$A$26:$E$89,2,FALSE)</f>
        <v>Real Estate Tax Per Diem</v>
      </c>
      <c r="AQ209" s="99" t="str">
        <f>VLOOKUP(AQ210,'Vent Profile'!$A$26:$E$89,2,FALSE)</f>
        <v>Capital Cost Center Rate (Line 34 + Line 35)</v>
      </c>
      <c r="AR209" s="99" t="str">
        <f>VLOOKUP(AR210,'Vent Profile'!$A$26:$E$89,2,FALSE)</f>
        <v>Nursing Service Cost Per Diem (See July 2024 letter)</v>
      </c>
      <c r="AS209" s="99" t="str">
        <f>VLOOKUP(AS210,'Vent Profile'!$A$26:$E$89,2,FALSE)</f>
        <v>Indexed Nursing Service Cost Per Diem (Line 16 x Line 37)</v>
      </c>
      <c r="AT209" s="99" t="str">
        <f>VLOOKUP(AT210,'Vent Profile'!$A$26:$E$89,2,FALSE)</f>
        <v>Nursing Service Price</v>
      </c>
      <c r="AU209" s="99" t="str">
        <f>VLOOKUP(AU210,'Vent Profile'!$A$26:$E$89,2,FALSE)</f>
        <v>Indexed Regional Price (Line 16 x Line 39)</v>
      </c>
      <c r="AV209" s="99" t="str">
        <f>VLOOKUP(AV210,'Vent Profile'!$A$26:$E$89,2,FALSE)</f>
        <v>Adjusted to Facility Total Facility CMI (Line 40 x Line 10 ÷ Line 11)</v>
      </c>
      <c r="AW209" s="99" t="str">
        <f>VLOOKUP(AW210,'Vent Profile'!$A$26:$E$89,2,FALSE)</f>
        <v>Initial Nursing Service Rate (Line 41 x Line 12 ÷ Line 10)</v>
      </c>
      <c r="AX209" s="99" t="str">
        <f>VLOOKUP(AX210,'Vent Profile'!$A$26:$E$89,2,FALSE)</f>
        <v>Less Positive Difference Between Line 46 and Initial Nursing Service Rate (max(0,Line 47))</v>
      </c>
      <c r="AY209" s="99" t="str">
        <f>VLOOKUP(AY210,'Vent Profile'!$A$26:$E$89,2,FALSE)</f>
        <v>Final Nursing Service Rate Per Day (Line 42 + Line 43)</v>
      </c>
      <c r="AZ209" s="99" t="str">
        <f>VLOOKUP(AZ210,'Vent Profile'!$A$26:$E$89,2,FALSE)</f>
        <v>Medicaid Adjusted Nursing Service Cost Per Diem (Line 38 x Line 12 ÷ Line 10)</v>
      </c>
      <c r="BA209" s="99" t="str">
        <f>VLOOKUP(BA210,'Vent Profile'!$A$26:$E$89,2,FALSE)</f>
        <v>95% of Initial Nursing Service Rate (Line 42 x .95)</v>
      </c>
      <c r="BB209" s="99" t="str">
        <f>VLOOKUP(BB210,'Vent Profile'!$A$26:$E$89,2,FALSE)</f>
        <v>Difference Between Line 46 and Medicaid Adjusted Nursing Service Cost Per Diem (Line 46 - Line 45)</v>
      </c>
      <c r="BC209" s="99" t="s">
        <v>758</v>
      </c>
      <c r="BD209" s="99"/>
      <c r="BE209" s="99"/>
      <c r="BI209" s="99"/>
      <c r="BJ209" s="99"/>
    </row>
    <row r="210" spans="1:62" x14ac:dyDescent="0.15">
      <c r="A210" s="101" t="s">
        <v>145</v>
      </c>
      <c r="B210" s="101" t="s">
        <v>325</v>
      </c>
      <c r="C210" s="101" t="s">
        <v>265</v>
      </c>
      <c r="D210" s="101"/>
      <c r="E210" s="104" t="s">
        <v>326</v>
      </c>
      <c r="F210" s="101">
        <v>1</v>
      </c>
      <c r="G210" s="101">
        <f>+F210+1</f>
        <v>2</v>
      </c>
      <c r="H210" s="101">
        <f t="shared" ref="H210:K210" si="156">+G210+1</f>
        <v>3</v>
      </c>
      <c r="I210" s="101">
        <f t="shared" si="156"/>
        <v>4</v>
      </c>
      <c r="J210" s="101">
        <f t="shared" si="156"/>
        <v>5</v>
      </c>
      <c r="K210" s="101">
        <f t="shared" si="156"/>
        <v>6</v>
      </c>
      <c r="L210" s="101">
        <v>7</v>
      </c>
      <c r="M210" s="101">
        <v>8</v>
      </c>
      <c r="N210" s="101" t="s">
        <v>538</v>
      </c>
      <c r="O210" s="101" t="s">
        <v>539</v>
      </c>
      <c r="P210" s="101">
        <v>9</v>
      </c>
      <c r="Q210" s="101">
        <f>+P210+1</f>
        <v>10</v>
      </c>
      <c r="R210" s="101">
        <f t="shared" ref="R210:BB210" si="157">+Q210+1</f>
        <v>11</v>
      </c>
      <c r="S210" s="101">
        <f>+R210+1</f>
        <v>12</v>
      </c>
      <c r="T210" s="101">
        <f t="shared" si="157"/>
        <v>13</v>
      </c>
      <c r="U210" s="101">
        <f t="shared" si="157"/>
        <v>14</v>
      </c>
      <c r="V210" s="101">
        <f t="shared" si="157"/>
        <v>15</v>
      </c>
      <c r="W210" s="101">
        <f t="shared" si="157"/>
        <v>16</v>
      </c>
      <c r="X210" s="101">
        <f t="shared" si="157"/>
        <v>17</v>
      </c>
      <c r="Y210" s="101">
        <f t="shared" si="157"/>
        <v>18</v>
      </c>
      <c r="Z210" s="101">
        <f t="shared" si="157"/>
        <v>19</v>
      </c>
      <c r="AA210" s="101">
        <f t="shared" si="157"/>
        <v>20</v>
      </c>
      <c r="AB210" s="101">
        <f t="shared" si="157"/>
        <v>21</v>
      </c>
      <c r="AC210" s="101">
        <f t="shared" si="157"/>
        <v>22</v>
      </c>
      <c r="AD210" s="101">
        <f t="shared" si="157"/>
        <v>23</v>
      </c>
      <c r="AE210" s="101">
        <f t="shared" si="157"/>
        <v>24</v>
      </c>
      <c r="AF210" s="101">
        <f t="shared" si="157"/>
        <v>25</v>
      </c>
      <c r="AG210" s="101">
        <f t="shared" si="157"/>
        <v>26</v>
      </c>
      <c r="AH210" s="101">
        <f t="shared" si="157"/>
        <v>27</v>
      </c>
      <c r="AI210" s="101">
        <f t="shared" si="157"/>
        <v>28</v>
      </c>
      <c r="AJ210" s="101">
        <f t="shared" si="157"/>
        <v>29</v>
      </c>
      <c r="AK210" s="101">
        <f t="shared" si="157"/>
        <v>30</v>
      </c>
      <c r="AL210" s="101">
        <f t="shared" si="157"/>
        <v>31</v>
      </c>
      <c r="AM210" s="101">
        <f t="shared" si="157"/>
        <v>32</v>
      </c>
      <c r="AN210" s="101">
        <f t="shared" si="157"/>
        <v>33</v>
      </c>
      <c r="AO210" s="101">
        <f t="shared" si="157"/>
        <v>34</v>
      </c>
      <c r="AP210" s="101">
        <f t="shared" si="157"/>
        <v>35</v>
      </c>
      <c r="AQ210" s="101">
        <f t="shared" si="157"/>
        <v>36</v>
      </c>
      <c r="AR210" s="101">
        <f t="shared" si="157"/>
        <v>37</v>
      </c>
      <c r="AS210" s="101">
        <f t="shared" si="157"/>
        <v>38</v>
      </c>
      <c r="AT210" s="101">
        <f t="shared" si="157"/>
        <v>39</v>
      </c>
      <c r="AU210" s="101">
        <f t="shared" si="157"/>
        <v>40</v>
      </c>
      <c r="AV210" s="101">
        <f t="shared" si="157"/>
        <v>41</v>
      </c>
      <c r="AW210" s="101">
        <f t="shared" si="157"/>
        <v>42</v>
      </c>
      <c r="AX210" s="101">
        <f t="shared" si="157"/>
        <v>43</v>
      </c>
      <c r="AY210" s="101">
        <f t="shared" si="157"/>
        <v>44</v>
      </c>
      <c r="AZ210" s="101">
        <f t="shared" si="157"/>
        <v>45</v>
      </c>
      <c r="BA210" s="101">
        <f t="shared" si="157"/>
        <v>46</v>
      </c>
      <c r="BB210" s="101">
        <f t="shared" si="157"/>
        <v>47</v>
      </c>
      <c r="BC210" s="101">
        <v>48</v>
      </c>
      <c r="BI210" s="101"/>
      <c r="BJ210" s="101"/>
    </row>
    <row r="211" spans="1:62" x14ac:dyDescent="0.15">
      <c r="A211" s="115">
        <v>741</v>
      </c>
      <c r="B211" s="98" t="str">
        <f>VLOOKUP($A211,'Vent Rate Calculation'!$A$4:$AQ$21,42,FALSE)</f>
        <v>510643500</v>
      </c>
      <c r="C211" s="98" t="str">
        <f>VLOOKUP($A211,'Vent Rate Calculation'!$A$4:$AQ$21,43,FALSE)</f>
        <v>Autumn Lake Healthcare at Bridgepark</v>
      </c>
      <c r="D211" s="98" t="str">
        <f>VLOOKUP($A211,'Vent Rate Calculation'!$A$4:$F$21,5,FALSE)</f>
        <v>BALTIMORE METRO</v>
      </c>
      <c r="E211" s="98" t="str">
        <f>VLOOKUP($A211,'Vent Rate Calculation'!$A$4:$F$21,6,FALSE)</f>
        <v>BALTIMORE CITY</v>
      </c>
      <c r="F211" s="105">
        <f>+Y211</f>
        <v>117.69</v>
      </c>
      <c r="G211" s="105">
        <f>+AA211</f>
        <v>25.66</v>
      </c>
      <c r="H211" s="105">
        <f>+AQ211</f>
        <v>41.14</v>
      </c>
      <c r="I211" s="105">
        <f>+AY211</f>
        <v>535.85</v>
      </c>
      <c r="J211" s="105">
        <f>VLOOKUP($A211,'Vent Rate Calculation'!$A$4:$AZ$21,34,FALSE)</f>
        <v>0</v>
      </c>
      <c r="K211" s="105">
        <f>SUM(F211:J211)</f>
        <v>720.34</v>
      </c>
      <c r="L211" s="164">
        <f t="shared" ref="L211:L228" si="158">+_baf</f>
        <v>0.98772000000000004</v>
      </c>
      <c r="M211" s="105">
        <f>ROUND(K211*L211,2)</f>
        <v>711.49</v>
      </c>
      <c r="N211" s="105">
        <v>285</v>
      </c>
      <c r="O211" s="105">
        <f>+N211+M211</f>
        <v>996.49</v>
      </c>
      <c r="P211" s="105">
        <f>VLOOKUP(A211,'Vent Rate Calculation'!$A$4:$AL$21,38,FALSE)</f>
        <v>26.91</v>
      </c>
      <c r="Q211" s="183">
        <f>VLOOKUP($A211,'Vent Rate Calculation'!$A$4:$I$21,9,FALSE)</f>
        <v>2.0203000000000002</v>
      </c>
      <c r="R211" s="183">
        <f t="shared" ref="R211:R228" si="159">+SW_CR_CMI</f>
        <v>1.4432</v>
      </c>
      <c r="S211" s="183">
        <f>VLOOKUP(A211,'CMI Data'!$A$4:$F$208,6,FALSE)</f>
        <v>3.84</v>
      </c>
      <c r="T211" s="246">
        <f>VLOOKUP($A211,FRV!$A$4:$K$208,11,FALSE)</f>
        <v>36234</v>
      </c>
      <c r="U211" s="246">
        <f t="shared" ref="U211:U228" si="160">ROUND(T211*Min_Occ,2)</f>
        <v>29542</v>
      </c>
      <c r="V211" s="246">
        <f>VLOOKUP($A211,FRV!$A$4:$L$208,12,FALSE)</f>
        <v>32015</v>
      </c>
      <c r="W211" s="183">
        <f>Inflation!$G$24</f>
        <v>1.0309999999999999</v>
      </c>
      <c r="X211" s="247">
        <f>VLOOKUP($A211,'Vent Rate Calculation'!A4:X21,24,FALSE)</f>
        <v>114.15</v>
      </c>
      <c r="Y211" s="110">
        <f>ROUND(X211*$W211,2)</f>
        <v>117.69</v>
      </c>
      <c r="Z211" s="110">
        <f>VLOOKUP($A211,'Vent Rate Calculation'!$A$4:$V$21,22,FALSE)</f>
        <v>24.89</v>
      </c>
      <c r="AA211" s="110">
        <f>ROUND(Z211*$W211,2)</f>
        <v>25.66</v>
      </c>
      <c r="AB211" s="212">
        <f>VLOOKUP($A211,FRV!$A$4:$D$208,4,FALSE)</f>
        <v>45474</v>
      </c>
      <c r="AC211" s="212">
        <f>VLOOKUP($A211,FRV!$A$4:$F$208,6,FALSE)</f>
        <v>45657</v>
      </c>
      <c r="AD211" s="248">
        <f>VLOOKUP($A211,FRV!$A$4:$U$208,13,FALSE)</f>
        <v>12302087</v>
      </c>
      <c r="AE211" s="248">
        <f>VLOOKUP($A211,FRV!$A$4:$U$208,15,FALSE)</f>
        <v>219132</v>
      </c>
      <c r="AF211" s="248">
        <f>VLOOKUP($A211,FRV!$A$4:$U$208,14,FALSE)</f>
        <v>16000</v>
      </c>
      <c r="AG211" s="248">
        <f>VLOOKUP($A211,FRV!$A$4:$U$208,7,FALSE)</f>
        <v>99</v>
      </c>
      <c r="AH211" s="107">
        <f>ROUND(AD211+AE211+(AF211*AG211),0)</f>
        <v>14105219</v>
      </c>
      <c r="AI211" s="107">
        <f>ROUND(AH211/AG211,0)</f>
        <v>142477</v>
      </c>
      <c r="AJ211" s="107">
        <v>120000</v>
      </c>
      <c r="AK211" s="107">
        <f>IF(AI211=0,120000,MIN(AJ211,AI211))</f>
        <v>120000</v>
      </c>
      <c r="AL211" s="107">
        <f>AG211*AK211</f>
        <v>11880000</v>
      </c>
      <c r="AM211" s="249">
        <f>IF(VLOOKUP($A211,'Rate Calculation'!$A$4:$D$208,4,FALSE)="baltimore city",0.1,0.08)</f>
        <v>0.1</v>
      </c>
      <c r="AN211" s="107">
        <f t="shared" ref="AN211:AN228" si="161">ROUND(AG211*AK211*AM211,0)</f>
        <v>1188000</v>
      </c>
      <c r="AO211" s="105">
        <f>IF(ISERROR(MATCH(A211&amp;AC211,'Days Exceptions'!$C$3:$C$16,0)),ROUND(AN211/(MAX(U211,V211)),2),ROUND(AN211/VLOOKUP(A211,'Days Exceptions'!$A$3:$J$16,8,FALSE),2))</f>
        <v>37.11</v>
      </c>
      <c r="AP211" s="213">
        <f>VLOOKUP($A211,'Vent Rate Calculation'!$A$4:$AF$21,32,FALSE)</f>
        <v>4.03</v>
      </c>
      <c r="AQ211" s="109">
        <f t="shared" ref="AQ211:AQ228" si="162">+AO211+AP211</f>
        <v>41.14</v>
      </c>
      <c r="AR211" s="247">
        <f>VLOOKUP($A211,'Vent Rate Calculation'!$A$4:$Q$21,17,FALSE)</f>
        <v>261.45</v>
      </c>
      <c r="AS211" s="247">
        <f>ROUND(AR211*W211,2)</f>
        <v>269.55</v>
      </c>
      <c r="AT211" s="247">
        <f>VLOOKUP($A211,'Vent Rate Calculation'!A4:K21,11,FALSE)</f>
        <v>195.33</v>
      </c>
      <c r="AU211" s="247">
        <f t="shared" ref="AU211:AU228" si="163">ROUND(AT211*W211,2)</f>
        <v>201.39</v>
      </c>
      <c r="AV211" s="110">
        <f>IF(AR211="NA","NA",ROUND(AU211*(Q211/R211),2))</f>
        <v>281.92</v>
      </c>
      <c r="AW211" s="110">
        <f>IF(Q211="NA",ROUND(AU211*S211,2),ROUND(AV211*(S211/Q211),2))</f>
        <v>535.85</v>
      </c>
      <c r="AX211" s="111">
        <f>(MAX(0,BB211))*-1</f>
        <v>0</v>
      </c>
      <c r="AY211" s="110">
        <f>+AW211+AX211</f>
        <v>535.85</v>
      </c>
      <c r="AZ211" s="105">
        <f>IF(AR211="NA","NA",ROUND(AS211*(S211/Q211),2))</f>
        <v>512.34</v>
      </c>
      <c r="BA211" s="105">
        <f>ROUND(AW211*0.95,2)</f>
        <v>509.06</v>
      </c>
      <c r="BB211" s="105">
        <f>IF(AZ211="NA",0,BA211-AZ211)</f>
        <v>-3.28</v>
      </c>
      <c r="BC211" s="111">
        <f>O211+P211</f>
        <v>1023.4</v>
      </c>
      <c r="BE211" s="105"/>
      <c r="BF211" s="105"/>
      <c r="BG211" s="105"/>
      <c r="BI211" s="105"/>
      <c r="BJ211" s="105"/>
    </row>
    <row r="212" spans="1:62" x14ac:dyDescent="0.15">
      <c r="A212" s="115">
        <v>58</v>
      </c>
      <c r="B212" s="98" t="str">
        <f>VLOOKUP($A212,'Vent Rate Calculation'!$A$4:$AQ$21,42,FALSE)</f>
        <v>900035600</v>
      </c>
      <c r="C212" s="98" t="str">
        <f>VLOOKUP($A212,'Vent Rate Calculation'!$A$4:$AQ$21,43,FALSE)</f>
        <v>Berlin Nursing and Rehabilitation Center</v>
      </c>
      <c r="D212" s="98" t="str">
        <f>VLOOKUP($A212,'Vent Rate Calculation'!$A$4:$F$21,5,FALSE)</f>
        <v>EASTERN REGION</v>
      </c>
      <c r="E212" s="98" t="str">
        <f>VLOOKUP($A212,'Vent Rate Calculation'!$A$4:$F$21,6,FALSE)</f>
        <v>NON METRO</v>
      </c>
      <c r="F212" s="105">
        <f t="shared" ref="F212:F228" si="164">+Y212</f>
        <v>92.33</v>
      </c>
      <c r="G212" s="105">
        <f t="shared" ref="G212:G228" si="165">+AA212</f>
        <v>20.87</v>
      </c>
      <c r="H212" s="105">
        <f t="shared" ref="H212:H228" si="166">+AQ212</f>
        <v>36.83</v>
      </c>
      <c r="I212" s="105">
        <f t="shared" ref="I212:I228" si="167">+AY212</f>
        <v>396.01</v>
      </c>
      <c r="J212" s="105">
        <f>VLOOKUP($A212,'Vent Rate Calculation'!$A$4:$AZ$21,34,FALSE)</f>
        <v>0</v>
      </c>
      <c r="K212" s="105">
        <f t="shared" ref="K212:K227" si="168">SUM(F212:J212)</f>
        <v>546.04</v>
      </c>
      <c r="L212" s="164">
        <f t="shared" si="158"/>
        <v>0.98772000000000004</v>
      </c>
      <c r="M212" s="105">
        <f t="shared" ref="M212:M228" si="169">ROUND(K212*L212,2)</f>
        <v>539.33000000000004</v>
      </c>
      <c r="N212" s="105">
        <v>285</v>
      </c>
      <c r="O212" s="105">
        <f t="shared" ref="O212:O228" si="170">+N212+M212</f>
        <v>824.33</v>
      </c>
      <c r="P212" s="105">
        <f>VLOOKUP(A212,'Vent Rate Calculation'!$A$4:$AL$21,38,FALSE)</f>
        <v>26.55</v>
      </c>
      <c r="Q212" s="183">
        <f>VLOOKUP($A212,'Vent Rate Calculation'!$A$4:$I$21,9,FALSE)</f>
        <v>1.6071</v>
      </c>
      <c r="R212" s="183">
        <f t="shared" si="159"/>
        <v>1.4432</v>
      </c>
      <c r="S212" s="183">
        <f>VLOOKUP(A212,'CMI Data'!$A$4:$F$208,6,FALSE)</f>
        <v>3.84</v>
      </c>
      <c r="T212" s="246">
        <f>VLOOKUP($A212,FRV!$A$4:$K$208,11,FALSE)</f>
        <v>57305</v>
      </c>
      <c r="U212" s="246">
        <f t="shared" si="160"/>
        <v>46721</v>
      </c>
      <c r="V212" s="246">
        <f>VLOOKUP($A212,FRV!$A$4:$L$208,12,FALSE)</f>
        <v>29996</v>
      </c>
      <c r="W212" s="183">
        <f>Inflation!$G$24</f>
        <v>1.0309999999999999</v>
      </c>
      <c r="X212" s="247">
        <f>VLOOKUP($A212,'Vent Rate Calculation'!A5:X22,24,FALSE)</f>
        <v>89.55</v>
      </c>
      <c r="Y212" s="110">
        <f t="shared" ref="Y212:Y228" si="171">ROUND(X212*$W212,2)</f>
        <v>92.33</v>
      </c>
      <c r="Z212" s="110">
        <f>VLOOKUP($A212,'Vent Rate Calculation'!$A$4:$V$21,22,FALSE)</f>
        <v>20.239999999999998</v>
      </c>
      <c r="AA212" s="110">
        <f t="shared" ref="AA212:AA228" si="172">ROUND(Z212*$W212,2)</f>
        <v>20.87</v>
      </c>
      <c r="AB212" s="212">
        <f>VLOOKUP($A212,FRV!$A$4:$D$208,4,FALSE)</f>
        <v>44743</v>
      </c>
      <c r="AC212" s="212">
        <f>VLOOKUP($A212,FRV!$A$4:$F$208,6,FALSE)</f>
        <v>44926</v>
      </c>
      <c r="AD212" s="248">
        <f>VLOOKUP($A212,FRV!$A$4:$U$208,13,FALSE)</f>
        <v>24918427</v>
      </c>
      <c r="AE212" s="248">
        <f>VLOOKUP($A212,FRV!$A$4:$U$208,15,FALSE)</f>
        <v>375641</v>
      </c>
      <c r="AF212" s="248">
        <f>VLOOKUP($A212,FRV!$A$4:$U$208,14,FALSE)</f>
        <v>18000</v>
      </c>
      <c r="AG212" s="248">
        <f>VLOOKUP($A212,FRV!$A$4:$U$208,7,FALSE)</f>
        <v>157</v>
      </c>
      <c r="AH212" s="107">
        <f t="shared" ref="AH212:AH228" si="173">ROUND(AD212+AE212+(AF212*AG212),0)</f>
        <v>28120068</v>
      </c>
      <c r="AI212" s="107">
        <f t="shared" ref="AI212:AI228" si="174">ROUND(AH212/AG212,0)</f>
        <v>179109</v>
      </c>
      <c r="AJ212" s="107">
        <v>120000</v>
      </c>
      <c r="AK212" s="107">
        <f t="shared" ref="AK212:AK228" si="175">IF(AI212=0,120000,MIN(AJ212,AI212))</f>
        <v>120000</v>
      </c>
      <c r="AL212" s="107">
        <f t="shared" ref="AL212:AL228" si="176">AG212*AK212</f>
        <v>18840000</v>
      </c>
      <c r="AM212" s="249">
        <f>IF(VLOOKUP($A212,'Rate Calculation'!$A$4:$D$208,4,FALSE)="baltimore city",0.1,0.08)</f>
        <v>0.08</v>
      </c>
      <c r="AN212" s="107">
        <f t="shared" si="161"/>
        <v>1507200</v>
      </c>
      <c r="AO212" s="105">
        <f>IF(ISERROR(MATCH(A212&amp;AC212,'Days Exceptions'!$C$3:$C$16,0)),ROUND(AN212/(MAX(U212,V212)),2),ROUND(AN212/VLOOKUP(A212,'Days Exceptions'!$A$3:$J$16,8,FALSE),2))</f>
        <v>32.26</v>
      </c>
      <c r="AP212" s="213">
        <f>VLOOKUP($A212,'Vent Rate Calculation'!$A$4:$AF$21,32,FALSE)</f>
        <v>4.57</v>
      </c>
      <c r="AQ212" s="109">
        <f t="shared" si="162"/>
        <v>36.83</v>
      </c>
      <c r="AR212" s="247">
        <f>VLOOKUP($A212,'Vent Rate Calculation'!$A$4:$Q$21,17,FALSE)</f>
        <v>150.38</v>
      </c>
      <c r="AS212" s="247">
        <f t="shared" ref="AS212:AS228" si="177">ROUND(AR212*W212,2)</f>
        <v>155.04</v>
      </c>
      <c r="AT212" s="247">
        <f>VLOOKUP($A212,'Vent Rate Calculation'!A5:K22,11,FALSE)</f>
        <v>186.31</v>
      </c>
      <c r="AU212" s="247">
        <f t="shared" si="163"/>
        <v>192.09</v>
      </c>
      <c r="AV212" s="110">
        <f t="shared" ref="AV212:AV228" si="178">IF(AR212="NA","NA",ROUND(AU212*(Q212/R212),2))</f>
        <v>213.91</v>
      </c>
      <c r="AW212" s="110">
        <f t="shared" ref="AW212:AW228" si="179">IF(Q212="NA",ROUND(AU212*S212,2),ROUND(AV212*(S212/Q212),2))</f>
        <v>511.12</v>
      </c>
      <c r="AX212" s="111">
        <f t="shared" ref="AX212:AX228" si="180">(MAX(0,BB212))*-1</f>
        <v>-115.11</v>
      </c>
      <c r="AY212" s="110">
        <f t="shared" ref="AY212:AY228" si="181">+AW212+AX212</f>
        <v>396.01</v>
      </c>
      <c r="AZ212" s="105">
        <f t="shared" ref="AZ212:AZ228" si="182">IF(AR212="NA","NA",ROUND(AS212*(S212/Q212),2))</f>
        <v>370.45</v>
      </c>
      <c r="BA212" s="105">
        <f t="shared" ref="BA212:BA227" si="183">ROUND(AW212*0.95,2)</f>
        <v>485.56</v>
      </c>
      <c r="BB212" s="105">
        <f t="shared" ref="BB212:BB228" si="184">IF(AZ212="NA",0,BA212-AZ212)</f>
        <v>115.11</v>
      </c>
      <c r="BC212" s="111">
        <f t="shared" ref="BC212:BC228" si="185">O212+P212</f>
        <v>850.88</v>
      </c>
      <c r="BE212" s="105"/>
      <c r="BF212" s="105"/>
      <c r="BG212" s="105"/>
      <c r="BI212" s="105"/>
      <c r="BJ212" s="105"/>
    </row>
    <row r="213" spans="1:62" x14ac:dyDescent="0.15">
      <c r="A213" s="115">
        <v>108</v>
      </c>
      <c r="B213" s="98" t="str">
        <f>VLOOKUP($A213,'Vent Rate Calculation'!$A$4:$AQ$21,42,FALSE)</f>
        <v>103957100</v>
      </c>
      <c r="C213" s="98" t="str">
        <f>VLOOKUP($A213,'Vent Rate Calculation'!$A$4:$AQ$21,43,FALSE)</f>
        <v>Citizens Care and Rehab. Center of Frederick</v>
      </c>
      <c r="D213" s="98" t="str">
        <f>VLOOKUP($A213,'Vent Rate Calculation'!$A$4:$F$21,5,FALSE)</f>
        <v>WASHINGTON METRO</v>
      </c>
      <c r="E213" s="98" t="str">
        <f>VLOOKUP($A213,'Vent Rate Calculation'!$A$4:$F$21,6,FALSE)</f>
        <v>NON METRO</v>
      </c>
      <c r="F213" s="105">
        <f t="shared" si="164"/>
        <v>92.33</v>
      </c>
      <c r="G213" s="105">
        <f t="shared" si="165"/>
        <v>20.87</v>
      </c>
      <c r="H213" s="105">
        <f t="shared" si="166"/>
        <v>28.35</v>
      </c>
      <c r="I213" s="105">
        <f t="shared" si="167"/>
        <v>482.84</v>
      </c>
      <c r="J213" s="105">
        <f>VLOOKUP($A213,'Vent Rate Calculation'!$A$4:$AZ$21,34,FALSE)</f>
        <v>0</v>
      </c>
      <c r="K213" s="105">
        <f t="shared" si="168"/>
        <v>624.39</v>
      </c>
      <c r="L213" s="164">
        <f t="shared" si="158"/>
        <v>0.98772000000000004</v>
      </c>
      <c r="M213" s="105">
        <f t="shared" si="169"/>
        <v>616.72</v>
      </c>
      <c r="N213" s="105">
        <v>285</v>
      </c>
      <c r="O213" s="105">
        <f t="shared" si="170"/>
        <v>901.72</v>
      </c>
      <c r="P213" s="105">
        <f>VLOOKUP(A213,'Vent Rate Calculation'!$A$4:$AL$21,38,FALSE)</f>
        <v>26.7</v>
      </c>
      <c r="Q213" s="183">
        <f>VLOOKUP($A213,'Vent Rate Calculation'!$A$4:$I$21,9,FALSE)</f>
        <v>1.5765</v>
      </c>
      <c r="R213" s="183">
        <f t="shared" si="159"/>
        <v>1.4432</v>
      </c>
      <c r="S213" s="183">
        <f>VLOOKUP(A213,'CMI Data'!$A$4:$F$208,6,FALSE)</f>
        <v>3.84</v>
      </c>
      <c r="T213" s="246">
        <f>VLOOKUP($A213,FRV!$A$4:$K$208,11,FALSE)</f>
        <v>62780</v>
      </c>
      <c r="U213" s="246">
        <f t="shared" si="160"/>
        <v>51185</v>
      </c>
      <c r="V213" s="246">
        <f>VLOOKUP($A213,FRV!$A$4:$L$208,12,FALSE)</f>
        <v>58244</v>
      </c>
      <c r="W213" s="183">
        <f>Inflation!$G$24</f>
        <v>1.0309999999999999</v>
      </c>
      <c r="X213" s="247">
        <f>VLOOKUP($A213,'Vent Rate Calculation'!A6:X23,24,FALSE)</f>
        <v>89.55</v>
      </c>
      <c r="Y213" s="110">
        <f t="shared" si="171"/>
        <v>92.33</v>
      </c>
      <c r="Z213" s="110">
        <f>VLOOKUP($A213,'Vent Rate Calculation'!$A$4:$V$21,22,FALSE)</f>
        <v>20.239999999999998</v>
      </c>
      <c r="AA213" s="110">
        <f t="shared" si="172"/>
        <v>20.87</v>
      </c>
      <c r="AB213" s="212">
        <f>VLOOKUP($A213,FRV!$A$4:$D$208,4,FALSE)</f>
        <v>45108</v>
      </c>
      <c r="AC213" s="212">
        <f>VLOOKUP($A213,FRV!$A$4:$F$208,6,FALSE)</f>
        <v>45107</v>
      </c>
      <c r="AD213" s="248">
        <f>VLOOKUP($A213,FRV!$A$4:$U$208,13,FALSE)</f>
        <v>38040114</v>
      </c>
      <c r="AE213" s="248">
        <f>VLOOKUP($A213,FRV!$A$4:$U$208,15,FALSE)</f>
        <v>793315</v>
      </c>
      <c r="AF213" s="248">
        <f>VLOOKUP($A213,FRV!$A$4:$U$208,14,FALSE)</f>
        <v>20000</v>
      </c>
      <c r="AG213" s="248">
        <f>VLOOKUP($A213,FRV!$A$4:$U$208,7,FALSE)</f>
        <v>172</v>
      </c>
      <c r="AH213" s="107">
        <f t="shared" si="173"/>
        <v>42273429</v>
      </c>
      <c r="AI213" s="107">
        <f t="shared" si="174"/>
        <v>245776</v>
      </c>
      <c r="AJ213" s="107">
        <v>120000</v>
      </c>
      <c r="AK213" s="107">
        <f t="shared" si="175"/>
        <v>120000</v>
      </c>
      <c r="AL213" s="107">
        <f t="shared" si="176"/>
        <v>20640000</v>
      </c>
      <c r="AM213" s="249">
        <f>IF(VLOOKUP($A213,'Rate Calculation'!$A$4:$D$208,4,FALSE)="baltimore city",0.1,0.08)</f>
        <v>0.08</v>
      </c>
      <c r="AN213" s="107">
        <f t="shared" si="161"/>
        <v>1651200</v>
      </c>
      <c r="AO213" s="105">
        <f>IF(ISERROR(MATCH(A213&amp;AC213,'Days Exceptions'!$C$3:$C$16,0)),ROUND(AN213/(MAX(U213,V213)),2),ROUND(AN213/VLOOKUP(A213,'Days Exceptions'!$A$3:$J$16,8,FALSE),2))</f>
        <v>28.35</v>
      </c>
      <c r="AP213" s="213">
        <f>VLOOKUP($A213,'Vent Rate Calculation'!$A$4:$AF$21,32,FALSE)</f>
        <v>0</v>
      </c>
      <c r="AQ213" s="109">
        <f t="shared" si="162"/>
        <v>28.35</v>
      </c>
      <c r="AR213" s="247">
        <f>VLOOKUP($A213,'Vent Rate Calculation'!$A$4:$Q$21,17,FALSE)</f>
        <v>226.45</v>
      </c>
      <c r="AS213" s="247">
        <f t="shared" si="177"/>
        <v>233.47</v>
      </c>
      <c r="AT213" s="247">
        <f>VLOOKUP($A213,'Vent Rate Calculation'!A6:K23,11,FALSE)</f>
        <v>176.01</v>
      </c>
      <c r="AU213" s="247">
        <f t="shared" si="163"/>
        <v>181.47</v>
      </c>
      <c r="AV213" s="110">
        <f t="shared" si="178"/>
        <v>198.23</v>
      </c>
      <c r="AW213" s="110">
        <f t="shared" si="179"/>
        <v>482.84</v>
      </c>
      <c r="AX213" s="111">
        <f t="shared" si="180"/>
        <v>0</v>
      </c>
      <c r="AY213" s="110">
        <f t="shared" si="181"/>
        <v>482.84</v>
      </c>
      <c r="AZ213" s="105">
        <f t="shared" si="182"/>
        <v>568.67999999999995</v>
      </c>
      <c r="BA213" s="105">
        <f t="shared" si="183"/>
        <v>458.7</v>
      </c>
      <c r="BB213" s="105">
        <f t="shared" si="184"/>
        <v>-109.98</v>
      </c>
      <c r="BC213" s="111">
        <f t="shared" si="185"/>
        <v>928.42</v>
      </c>
      <c r="BE213" s="105"/>
      <c r="BF213" s="105"/>
      <c r="BG213" s="105"/>
      <c r="BI213" s="105"/>
      <c r="BJ213" s="105"/>
    </row>
    <row r="214" spans="1:62" x14ac:dyDescent="0.15">
      <c r="A214" s="115">
        <v>118</v>
      </c>
      <c r="B214" s="98" t="str">
        <f>VLOOKUP($A214,'Vent Rate Calculation'!$A$4:$AQ$21,42,FALSE)</f>
        <v>729009800</v>
      </c>
      <c r="C214" s="98" t="str">
        <f>VLOOKUP($A214,'Vent Rate Calculation'!$A$4:$AQ$21,43,FALSE)</f>
        <v>Collingswood Rehabilitation and Healthcare Center</v>
      </c>
      <c r="D214" s="98" t="str">
        <f>VLOOKUP($A214,'Vent Rate Calculation'!$A$4:$F$21,5,FALSE)</f>
        <v>WASHINGTON METRO</v>
      </c>
      <c r="E214" s="98" t="str">
        <f>VLOOKUP($A214,'Vent Rate Calculation'!$A$4:$F$21,6,FALSE)</f>
        <v>WASHINGTON METRO</v>
      </c>
      <c r="F214" s="105">
        <f t="shared" si="164"/>
        <v>103.73</v>
      </c>
      <c r="G214" s="105">
        <f t="shared" si="165"/>
        <v>19.829999999999998</v>
      </c>
      <c r="H214" s="105">
        <f t="shared" si="166"/>
        <v>32.32</v>
      </c>
      <c r="I214" s="105">
        <f t="shared" si="167"/>
        <v>406.5</v>
      </c>
      <c r="J214" s="105">
        <f>VLOOKUP($A214,'Vent Rate Calculation'!$A$4:$AZ$21,34,FALSE)</f>
        <v>0</v>
      </c>
      <c r="K214" s="105">
        <f t="shared" si="168"/>
        <v>562.38</v>
      </c>
      <c r="L214" s="164">
        <f t="shared" si="158"/>
        <v>0.98772000000000004</v>
      </c>
      <c r="M214" s="105">
        <f t="shared" si="169"/>
        <v>555.47</v>
      </c>
      <c r="N214" s="105">
        <v>285</v>
      </c>
      <c r="O214" s="105">
        <f t="shared" si="170"/>
        <v>840.47</v>
      </c>
      <c r="P214" s="105">
        <f>VLOOKUP(A214,'Vent Rate Calculation'!$A$4:$AL$21,38,FALSE)</f>
        <v>24.94</v>
      </c>
      <c r="Q214" s="183">
        <f>VLOOKUP($A214,'Vent Rate Calculation'!$A$4:$I$21,9,FALSE)</f>
        <v>1.5469999999999999</v>
      </c>
      <c r="R214" s="183">
        <f t="shared" si="159"/>
        <v>1.4432</v>
      </c>
      <c r="S214" s="183">
        <f>VLOOKUP(A214,'CMI Data'!$A$4:$F$208,6,FALSE)</f>
        <v>3.84</v>
      </c>
      <c r="T214" s="246">
        <f>VLOOKUP($A214,FRV!$A$4:$K$208,11,FALSE)</f>
        <v>58400</v>
      </c>
      <c r="U214" s="246">
        <f t="shared" si="160"/>
        <v>47614</v>
      </c>
      <c r="V214" s="246">
        <f>VLOOKUP($A214,FRV!$A$4:$L$208,12,FALSE)</f>
        <v>53915</v>
      </c>
      <c r="W214" s="183">
        <f>Inflation!$G$24</f>
        <v>1.0309999999999999</v>
      </c>
      <c r="X214" s="247">
        <f>VLOOKUP($A214,'Vent Rate Calculation'!A7:X24,24,FALSE)</f>
        <v>100.61</v>
      </c>
      <c r="Y214" s="110">
        <f t="shared" si="171"/>
        <v>103.73</v>
      </c>
      <c r="Z214" s="110">
        <f>VLOOKUP($A214,'Vent Rate Calculation'!$A$4:$V$21,22,FALSE)</f>
        <v>19.23</v>
      </c>
      <c r="AA214" s="110">
        <f t="shared" si="172"/>
        <v>19.829999999999998</v>
      </c>
      <c r="AB214" s="212">
        <f>VLOOKUP($A214,FRV!$A$4:$D$208,4,FALSE)</f>
        <v>45108</v>
      </c>
      <c r="AC214" s="212">
        <f>VLOOKUP($A214,FRV!$A$4:$F$208,6,FALSE)</f>
        <v>45291</v>
      </c>
      <c r="AD214" s="248">
        <f>VLOOKUP($A214,FRV!$A$4:$U$208,13,FALSE)</f>
        <v>17656286</v>
      </c>
      <c r="AE214" s="248">
        <f>VLOOKUP($A214,FRV!$A$4:$U$208,15,FALSE)</f>
        <v>155527</v>
      </c>
      <c r="AF214" s="248">
        <f>VLOOKUP($A214,FRV!$A$4:$U$208,14,FALSE)</f>
        <v>27500</v>
      </c>
      <c r="AG214" s="248">
        <f>VLOOKUP($A214,FRV!$A$4:$U$208,7,FALSE)</f>
        <v>160</v>
      </c>
      <c r="AH214" s="107">
        <f t="shared" si="173"/>
        <v>22211813</v>
      </c>
      <c r="AI214" s="107">
        <f t="shared" si="174"/>
        <v>138824</v>
      </c>
      <c r="AJ214" s="107">
        <v>120000</v>
      </c>
      <c r="AK214" s="107">
        <f t="shared" si="175"/>
        <v>120000</v>
      </c>
      <c r="AL214" s="107">
        <f t="shared" si="176"/>
        <v>19200000</v>
      </c>
      <c r="AM214" s="249">
        <f>IF(VLOOKUP($A214,'Rate Calculation'!$A$4:$D$208,4,FALSE)="baltimore city",0.1,0.08)</f>
        <v>0.08</v>
      </c>
      <c r="AN214" s="107">
        <f t="shared" si="161"/>
        <v>1536000</v>
      </c>
      <c r="AO214" s="105">
        <f>IF(ISERROR(MATCH(A214&amp;AC214,'Days Exceptions'!$C$3:$C$16,0)),ROUND(AN214/(MAX(U214,V214)),2),ROUND(AN214/VLOOKUP(A214,'Days Exceptions'!$A$3:$J$16,8,FALSE),2))</f>
        <v>28.49</v>
      </c>
      <c r="AP214" s="213">
        <f>VLOOKUP($A214,'Vent Rate Calculation'!$A$4:$AF$21,32,FALSE)</f>
        <v>3.83</v>
      </c>
      <c r="AQ214" s="109">
        <f t="shared" si="162"/>
        <v>32.32</v>
      </c>
      <c r="AR214" s="247">
        <f>VLOOKUP($A214,'Vent Rate Calculation'!$A$4:$Q$21,17,FALSE)</f>
        <v>149.41</v>
      </c>
      <c r="AS214" s="247">
        <f t="shared" si="177"/>
        <v>154.04</v>
      </c>
      <c r="AT214" s="247">
        <f>VLOOKUP($A214,'Vent Rate Calculation'!A7:K24,11,FALSE)</f>
        <v>176.01</v>
      </c>
      <c r="AU214" s="247">
        <f t="shared" si="163"/>
        <v>181.47</v>
      </c>
      <c r="AV214" s="110">
        <f t="shared" si="178"/>
        <v>194.52</v>
      </c>
      <c r="AW214" s="110">
        <f t="shared" si="179"/>
        <v>482.84</v>
      </c>
      <c r="AX214" s="111">
        <f t="shared" si="180"/>
        <v>-76.34</v>
      </c>
      <c r="AY214" s="110">
        <f t="shared" si="181"/>
        <v>406.5</v>
      </c>
      <c r="AZ214" s="105">
        <f t="shared" si="182"/>
        <v>382.36</v>
      </c>
      <c r="BA214" s="105">
        <f t="shared" si="183"/>
        <v>458.7</v>
      </c>
      <c r="BB214" s="105">
        <f t="shared" si="184"/>
        <v>76.34</v>
      </c>
      <c r="BC214" s="111">
        <f t="shared" si="185"/>
        <v>865.41</v>
      </c>
      <c r="BE214" s="105"/>
      <c r="BF214" s="105"/>
      <c r="BG214" s="105"/>
      <c r="BI214" s="105"/>
      <c r="BJ214" s="105"/>
    </row>
    <row r="215" spans="1:62" x14ac:dyDescent="0.15">
      <c r="A215" s="115">
        <v>665</v>
      </c>
      <c r="B215" s="98" t="str">
        <f>VLOOKUP($A215,'Vent Rate Calculation'!$A$4:$AQ$21,42,FALSE)</f>
        <v>882346400</v>
      </c>
      <c r="C215" s="98" t="str">
        <f>VLOOKUP($A215,'Vent Rate Calculation'!$A$4:$AQ$21,43,FALSE)</f>
        <v>Complete Care at Annapolis LLC</v>
      </c>
      <c r="D215" s="98" t="str">
        <f>VLOOKUP($A215,'Vent Rate Calculation'!$A$4:$F$21,5,FALSE)</f>
        <v>BALTIMORE METRO</v>
      </c>
      <c r="E215" s="98" t="str">
        <f>VLOOKUP($A215,'Vent Rate Calculation'!$A$4:$F$21,6,FALSE)</f>
        <v>BALTIMORE METRO</v>
      </c>
      <c r="F215" s="105">
        <f t="shared" si="164"/>
        <v>105.18</v>
      </c>
      <c r="G215" s="105">
        <f t="shared" si="165"/>
        <v>21.5</v>
      </c>
      <c r="H215" s="105">
        <f t="shared" si="166"/>
        <v>35.659999999999997</v>
      </c>
      <c r="I215" s="105">
        <f t="shared" si="167"/>
        <v>535.85</v>
      </c>
      <c r="J215" s="105">
        <f>VLOOKUP($A215,'Vent Rate Calculation'!$A$4:$AZ$21,34,FALSE)</f>
        <v>0</v>
      </c>
      <c r="K215" s="105">
        <f t="shared" si="168"/>
        <v>698.19</v>
      </c>
      <c r="L215" s="164">
        <f t="shared" si="158"/>
        <v>0.98772000000000004</v>
      </c>
      <c r="M215" s="105">
        <f t="shared" si="169"/>
        <v>689.62</v>
      </c>
      <c r="N215" s="105">
        <v>285</v>
      </c>
      <c r="O215" s="105">
        <f t="shared" si="170"/>
        <v>974.62</v>
      </c>
      <c r="P215" s="105">
        <f>VLOOKUP(A215,'Vent Rate Calculation'!$A$4:$AL$21,38,FALSE)</f>
        <v>27.43</v>
      </c>
      <c r="Q215" s="183">
        <f>VLOOKUP($A215,'Vent Rate Calculation'!$A$4:$I$21,9,FALSE)</f>
        <v>1.5754999999999999</v>
      </c>
      <c r="R215" s="183">
        <f t="shared" si="159"/>
        <v>1.4432</v>
      </c>
      <c r="S215" s="183">
        <f>VLOOKUP(A215,'CMI Data'!$A$4:$F$208,6,FALSE)</f>
        <v>3.84</v>
      </c>
      <c r="T215" s="246">
        <f>VLOOKUP($A215,FRV!$A$4:$K$208,11,FALSE)</f>
        <v>35502</v>
      </c>
      <c r="U215" s="246">
        <f t="shared" si="160"/>
        <v>28945</v>
      </c>
      <c r="V215" s="246">
        <f>VLOOKUP($A215,FRV!$A$4:$L$208,12,FALSE)</f>
        <v>28667</v>
      </c>
      <c r="W215" s="183">
        <f>Inflation!$G$24</f>
        <v>1.0309999999999999</v>
      </c>
      <c r="X215" s="247">
        <f>VLOOKUP($A215,'Vent Rate Calculation'!A8:X25,24,FALSE)</f>
        <v>102.02</v>
      </c>
      <c r="Y215" s="110">
        <f t="shared" si="171"/>
        <v>105.18</v>
      </c>
      <c r="Z215" s="110">
        <f>VLOOKUP($A215,'Vent Rate Calculation'!$A$4:$V$21,22,FALSE)</f>
        <v>20.85</v>
      </c>
      <c r="AA215" s="110">
        <f t="shared" si="172"/>
        <v>21.5</v>
      </c>
      <c r="AB215" s="212">
        <f>VLOOKUP($A215,FRV!$A$4:$D$208,4,FALSE)</f>
        <v>45474</v>
      </c>
      <c r="AC215" s="212">
        <f>VLOOKUP($A215,FRV!$A$4:$F$208,6,FALSE)</f>
        <v>45657</v>
      </c>
      <c r="AD215" s="248">
        <f>VLOOKUP($A215,FRV!$A$4:$U$208,13,FALSE)</f>
        <v>9959458</v>
      </c>
      <c r="AE215" s="248">
        <f>VLOOKUP($A215,FRV!$A$4:$U$208,15,FALSE)</f>
        <v>250633</v>
      </c>
      <c r="AF215" s="248">
        <f>VLOOKUP($A215,FRV!$A$4:$U$208,14,FALSE)</f>
        <v>26500</v>
      </c>
      <c r="AG215" s="248">
        <f>VLOOKUP($A215,FRV!$A$4:$U$208,7,FALSE)</f>
        <v>97</v>
      </c>
      <c r="AH215" s="107">
        <f t="shared" si="173"/>
        <v>12780591</v>
      </c>
      <c r="AI215" s="107">
        <f t="shared" si="174"/>
        <v>131759</v>
      </c>
      <c r="AJ215" s="107">
        <v>120000</v>
      </c>
      <c r="AK215" s="107">
        <f t="shared" si="175"/>
        <v>120000</v>
      </c>
      <c r="AL215" s="107">
        <f t="shared" si="176"/>
        <v>11640000</v>
      </c>
      <c r="AM215" s="249">
        <f>IF(VLOOKUP($A215,'Rate Calculation'!$A$4:$D$208,4,FALSE)="baltimore city",0.1,0.08)</f>
        <v>0.08</v>
      </c>
      <c r="AN215" s="107">
        <f t="shared" si="161"/>
        <v>931200</v>
      </c>
      <c r="AO215" s="105">
        <f>IF(ISERROR(MATCH(A215&amp;AC215,'Days Exceptions'!$C$3:$C$16,0)),ROUND(AN215/(MAX(U215,V215)),2),ROUND(AN215/VLOOKUP(A215,'Days Exceptions'!$A$3:$J$16,8,FALSE),2))</f>
        <v>32.17</v>
      </c>
      <c r="AP215" s="213">
        <f>VLOOKUP($A215,'Vent Rate Calculation'!$A$4:$AF$21,32,FALSE)</f>
        <v>3.49</v>
      </c>
      <c r="AQ215" s="109">
        <f t="shared" si="162"/>
        <v>35.659999999999997</v>
      </c>
      <c r="AR215" s="247">
        <f>VLOOKUP($A215,'Vent Rate Calculation'!$A$4:$Q$21,17,FALSE)</f>
        <v>233.63</v>
      </c>
      <c r="AS215" s="247">
        <f t="shared" si="177"/>
        <v>240.87</v>
      </c>
      <c r="AT215" s="247">
        <f>VLOOKUP($A215,'Vent Rate Calculation'!A8:K25,11,FALSE)</f>
        <v>195.33</v>
      </c>
      <c r="AU215" s="247">
        <f t="shared" si="163"/>
        <v>201.39</v>
      </c>
      <c r="AV215" s="110">
        <f t="shared" si="178"/>
        <v>219.85</v>
      </c>
      <c r="AW215" s="110">
        <f t="shared" si="179"/>
        <v>535.85</v>
      </c>
      <c r="AX215" s="111">
        <f t="shared" si="180"/>
        <v>0</v>
      </c>
      <c r="AY215" s="110">
        <f t="shared" si="181"/>
        <v>535.85</v>
      </c>
      <c r="AZ215" s="105">
        <f t="shared" si="182"/>
        <v>587.08000000000004</v>
      </c>
      <c r="BA215" s="105">
        <f t="shared" si="183"/>
        <v>509.06</v>
      </c>
      <c r="BB215" s="105">
        <f t="shared" si="184"/>
        <v>-78.02</v>
      </c>
      <c r="BC215" s="111">
        <f t="shared" si="185"/>
        <v>1002.05</v>
      </c>
      <c r="BE215" s="105"/>
      <c r="BF215" s="105"/>
      <c r="BG215" s="105"/>
      <c r="BI215" s="105"/>
      <c r="BJ215" s="105"/>
    </row>
    <row r="216" spans="1:62" x14ac:dyDescent="0.15">
      <c r="A216" s="115">
        <v>48</v>
      </c>
      <c r="B216" s="98" t="str">
        <f>VLOOKUP($A216,'Vent Rate Calculation'!$A$4:$AQ$21,42,FALSE)</f>
        <v>882348100</v>
      </c>
      <c r="C216" s="98" t="str">
        <f>VLOOKUP($A216,'Vent Rate Calculation'!$A$4:$AQ$21,43,FALSE)</f>
        <v>Complete Care at Hagerstown LLC</v>
      </c>
      <c r="D216" s="98" t="str">
        <f>VLOOKUP($A216,'Vent Rate Calculation'!$A$4:$F$21,5,FALSE)</f>
        <v>WESTERN REGION</v>
      </c>
      <c r="E216" s="98" t="str">
        <f>VLOOKUP($A216,'Vent Rate Calculation'!$A$4:$F$21,6,FALSE)</f>
        <v>NON METRO</v>
      </c>
      <c r="F216" s="105">
        <f t="shared" si="164"/>
        <v>92.33</v>
      </c>
      <c r="G216" s="105">
        <f t="shared" si="165"/>
        <v>20.87</v>
      </c>
      <c r="H216" s="105">
        <f t="shared" si="166"/>
        <v>34.04</v>
      </c>
      <c r="I216" s="105">
        <f t="shared" si="167"/>
        <v>456.08</v>
      </c>
      <c r="J216" s="105">
        <f>VLOOKUP($A216,'Vent Rate Calculation'!$A$4:$AZ$21,34,FALSE)</f>
        <v>0</v>
      </c>
      <c r="K216" s="105">
        <f t="shared" si="168"/>
        <v>603.32000000000005</v>
      </c>
      <c r="L216" s="164">
        <f t="shared" si="158"/>
        <v>0.98772000000000004</v>
      </c>
      <c r="M216" s="105">
        <f t="shared" si="169"/>
        <v>595.91</v>
      </c>
      <c r="N216" s="105">
        <v>285</v>
      </c>
      <c r="O216" s="105">
        <f t="shared" si="170"/>
        <v>880.91</v>
      </c>
      <c r="P216" s="105">
        <f>VLOOKUP(A216,'Vent Rate Calculation'!$A$4:$AL$21,38,FALSE)</f>
        <v>23.98</v>
      </c>
      <c r="Q216" s="183">
        <f>VLOOKUP($A216,'Vent Rate Calculation'!$A$4:$I$21,9,FALSE)</f>
        <v>1.6893</v>
      </c>
      <c r="R216" s="183">
        <f t="shared" si="159"/>
        <v>1.4432</v>
      </c>
      <c r="S216" s="183">
        <f>VLOOKUP(A216,'CMI Data'!$A$4:$F$208,6,FALSE)</f>
        <v>3.84</v>
      </c>
      <c r="T216" s="246">
        <f>VLOOKUP($A216,FRV!$A$4:$K$208,11,FALSE)</f>
        <v>62780</v>
      </c>
      <c r="U216" s="246">
        <f t="shared" si="160"/>
        <v>51185</v>
      </c>
      <c r="V216" s="246">
        <f>VLOOKUP($A216,FRV!$A$4:$L$208,12,FALSE)</f>
        <v>28983</v>
      </c>
      <c r="W216" s="183">
        <f>Inflation!$G$24</f>
        <v>1.0309999999999999</v>
      </c>
      <c r="X216" s="247">
        <f>VLOOKUP($A216,'Vent Rate Calculation'!A9:X26,24,FALSE)</f>
        <v>89.55</v>
      </c>
      <c r="Y216" s="110">
        <f t="shared" si="171"/>
        <v>92.33</v>
      </c>
      <c r="Z216" s="110">
        <f>VLOOKUP($A216,'Vent Rate Calculation'!$A$4:$V$21,22,FALSE)</f>
        <v>20.239999999999998</v>
      </c>
      <c r="AA216" s="110">
        <f t="shared" si="172"/>
        <v>20.87</v>
      </c>
      <c r="AB216" s="212">
        <f>VLOOKUP($A216,FRV!$A$4:$D$208,4,FALSE)</f>
        <v>45108</v>
      </c>
      <c r="AC216" s="212">
        <f>VLOOKUP($A216,FRV!$A$4:$F$208,6,FALSE)</f>
        <v>45291</v>
      </c>
      <c r="AD216" s="248">
        <f>VLOOKUP($A216,FRV!$A$4:$U$208,13,FALSE)</f>
        <v>23410389</v>
      </c>
      <c r="AE216" s="248">
        <f>VLOOKUP($A216,FRV!$A$4:$U$208,15,FALSE)</f>
        <v>381879</v>
      </c>
      <c r="AF216" s="248">
        <f>VLOOKUP($A216,FRV!$A$4:$U$208,14,FALSE)</f>
        <v>24000</v>
      </c>
      <c r="AG216" s="248">
        <f>VLOOKUP($A216,FRV!$A$4:$U$208,7,FALSE)</f>
        <v>172</v>
      </c>
      <c r="AH216" s="107">
        <f t="shared" si="173"/>
        <v>27920268</v>
      </c>
      <c r="AI216" s="107">
        <f t="shared" si="174"/>
        <v>162327</v>
      </c>
      <c r="AJ216" s="107">
        <v>120000</v>
      </c>
      <c r="AK216" s="107">
        <f t="shared" si="175"/>
        <v>120000</v>
      </c>
      <c r="AL216" s="107">
        <f t="shared" si="176"/>
        <v>20640000</v>
      </c>
      <c r="AM216" s="249">
        <f>IF(VLOOKUP($A216,'Rate Calculation'!$A$4:$D$208,4,FALSE)="baltimore city",0.1,0.08)</f>
        <v>0.08</v>
      </c>
      <c r="AN216" s="107">
        <f t="shared" si="161"/>
        <v>1651200</v>
      </c>
      <c r="AO216" s="105">
        <f>IF(ISERROR(MATCH(A216&amp;AC216,'Days Exceptions'!$C$3:$C$16,0)),ROUND(AN216/(MAX(U216,V216)),2),ROUND(AN216/VLOOKUP(A216,'Days Exceptions'!$A$3:$J$16,8,FALSE),2))</f>
        <v>32.26</v>
      </c>
      <c r="AP216" s="213">
        <f>VLOOKUP($A216,'Vent Rate Calculation'!$A$4:$AF$21,32,FALSE)</f>
        <v>1.78</v>
      </c>
      <c r="AQ216" s="109">
        <f t="shared" si="162"/>
        <v>34.04</v>
      </c>
      <c r="AR216" s="247">
        <f>VLOOKUP($A216,'Vent Rate Calculation'!$A$4:$Q$21,17,FALSE)</f>
        <v>191.83</v>
      </c>
      <c r="AS216" s="247">
        <f t="shared" si="177"/>
        <v>197.78</v>
      </c>
      <c r="AT216" s="247">
        <f>VLOOKUP($A216,'Vent Rate Calculation'!A9:K26,11,FALSE)</f>
        <v>166.26</v>
      </c>
      <c r="AU216" s="247">
        <f t="shared" si="163"/>
        <v>171.41</v>
      </c>
      <c r="AV216" s="110">
        <f t="shared" si="178"/>
        <v>200.64</v>
      </c>
      <c r="AW216" s="110">
        <f t="shared" si="179"/>
        <v>456.08</v>
      </c>
      <c r="AX216" s="111">
        <f t="shared" si="180"/>
        <v>0</v>
      </c>
      <c r="AY216" s="110">
        <f t="shared" si="181"/>
        <v>456.08</v>
      </c>
      <c r="AZ216" s="105">
        <f t="shared" si="182"/>
        <v>449.58</v>
      </c>
      <c r="BA216" s="105">
        <f t="shared" si="183"/>
        <v>433.28</v>
      </c>
      <c r="BB216" s="105">
        <f t="shared" si="184"/>
        <v>-16.3</v>
      </c>
      <c r="BC216" s="111">
        <f t="shared" si="185"/>
        <v>904.89</v>
      </c>
      <c r="BE216" s="105"/>
      <c r="BF216" s="105"/>
      <c r="BG216" s="105"/>
      <c r="BI216" s="105"/>
      <c r="BJ216" s="105"/>
    </row>
    <row r="217" spans="1:62" x14ac:dyDescent="0.15">
      <c r="A217" s="115">
        <v>735</v>
      </c>
      <c r="B217" s="98" t="str">
        <f>VLOOKUP($A217,'Vent Rate Calculation'!$A$4:$AQ$21,42,FALSE)</f>
        <v>882347200</v>
      </c>
      <c r="C217" s="98" t="str">
        <f>VLOOKUP($A217,'Vent Rate Calculation'!$A$4:$AQ$21,43,FALSE)</f>
        <v>Complete Care at Hyattsville LLC</v>
      </c>
      <c r="D217" s="98" t="str">
        <f>VLOOKUP($A217,'Vent Rate Calculation'!$A$4:$F$21,5,FALSE)</f>
        <v>WASHINGTON METRO</v>
      </c>
      <c r="E217" s="98" t="str">
        <f>VLOOKUP($A217,'Vent Rate Calculation'!$A$4:$F$21,6,FALSE)</f>
        <v>WASHINGTON METRO</v>
      </c>
      <c r="F217" s="105">
        <f t="shared" si="164"/>
        <v>103.73</v>
      </c>
      <c r="G217" s="105">
        <f t="shared" si="165"/>
        <v>19.829999999999998</v>
      </c>
      <c r="H217" s="105">
        <f t="shared" si="166"/>
        <v>33.369999999999997</v>
      </c>
      <c r="I217" s="105">
        <f t="shared" si="167"/>
        <v>458.85</v>
      </c>
      <c r="J217" s="105">
        <f>VLOOKUP($A217,'Vent Rate Calculation'!$A$4:$AZ$21,34,FALSE)</f>
        <v>0</v>
      </c>
      <c r="K217" s="105">
        <f t="shared" si="168"/>
        <v>615.78</v>
      </c>
      <c r="L217" s="164">
        <f t="shared" si="158"/>
        <v>0.98772000000000004</v>
      </c>
      <c r="M217" s="105">
        <f t="shared" si="169"/>
        <v>608.22</v>
      </c>
      <c r="N217" s="105">
        <v>285</v>
      </c>
      <c r="O217" s="105">
        <f t="shared" si="170"/>
        <v>893.22</v>
      </c>
      <c r="P217" s="105">
        <f>VLOOKUP(A217,'Vent Rate Calculation'!$A$4:$AL$21,38,FALSE)</f>
        <v>27.88</v>
      </c>
      <c r="Q217" s="183">
        <f>VLOOKUP($A217,'Vent Rate Calculation'!$A$4:$I$21,9,FALSE)</f>
        <v>1.7478</v>
      </c>
      <c r="R217" s="183">
        <f t="shared" si="159"/>
        <v>1.4432</v>
      </c>
      <c r="S217" s="183">
        <f>VLOOKUP(A217,'CMI Data'!$A$4:$F$208,6,FALSE)</f>
        <v>3.84</v>
      </c>
      <c r="T217" s="246">
        <f>VLOOKUP($A217,FRV!$A$4:$K$208,11,FALSE)</f>
        <v>102200</v>
      </c>
      <c r="U217" s="246">
        <f t="shared" si="160"/>
        <v>83324</v>
      </c>
      <c r="V217" s="246">
        <f>VLOOKUP($A217,FRV!$A$4:$L$208,12,FALSE)</f>
        <v>92224</v>
      </c>
      <c r="W217" s="183">
        <f>Inflation!$G$24</f>
        <v>1.0309999999999999</v>
      </c>
      <c r="X217" s="247">
        <f>VLOOKUP($A217,'Vent Rate Calculation'!A10:X27,24,FALSE)</f>
        <v>100.61</v>
      </c>
      <c r="Y217" s="110">
        <f t="shared" si="171"/>
        <v>103.73</v>
      </c>
      <c r="Z217" s="110">
        <f>VLOOKUP($A217,'Vent Rate Calculation'!$A$4:$V$21,22,FALSE)</f>
        <v>19.23</v>
      </c>
      <c r="AA217" s="110">
        <f t="shared" si="172"/>
        <v>19.829999999999998</v>
      </c>
      <c r="AB217" s="212">
        <f>VLOOKUP($A217,FRV!$A$4:$D$208,4,FALSE)</f>
        <v>44743</v>
      </c>
      <c r="AC217" s="212">
        <f>VLOOKUP($A217,FRV!$A$4:$F$208,6,FALSE)</f>
        <v>44957</v>
      </c>
      <c r="AD217" s="248">
        <f>VLOOKUP($A217,FRV!$A$4:$U$208,13,FALSE)</f>
        <v>31856512</v>
      </c>
      <c r="AE217" s="248">
        <f>VLOOKUP($A217,FRV!$A$4:$U$208,15,FALSE)</f>
        <v>395988</v>
      </c>
      <c r="AF217" s="248">
        <f>VLOOKUP($A217,FRV!$A$4:$U$208,14,FALSE)</f>
        <v>25000</v>
      </c>
      <c r="AG217" s="248">
        <f>VLOOKUP($A217,FRV!$A$4:$U$208,7,FALSE)</f>
        <v>280</v>
      </c>
      <c r="AH217" s="107">
        <f t="shared" si="173"/>
        <v>39252500</v>
      </c>
      <c r="AI217" s="107">
        <f t="shared" si="174"/>
        <v>140188</v>
      </c>
      <c r="AJ217" s="107">
        <v>120000</v>
      </c>
      <c r="AK217" s="107">
        <f t="shared" si="175"/>
        <v>120000</v>
      </c>
      <c r="AL217" s="107">
        <f t="shared" si="176"/>
        <v>33600000</v>
      </c>
      <c r="AM217" s="249">
        <f>IF(VLOOKUP($A217,'Rate Calculation'!$A$4:$D$208,4,FALSE)="baltimore city",0.1,0.08)</f>
        <v>0.08</v>
      </c>
      <c r="AN217" s="107">
        <f t="shared" si="161"/>
        <v>2688000</v>
      </c>
      <c r="AO217" s="105">
        <f>IF(ISERROR(MATCH(A217&amp;AC217,'Days Exceptions'!$C$3:$C$16,0)),ROUND(AN217/(MAX(U217,V217)),2),ROUND(AN217/VLOOKUP(A217,'Days Exceptions'!$A$3:$J$16,8,FALSE),2))</f>
        <v>29.15</v>
      </c>
      <c r="AP217" s="213">
        <f>VLOOKUP($A217,'Vent Rate Calculation'!$A$4:$AF$21,32,FALSE)</f>
        <v>4.22</v>
      </c>
      <c r="AQ217" s="109">
        <f t="shared" si="162"/>
        <v>33.369999999999997</v>
      </c>
      <c r="AR217" s="247">
        <f>VLOOKUP($A217,'Vent Rate Calculation'!$A$4:$Q$21,17,FALSE)</f>
        <v>191.91</v>
      </c>
      <c r="AS217" s="247">
        <f t="shared" si="177"/>
        <v>197.86</v>
      </c>
      <c r="AT217" s="247">
        <f>VLOOKUP($A217,'Vent Rate Calculation'!A10:K27,11,FALSE)</f>
        <v>176.01</v>
      </c>
      <c r="AU217" s="247">
        <f t="shared" si="163"/>
        <v>181.47</v>
      </c>
      <c r="AV217" s="110">
        <f t="shared" si="178"/>
        <v>219.77</v>
      </c>
      <c r="AW217" s="110">
        <f t="shared" si="179"/>
        <v>482.85</v>
      </c>
      <c r="AX217" s="111">
        <f t="shared" si="180"/>
        <v>-24</v>
      </c>
      <c r="AY217" s="110">
        <f t="shared" si="181"/>
        <v>458.85</v>
      </c>
      <c r="AZ217" s="105">
        <f t="shared" si="182"/>
        <v>434.71</v>
      </c>
      <c r="BA217" s="105">
        <f t="shared" si="183"/>
        <v>458.71</v>
      </c>
      <c r="BB217" s="105">
        <f t="shared" si="184"/>
        <v>24</v>
      </c>
      <c r="BC217" s="111">
        <f t="shared" si="185"/>
        <v>921.1</v>
      </c>
      <c r="BE217" s="105"/>
      <c r="BF217" s="105"/>
      <c r="BG217" s="105"/>
      <c r="BI217" s="105"/>
      <c r="BJ217" s="105"/>
    </row>
    <row r="218" spans="1:62" x14ac:dyDescent="0.15">
      <c r="A218" s="115">
        <v>342</v>
      </c>
      <c r="B218" s="98" t="str">
        <f>VLOOKUP($A218,'Vent Rate Calculation'!$A$4:$AQ$21,42,FALSE)</f>
        <v>999675300</v>
      </c>
      <c r="C218" s="98" t="str">
        <f>VLOOKUP($A218,'Vent Rate Calculation'!$A$4:$AQ$21,43,FALSE)</f>
        <v>Complete Care at Multi Medical Center, LLC</v>
      </c>
      <c r="D218" s="98" t="str">
        <f>VLOOKUP($A218,'Vent Rate Calculation'!$A$4:$F$21,5,FALSE)</f>
        <v>BALTIMORE METRO</v>
      </c>
      <c r="E218" s="98" t="str">
        <f>VLOOKUP($A218,'Vent Rate Calculation'!$A$4:$F$21,6,FALSE)</f>
        <v>BALTIMORE METRO</v>
      </c>
      <c r="F218" s="105">
        <f t="shared" si="164"/>
        <v>105.18</v>
      </c>
      <c r="G218" s="105">
        <f t="shared" si="165"/>
        <v>21.5</v>
      </c>
      <c r="H218" s="105">
        <f t="shared" si="166"/>
        <v>31.82</v>
      </c>
      <c r="I218" s="105">
        <f t="shared" si="167"/>
        <v>535.85</v>
      </c>
      <c r="J218" s="105">
        <f>VLOOKUP($A218,'Vent Rate Calculation'!$A$4:$AZ$21,34,FALSE)</f>
        <v>0</v>
      </c>
      <c r="K218" s="105">
        <f t="shared" si="168"/>
        <v>694.35</v>
      </c>
      <c r="L218" s="164">
        <f t="shared" si="158"/>
        <v>0.98772000000000004</v>
      </c>
      <c r="M218" s="105">
        <f t="shared" si="169"/>
        <v>685.82</v>
      </c>
      <c r="N218" s="105">
        <v>285</v>
      </c>
      <c r="O218" s="105">
        <f t="shared" si="170"/>
        <v>970.82</v>
      </c>
      <c r="P218" s="105">
        <f>VLOOKUP(A218,'Vent Rate Calculation'!$A$4:$AL$21,38,FALSE)</f>
        <v>19.670000000000002</v>
      </c>
      <c r="Q218" s="183">
        <f>VLOOKUP($A218,'Vent Rate Calculation'!$A$4:$I$21,9,FALSE)</f>
        <v>1.7596000000000001</v>
      </c>
      <c r="R218" s="183">
        <f t="shared" si="159"/>
        <v>1.4432</v>
      </c>
      <c r="S218" s="183">
        <f>VLOOKUP(A218,'CMI Data'!$A$4:$F$208,6,FALSE)</f>
        <v>3.84</v>
      </c>
      <c r="T218" s="246">
        <f>VLOOKUP($A218,FRV!$A$4:$K$208,11,FALSE)</f>
        <v>43070</v>
      </c>
      <c r="U218" s="246">
        <f t="shared" si="160"/>
        <v>35115</v>
      </c>
      <c r="V218" s="246">
        <f>VLOOKUP($A218,FRV!$A$4:$L$208,12,FALSE)</f>
        <v>37659</v>
      </c>
      <c r="W218" s="183">
        <f>Inflation!$G$24</f>
        <v>1.0309999999999999</v>
      </c>
      <c r="X218" s="247">
        <f>VLOOKUP($A218,'Vent Rate Calculation'!A11:X28,24,FALSE)</f>
        <v>102.02</v>
      </c>
      <c r="Y218" s="110">
        <f t="shared" si="171"/>
        <v>105.18</v>
      </c>
      <c r="Z218" s="110">
        <f>VLOOKUP($A218,'Vent Rate Calculation'!$A$4:$V$21,22,FALSE)</f>
        <v>20.85</v>
      </c>
      <c r="AA218" s="110">
        <f t="shared" si="172"/>
        <v>21.5</v>
      </c>
      <c r="AB218" s="212">
        <f>VLOOKUP($A218,FRV!$A$4:$D$208,4,FALSE)</f>
        <v>44743</v>
      </c>
      <c r="AC218" s="212">
        <f>VLOOKUP($A218,FRV!$A$4:$F$208,6,FALSE)</f>
        <v>44926</v>
      </c>
      <c r="AD218" s="248">
        <f>VLOOKUP($A218,FRV!$A$4:$U$208,13,FALSE)</f>
        <v>11665522</v>
      </c>
      <c r="AE218" s="248">
        <f>VLOOKUP($A218,FRV!$A$4:$U$208,15,FALSE)</f>
        <v>260400</v>
      </c>
      <c r="AF218" s="248">
        <f>VLOOKUP($A218,FRV!$A$4:$U$208,14,FALSE)</f>
        <v>22500</v>
      </c>
      <c r="AG218" s="248">
        <f>VLOOKUP($A218,FRV!$A$4:$U$208,7,FALSE)</f>
        <v>118</v>
      </c>
      <c r="AH218" s="107">
        <f t="shared" si="173"/>
        <v>14580922</v>
      </c>
      <c r="AI218" s="107">
        <f t="shared" si="174"/>
        <v>123567</v>
      </c>
      <c r="AJ218" s="107">
        <v>120000</v>
      </c>
      <c r="AK218" s="107">
        <f t="shared" si="175"/>
        <v>120000</v>
      </c>
      <c r="AL218" s="107">
        <f t="shared" si="176"/>
        <v>14160000</v>
      </c>
      <c r="AM218" s="249">
        <f>IF(VLOOKUP($A218,'Rate Calculation'!$A$4:$D$208,4,FALSE)="baltimore city",0.1,0.08)</f>
        <v>0.08</v>
      </c>
      <c r="AN218" s="107">
        <f t="shared" si="161"/>
        <v>1132800</v>
      </c>
      <c r="AO218" s="105">
        <f>IF(ISERROR(MATCH(A218&amp;AC218,'Days Exceptions'!$C$3:$C$16,0)),ROUND(AN218/(MAX(U218,V218)),2),ROUND(AN218/VLOOKUP(A218,'Days Exceptions'!$A$3:$J$16,8,FALSE),2))</f>
        <v>30.08</v>
      </c>
      <c r="AP218" s="213">
        <f>VLOOKUP($A218,'Vent Rate Calculation'!$A$4:$AF$21,32,FALSE)</f>
        <v>1.74</v>
      </c>
      <c r="AQ218" s="109">
        <f t="shared" si="162"/>
        <v>31.82</v>
      </c>
      <c r="AR218" s="247">
        <f>VLOOKUP($A218,'Vent Rate Calculation'!$A$4:$Q$21,17,FALSE)</f>
        <v>233.45</v>
      </c>
      <c r="AS218" s="247">
        <f t="shared" si="177"/>
        <v>240.69</v>
      </c>
      <c r="AT218" s="247">
        <f>VLOOKUP($A218,'Vent Rate Calculation'!A11:K28,11,FALSE)</f>
        <v>195.33</v>
      </c>
      <c r="AU218" s="247">
        <f t="shared" si="163"/>
        <v>201.39</v>
      </c>
      <c r="AV218" s="110">
        <f t="shared" si="178"/>
        <v>245.54</v>
      </c>
      <c r="AW218" s="110">
        <f t="shared" si="179"/>
        <v>535.85</v>
      </c>
      <c r="AX218" s="111">
        <f t="shared" si="180"/>
        <v>0</v>
      </c>
      <c r="AY218" s="110">
        <f t="shared" si="181"/>
        <v>535.85</v>
      </c>
      <c r="AZ218" s="105">
        <f t="shared" si="182"/>
        <v>525.26</v>
      </c>
      <c r="BA218" s="105">
        <f t="shared" si="183"/>
        <v>509.06</v>
      </c>
      <c r="BB218" s="105">
        <f t="shared" si="184"/>
        <v>-16.2</v>
      </c>
      <c r="BC218" s="111">
        <f t="shared" si="185"/>
        <v>990.49</v>
      </c>
      <c r="BE218" s="105"/>
      <c r="BF218" s="105"/>
      <c r="BG218" s="105"/>
      <c r="BI218" s="105"/>
      <c r="BJ218" s="105"/>
    </row>
    <row r="219" spans="1:62" x14ac:dyDescent="0.15">
      <c r="A219" s="115">
        <v>26</v>
      </c>
      <c r="B219" s="98" t="str">
        <f>VLOOKUP($A219,'Vent Rate Calculation'!$A$4:$AQ$21,42,FALSE)</f>
        <v>553206000</v>
      </c>
      <c r="C219" s="98" t="str">
        <f>VLOOKUP($A219,'Vent Rate Calculation'!$A$4:$AQ$21,43,FALSE)</f>
        <v>Fairland Center</v>
      </c>
      <c r="D219" s="98" t="str">
        <f>VLOOKUP($A219,'Vent Rate Calculation'!$A$4:$F$21,5,FALSE)</f>
        <v>WASHINGTON METRO</v>
      </c>
      <c r="E219" s="98" t="str">
        <f>VLOOKUP($A219,'Vent Rate Calculation'!$A$4:$F$21,6,FALSE)</f>
        <v>WASHINGTON METRO</v>
      </c>
      <c r="F219" s="105">
        <f t="shared" si="164"/>
        <v>103.73</v>
      </c>
      <c r="G219" s="105">
        <f t="shared" si="165"/>
        <v>19.829999999999998</v>
      </c>
      <c r="H219" s="105">
        <f t="shared" si="166"/>
        <v>33.049999999999997</v>
      </c>
      <c r="I219" s="105">
        <f t="shared" si="167"/>
        <v>482.85</v>
      </c>
      <c r="J219" s="105">
        <f>VLOOKUP($A219,'Vent Rate Calculation'!$A$4:$AZ$21,34,FALSE)</f>
        <v>0</v>
      </c>
      <c r="K219" s="105">
        <f t="shared" si="168"/>
        <v>639.46</v>
      </c>
      <c r="L219" s="164">
        <f t="shared" si="158"/>
        <v>0.98772000000000004</v>
      </c>
      <c r="M219" s="105">
        <f t="shared" si="169"/>
        <v>631.61</v>
      </c>
      <c r="N219" s="105">
        <v>285</v>
      </c>
      <c r="O219" s="105">
        <f t="shared" si="170"/>
        <v>916.61</v>
      </c>
      <c r="P219" s="105">
        <f>VLOOKUP(A219,'Vent Rate Calculation'!$A$4:$AL$21,38,FALSE)</f>
        <v>28.92</v>
      </c>
      <c r="Q219" s="183">
        <f>VLOOKUP($A219,'Vent Rate Calculation'!$A$4:$I$21,9,FALSE)</f>
        <v>1.9835</v>
      </c>
      <c r="R219" s="183">
        <f t="shared" si="159"/>
        <v>1.4432</v>
      </c>
      <c r="S219" s="183">
        <f>VLOOKUP(A219,'CMI Data'!$A$4:$F$208,6,FALSE)</f>
        <v>3.84</v>
      </c>
      <c r="T219" s="246">
        <f>VLOOKUP($A219,FRV!$A$4:$K$208,11,FALSE)</f>
        <v>33580</v>
      </c>
      <c r="U219" s="246">
        <f t="shared" si="160"/>
        <v>27378</v>
      </c>
      <c r="V219" s="246">
        <f>VLOOKUP($A219,FRV!$A$4:$L$208,12,FALSE)</f>
        <v>29732</v>
      </c>
      <c r="W219" s="183">
        <f>Inflation!$G$24</f>
        <v>1.0309999999999999</v>
      </c>
      <c r="X219" s="247">
        <f>VLOOKUP($A219,'Vent Rate Calculation'!A12:X29,24,FALSE)</f>
        <v>100.61</v>
      </c>
      <c r="Y219" s="110">
        <f t="shared" si="171"/>
        <v>103.73</v>
      </c>
      <c r="Z219" s="110">
        <f>VLOOKUP($A219,'Vent Rate Calculation'!$A$4:$V$21,22,FALSE)</f>
        <v>19.23</v>
      </c>
      <c r="AA219" s="110">
        <f t="shared" si="172"/>
        <v>19.829999999999998</v>
      </c>
      <c r="AB219" s="212">
        <f>VLOOKUP($A219,FRV!$A$4:$D$208,4,FALSE)</f>
        <v>45108</v>
      </c>
      <c r="AC219" s="212">
        <f>VLOOKUP($A219,FRV!$A$4:$F$208,6,FALSE)</f>
        <v>45291</v>
      </c>
      <c r="AD219" s="248">
        <f>VLOOKUP($A219,FRV!$A$4:$U$208,13,FALSE)</f>
        <v>8790316</v>
      </c>
      <c r="AE219" s="248">
        <f>VLOOKUP($A219,FRV!$A$4:$U$208,15,FALSE)</f>
        <v>181428</v>
      </c>
      <c r="AF219" s="248">
        <f>VLOOKUP($A219,FRV!$A$4:$U$208,14,FALSE)</f>
        <v>27500</v>
      </c>
      <c r="AG219" s="248">
        <f>VLOOKUP($A219,FRV!$A$4:$U$208,7,FALSE)</f>
        <v>92</v>
      </c>
      <c r="AH219" s="107">
        <f t="shared" si="173"/>
        <v>11501744</v>
      </c>
      <c r="AI219" s="107">
        <f t="shared" si="174"/>
        <v>125019</v>
      </c>
      <c r="AJ219" s="107">
        <v>120000</v>
      </c>
      <c r="AK219" s="107">
        <f t="shared" si="175"/>
        <v>120000</v>
      </c>
      <c r="AL219" s="107">
        <f t="shared" si="176"/>
        <v>11040000</v>
      </c>
      <c r="AM219" s="249">
        <f>IF(VLOOKUP($A219,'Rate Calculation'!$A$4:$D$208,4,FALSE)="baltimore city",0.1,0.08)</f>
        <v>0.08</v>
      </c>
      <c r="AN219" s="107">
        <f t="shared" si="161"/>
        <v>883200</v>
      </c>
      <c r="AO219" s="105">
        <f>IF(ISERROR(MATCH(A219&amp;AC219,'Days Exceptions'!$C$3:$C$16,0)),ROUND(AN219/(MAX(U219,V219)),2),ROUND(AN219/VLOOKUP(A219,'Days Exceptions'!$A$3:$J$16,8,FALSE),2))</f>
        <v>29.71</v>
      </c>
      <c r="AP219" s="213">
        <f>VLOOKUP($A219,'Vent Rate Calculation'!$A$4:$AF$21,32,FALSE)</f>
        <v>3.34</v>
      </c>
      <c r="AQ219" s="109">
        <f t="shared" si="162"/>
        <v>33.049999999999997</v>
      </c>
      <c r="AR219" s="247">
        <f>VLOOKUP($A219,'Vent Rate Calculation'!$A$4:$Q$21,17,FALSE)</f>
        <v>256.24</v>
      </c>
      <c r="AS219" s="247">
        <f t="shared" si="177"/>
        <v>264.18</v>
      </c>
      <c r="AT219" s="247">
        <f>VLOOKUP($A219,'Vent Rate Calculation'!A12:K29,11,FALSE)</f>
        <v>176.01</v>
      </c>
      <c r="AU219" s="247">
        <f t="shared" si="163"/>
        <v>181.47</v>
      </c>
      <c r="AV219" s="110">
        <f t="shared" si="178"/>
        <v>249.41</v>
      </c>
      <c r="AW219" s="110">
        <f t="shared" si="179"/>
        <v>482.85</v>
      </c>
      <c r="AX219" s="111">
        <f t="shared" si="180"/>
        <v>0</v>
      </c>
      <c r="AY219" s="110">
        <f t="shared" si="181"/>
        <v>482.85</v>
      </c>
      <c r="AZ219" s="105">
        <f t="shared" si="182"/>
        <v>511.45</v>
      </c>
      <c r="BA219" s="105">
        <f t="shared" si="183"/>
        <v>458.71</v>
      </c>
      <c r="BB219" s="105">
        <f t="shared" si="184"/>
        <v>-52.74</v>
      </c>
      <c r="BC219" s="111">
        <f t="shared" si="185"/>
        <v>945.53</v>
      </c>
      <c r="BE219" s="105"/>
      <c r="BF219" s="105"/>
      <c r="BG219" s="105"/>
      <c r="BI219" s="105"/>
      <c r="BJ219" s="105"/>
    </row>
    <row r="220" spans="1:62" x14ac:dyDescent="0.15">
      <c r="A220" s="115">
        <v>1366</v>
      </c>
      <c r="B220" s="98" t="str">
        <f>VLOOKUP($A220,'Vent Rate Calculation'!$A$4:$AQ$21,42,FALSE)</f>
        <v>280024100</v>
      </c>
      <c r="C220" s="98" t="str">
        <f>VLOOKUP($A220,'Vent Rate Calculation'!$A$4:$AQ$21,43,FALSE)</f>
        <v>FutureCare - Capital Region</v>
      </c>
      <c r="D220" s="98" t="str">
        <f>VLOOKUP($A220,'Vent Rate Calculation'!$A$4:$F$21,5,FALSE)</f>
        <v>WASHINGTON METRO</v>
      </c>
      <c r="E220" s="98" t="str">
        <f>VLOOKUP($A220,'Vent Rate Calculation'!$A$4:$F$21,6,FALSE)</f>
        <v>WASHINGTON METRO</v>
      </c>
      <c r="F220" s="105">
        <f t="shared" si="164"/>
        <v>103.73</v>
      </c>
      <c r="G220" s="105">
        <f t="shared" si="165"/>
        <v>19.829999999999998</v>
      </c>
      <c r="H220" s="105">
        <f t="shared" si="166"/>
        <v>33.770000000000003</v>
      </c>
      <c r="I220" s="105">
        <f t="shared" si="167"/>
        <v>482.84</v>
      </c>
      <c r="J220" s="105">
        <f>VLOOKUP($A220,'Vent Rate Calculation'!$A$4:$AZ$21,34,FALSE)</f>
        <v>0</v>
      </c>
      <c r="K220" s="105">
        <f t="shared" si="168"/>
        <v>640.16999999999996</v>
      </c>
      <c r="L220" s="164">
        <f t="shared" si="158"/>
        <v>0.98772000000000004</v>
      </c>
      <c r="M220" s="105">
        <f t="shared" si="169"/>
        <v>632.30999999999995</v>
      </c>
      <c r="N220" s="105">
        <v>285</v>
      </c>
      <c r="O220" s="105">
        <f t="shared" si="170"/>
        <v>917.31</v>
      </c>
      <c r="P220" s="105">
        <f>VLOOKUP(A220,'Vent Rate Calculation'!$A$4:$AL$21,38,FALSE)</f>
        <v>17.38</v>
      </c>
      <c r="Q220" s="183">
        <f>VLOOKUP($A220,'Vent Rate Calculation'!$A$4:$I$21,9,FALSE)</f>
        <v>1.9762999999999999</v>
      </c>
      <c r="R220" s="183">
        <f t="shared" si="159"/>
        <v>1.4432</v>
      </c>
      <c r="S220" s="183">
        <f>VLOOKUP(A220,'CMI Data'!$A$4:$F$208,6,FALSE)</f>
        <v>3.84</v>
      </c>
      <c r="T220" s="246">
        <f>VLOOKUP($A220,FRV!$A$4:$K$208,11,FALSE)</f>
        <v>54750</v>
      </c>
      <c r="U220" s="246">
        <f t="shared" si="160"/>
        <v>44638</v>
      </c>
      <c r="V220" s="246">
        <f>VLOOKUP($A220,FRV!$A$4:$L$208,12,FALSE)</f>
        <v>51160</v>
      </c>
      <c r="W220" s="183">
        <f>Inflation!$G$24</f>
        <v>1.0309999999999999</v>
      </c>
      <c r="X220" s="247">
        <f>VLOOKUP($A220,'Vent Rate Calculation'!A13:X30,24,FALSE)</f>
        <v>100.61</v>
      </c>
      <c r="Y220" s="110">
        <f t="shared" si="171"/>
        <v>103.73</v>
      </c>
      <c r="Z220" s="110">
        <f>VLOOKUP($A220,'Vent Rate Calculation'!$A$4:$V$21,22,FALSE)</f>
        <v>19.23</v>
      </c>
      <c r="AA220" s="110">
        <f t="shared" si="172"/>
        <v>19.829999999999998</v>
      </c>
      <c r="AB220" s="212">
        <f>VLOOKUP($A220,FRV!$A$4:$D$208,4,FALSE)</f>
        <v>45108</v>
      </c>
      <c r="AC220" s="212">
        <f>VLOOKUP($A220,FRV!$A$4:$F$208,6,FALSE)</f>
        <v>45291</v>
      </c>
      <c r="AD220" s="248">
        <f>VLOOKUP($A220,FRV!$A$4:$U$208,13,FALSE)</f>
        <v>24449721</v>
      </c>
      <c r="AE220" s="248">
        <f>VLOOKUP($A220,FRV!$A$4:$U$208,15,FALSE)</f>
        <v>413174</v>
      </c>
      <c r="AF220" s="248">
        <f>VLOOKUP($A220,FRV!$A$4:$U$208,14,FALSE)</f>
        <v>22000</v>
      </c>
      <c r="AG220" s="248">
        <f>VLOOKUP($A220,FRV!$A$4:$U$208,7,FALSE)</f>
        <v>150</v>
      </c>
      <c r="AH220" s="107">
        <f t="shared" si="173"/>
        <v>28162895</v>
      </c>
      <c r="AI220" s="107">
        <f t="shared" si="174"/>
        <v>187753</v>
      </c>
      <c r="AJ220" s="107">
        <v>120000</v>
      </c>
      <c r="AK220" s="107">
        <f t="shared" si="175"/>
        <v>120000</v>
      </c>
      <c r="AL220" s="107">
        <f t="shared" si="176"/>
        <v>18000000</v>
      </c>
      <c r="AM220" s="249">
        <f>IF(VLOOKUP($A220,'Rate Calculation'!$A$4:$D$208,4,FALSE)="baltimore city",0.1,0.08)</f>
        <v>0.08</v>
      </c>
      <c r="AN220" s="107">
        <f t="shared" si="161"/>
        <v>1440000</v>
      </c>
      <c r="AO220" s="105">
        <f>IF(ISERROR(MATCH(A220&amp;AC220,'Days Exceptions'!$C$3:$C$16,0)),ROUND(AN220/(MAX(U220,V220)),2),ROUND(AN220/VLOOKUP(A220,'Days Exceptions'!$A$3:$J$16,8,FALSE),2))</f>
        <v>28.15</v>
      </c>
      <c r="AP220" s="213">
        <f>VLOOKUP($A220,'Vent Rate Calculation'!$A$4:$AF$21,32,FALSE)</f>
        <v>5.62</v>
      </c>
      <c r="AQ220" s="109">
        <f t="shared" si="162"/>
        <v>33.770000000000003</v>
      </c>
      <c r="AR220" s="247">
        <f>VLOOKUP($A220,'Vent Rate Calculation'!$A$4:$Q$21,17,FALSE)</f>
        <v>283.92</v>
      </c>
      <c r="AS220" s="247">
        <f t="shared" si="177"/>
        <v>292.72000000000003</v>
      </c>
      <c r="AT220" s="247">
        <f>VLOOKUP($A220,'Vent Rate Calculation'!A13:K30,11,FALSE)</f>
        <v>176.01</v>
      </c>
      <c r="AU220" s="247">
        <f t="shared" si="163"/>
        <v>181.47</v>
      </c>
      <c r="AV220" s="110">
        <f t="shared" si="178"/>
        <v>248.5</v>
      </c>
      <c r="AW220" s="110">
        <f t="shared" si="179"/>
        <v>482.84</v>
      </c>
      <c r="AX220" s="111">
        <f t="shared" si="180"/>
        <v>0</v>
      </c>
      <c r="AY220" s="110">
        <f t="shared" si="181"/>
        <v>482.84</v>
      </c>
      <c r="AZ220" s="105">
        <f t="shared" si="182"/>
        <v>568.76</v>
      </c>
      <c r="BA220" s="105">
        <f t="shared" si="183"/>
        <v>458.7</v>
      </c>
      <c r="BB220" s="105">
        <f t="shared" si="184"/>
        <v>-110.06</v>
      </c>
      <c r="BC220" s="111">
        <f t="shared" si="185"/>
        <v>934.69</v>
      </c>
      <c r="BE220" s="105"/>
      <c r="BF220" s="105"/>
      <c r="BG220" s="105"/>
      <c r="BI220" s="105"/>
      <c r="BJ220" s="105"/>
    </row>
    <row r="221" spans="1:62" x14ac:dyDescent="0.15">
      <c r="A221" s="115">
        <v>186</v>
      </c>
      <c r="B221" s="98" t="str">
        <f>VLOOKUP($A221,'Vent Rate Calculation'!$A$4:$AQ$21,42,FALSE)</f>
        <v>842825500</v>
      </c>
      <c r="C221" s="98" t="str">
        <f>VLOOKUP($A221,'Vent Rate Calculation'!$A$4:$AQ$21,43,FALSE)</f>
        <v>FutureCare - Homewood</v>
      </c>
      <c r="D221" s="98" t="str">
        <f>VLOOKUP($A221,'Vent Rate Calculation'!$A$4:$F$21,5,FALSE)</f>
        <v>BALTIMORE METRO</v>
      </c>
      <c r="E221" s="98" t="str">
        <f>VLOOKUP($A221,'Vent Rate Calculation'!$A$4:$F$21,6,FALSE)</f>
        <v>BALTIMORE CITY</v>
      </c>
      <c r="F221" s="105">
        <f t="shared" si="164"/>
        <v>117.69</v>
      </c>
      <c r="G221" s="105">
        <f t="shared" si="165"/>
        <v>25.66</v>
      </c>
      <c r="H221" s="105">
        <f t="shared" si="166"/>
        <v>42.46</v>
      </c>
      <c r="I221" s="105">
        <f t="shared" si="167"/>
        <v>512.70000000000005</v>
      </c>
      <c r="J221" s="105">
        <f>VLOOKUP($A221,'Vent Rate Calculation'!$A$4:$AZ$21,34,FALSE)</f>
        <v>0</v>
      </c>
      <c r="K221" s="105">
        <f t="shared" si="168"/>
        <v>698.51</v>
      </c>
      <c r="L221" s="164">
        <f t="shared" si="158"/>
        <v>0.98772000000000004</v>
      </c>
      <c r="M221" s="105">
        <f t="shared" si="169"/>
        <v>689.93</v>
      </c>
      <c r="N221" s="105">
        <v>285</v>
      </c>
      <c r="O221" s="105">
        <f t="shared" si="170"/>
        <v>974.93</v>
      </c>
      <c r="P221" s="105">
        <f>VLOOKUP(A221,'Vent Rate Calculation'!$A$4:$AL$21,38,FALSE)</f>
        <v>26.26</v>
      </c>
      <c r="Q221" s="183">
        <f>VLOOKUP($A221,'Vent Rate Calculation'!$A$4:$I$21,9,FALSE)</f>
        <v>1.9034</v>
      </c>
      <c r="R221" s="183">
        <f t="shared" si="159"/>
        <v>1.4432</v>
      </c>
      <c r="S221" s="183">
        <f>VLOOKUP(A221,'CMI Data'!$A$4:$F$208,6,FALSE)</f>
        <v>3.6741000000000001</v>
      </c>
      <c r="T221" s="246">
        <f>VLOOKUP($A221,FRV!$A$4:$K$208,11,FALSE)</f>
        <v>54020</v>
      </c>
      <c r="U221" s="246">
        <f t="shared" si="160"/>
        <v>44043</v>
      </c>
      <c r="V221" s="246">
        <f>VLOOKUP($A221,FRV!$A$4:$L$208,12,FALSE)</f>
        <v>45129</v>
      </c>
      <c r="W221" s="183">
        <f>Inflation!$G$24</f>
        <v>1.0309999999999999</v>
      </c>
      <c r="X221" s="247">
        <f>VLOOKUP($A221,'Vent Rate Calculation'!A14:X31,24,FALSE)</f>
        <v>114.15</v>
      </c>
      <c r="Y221" s="110">
        <f t="shared" si="171"/>
        <v>117.69</v>
      </c>
      <c r="Z221" s="110">
        <f>VLOOKUP($A221,'Vent Rate Calculation'!$A$4:$V$21,22,FALSE)</f>
        <v>24.89</v>
      </c>
      <c r="AA221" s="110">
        <f t="shared" si="172"/>
        <v>25.66</v>
      </c>
      <c r="AB221" s="212">
        <f>VLOOKUP($A221,FRV!$A$4:$D$208,4,FALSE)</f>
        <v>44743</v>
      </c>
      <c r="AC221" s="212">
        <f>VLOOKUP($A221,FRV!$A$4:$F$208,6,FALSE)</f>
        <v>44926</v>
      </c>
      <c r="AD221" s="248">
        <f>VLOOKUP($A221,FRV!$A$4:$U$208,13,FALSE)</f>
        <v>30009337</v>
      </c>
      <c r="AE221" s="248">
        <f>VLOOKUP($A221,FRV!$A$4:$U$208,15,FALSE)</f>
        <v>601383</v>
      </c>
      <c r="AF221" s="248">
        <f>VLOOKUP($A221,FRV!$A$4:$U$208,14,FALSE)</f>
        <v>20500</v>
      </c>
      <c r="AG221" s="248">
        <f>VLOOKUP($A221,FRV!$A$4:$U$208,7,FALSE)</f>
        <v>148</v>
      </c>
      <c r="AH221" s="107">
        <f t="shared" si="173"/>
        <v>33644720</v>
      </c>
      <c r="AI221" s="107">
        <f t="shared" si="174"/>
        <v>227329</v>
      </c>
      <c r="AJ221" s="107">
        <v>120000</v>
      </c>
      <c r="AK221" s="107">
        <f t="shared" si="175"/>
        <v>120000</v>
      </c>
      <c r="AL221" s="107">
        <f t="shared" si="176"/>
        <v>17760000</v>
      </c>
      <c r="AM221" s="249">
        <f>IF(VLOOKUP($A221,'Rate Calculation'!$A$4:$D$208,4,FALSE)="baltimore city",0.1,0.08)</f>
        <v>0.1</v>
      </c>
      <c r="AN221" s="107">
        <f t="shared" si="161"/>
        <v>1776000</v>
      </c>
      <c r="AO221" s="105">
        <f>IF(ISERROR(MATCH(A221&amp;AC221,'Days Exceptions'!$C$3:$C$16,0)),ROUND(AN221/(MAX(U221,V221)),2),ROUND(AN221/VLOOKUP(A221,'Days Exceptions'!$A$3:$J$16,8,FALSE),2))</f>
        <v>39.35</v>
      </c>
      <c r="AP221" s="213">
        <f>VLOOKUP($A221,'Vent Rate Calculation'!$A$4:$AF$21,32,FALSE)</f>
        <v>3.11</v>
      </c>
      <c r="AQ221" s="109">
        <f t="shared" si="162"/>
        <v>42.46</v>
      </c>
      <c r="AR221" s="247">
        <f>VLOOKUP($A221,'Vent Rate Calculation'!$A$4:$Q$21,17,FALSE)</f>
        <v>287.73</v>
      </c>
      <c r="AS221" s="247">
        <f t="shared" si="177"/>
        <v>296.64999999999998</v>
      </c>
      <c r="AT221" s="247">
        <f>VLOOKUP($A221,'Vent Rate Calculation'!A14:K31,11,FALSE)</f>
        <v>195.33</v>
      </c>
      <c r="AU221" s="247">
        <f t="shared" si="163"/>
        <v>201.39</v>
      </c>
      <c r="AV221" s="110">
        <f t="shared" si="178"/>
        <v>265.61</v>
      </c>
      <c r="AW221" s="110">
        <f t="shared" si="179"/>
        <v>512.70000000000005</v>
      </c>
      <c r="AX221" s="111">
        <f t="shared" si="180"/>
        <v>0</v>
      </c>
      <c r="AY221" s="110">
        <f t="shared" si="181"/>
        <v>512.70000000000005</v>
      </c>
      <c r="AZ221" s="105">
        <f t="shared" si="182"/>
        <v>572.62</v>
      </c>
      <c r="BA221" s="105">
        <f t="shared" si="183"/>
        <v>487.07</v>
      </c>
      <c r="BB221" s="105">
        <f t="shared" si="184"/>
        <v>-85.55</v>
      </c>
      <c r="BC221" s="111">
        <f t="shared" si="185"/>
        <v>1001.19</v>
      </c>
      <c r="BE221" s="105"/>
      <c r="BF221" s="105"/>
      <c r="BG221" s="105"/>
      <c r="BI221" s="105"/>
      <c r="BJ221" s="105"/>
    </row>
    <row r="222" spans="1:62" x14ac:dyDescent="0.15">
      <c r="A222" s="115">
        <v>713</v>
      </c>
      <c r="B222" s="98" t="str">
        <f>VLOOKUP($A222,'Vent Rate Calculation'!$A$4:$AQ$21,42,FALSE)</f>
        <v>400450700</v>
      </c>
      <c r="C222" s="98" t="str">
        <f>VLOOKUP($A222,'Vent Rate Calculation'!$A$4:$AQ$21,43,FALSE)</f>
        <v>FutureCare - Irvington, LLC</v>
      </c>
      <c r="D222" s="98" t="str">
        <f>VLOOKUP($A222,'Vent Rate Calculation'!$A$4:$F$21,5,FALSE)</f>
        <v>BALTIMORE METRO</v>
      </c>
      <c r="E222" s="98" t="str">
        <f>VLOOKUP($A222,'Vent Rate Calculation'!$A$4:$F$21,6,FALSE)</f>
        <v>BALTIMORE CITY</v>
      </c>
      <c r="F222" s="105">
        <f t="shared" si="164"/>
        <v>117.69</v>
      </c>
      <c r="G222" s="105">
        <f t="shared" si="165"/>
        <v>25.66</v>
      </c>
      <c r="H222" s="105">
        <f t="shared" si="166"/>
        <v>38.799999999999997</v>
      </c>
      <c r="I222" s="105">
        <f t="shared" si="167"/>
        <v>521.74</v>
      </c>
      <c r="J222" s="105">
        <f>VLOOKUP($A222,'Vent Rate Calculation'!$A$4:$AZ$21,34,FALSE)</f>
        <v>0</v>
      </c>
      <c r="K222" s="105">
        <f t="shared" si="168"/>
        <v>703.89</v>
      </c>
      <c r="L222" s="164">
        <f t="shared" si="158"/>
        <v>0.98772000000000004</v>
      </c>
      <c r="M222" s="105">
        <f t="shared" si="169"/>
        <v>695.25</v>
      </c>
      <c r="N222" s="105">
        <v>285</v>
      </c>
      <c r="O222" s="105">
        <f t="shared" si="170"/>
        <v>980.25</v>
      </c>
      <c r="P222" s="105">
        <f>VLOOKUP(A222,'Vent Rate Calculation'!$A$4:$AL$21,38,FALSE)</f>
        <v>28.67</v>
      </c>
      <c r="Q222" s="183">
        <f>VLOOKUP($A222,'Vent Rate Calculation'!$A$4:$I$21,9,FALSE)</f>
        <v>1.968</v>
      </c>
      <c r="R222" s="183">
        <f t="shared" si="159"/>
        <v>1.4432</v>
      </c>
      <c r="S222" s="183">
        <f>VLOOKUP(A222,'CMI Data'!$A$4:$F$208,6,FALSE)</f>
        <v>3.84</v>
      </c>
      <c r="T222" s="246">
        <f>VLOOKUP($A222,FRV!$A$4:$K$208,11,FALSE)</f>
        <v>73000</v>
      </c>
      <c r="U222" s="246">
        <f t="shared" si="160"/>
        <v>59517</v>
      </c>
      <c r="V222" s="246">
        <f>VLOOKUP($A222,FRV!$A$4:$L$208,12,FALSE)</f>
        <v>63680</v>
      </c>
      <c r="W222" s="183">
        <f>Inflation!$G$24</f>
        <v>1.0309999999999999</v>
      </c>
      <c r="X222" s="247">
        <f>VLOOKUP($A222,'Vent Rate Calculation'!A15:X32,24,FALSE)</f>
        <v>114.15</v>
      </c>
      <c r="Y222" s="110">
        <f t="shared" si="171"/>
        <v>117.69</v>
      </c>
      <c r="Z222" s="110">
        <f>VLOOKUP($A222,'Vent Rate Calculation'!$A$4:$V$21,22,FALSE)</f>
        <v>24.89</v>
      </c>
      <c r="AA222" s="110">
        <f t="shared" si="172"/>
        <v>25.66</v>
      </c>
      <c r="AB222" s="212">
        <f>VLOOKUP($A222,FRV!$A$4:$D$208,4,FALSE)</f>
        <v>45108</v>
      </c>
      <c r="AC222" s="212">
        <f>VLOOKUP($A222,FRV!$A$4:$F$208,6,FALSE)</f>
        <v>45291</v>
      </c>
      <c r="AD222" s="248">
        <f>VLOOKUP($A222,FRV!$A$4:$U$208,13,FALSE)</f>
        <v>27285839</v>
      </c>
      <c r="AE222" s="248">
        <f>VLOOKUP($A222,FRV!$A$4:$U$208,15,FALSE)</f>
        <v>431728</v>
      </c>
      <c r="AF222" s="248">
        <f>VLOOKUP($A222,FRV!$A$4:$U$208,14,FALSE)</f>
        <v>21000</v>
      </c>
      <c r="AG222" s="248">
        <f>VLOOKUP($A222,FRV!$A$4:$U$208,7,FALSE)</f>
        <v>200</v>
      </c>
      <c r="AH222" s="107">
        <f t="shared" si="173"/>
        <v>31917567</v>
      </c>
      <c r="AI222" s="107">
        <f t="shared" si="174"/>
        <v>159588</v>
      </c>
      <c r="AJ222" s="107">
        <v>120000</v>
      </c>
      <c r="AK222" s="107">
        <f t="shared" si="175"/>
        <v>120000</v>
      </c>
      <c r="AL222" s="107">
        <f t="shared" si="176"/>
        <v>24000000</v>
      </c>
      <c r="AM222" s="249">
        <f>IF(VLOOKUP($A222,'Rate Calculation'!$A$4:$D$208,4,FALSE)="baltimore city",0.1,0.08)</f>
        <v>0.1</v>
      </c>
      <c r="AN222" s="107">
        <f t="shared" si="161"/>
        <v>2400000</v>
      </c>
      <c r="AO222" s="105">
        <f>IF(ISERROR(MATCH(A222&amp;AC222,'Days Exceptions'!$C$3:$C$16,0)),ROUND(AN222/(MAX(U222,V222)),2),ROUND(AN222/VLOOKUP(A222,'Days Exceptions'!$A$3:$J$16,8,FALSE),2))</f>
        <v>37.69</v>
      </c>
      <c r="AP222" s="213">
        <f>VLOOKUP($A222,'Vent Rate Calculation'!$A$4:$AF$21,32,FALSE)</f>
        <v>1.1100000000000001</v>
      </c>
      <c r="AQ222" s="109">
        <f t="shared" si="162"/>
        <v>38.799999999999997</v>
      </c>
      <c r="AR222" s="247">
        <f>VLOOKUP($A222,'Vent Rate Calculation'!$A$4:$Q$21,17,FALSE)</f>
        <v>246.03</v>
      </c>
      <c r="AS222" s="247">
        <f t="shared" si="177"/>
        <v>253.66</v>
      </c>
      <c r="AT222" s="247">
        <f>VLOOKUP($A222,'Vent Rate Calculation'!A15:K32,11,FALSE)</f>
        <v>195.33</v>
      </c>
      <c r="AU222" s="247">
        <f t="shared" si="163"/>
        <v>201.39</v>
      </c>
      <c r="AV222" s="110">
        <f t="shared" si="178"/>
        <v>274.62</v>
      </c>
      <c r="AW222" s="110">
        <f t="shared" si="179"/>
        <v>535.84</v>
      </c>
      <c r="AX222" s="111">
        <f t="shared" si="180"/>
        <v>-14.1</v>
      </c>
      <c r="AY222" s="110">
        <f t="shared" si="181"/>
        <v>521.74</v>
      </c>
      <c r="AZ222" s="105">
        <f t="shared" si="182"/>
        <v>494.95</v>
      </c>
      <c r="BA222" s="105">
        <f t="shared" si="183"/>
        <v>509.05</v>
      </c>
      <c r="BB222" s="105">
        <f t="shared" si="184"/>
        <v>14.1</v>
      </c>
      <c r="BC222" s="111">
        <f t="shared" si="185"/>
        <v>1008.92</v>
      </c>
      <c r="BE222" s="105"/>
      <c r="BF222" s="105"/>
      <c r="BG222" s="105"/>
      <c r="BI222" s="105"/>
      <c r="BJ222" s="105"/>
    </row>
    <row r="223" spans="1:62" x14ac:dyDescent="0.15">
      <c r="A223" s="115">
        <v>192</v>
      </c>
      <c r="B223" s="98" t="str">
        <f>VLOOKUP($A223,'Vent Rate Calculation'!$A$4:$AQ$21,42,FALSE)</f>
        <v>160077000</v>
      </c>
      <c r="C223" s="98" t="str">
        <f>VLOOKUP($A223,'Vent Rate Calculation'!$A$4:$AQ$21,43,FALSE)</f>
        <v>FutureCare - Pineview</v>
      </c>
      <c r="D223" s="98" t="str">
        <f>VLOOKUP($A223,'Vent Rate Calculation'!$A$4:$F$21,5,FALSE)</f>
        <v>WASHINGTON METRO</v>
      </c>
      <c r="E223" s="98" t="str">
        <f>VLOOKUP($A223,'Vent Rate Calculation'!$A$4:$F$21,6,FALSE)</f>
        <v>WASHINGTON METRO</v>
      </c>
      <c r="F223" s="105">
        <f t="shared" si="164"/>
        <v>103.73</v>
      </c>
      <c r="G223" s="105">
        <f t="shared" si="165"/>
        <v>19.829999999999998</v>
      </c>
      <c r="H223" s="105">
        <f t="shared" si="166"/>
        <v>33.380000000000003</v>
      </c>
      <c r="I223" s="105">
        <f t="shared" si="167"/>
        <v>472.58</v>
      </c>
      <c r="J223" s="105">
        <f>VLOOKUP($A223,'Vent Rate Calculation'!$A$4:$AZ$21,34,FALSE)</f>
        <v>0</v>
      </c>
      <c r="K223" s="105">
        <f t="shared" si="168"/>
        <v>629.52</v>
      </c>
      <c r="L223" s="164">
        <f t="shared" si="158"/>
        <v>0.98772000000000004</v>
      </c>
      <c r="M223" s="105">
        <f t="shared" si="169"/>
        <v>621.79</v>
      </c>
      <c r="N223" s="105">
        <v>285</v>
      </c>
      <c r="O223" s="105">
        <f t="shared" si="170"/>
        <v>906.79</v>
      </c>
      <c r="P223" s="105">
        <f>VLOOKUP(A223,'Vent Rate Calculation'!$A$4:$AL$21,38,FALSE)</f>
        <v>27.15</v>
      </c>
      <c r="Q223" s="183">
        <f>VLOOKUP($A223,'Vent Rate Calculation'!$A$4:$I$21,9,FALSE)</f>
        <v>1.9691000000000001</v>
      </c>
      <c r="R223" s="183">
        <f t="shared" si="159"/>
        <v>1.4432</v>
      </c>
      <c r="S223" s="183">
        <f>VLOOKUP(A223,'CMI Data'!$A$4:$F$208,6,FALSE)</f>
        <v>3.7583000000000002</v>
      </c>
      <c r="T223" s="246">
        <f>VLOOKUP($A223,FRV!$A$4:$K$208,11,FALSE)</f>
        <v>65700</v>
      </c>
      <c r="U223" s="246">
        <f t="shared" si="160"/>
        <v>53565</v>
      </c>
      <c r="V223" s="246">
        <f>VLOOKUP($A223,FRV!$A$4:$L$208,12,FALSE)</f>
        <v>58454</v>
      </c>
      <c r="W223" s="183">
        <f>Inflation!$G$24</f>
        <v>1.0309999999999999</v>
      </c>
      <c r="X223" s="247">
        <f>VLOOKUP($A223,'Vent Rate Calculation'!A16:X33,24,FALSE)</f>
        <v>100.61</v>
      </c>
      <c r="Y223" s="110">
        <f t="shared" si="171"/>
        <v>103.73</v>
      </c>
      <c r="Z223" s="110">
        <f>VLOOKUP($A223,'Vent Rate Calculation'!$A$4:$V$21,22,FALSE)</f>
        <v>19.23</v>
      </c>
      <c r="AA223" s="110">
        <f t="shared" si="172"/>
        <v>19.829999999999998</v>
      </c>
      <c r="AB223" s="212">
        <f>VLOOKUP($A223,FRV!$A$4:$D$208,4,FALSE)</f>
        <v>45108</v>
      </c>
      <c r="AC223" s="212">
        <f>VLOOKUP($A223,FRV!$A$4:$F$208,6,FALSE)</f>
        <v>45291</v>
      </c>
      <c r="AD223" s="248">
        <f>VLOOKUP($A223,FRV!$A$4:$U$208,13,FALSE)</f>
        <v>20092820</v>
      </c>
      <c r="AE223" s="248">
        <f>VLOOKUP($A223,FRV!$A$4:$U$208,15,FALSE)</f>
        <v>626570</v>
      </c>
      <c r="AF223" s="248">
        <f>VLOOKUP($A223,FRV!$A$4:$U$208,14,FALSE)</f>
        <v>20000</v>
      </c>
      <c r="AG223" s="248">
        <f>VLOOKUP($A223,FRV!$A$4:$U$208,7,FALSE)</f>
        <v>180</v>
      </c>
      <c r="AH223" s="107">
        <f t="shared" si="173"/>
        <v>24319390</v>
      </c>
      <c r="AI223" s="107">
        <f t="shared" si="174"/>
        <v>135108</v>
      </c>
      <c r="AJ223" s="107">
        <v>120000</v>
      </c>
      <c r="AK223" s="107">
        <f t="shared" si="175"/>
        <v>120000</v>
      </c>
      <c r="AL223" s="107">
        <f t="shared" si="176"/>
        <v>21600000</v>
      </c>
      <c r="AM223" s="249">
        <f>IF(VLOOKUP($A223,'Rate Calculation'!$A$4:$D$208,4,FALSE)="baltimore city",0.1,0.08)</f>
        <v>0.08</v>
      </c>
      <c r="AN223" s="107">
        <f t="shared" si="161"/>
        <v>1728000</v>
      </c>
      <c r="AO223" s="105">
        <f>IF(ISERROR(MATCH(A223&amp;AC223,'Days Exceptions'!$C$3:$C$16,0)),ROUND(AN223/(MAX(U223,V223)),2),ROUND(AN223/VLOOKUP(A223,'Days Exceptions'!$A$3:$J$16,8,FALSE),2))</f>
        <v>29.56</v>
      </c>
      <c r="AP223" s="213">
        <f>VLOOKUP($A223,'Vent Rate Calculation'!$A$4:$AF$21,32,FALSE)</f>
        <v>3.82</v>
      </c>
      <c r="AQ223" s="109">
        <f t="shared" si="162"/>
        <v>33.380000000000003</v>
      </c>
      <c r="AR223" s="247">
        <f>VLOOKUP($A223,'Vent Rate Calculation'!$A$4:$Q$21,17,FALSE)</f>
        <v>260.92</v>
      </c>
      <c r="AS223" s="247">
        <f t="shared" si="177"/>
        <v>269.01</v>
      </c>
      <c r="AT223" s="247">
        <f>VLOOKUP($A223,'Vent Rate Calculation'!A16:K33,11,FALSE)</f>
        <v>176.01</v>
      </c>
      <c r="AU223" s="247">
        <f t="shared" si="163"/>
        <v>181.47</v>
      </c>
      <c r="AV223" s="110">
        <f t="shared" si="178"/>
        <v>247.6</v>
      </c>
      <c r="AW223" s="110">
        <f t="shared" si="179"/>
        <v>472.58</v>
      </c>
      <c r="AX223" s="111">
        <f t="shared" si="180"/>
        <v>0</v>
      </c>
      <c r="AY223" s="110">
        <f t="shared" si="181"/>
        <v>472.58</v>
      </c>
      <c r="AZ223" s="105">
        <f t="shared" si="182"/>
        <v>513.44000000000005</v>
      </c>
      <c r="BA223" s="105">
        <f t="shared" si="183"/>
        <v>448.95</v>
      </c>
      <c r="BB223" s="105">
        <f t="shared" si="184"/>
        <v>-64.489999999999995</v>
      </c>
      <c r="BC223" s="111">
        <f t="shared" si="185"/>
        <v>933.94</v>
      </c>
      <c r="BE223" s="105"/>
      <c r="BF223" s="105"/>
      <c r="BG223" s="105"/>
      <c r="BI223" s="105"/>
      <c r="BJ223" s="105"/>
    </row>
    <row r="224" spans="1:62" x14ac:dyDescent="0.15">
      <c r="A224" s="115">
        <v>270</v>
      </c>
      <c r="B224" s="98" t="str">
        <f>VLOOKUP($A224,'Vent Rate Calculation'!$A$4:$AQ$21,42,FALSE)</f>
        <v>139627700</v>
      </c>
      <c r="C224" s="98" t="str">
        <f>VLOOKUP($A224,'Vent Rate Calculation'!$A$4:$AQ$21,43,FALSE)</f>
        <v>Levindale Hebrew Geriatric Center &amp; Hospital, Inc.</v>
      </c>
      <c r="D224" s="98" t="str">
        <f>VLOOKUP($A224,'Vent Rate Calculation'!$A$4:$F$21,5,FALSE)</f>
        <v>BALTIMORE METRO</v>
      </c>
      <c r="E224" s="98" t="str">
        <f>VLOOKUP($A224,'Vent Rate Calculation'!$A$4:$F$21,6,FALSE)</f>
        <v>BALTIMORE CITY</v>
      </c>
      <c r="F224" s="105">
        <f t="shared" si="164"/>
        <v>117.69</v>
      </c>
      <c r="G224" s="105">
        <f t="shared" si="165"/>
        <v>25.66</v>
      </c>
      <c r="H224" s="105">
        <f t="shared" si="166"/>
        <v>37.700000000000003</v>
      </c>
      <c r="I224" s="105">
        <f t="shared" si="167"/>
        <v>492.96</v>
      </c>
      <c r="J224" s="105">
        <f>VLOOKUP($A224,'Vent Rate Calculation'!$A$4:$AZ$21,34,FALSE)</f>
        <v>4.1500000000000004</v>
      </c>
      <c r="K224" s="105">
        <f t="shared" si="168"/>
        <v>678.16</v>
      </c>
      <c r="L224" s="164">
        <f t="shared" si="158"/>
        <v>0.98772000000000004</v>
      </c>
      <c r="M224" s="105">
        <f t="shared" si="169"/>
        <v>669.83</v>
      </c>
      <c r="N224" s="105">
        <v>285</v>
      </c>
      <c r="O224" s="105">
        <f t="shared" si="170"/>
        <v>954.83</v>
      </c>
      <c r="P224" s="105">
        <f>VLOOKUP(A224,'Vent Rate Calculation'!$A$4:$AL$21,38,FALSE)</f>
        <v>26.9</v>
      </c>
      <c r="Q224" s="183">
        <f>VLOOKUP($A224,'Vent Rate Calculation'!$A$4:$I$21,9,FALSE)</f>
        <v>1.6125</v>
      </c>
      <c r="R224" s="183">
        <f t="shared" si="159"/>
        <v>1.4432</v>
      </c>
      <c r="S224" s="183">
        <f>VLOOKUP(A224,'CMI Data'!$A$4:$F$208,6,FALSE)</f>
        <v>3.5327000000000002</v>
      </c>
      <c r="T224" s="246">
        <f>VLOOKUP($A224,FRV!$A$4:$K$208,11,FALSE)</f>
        <v>76860</v>
      </c>
      <c r="U224" s="246">
        <f t="shared" si="160"/>
        <v>62664</v>
      </c>
      <c r="V224" s="246">
        <f>VLOOKUP($A224,FRV!$A$4:$L$208,12,FALSE)</f>
        <v>66850</v>
      </c>
      <c r="W224" s="183">
        <f>Inflation!$G$24</f>
        <v>1.0309999999999999</v>
      </c>
      <c r="X224" s="247">
        <f>VLOOKUP($A224,'Vent Rate Calculation'!A17:X34,24,FALSE)</f>
        <v>114.15</v>
      </c>
      <c r="Y224" s="110">
        <f t="shared" si="171"/>
        <v>117.69</v>
      </c>
      <c r="Z224" s="110">
        <f>VLOOKUP($A224,'Vent Rate Calculation'!$A$4:$V$21,22,FALSE)</f>
        <v>24.89</v>
      </c>
      <c r="AA224" s="110">
        <f t="shared" si="172"/>
        <v>25.66</v>
      </c>
      <c r="AB224" s="212">
        <f>VLOOKUP($A224,FRV!$A$4:$D$208,4,FALSE)</f>
        <v>45474</v>
      </c>
      <c r="AC224" s="212">
        <f>VLOOKUP($A224,FRV!$A$4:$F$208,6,FALSE)</f>
        <v>45473</v>
      </c>
      <c r="AD224" s="248">
        <f>VLOOKUP($A224,FRV!$A$4:$U$208,13,FALSE)</f>
        <v>37024547</v>
      </c>
      <c r="AE224" s="248">
        <f>VLOOKUP($A224,FRV!$A$4:$U$208,15,FALSE)</f>
        <v>612771</v>
      </c>
      <c r="AF224" s="248">
        <f>VLOOKUP($A224,FRV!$A$4:$U$208,14,FALSE)</f>
        <v>32000</v>
      </c>
      <c r="AG224" s="248">
        <f>VLOOKUP($A224,FRV!$A$4:$U$208,7,FALSE)</f>
        <v>210</v>
      </c>
      <c r="AH224" s="107">
        <f t="shared" si="173"/>
        <v>44357318</v>
      </c>
      <c r="AI224" s="107">
        <f t="shared" si="174"/>
        <v>211225</v>
      </c>
      <c r="AJ224" s="107">
        <v>120000</v>
      </c>
      <c r="AK224" s="107">
        <f t="shared" si="175"/>
        <v>120000</v>
      </c>
      <c r="AL224" s="107">
        <f t="shared" si="176"/>
        <v>25200000</v>
      </c>
      <c r="AM224" s="249">
        <f>IF(VLOOKUP($A224,'Rate Calculation'!$A$4:$D$208,4,FALSE)="baltimore city",0.1,0.08)</f>
        <v>0.1</v>
      </c>
      <c r="AN224" s="107">
        <f t="shared" si="161"/>
        <v>2520000</v>
      </c>
      <c r="AO224" s="105">
        <f>IF(ISERROR(MATCH(A224&amp;AC224,'Days Exceptions'!$C$3:$C$16,0)),ROUND(AN224/(MAX(U224,V224)),2),ROUND(AN224/VLOOKUP(A224,'Days Exceptions'!$A$3:$J$16,8,FALSE),2))</f>
        <v>37.700000000000003</v>
      </c>
      <c r="AP224" s="213">
        <f>VLOOKUP($A224,'Vent Rate Calculation'!$A$4:$AF$21,32,FALSE)</f>
        <v>0</v>
      </c>
      <c r="AQ224" s="109">
        <f t="shared" si="162"/>
        <v>37.700000000000003</v>
      </c>
      <c r="AR224" s="247">
        <f>VLOOKUP($A224,'Vent Rate Calculation'!$A$4:$Q$21,17,FALSE)</f>
        <v>326.95999999999998</v>
      </c>
      <c r="AS224" s="247">
        <f t="shared" si="177"/>
        <v>337.1</v>
      </c>
      <c r="AT224" s="247">
        <f>VLOOKUP($A224,'Vent Rate Calculation'!A17:K34,11,FALSE)</f>
        <v>195.33</v>
      </c>
      <c r="AU224" s="247">
        <f t="shared" si="163"/>
        <v>201.39</v>
      </c>
      <c r="AV224" s="110">
        <f t="shared" si="178"/>
        <v>225.01</v>
      </c>
      <c r="AW224" s="110">
        <f t="shared" si="179"/>
        <v>492.96</v>
      </c>
      <c r="AX224" s="111">
        <f t="shared" si="180"/>
        <v>0</v>
      </c>
      <c r="AY224" s="110">
        <f t="shared" si="181"/>
        <v>492.96</v>
      </c>
      <c r="AZ224" s="105">
        <f t="shared" si="182"/>
        <v>738.53</v>
      </c>
      <c r="BA224" s="105">
        <f t="shared" si="183"/>
        <v>468.31</v>
      </c>
      <c r="BB224" s="105">
        <f t="shared" si="184"/>
        <v>-270.22000000000003</v>
      </c>
      <c r="BC224" s="111">
        <f t="shared" si="185"/>
        <v>981.73</v>
      </c>
      <c r="BE224" s="105"/>
      <c r="BF224" s="105"/>
      <c r="BG224" s="105"/>
      <c r="BI224" s="105"/>
      <c r="BJ224" s="105"/>
    </row>
    <row r="225" spans="1:99" x14ac:dyDescent="0.15">
      <c r="A225" s="115">
        <v>1232</v>
      </c>
      <c r="B225" s="98" t="str">
        <f>VLOOKUP($A225,'Vent Rate Calculation'!$A$4:$AQ$21,42,FALSE)</f>
        <v>421520600</v>
      </c>
      <c r="C225" s="98" t="str">
        <f>VLOOKUP($A225,'Vent Rate Calculation'!$A$4:$AQ$21,43,FALSE)</f>
        <v>Lorien Bulle Rock</v>
      </c>
      <c r="D225" s="98" t="str">
        <f>VLOOKUP($A225,'Vent Rate Calculation'!$A$4:$F$21,5,FALSE)</f>
        <v>BALTIMORE METRO</v>
      </c>
      <c r="E225" s="98" t="str">
        <f>VLOOKUP($A225,'Vent Rate Calculation'!$A$4:$F$21,6,FALSE)</f>
        <v>BALTIMORE METRO</v>
      </c>
      <c r="F225" s="105">
        <f t="shared" si="164"/>
        <v>105.18</v>
      </c>
      <c r="G225" s="105">
        <f t="shared" si="165"/>
        <v>21.5</v>
      </c>
      <c r="H225" s="105">
        <f t="shared" si="166"/>
        <v>35.65</v>
      </c>
      <c r="I225" s="105">
        <f t="shared" si="167"/>
        <v>535.85</v>
      </c>
      <c r="J225" s="105">
        <f>VLOOKUP($A225,'Vent Rate Calculation'!$A$4:$AZ$21,34,FALSE)</f>
        <v>0</v>
      </c>
      <c r="K225" s="105">
        <f t="shared" si="168"/>
        <v>698.18</v>
      </c>
      <c r="L225" s="164">
        <f t="shared" si="158"/>
        <v>0.98772000000000004</v>
      </c>
      <c r="M225" s="105">
        <f t="shared" si="169"/>
        <v>689.61</v>
      </c>
      <c r="N225" s="105">
        <v>285</v>
      </c>
      <c r="O225" s="105">
        <f t="shared" si="170"/>
        <v>974.61</v>
      </c>
      <c r="P225" s="105">
        <f>VLOOKUP(A225,'Vent Rate Calculation'!$A$4:$AL$21,38,FALSE)</f>
        <v>24.07</v>
      </c>
      <c r="Q225" s="183">
        <f>VLOOKUP($A225,'Vent Rate Calculation'!$A$4:$I$21,9,FALSE)</f>
        <v>1.5646</v>
      </c>
      <c r="R225" s="183">
        <f t="shared" si="159"/>
        <v>1.4432</v>
      </c>
      <c r="S225" s="183">
        <f>VLOOKUP(A225,'CMI Data'!$A$4:$F$208,6,FALSE)</f>
        <v>3.84</v>
      </c>
      <c r="T225" s="246">
        <f>VLOOKUP($A225,FRV!$A$4:$K$208,11,FALSE)</f>
        <v>28470</v>
      </c>
      <c r="U225" s="246">
        <f t="shared" si="160"/>
        <v>23212</v>
      </c>
      <c r="V225" s="246">
        <f>VLOOKUP($A225,FRV!$A$4:$L$208,12,FALSE)</f>
        <v>18281</v>
      </c>
      <c r="W225" s="183">
        <f>Inflation!$G$24</f>
        <v>1.0309999999999999</v>
      </c>
      <c r="X225" s="247">
        <f>VLOOKUP($A225,'Vent Rate Calculation'!A18:X35,24,FALSE)</f>
        <v>102.02</v>
      </c>
      <c r="Y225" s="110">
        <f t="shared" si="171"/>
        <v>105.18</v>
      </c>
      <c r="Z225" s="110">
        <f>VLOOKUP($A225,'Vent Rate Calculation'!$A$4:$V$21,22,FALSE)</f>
        <v>20.85</v>
      </c>
      <c r="AA225" s="110">
        <f t="shared" si="172"/>
        <v>21.5</v>
      </c>
      <c r="AB225" s="212">
        <f>VLOOKUP($A225,FRV!$A$4:$D$208,4,FALSE)</f>
        <v>44743</v>
      </c>
      <c r="AC225" s="212">
        <f>VLOOKUP($A225,FRV!$A$4:$F$208,6,FALSE)</f>
        <v>44926</v>
      </c>
      <c r="AD225" s="248">
        <f>VLOOKUP($A225,FRV!$A$4:$U$208,13,FALSE)</f>
        <v>14746789</v>
      </c>
      <c r="AE225" s="248">
        <f>VLOOKUP($A225,FRV!$A$4:$U$208,15,FALSE)</f>
        <v>453132</v>
      </c>
      <c r="AF225" s="248">
        <f>VLOOKUP($A225,FRV!$A$4:$U$208,14,FALSE)</f>
        <v>20000</v>
      </c>
      <c r="AG225" s="248">
        <f>VLOOKUP($A225,FRV!$A$4:$U$208,7,FALSE)</f>
        <v>78</v>
      </c>
      <c r="AH225" s="107">
        <f t="shared" si="173"/>
        <v>16759921</v>
      </c>
      <c r="AI225" s="107">
        <f t="shared" si="174"/>
        <v>214871</v>
      </c>
      <c r="AJ225" s="107">
        <v>120000</v>
      </c>
      <c r="AK225" s="107">
        <f t="shared" si="175"/>
        <v>120000</v>
      </c>
      <c r="AL225" s="107">
        <f t="shared" si="176"/>
        <v>9360000</v>
      </c>
      <c r="AM225" s="249">
        <f>IF(VLOOKUP($A225,'Rate Calculation'!$A$4:$D$208,4,FALSE)="baltimore city",0.1,0.08)</f>
        <v>0.08</v>
      </c>
      <c r="AN225" s="107">
        <f t="shared" si="161"/>
        <v>748800</v>
      </c>
      <c r="AO225" s="105">
        <f>IF(ISERROR(MATCH(A225&amp;AC225,'Days Exceptions'!$C$3:$C$16,0)),ROUND(AN225/(MAX(U225,V225)),2),ROUND(AN225/VLOOKUP(A225,'Days Exceptions'!$A$3:$J$16,8,FALSE),2))</f>
        <v>32.26</v>
      </c>
      <c r="AP225" s="213">
        <f>VLOOKUP($A225,'Vent Rate Calculation'!$A$4:$AF$21,32,FALSE)</f>
        <v>3.39</v>
      </c>
      <c r="AQ225" s="109">
        <f t="shared" si="162"/>
        <v>35.65</v>
      </c>
      <c r="AR225" s="247">
        <f>VLOOKUP($A225,'Vent Rate Calculation'!$A$4:$Q$21,17,FALSE)</f>
        <v>215.49</v>
      </c>
      <c r="AS225" s="247">
        <f t="shared" si="177"/>
        <v>222.17</v>
      </c>
      <c r="AT225" s="247">
        <f>VLOOKUP($A225,'Vent Rate Calculation'!A18:K35,11,FALSE)</f>
        <v>195.33</v>
      </c>
      <c r="AU225" s="247">
        <f t="shared" si="163"/>
        <v>201.39</v>
      </c>
      <c r="AV225" s="110">
        <f t="shared" si="178"/>
        <v>218.33</v>
      </c>
      <c r="AW225" s="110">
        <f t="shared" si="179"/>
        <v>535.85</v>
      </c>
      <c r="AX225" s="111">
        <f t="shared" si="180"/>
        <v>0</v>
      </c>
      <c r="AY225" s="110">
        <f t="shared" si="181"/>
        <v>535.85</v>
      </c>
      <c r="AZ225" s="105">
        <f t="shared" si="182"/>
        <v>545.27</v>
      </c>
      <c r="BA225" s="105">
        <f t="shared" si="183"/>
        <v>509.06</v>
      </c>
      <c r="BB225" s="105">
        <f t="shared" si="184"/>
        <v>-36.21</v>
      </c>
      <c r="BC225" s="111">
        <f t="shared" si="185"/>
        <v>998.68</v>
      </c>
      <c r="BE225" s="105"/>
      <c r="BF225" s="105"/>
      <c r="BG225" s="105"/>
      <c r="BI225" s="105"/>
      <c r="BJ225" s="105"/>
    </row>
    <row r="226" spans="1:99" x14ac:dyDescent="0.15">
      <c r="A226" s="115">
        <v>290</v>
      </c>
      <c r="B226" s="98" t="str">
        <f>VLOOKUP($A226,'Vent Rate Calculation'!$A$4:$AQ$21,42,FALSE)</f>
        <v>215370000</v>
      </c>
      <c r="C226" s="98" t="str">
        <f>VLOOKUP($A226,'Vent Rate Calculation'!$A$4:$AQ$21,43,FALSE)</f>
        <v>Lorien Mt. Airy</v>
      </c>
      <c r="D226" s="98" t="str">
        <f>VLOOKUP($A226,'Vent Rate Calculation'!$A$4:$F$21,5,FALSE)</f>
        <v>BALTIMORE METRO</v>
      </c>
      <c r="E226" s="98" t="str">
        <f>VLOOKUP($A226,'Vent Rate Calculation'!$A$4:$F$21,6,FALSE)</f>
        <v>BALTIMORE METRO</v>
      </c>
      <c r="F226" s="105">
        <f t="shared" si="164"/>
        <v>105.18</v>
      </c>
      <c r="G226" s="105">
        <f t="shared" si="165"/>
        <v>21.5</v>
      </c>
      <c r="H226" s="105">
        <f t="shared" si="166"/>
        <v>32.119999999999997</v>
      </c>
      <c r="I226" s="105">
        <f t="shared" si="167"/>
        <v>535.84</v>
      </c>
      <c r="J226" s="105">
        <f>VLOOKUP($A226,'Vent Rate Calculation'!$A$4:$AZ$21,34,FALSE)</f>
        <v>0</v>
      </c>
      <c r="K226" s="105">
        <f t="shared" si="168"/>
        <v>694.64</v>
      </c>
      <c r="L226" s="164">
        <f t="shared" si="158"/>
        <v>0.98772000000000004</v>
      </c>
      <c r="M226" s="105">
        <f t="shared" si="169"/>
        <v>686.11</v>
      </c>
      <c r="N226" s="105">
        <v>285</v>
      </c>
      <c r="O226" s="105">
        <f t="shared" si="170"/>
        <v>971.11</v>
      </c>
      <c r="P226" s="105">
        <f>VLOOKUP(A226,'Vent Rate Calculation'!$A$4:$AL$21,38,FALSE)</f>
        <v>24</v>
      </c>
      <c r="Q226" s="183">
        <f>VLOOKUP($A226,'Vent Rate Calculation'!$A$4:$I$21,9,FALSE)</f>
        <v>1.8016000000000001</v>
      </c>
      <c r="R226" s="183">
        <f t="shared" si="159"/>
        <v>1.4432</v>
      </c>
      <c r="S226" s="183">
        <f>VLOOKUP(A226,'CMI Data'!$A$4:$F$208,6,FALSE)</f>
        <v>3.84</v>
      </c>
      <c r="T226" s="246">
        <f>VLOOKUP($A226,FRV!$A$4:$K$208,11,FALSE)</f>
        <v>22630</v>
      </c>
      <c r="U226" s="246">
        <f t="shared" si="160"/>
        <v>18450</v>
      </c>
      <c r="V226" s="246">
        <f>VLOOKUP($A226,FRV!$A$4:$L$208,12,FALSE)</f>
        <v>19656</v>
      </c>
      <c r="W226" s="183">
        <f>Inflation!$G$24</f>
        <v>1.0309999999999999</v>
      </c>
      <c r="X226" s="247">
        <f>VLOOKUP($A226,'Vent Rate Calculation'!A19:X36,24,FALSE)</f>
        <v>102.02</v>
      </c>
      <c r="Y226" s="110">
        <f t="shared" si="171"/>
        <v>105.18</v>
      </c>
      <c r="Z226" s="110">
        <f>VLOOKUP($A226,'Vent Rate Calculation'!$A$4:$V$21,22,FALSE)</f>
        <v>20.85</v>
      </c>
      <c r="AA226" s="110">
        <f t="shared" si="172"/>
        <v>21.5</v>
      </c>
      <c r="AB226" s="212">
        <f>VLOOKUP($A226,FRV!$A$4:$D$208,4,FALSE)</f>
        <v>44743</v>
      </c>
      <c r="AC226" s="212">
        <f>VLOOKUP($A226,FRV!$A$4:$F$208,6,FALSE)</f>
        <v>44926</v>
      </c>
      <c r="AD226" s="248">
        <f>VLOOKUP($A226,FRV!$A$4:$U$208,13,FALSE)</f>
        <v>9302945</v>
      </c>
      <c r="AE226" s="248">
        <f>VLOOKUP($A226,FRV!$A$4:$U$208,15,FALSE)</f>
        <v>295962</v>
      </c>
      <c r="AF226" s="248">
        <f>VLOOKUP($A226,FRV!$A$4:$U$208,14,FALSE)</f>
        <v>18500</v>
      </c>
      <c r="AG226" s="248">
        <f>VLOOKUP($A226,FRV!$A$4:$U$208,7,FALSE)</f>
        <v>62</v>
      </c>
      <c r="AH226" s="107">
        <f t="shared" si="173"/>
        <v>10745907</v>
      </c>
      <c r="AI226" s="107">
        <f t="shared" si="174"/>
        <v>173321</v>
      </c>
      <c r="AJ226" s="107">
        <v>120000</v>
      </c>
      <c r="AK226" s="107">
        <f t="shared" si="175"/>
        <v>120000</v>
      </c>
      <c r="AL226" s="107">
        <f t="shared" si="176"/>
        <v>7440000</v>
      </c>
      <c r="AM226" s="249">
        <f>IF(VLOOKUP($A226,'Rate Calculation'!$A$4:$D$208,4,FALSE)="baltimore city",0.1,0.08)</f>
        <v>0.08</v>
      </c>
      <c r="AN226" s="107">
        <f t="shared" si="161"/>
        <v>595200</v>
      </c>
      <c r="AO226" s="105">
        <f>IF(ISERROR(MATCH(A226&amp;AC226,'Days Exceptions'!$C$3:$C$16,0)),ROUND(AN226/(MAX(U226,V226)),2),ROUND(AN226/VLOOKUP(A226,'Days Exceptions'!$A$3:$J$16,8,FALSE),2))</f>
        <v>30.28</v>
      </c>
      <c r="AP226" s="213">
        <f>VLOOKUP($A226,'Vent Rate Calculation'!$A$4:$AF$21,32,FALSE)</f>
        <v>1.84</v>
      </c>
      <c r="AQ226" s="109">
        <f t="shared" si="162"/>
        <v>32.119999999999997</v>
      </c>
      <c r="AR226" s="247">
        <f>VLOOKUP($A226,'Vent Rate Calculation'!$A$4:$Q$21,17,FALSE)</f>
        <v>289.17</v>
      </c>
      <c r="AS226" s="247">
        <f t="shared" si="177"/>
        <v>298.13</v>
      </c>
      <c r="AT226" s="247">
        <f>VLOOKUP($A226,'Vent Rate Calculation'!A19:K36,11,FALSE)</f>
        <v>195.33</v>
      </c>
      <c r="AU226" s="247">
        <f t="shared" si="163"/>
        <v>201.39</v>
      </c>
      <c r="AV226" s="110">
        <f t="shared" si="178"/>
        <v>251.4</v>
      </c>
      <c r="AW226" s="110">
        <f t="shared" si="179"/>
        <v>535.84</v>
      </c>
      <c r="AX226" s="111">
        <f t="shared" si="180"/>
        <v>0</v>
      </c>
      <c r="AY226" s="110">
        <f t="shared" si="181"/>
        <v>535.84</v>
      </c>
      <c r="AZ226" s="105">
        <f t="shared" si="182"/>
        <v>635.45000000000005</v>
      </c>
      <c r="BA226" s="105">
        <f t="shared" si="183"/>
        <v>509.05</v>
      </c>
      <c r="BB226" s="105">
        <f t="shared" si="184"/>
        <v>-126.4</v>
      </c>
      <c r="BC226" s="111">
        <f t="shared" si="185"/>
        <v>995.11</v>
      </c>
      <c r="BE226" s="105"/>
      <c r="BF226" s="105"/>
      <c r="BG226" s="105"/>
      <c r="BI226" s="105"/>
      <c r="BJ226" s="105"/>
      <c r="BT226" s="107"/>
      <c r="BU226" s="107"/>
      <c r="BX226" s="107"/>
      <c r="BY226" s="107"/>
      <c r="BZ226" s="105"/>
      <c r="CA226" s="105"/>
      <c r="CB226" s="105"/>
      <c r="CD226" s="108"/>
      <c r="CE226" s="108"/>
      <c r="CF226" s="107"/>
    </row>
    <row r="227" spans="1:99" x14ac:dyDescent="0.15">
      <c r="A227" s="98">
        <v>286</v>
      </c>
      <c r="B227" s="98" t="str">
        <f>VLOOKUP($A227,'Vent Rate Calculation'!$A$4:$AQ$21,42,FALSE)</f>
        <v>134007700</v>
      </c>
      <c r="C227" s="98" t="str">
        <f>VLOOKUP($A227,'Vent Rate Calculation'!$A$4:$AQ$21,43,FALSE)</f>
        <v>Lorien Nursing &amp; Rehabilitation Center - Columbia</v>
      </c>
      <c r="D227" s="98" t="str">
        <f>VLOOKUP($A227,'Vent Rate Calculation'!$A$4:$F$21,5,FALSE)</f>
        <v>BALTIMORE METRO</v>
      </c>
      <c r="E227" s="98" t="str">
        <f>VLOOKUP($A227,'Vent Rate Calculation'!$A$4:$F$21,6,FALSE)</f>
        <v>BALTIMORE METRO</v>
      </c>
      <c r="F227" s="105">
        <f t="shared" si="164"/>
        <v>105.18</v>
      </c>
      <c r="G227" s="105">
        <f t="shared" si="165"/>
        <v>21.5</v>
      </c>
      <c r="H227" s="105">
        <f t="shared" si="166"/>
        <v>33.659999999999997</v>
      </c>
      <c r="I227" s="105">
        <f t="shared" si="167"/>
        <v>535.85</v>
      </c>
      <c r="J227" s="105">
        <f>VLOOKUP($A227,'Vent Rate Calculation'!$A$4:$AZ$21,34,FALSE)</f>
        <v>0</v>
      </c>
      <c r="K227" s="105">
        <f t="shared" si="168"/>
        <v>696.19</v>
      </c>
      <c r="L227" s="164">
        <f t="shared" si="158"/>
        <v>0.98772000000000004</v>
      </c>
      <c r="M227" s="105">
        <f t="shared" si="169"/>
        <v>687.64</v>
      </c>
      <c r="N227" s="105">
        <v>285</v>
      </c>
      <c r="O227" s="105">
        <f t="shared" si="170"/>
        <v>972.64</v>
      </c>
      <c r="P227" s="105">
        <f>VLOOKUP(A227,'Vent Rate Calculation'!$A$4:$AL$21,38,FALSE)</f>
        <v>24.38</v>
      </c>
      <c r="Q227" s="183">
        <f>VLOOKUP($A227,'Vent Rate Calculation'!$A$4:$I$21,9,FALSE)</f>
        <v>1.6445000000000001</v>
      </c>
      <c r="R227" s="183">
        <f t="shared" si="159"/>
        <v>1.4432</v>
      </c>
      <c r="S227" s="183">
        <f>VLOOKUP(A227,'CMI Data'!$A$4:$F$208,6,FALSE)</f>
        <v>3.84</v>
      </c>
      <c r="T227" s="246">
        <f>VLOOKUP($A227,FRV!$A$4:$K$208,11,FALSE)</f>
        <v>74825</v>
      </c>
      <c r="U227" s="246">
        <f t="shared" si="160"/>
        <v>61005</v>
      </c>
      <c r="V227" s="246">
        <f>VLOOKUP($A227,FRV!$A$4:$L$208,12,FALSE)</f>
        <v>59138</v>
      </c>
      <c r="W227" s="183">
        <f>Inflation!$G$24</f>
        <v>1.0309999999999999</v>
      </c>
      <c r="X227" s="247">
        <f>VLOOKUP($A227,'Vent Rate Calculation'!A20:X37,24,FALSE)</f>
        <v>102.02</v>
      </c>
      <c r="Y227" s="110">
        <f t="shared" si="171"/>
        <v>105.18</v>
      </c>
      <c r="Z227" s="110">
        <f>VLOOKUP($A227,'Vent Rate Calculation'!$A$4:$V$21,22,FALSE)</f>
        <v>20.85</v>
      </c>
      <c r="AA227" s="110">
        <f t="shared" si="172"/>
        <v>21.5</v>
      </c>
      <c r="AB227" s="212">
        <f>VLOOKUP($A227,FRV!$A$4:$D$208,4,FALSE)</f>
        <v>45108</v>
      </c>
      <c r="AC227" s="212">
        <f>VLOOKUP($A227,FRV!$A$4:$F$208,6,FALSE)</f>
        <v>45107</v>
      </c>
      <c r="AD227" s="248">
        <f>VLOOKUP($A227,FRV!$A$4:$U$208,13,FALSE)</f>
        <v>29012548</v>
      </c>
      <c r="AE227" s="248">
        <f>VLOOKUP($A227,FRV!$A$4:$U$208,15,FALSE)</f>
        <v>619261</v>
      </c>
      <c r="AF227" s="248">
        <f>VLOOKUP($A227,FRV!$A$4:$U$208,14,FALSE)</f>
        <v>24000</v>
      </c>
      <c r="AG227" s="248">
        <f>VLOOKUP($A227,FRV!$A$4:$U$208,7,FALSE)</f>
        <v>205</v>
      </c>
      <c r="AH227" s="107">
        <f t="shared" si="173"/>
        <v>34551809</v>
      </c>
      <c r="AI227" s="107">
        <f t="shared" si="174"/>
        <v>168545</v>
      </c>
      <c r="AJ227" s="107">
        <v>120000</v>
      </c>
      <c r="AK227" s="107">
        <f t="shared" si="175"/>
        <v>120000</v>
      </c>
      <c r="AL227" s="107">
        <f t="shared" si="176"/>
        <v>24600000</v>
      </c>
      <c r="AM227" s="249">
        <f>IF(VLOOKUP($A227,'Rate Calculation'!$A$4:$D$208,4,FALSE)="baltimore city",0.1,0.08)</f>
        <v>0.08</v>
      </c>
      <c r="AN227" s="107">
        <f t="shared" si="161"/>
        <v>1968000</v>
      </c>
      <c r="AO227" s="105">
        <f>IF(ISERROR(MATCH(A227&amp;AC227,'Days Exceptions'!$C$3:$C$16,0)),ROUND(AN227/(MAX(U227,V227)),2),ROUND(AN227/VLOOKUP(A227,'Days Exceptions'!$A$3:$J$16,8,FALSE),2))</f>
        <v>32.26</v>
      </c>
      <c r="AP227" s="213">
        <f>VLOOKUP($A227,'Vent Rate Calculation'!$A$4:$AF$21,32,FALSE)</f>
        <v>1.4</v>
      </c>
      <c r="AQ227" s="109">
        <f t="shared" si="162"/>
        <v>33.659999999999997</v>
      </c>
      <c r="AR227" s="247">
        <f>VLOOKUP($A227,'Vent Rate Calculation'!$A$4:$Q$21,17,FALSE)</f>
        <v>222.01</v>
      </c>
      <c r="AS227" s="247">
        <f t="shared" si="177"/>
        <v>228.89</v>
      </c>
      <c r="AT227" s="247">
        <f>VLOOKUP($A227,'Vent Rate Calculation'!A20:K37,11,FALSE)</f>
        <v>195.33</v>
      </c>
      <c r="AU227" s="247">
        <f t="shared" si="163"/>
        <v>201.39</v>
      </c>
      <c r="AV227" s="110">
        <f t="shared" si="178"/>
        <v>229.48</v>
      </c>
      <c r="AW227" s="110">
        <f t="shared" si="179"/>
        <v>535.85</v>
      </c>
      <c r="AX227" s="111">
        <f t="shared" si="180"/>
        <v>0</v>
      </c>
      <c r="AY227" s="110">
        <f t="shared" si="181"/>
        <v>535.85</v>
      </c>
      <c r="AZ227" s="105">
        <f t="shared" si="182"/>
        <v>534.47</v>
      </c>
      <c r="BA227" s="105">
        <f t="shared" si="183"/>
        <v>509.06</v>
      </c>
      <c r="BB227" s="105">
        <f t="shared" si="184"/>
        <v>-25.41</v>
      </c>
      <c r="BC227" s="111">
        <f t="shared" si="185"/>
        <v>997.02</v>
      </c>
      <c r="BE227" s="105"/>
      <c r="BR227" s="107"/>
      <c r="BS227" s="107"/>
      <c r="BV227" s="107"/>
      <c r="BW227" s="107"/>
      <c r="BX227" s="105"/>
      <c r="BY227" s="105"/>
      <c r="BZ227" s="105"/>
      <c r="CB227" s="108"/>
      <c r="CC227" s="108"/>
      <c r="CD227" s="107"/>
    </row>
    <row r="228" spans="1:99" x14ac:dyDescent="0.15">
      <c r="A228" s="98">
        <v>294</v>
      </c>
      <c r="B228" s="98" t="str">
        <f>VLOOKUP($A228,'Vent Rate Calculation'!$A$4:$AQ$21,42,FALSE)</f>
        <v>887130200</v>
      </c>
      <c r="C228" s="98" t="str">
        <f>VLOOKUP($A228,'Vent Rate Calculation'!$A$4:$AQ$21,43,FALSE)</f>
        <v>Post-Acute Care Center</v>
      </c>
      <c r="D228" s="98" t="str">
        <f>VLOOKUP($A228,'Vent Rate Calculation'!$A$4:$F$21,5,FALSE)</f>
        <v>BALTIMORE METRO</v>
      </c>
      <c r="E228" s="98" t="str">
        <f>VLOOKUP($A228,'Vent Rate Calculation'!$A$4:$F$21,6,FALSE)</f>
        <v>BALTIMORE CITY</v>
      </c>
      <c r="F228" s="105">
        <f t="shared" si="164"/>
        <v>117.69</v>
      </c>
      <c r="G228" s="105">
        <f t="shared" si="165"/>
        <v>25.66</v>
      </c>
      <c r="H228" s="105">
        <f t="shared" si="166"/>
        <v>41.88</v>
      </c>
      <c r="I228" s="105">
        <f t="shared" si="167"/>
        <v>444.61</v>
      </c>
      <c r="J228" s="105">
        <f>VLOOKUP($A228,'Vent Rate Calculation'!$A$4:$AZ$21,34,FALSE)</f>
        <v>0</v>
      </c>
      <c r="K228" s="105">
        <f t="shared" ref="K228" si="186">SUM(F228:J228)</f>
        <v>629.84</v>
      </c>
      <c r="L228" s="164">
        <f t="shared" si="158"/>
        <v>0.98772000000000004</v>
      </c>
      <c r="M228" s="105">
        <f t="shared" si="169"/>
        <v>622.11</v>
      </c>
      <c r="N228" s="105">
        <v>285</v>
      </c>
      <c r="O228" s="105">
        <f t="shared" si="170"/>
        <v>907.11</v>
      </c>
      <c r="P228" s="105">
        <f>VLOOKUP(A228,'Vent Rate Calculation'!$A$4:$AL$21,38,FALSE)</f>
        <v>2.4300000000000002</v>
      </c>
      <c r="Q228" s="183">
        <f>VLOOKUP($A228,'Vent Rate Calculation'!$A$4:$I$21,9,FALSE)</f>
        <v>1.7730999999999999</v>
      </c>
      <c r="R228" s="183">
        <f t="shared" si="159"/>
        <v>1.4432</v>
      </c>
      <c r="S228" s="183">
        <f>VLOOKUP(A228,'CMI Data'!$A$4:$F$208,6,FALSE)</f>
        <v>3.4558</v>
      </c>
      <c r="T228" s="246">
        <f>VLOOKUP($A228,FRV!$A$4:$K$208,11,FALSE)</f>
        <v>82125</v>
      </c>
      <c r="U228" s="246">
        <f t="shared" si="160"/>
        <v>66957</v>
      </c>
      <c r="V228" s="246">
        <f>VLOOKUP($A228,FRV!$A$4:$L$208,12,FALSE)</f>
        <v>75694</v>
      </c>
      <c r="W228" s="183">
        <f>Inflation!$G$24</f>
        <v>1.0309999999999999</v>
      </c>
      <c r="X228" s="247">
        <f>VLOOKUP($A228,'Vent Rate Calculation'!A21:X38,24,FALSE)</f>
        <v>114.15</v>
      </c>
      <c r="Y228" s="110">
        <f t="shared" si="171"/>
        <v>117.69</v>
      </c>
      <c r="Z228" s="110">
        <f>VLOOKUP($A228,'Vent Rate Calculation'!$A$4:$V$21,22,FALSE)</f>
        <v>24.89</v>
      </c>
      <c r="AA228" s="110">
        <f t="shared" si="172"/>
        <v>25.66</v>
      </c>
      <c r="AB228" s="212">
        <f>VLOOKUP($A228,FRV!$A$4:$D$208,4,FALSE)</f>
        <v>45108</v>
      </c>
      <c r="AC228" s="212">
        <f>VLOOKUP($A228,FRV!$A$4:$F$208,6,FALSE)</f>
        <v>45291</v>
      </c>
      <c r="AD228" s="248">
        <f>VLOOKUP($A228,FRV!$A$4:$U$208,13,FALSE)</f>
        <v>25086294</v>
      </c>
      <c r="AE228" s="248">
        <f>VLOOKUP($A228,FRV!$A$4:$U$208,15,FALSE)</f>
        <v>470031</v>
      </c>
      <c r="AF228" s="248">
        <f>VLOOKUP($A228,FRV!$A$4:$U$208,14,FALSE)</f>
        <v>20000</v>
      </c>
      <c r="AG228" s="248">
        <f>VLOOKUP($A228,FRV!$A$4:$U$208,7,FALSE)</f>
        <v>225</v>
      </c>
      <c r="AH228" s="107">
        <f t="shared" si="173"/>
        <v>30056325</v>
      </c>
      <c r="AI228" s="107">
        <f t="shared" si="174"/>
        <v>133584</v>
      </c>
      <c r="AJ228" s="107">
        <v>120000</v>
      </c>
      <c r="AK228" s="107">
        <f t="shared" si="175"/>
        <v>120000</v>
      </c>
      <c r="AL228" s="107">
        <f t="shared" si="176"/>
        <v>27000000</v>
      </c>
      <c r="AM228" s="249">
        <f>IF(VLOOKUP($A228,'Rate Calculation'!$A$4:$D$208,4,FALSE)="baltimore city",0.1,0.08)</f>
        <v>0.1</v>
      </c>
      <c r="AN228" s="107">
        <f t="shared" si="161"/>
        <v>2700000</v>
      </c>
      <c r="AO228" s="105">
        <f>IF(ISERROR(MATCH(A228&amp;AC228,'Days Exceptions'!$C$3:$C$16,0)),ROUND(AN228/(MAX(U228,V228)),2),ROUND(AN228/VLOOKUP(A228,'Days Exceptions'!$A$3:$J$16,8,FALSE),2))</f>
        <v>35.67</v>
      </c>
      <c r="AP228" s="213">
        <f>VLOOKUP($A228,'Vent Rate Calculation'!$A$4:$AF$21,32,FALSE)</f>
        <v>6.21</v>
      </c>
      <c r="AQ228" s="109">
        <f t="shared" si="162"/>
        <v>41.88</v>
      </c>
      <c r="AR228" s="247">
        <f>VLOOKUP($A228,'Vent Rate Calculation'!$A$4:$Q$21,17,FALSE)</f>
        <v>209.26</v>
      </c>
      <c r="AS228" s="247">
        <f t="shared" si="177"/>
        <v>215.75</v>
      </c>
      <c r="AT228" s="247">
        <f>VLOOKUP($A228,'Vent Rate Calculation'!A21:K38,11,FALSE)</f>
        <v>195.33</v>
      </c>
      <c r="AU228" s="247">
        <f t="shared" si="163"/>
        <v>201.39</v>
      </c>
      <c r="AV228" s="110">
        <f t="shared" si="178"/>
        <v>247.43</v>
      </c>
      <c r="AW228" s="110">
        <f t="shared" si="179"/>
        <v>482.24</v>
      </c>
      <c r="AX228" s="111">
        <f t="shared" si="180"/>
        <v>-37.630000000000003</v>
      </c>
      <c r="AY228" s="110">
        <f t="shared" si="181"/>
        <v>444.61</v>
      </c>
      <c r="AZ228" s="105">
        <f t="shared" si="182"/>
        <v>420.5</v>
      </c>
      <c r="BA228" s="105">
        <f>ROUND(AW228*0.95,2)</f>
        <v>458.13</v>
      </c>
      <c r="BB228" s="105">
        <f t="shared" si="184"/>
        <v>37.630000000000003</v>
      </c>
      <c r="BC228" s="111">
        <f t="shared" si="185"/>
        <v>909.54</v>
      </c>
      <c r="BE228" s="105"/>
      <c r="BR228" s="107"/>
      <c r="BS228" s="107"/>
      <c r="BV228" s="107"/>
      <c r="BW228" s="107"/>
      <c r="BX228" s="105"/>
      <c r="BY228" s="105"/>
      <c r="BZ228" s="105"/>
      <c r="CB228" s="108"/>
      <c r="CC228" s="108"/>
      <c r="CD228" s="107"/>
    </row>
    <row r="229" spans="1:99" x14ac:dyDescent="0.15">
      <c r="Q229" s="183"/>
      <c r="AB229" s="108"/>
      <c r="AC229" s="108"/>
      <c r="AD229" s="107"/>
      <c r="AE229" s="107"/>
      <c r="AF229" s="107"/>
      <c r="AH229" s="107"/>
      <c r="AI229" s="107"/>
      <c r="AJ229" s="107"/>
      <c r="AK229" s="107"/>
      <c r="AL229" s="107"/>
      <c r="AM229" s="214"/>
      <c r="AN229" s="107"/>
      <c r="AO229" s="109"/>
      <c r="AP229" s="109"/>
      <c r="AQ229" s="109"/>
      <c r="AT229" s="109"/>
      <c r="AU229" s="109"/>
      <c r="AV229" s="109"/>
      <c r="AW229" s="109"/>
      <c r="AX229" s="109"/>
      <c r="BB229" s="105"/>
      <c r="BR229" s="107"/>
      <c r="BS229" s="107"/>
      <c r="BV229" s="107"/>
      <c r="BW229" s="107"/>
      <c r="BX229" s="105"/>
      <c r="BY229" s="105"/>
      <c r="BZ229" s="105"/>
      <c r="CB229" s="108"/>
      <c r="CC229" s="108"/>
      <c r="CD229" s="107"/>
    </row>
    <row r="230" spans="1:99" x14ac:dyDescent="0.15">
      <c r="Q230" s="183"/>
      <c r="AB230" s="108"/>
      <c r="AC230" s="108"/>
      <c r="AD230" s="107"/>
      <c r="AE230" s="107"/>
      <c r="AF230" s="107"/>
      <c r="AH230" s="107"/>
      <c r="AI230" s="107"/>
      <c r="AJ230" s="107"/>
      <c r="AK230" s="107"/>
      <c r="AL230" s="107"/>
      <c r="AM230" s="214"/>
      <c r="AN230" s="107"/>
      <c r="AO230" s="109"/>
      <c r="AP230" s="109"/>
      <c r="AQ230" s="109"/>
      <c r="AT230" s="109"/>
      <c r="AU230" s="109"/>
      <c r="AV230" s="109"/>
      <c r="AW230" s="109"/>
      <c r="AX230" s="109"/>
      <c r="BB230" s="105"/>
      <c r="BC230" s="105"/>
      <c r="BD230" s="105"/>
      <c r="BG230" s="105"/>
      <c r="CI230" s="107"/>
      <c r="CJ230" s="107"/>
      <c r="CM230" s="107"/>
      <c r="CN230" s="107"/>
      <c r="CO230" s="105"/>
      <c r="CP230" s="105"/>
      <c r="CQ230" s="105"/>
      <c r="CS230" s="108"/>
      <c r="CT230" s="108"/>
      <c r="CU230" s="107"/>
    </row>
    <row r="231" spans="1:99" x14ac:dyDescent="0.15">
      <c r="Q231" s="183"/>
      <c r="AB231" s="108"/>
      <c r="AC231" s="108"/>
      <c r="AD231" s="107"/>
      <c r="AE231" s="107"/>
      <c r="AF231" s="107"/>
      <c r="AH231" s="107"/>
      <c r="AI231" s="107"/>
      <c r="AJ231" s="107"/>
      <c r="AK231" s="107"/>
      <c r="AL231" s="107"/>
      <c r="AM231" s="214"/>
      <c r="AN231" s="107"/>
      <c r="AO231" s="109"/>
      <c r="AP231" s="109"/>
      <c r="AQ231" s="109"/>
      <c r="AT231" s="109"/>
      <c r="AU231" s="109"/>
      <c r="AV231" s="109"/>
      <c r="AW231" s="109"/>
      <c r="AX231" s="109"/>
      <c r="BB231" s="105"/>
      <c r="BC231" s="105"/>
      <c r="BD231" s="105"/>
      <c r="BG231" s="105"/>
      <c r="CI231" s="107"/>
      <c r="CJ231" s="107"/>
      <c r="CM231" s="107"/>
      <c r="CN231" s="107"/>
      <c r="CO231" s="105"/>
      <c r="CP231" s="105"/>
      <c r="CQ231" s="105"/>
      <c r="CS231" s="108"/>
      <c r="CT231" s="108"/>
      <c r="CU231" s="107"/>
    </row>
    <row r="232" spans="1:99" x14ac:dyDescent="0.15">
      <c r="Q232" s="183"/>
      <c r="AB232" s="108"/>
      <c r="AC232" s="108"/>
      <c r="AD232" s="107"/>
      <c r="AE232" s="107"/>
      <c r="AF232" s="107"/>
      <c r="AH232" s="107"/>
      <c r="AI232" s="107"/>
      <c r="AJ232" s="107"/>
      <c r="AK232" s="107"/>
      <c r="AL232" s="107"/>
      <c r="AM232" s="214"/>
      <c r="AN232" s="107"/>
      <c r="AO232" s="109"/>
      <c r="AP232" s="109"/>
      <c r="AQ232" s="109"/>
      <c r="AT232" s="109"/>
      <c r="AU232" s="109"/>
      <c r="AV232" s="109"/>
      <c r="AW232" s="109"/>
      <c r="AX232" s="109"/>
      <c r="BB232" s="105"/>
      <c r="BC232" s="105"/>
      <c r="BD232" s="105"/>
      <c r="BG232" s="105"/>
      <c r="CI232" s="107"/>
      <c r="CJ232" s="107"/>
      <c r="CM232" s="107"/>
      <c r="CN232" s="107"/>
      <c r="CO232" s="105"/>
      <c r="CP232" s="105"/>
      <c r="CQ232" s="105"/>
      <c r="CS232" s="108"/>
      <c r="CT232" s="108"/>
      <c r="CU232" s="107"/>
    </row>
    <row r="233" spans="1:99" x14ac:dyDescent="0.15">
      <c r="Q233" s="183"/>
      <c r="AB233" s="108"/>
      <c r="AC233" s="108"/>
      <c r="AD233" s="107"/>
      <c r="AE233" s="107"/>
      <c r="AF233" s="107"/>
      <c r="AH233" s="107"/>
      <c r="AI233" s="107"/>
      <c r="AJ233" s="107"/>
      <c r="AK233" s="107"/>
      <c r="AL233" s="107"/>
      <c r="AM233" s="214"/>
      <c r="AN233" s="107"/>
      <c r="AO233" s="109"/>
      <c r="AP233" s="109"/>
      <c r="AQ233" s="109"/>
      <c r="AT233" s="109"/>
      <c r="AU233" s="109"/>
      <c r="AV233" s="109"/>
      <c r="AW233" s="109"/>
      <c r="AX233" s="109"/>
      <c r="BB233" s="105"/>
      <c r="BC233" s="105"/>
      <c r="BD233" s="105"/>
      <c r="BG233" s="105"/>
      <c r="CI233" s="107"/>
      <c r="CJ233" s="107"/>
      <c r="CM233" s="107"/>
      <c r="CN233" s="107"/>
      <c r="CO233" s="105"/>
      <c r="CP233" s="105"/>
      <c r="CQ233" s="105"/>
      <c r="CS233" s="108"/>
      <c r="CT233" s="108"/>
      <c r="CU233" s="107"/>
    </row>
    <row r="234" spans="1:99" x14ac:dyDescent="0.15">
      <c r="Q234" s="183"/>
      <c r="AB234" s="108"/>
      <c r="AC234" s="108"/>
      <c r="AD234" s="107"/>
      <c r="AE234" s="107"/>
      <c r="AF234" s="107"/>
      <c r="AH234" s="107"/>
      <c r="AI234" s="107"/>
      <c r="AJ234" s="107"/>
      <c r="AK234" s="107"/>
      <c r="AL234" s="107"/>
      <c r="AM234" s="214"/>
      <c r="AN234" s="107"/>
      <c r="AO234" s="109"/>
      <c r="AP234" s="109"/>
      <c r="AQ234" s="109"/>
      <c r="AT234" s="109"/>
      <c r="AU234" s="109"/>
      <c r="AV234" s="109"/>
      <c r="AW234" s="109"/>
      <c r="AX234" s="109"/>
      <c r="BB234" s="105"/>
      <c r="BC234" s="105"/>
      <c r="BD234" s="105"/>
      <c r="BG234" s="105"/>
      <c r="CI234" s="107"/>
      <c r="CJ234" s="107"/>
      <c r="CM234" s="107"/>
      <c r="CN234" s="107"/>
      <c r="CO234" s="105"/>
      <c r="CP234" s="105"/>
      <c r="CQ234" s="105"/>
      <c r="CS234" s="108"/>
      <c r="CT234" s="108"/>
      <c r="CU234" s="107"/>
    </row>
    <row r="235" spans="1:99" x14ac:dyDescent="0.15">
      <c r="Q235" s="183"/>
      <c r="AB235" s="108"/>
      <c r="AC235" s="108"/>
      <c r="AD235" s="107"/>
      <c r="AE235" s="107"/>
      <c r="AF235" s="107"/>
      <c r="AH235" s="107"/>
      <c r="AI235" s="107"/>
      <c r="AJ235" s="107"/>
      <c r="AK235" s="107"/>
      <c r="AL235" s="107"/>
      <c r="AM235" s="214"/>
      <c r="AN235" s="107"/>
      <c r="AO235" s="109"/>
      <c r="AP235" s="109"/>
      <c r="AQ235" s="109"/>
      <c r="AT235" s="109"/>
      <c r="AU235" s="109"/>
      <c r="AV235" s="109"/>
      <c r="AW235" s="109"/>
      <c r="AX235" s="109"/>
      <c r="BB235" s="105"/>
      <c r="BC235" s="105"/>
      <c r="BD235" s="105"/>
      <c r="BG235" s="105"/>
      <c r="CI235" s="107"/>
      <c r="CJ235" s="107"/>
      <c r="CM235" s="107"/>
      <c r="CN235" s="107"/>
      <c r="CO235" s="105"/>
      <c r="CP235" s="105"/>
      <c r="CQ235" s="105"/>
      <c r="CS235" s="108"/>
      <c r="CT235" s="108"/>
      <c r="CU235" s="107"/>
    </row>
    <row r="236" spans="1:99" x14ac:dyDescent="0.15">
      <c r="Q236" s="183"/>
      <c r="AB236" s="108"/>
      <c r="AC236" s="108"/>
      <c r="AD236" s="107"/>
      <c r="AE236" s="107"/>
      <c r="AF236" s="107"/>
      <c r="AH236" s="107"/>
      <c r="AI236" s="107"/>
      <c r="AJ236" s="107"/>
      <c r="AK236" s="107"/>
      <c r="AL236" s="107"/>
      <c r="AM236" s="214"/>
      <c r="AN236" s="107"/>
      <c r="AO236" s="109"/>
      <c r="AP236" s="109"/>
      <c r="AQ236" s="109"/>
      <c r="AT236" s="109"/>
      <c r="AU236" s="109"/>
      <c r="AV236" s="109"/>
      <c r="AW236" s="109"/>
      <c r="AX236" s="109"/>
      <c r="BB236" s="105"/>
      <c r="BC236" s="105"/>
      <c r="BD236" s="105"/>
      <c r="BG236" s="105"/>
      <c r="CI236" s="107"/>
      <c r="CJ236" s="107"/>
      <c r="CM236" s="107"/>
      <c r="CN236" s="107"/>
      <c r="CO236" s="105"/>
      <c r="CP236" s="105"/>
      <c r="CQ236" s="105"/>
      <c r="CS236" s="108"/>
      <c r="CT236" s="108"/>
      <c r="CU236" s="107"/>
    </row>
    <row r="237" spans="1:99" x14ac:dyDescent="0.15">
      <c r="Q237" s="183"/>
      <c r="AB237" s="108"/>
      <c r="AC237" s="108"/>
      <c r="AD237" s="107"/>
      <c r="AE237" s="107"/>
      <c r="AF237" s="107"/>
      <c r="AH237" s="107"/>
      <c r="AI237" s="107"/>
      <c r="AJ237" s="107"/>
      <c r="AK237" s="107"/>
      <c r="AL237" s="107"/>
      <c r="AM237" s="214"/>
      <c r="AN237" s="107"/>
      <c r="AO237" s="109"/>
      <c r="AP237" s="109"/>
      <c r="AQ237" s="109"/>
      <c r="AT237" s="109"/>
      <c r="AU237" s="109"/>
      <c r="AV237" s="109"/>
      <c r="AW237" s="109"/>
      <c r="AX237" s="109"/>
      <c r="BB237" s="105"/>
      <c r="BC237" s="105"/>
      <c r="BD237" s="105"/>
      <c r="BG237" s="105"/>
      <c r="CI237" s="107"/>
      <c r="CJ237" s="107"/>
      <c r="CM237" s="107"/>
      <c r="CN237" s="107"/>
      <c r="CO237" s="105"/>
      <c r="CP237" s="105"/>
      <c r="CQ237" s="105"/>
      <c r="CS237" s="108"/>
      <c r="CT237" s="108"/>
      <c r="CU237" s="107"/>
    </row>
    <row r="238" spans="1:99" x14ac:dyDescent="0.15">
      <c r="Q238" s="183"/>
      <c r="AB238" s="108"/>
      <c r="AC238" s="108"/>
      <c r="AD238" s="107"/>
      <c r="AE238" s="107"/>
      <c r="AF238" s="107"/>
      <c r="AH238" s="107"/>
      <c r="AI238" s="107"/>
      <c r="AJ238" s="107"/>
      <c r="AK238" s="107"/>
      <c r="AL238" s="107"/>
      <c r="AM238" s="214"/>
      <c r="AN238" s="107"/>
      <c r="AO238" s="109"/>
      <c r="AP238" s="109"/>
      <c r="AQ238" s="109"/>
      <c r="AT238" s="109"/>
      <c r="AU238" s="109"/>
      <c r="AV238" s="109"/>
      <c r="AW238" s="109"/>
      <c r="AX238" s="109"/>
      <c r="BB238" s="105"/>
      <c r="BC238" s="105"/>
      <c r="BD238" s="105"/>
      <c r="BG238" s="105"/>
      <c r="CI238" s="107"/>
      <c r="CJ238" s="107"/>
      <c r="CM238" s="107"/>
      <c r="CN238" s="107"/>
      <c r="CO238" s="105"/>
      <c r="CP238" s="105"/>
      <c r="CQ238" s="105"/>
      <c r="CS238" s="108"/>
      <c r="CT238" s="108"/>
      <c r="CU238" s="107"/>
    </row>
    <row r="239" spans="1:99" x14ac:dyDescent="0.15">
      <c r="Q239" s="183"/>
      <c r="AB239" s="108"/>
      <c r="AC239" s="108"/>
      <c r="AD239" s="107"/>
      <c r="AE239" s="107"/>
      <c r="AF239" s="107"/>
      <c r="AH239" s="107"/>
      <c r="AI239" s="107"/>
      <c r="AJ239" s="107"/>
      <c r="AK239" s="107"/>
      <c r="AL239" s="107"/>
      <c r="AM239" s="214"/>
      <c r="AN239" s="107"/>
      <c r="AO239" s="109"/>
      <c r="AP239" s="109"/>
      <c r="AQ239" s="109"/>
      <c r="AT239" s="109"/>
      <c r="AU239" s="109"/>
      <c r="AV239" s="109"/>
      <c r="AW239" s="109"/>
      <c r="AX239" s="109"/>
      <c r="BB239" s="105"/>
      <c r="BC239" s="105"/>
      <c r="BD239" s="105"/>
      <c r="BG239" s="105"/>
      <c r="CI239" s="107"/>
      <c r="CJ239" s="107"/>
      <c r="CM239" s="107"/>
      <c r="CN239" s="107"/>
      <c r="CO239" s="105"/>
      <c r="CP239" s="105"/>
      <c r="CQ239" s="105"/>
      <c r="CS239" s="108"/>
      <c r="CT239" s="108"/>
      <c r="CU239" s="107"/>
    </row>
    <row r="240" spans="1:99" x14ac:dyDescent="0.15">
      <c r="Q240" s="183"/>
      <c r="AB240" s="108"/>
      <c r="AC240" s="108"/>
      <c r="AD240" s="107"/>
      <c r="AE240" s="107"/>
      <c r="AF240" s="107"/>
      <c r="AH240" s="107"/>
      <c r="AI240" s="107"/>
      <c r="AJ240" s="107"/>
      <c r="AK240" s="107"/>
      <c r="AL240" s="107"/>
      <c r="AM240" s="214"/>
      <c r="AN240" s="107"/>
      <c r="AO240" s="109"/>
      <c r="AP240" s="109"/>
      <c r="AQ240" s="109"/>
      <c r="AT240" s="109"/>
      <c r="AU240" s="109"/>
      <c r="AV240" s="109"/>
      <c r="AW240" s="109"/>
      <c r="AX240" s="109"/>
      <c r="BB240" s="105"/>
      <c r="BC240" s="105"/>
      <c r="BD240" s="105"/>
      <c r="BG240" s="105"/>
      <c r="CI240" s="107"/>
      <c r="CJ240" s="107"/>
      <c r="CM240" s="107"/>
      <c r="CN240" s="107"/>
      <c r="CO240" s="105"/>
      <c r="CP240" s="105"/>
      <c r="CQ240" s="105"/>
      <c r="CS240" s="108"/>
      <c r="CT240" s="108"/>
      <c r="CU240" s="107"/>
    </row>
    <row r="241" spans="17:99" x14ac:dyDescent="0.15">
      <c r="Q241" s="183"/>
      <c r="AB241" s="108"/>
      <c r="AC241" s="108"/>
      <c r="AD241" s="107"/>
      <c r="AE241" s="107"/>
      <c r="AF241" s="107"/>
      <c r="AH241" s="107"/>
      <c r="AI241" s="107"/>
      <c r="AJ241" s="107"/>
      <c r="AK241" s="107"/>
      <c r="AL241" s="107"/>
      <c r="AM241" s="214"/>
      <c r="AN241" s="107"/>
      <c r="AO241" s="109"/>
      <c r="AP241" s="109"/>
      <c r="AQ241" s="109"/>
      <c r="AT241" s="109"/>
      <c r="AU241" s="109"/>
      <c r="AV241" s="109"/>
      <c r="AW241" s="109"/>
      <c r="AX241" s="109"/>
      <c r="BB241" s="105"/>
      <c r="BC241" s="105"/>
      <c r="BD241" s="105"/>
      <c r="BG241" s="105"/>
      <c r="CI241" s="107"/>
      <c r="CJ241" s="107"/>
      <c r="CM241" s="107"/>
      <c r="CN241" s="107"/>
      <c r="CO241" s="105"/>
      <c r="CP241" s="105"/>
      <c r="CQ241" s="105"/>
      <c r="CS241" s="108"/>
      <c r="CT241" s="108"/>
      <c r="CU241" s="107"/>
    </row>
    <row r="242" spans="17:99" x14ac:dyDescent="0.15">
      <c r="Q242" s="183"/>
      <c r="AB242" s="108"/>
      <c r="AC242" s="108"/>
      <c r="AD242" s="107"/>
      <c r="AE242" s="107"/>
      <c r="AF242" s="107"/>
      <c r="AH242" s="107"/>
      <c r="AI242" s="107"/>
      <c r="AJ242" s="107"/>
      <c r="AK242" s="107"/>
      <c r="AL242" s="107"/>
      <c r="AM242" s="214"/>
      <c r="AN242" s="107"/>
      <c r="AO242" s="109"/>
      <c r="AP242" s="109"/>
      <c r="AQ242" s="109"/>
      <c r="AT242" s="109"/>
      <c r="AU242" s="109"/>
      <c r="AV242" s="109"/>
      <c r="AW242" s="109"/>
      <c r="AX242" s="109"/>
      <c r="BB242" s="105"/>
      <c r="BC242" s="105"/>
      <c r="BD242" s="105"/>
      <c r="BG242" s="105"/>
      <c r="CI242" s="107"/>
      <c r="CJ242" s="107"/>
      <c r="CM242" s="107"/>
      <c r="CN242" s="107"/>
      <c r="CO242" s="105"/>
      <c r="CP242" s="105"/>
      <c r="CQ242" s="105"/>
      <c r="CS242" s="108"/>
      <c r="CT242" s="108"/>
      <c r="CU242" s="107"/>
    </row>
    <row r="243" spans="17:99" x14ac:dyDescent="0.15">
      <c r="Q243" s="183"/>
      <c r="AB243" s="108"/>
      <c r="AC243" s="108"/>
      <c r="AD243" s="107"/>
      <c r="AE243" s="107"/>
      <c r="AF243" s="107"/>
      <c r="AH243" s="107"/>
      <c r="AI243" s="107"/>
      <c r="AJ243" s="107"/>
      <c r="AK243" s="107"/>
      <c r="AL243" s="107"/>
      <c r="AM243" s="214"/>
      <c r="AN243" s="107"/>
      <c r="AO243" s="109"/>
      <c r="AP243" s="109"/>
      <c r="AQ243" s="109"/>
      <c r="AT243" s="109"/>
      <c r="AU243" s="109"/>
      <c r="AV243" s="109"/>
      <c r="AW243" s="109"/>
      <c r="AX243" s="109"/>
      <c r="BB243" s="105"/>
      <c r="BC243" s="105"/>
      <c r="BD243" s="105"/>
      <c r="BG243" s="105"/>
      <c r="CI243" s="107"/>
      <c r="CJ243" s="107"/>
      <c r="CM243" s="107"/>
      <c r="CN243" s="107"/>
      <c r="CO243" s="105"/>
      <c r="CP243" s="105"/>
      <c r="CQ243" s="105"/>
      <c r="CS243" s="108"/>
      <c r="CT243" s="108"/>
      <c r="CU243" s="107"/>
    </row>
    <row r="244" spans="17:99" x14ac:dyDescent="0.15">
      <c r="Q244" s="183"/>
      <c r="AB244" s="108"/>
      <c r="AC244" s="108"/>
      <c r="AD244" s="107"/>
      <c r="AE244" s="107"/>
      <c r="AF244" s="107"/>
      <c r="AH244" s="107"/>
      <c r="AI244" s="107"/>
      <c r="AJ244" s="107"/>
      <c r="AK244" s="107"/>
      <c r="AL244" s="107"/>
      <c r="AM244" s="214"/>
      <c r="AN244" s="107"/>
      <c r="AO244" s="109"/>
      <c r="AP244" s="109"/>
      <c r="AQ244" s="109"/>
      <c r="AT244" s="109"/>
      <c r="AU244" s="109"/>
      <c r="AV244" s="109"/>
      <c r="AW244" s="109"/>
      <c r="AX244" s="109"/>
      <c r="BB244" s="105"/>
      <c r="BC244" s="105"/>
      <c r="BD244" s="105"/>
      <c r="BG244" s="105"/>
      <c r="CI244" s="107"/>
      <c r="CJ244" s="107"/>
      <c r="CM244" s="107"/>
      <c r="CN244" s="107"/>
      <c r="CO244" s="105"/>
      <c r="CP244" s="105"/>
      <c r="CQ244" s="105"/>
      <c r="CS244" s="108"/>
      <c r="CT244" s="108"/>
      <c r="CU244" s="107"/>
    </row>
    <row r="245" spans="17:99" x14ac:dyDescent="0.15">
      <c r="Q245" s="183"/>
      <c r="AB245" s="108"/>
      <c r="AC245" s="108"/>
      <c r="AD245" s="107"/>
      <c r="AE245" s="107"/>
      <c r="AF245" s="107"/>
      <c r="AH245" s="107"/>
      <c r="AI245" s="107"/>
      <c r="AJ245" s="107"/>
      <c r="AK245" s="107"/>
      <c r="AL245" s="107"/>
      <c r="AM245" s="214"/>
      <c r="AN245" s="107"/>
      <c r="AO245" s="109"/>
      <c r="AP245" s="109"/>
      <c r="AQ245" s="109"/>
      <c r="AT245" s="109"/>
      <c r="AU245" s="109"/>
      <c r="AV245" s="109"/>
      <c r="AW245" s="109"/>
      <c r="AX245" s="109"/>
      <c r="BB245" s="105"/>
      <c r="BC245" s="105"/>
      <c r="BD245" s="105"/>
      <c r="BG245" s="105"/>
      <c r="CI245" s="107"/>
      <c r="CJ245" s="107"/>
      <c r="CM245" s="107"/>
      <c r="CN245" s="107"/>
      <c r="CO245" s="105"/>
      <c r="CP245" s="105"/>
      <c r="CQ245" s="105"/>
      <c r="CS245" s="108"/>
      <c r="CT245" s="108"/>
      <c r="CU245" s="107"/>
    </row>
    <row r="246" spans="17:99" x14ac:dyDescent="0.15">
      <c r="Q246" s="183"/>
      <c r="AB246" s="108"/>
      <c r="AC246" s="108"/>
      <c r="AD246" s="107"/>
      <c r="AE246" s="107"/>
      <c r="AF246" s="107"/>
      <c r="AH246" s="107"/>
      <c r="AI246" s="107"/>
      <c r="AJ246" s="107"/>
      <c r="AK246" s="107"/>
      <c r="AL246" s="107"/>
      <c r="AM246" s="214"/>
      <c r="AN246" s="107"/>
      <c r="AO246" s="109"/>
      <c r="AP246" s="109"/>
      <c r="AQ246" s="109"/>
      <c r="AT246" s="109"/>
      <c r="AU246" s="109"/>
      <c r="AV246" s="109"/>
      <c r="AW246" s="109"/>
      <c r="AX246" s="109"/>
      <c r="BB246" s="105"/>
      <c r="BC246" s="105"/>
      <c r="BD246" s="105"/>
      <c r="BG246" s="105"/>
      <c r="CI246" s="107"/>
      <c r="CJ246" s="107"/>
      <c r="CM246" s="107"/>
      <c r="CN246" s="107"/>
      <c r="CO246" s="105"/>
      <c r="CP246" s="105"/>
      <c r="CQ246" s="105"/>
      <c r="CS246" s="108"/>
      <c r="CT246" s="108"/>
      <c r="CU246" s="107"/>
    </row>
    <row r="247" spans="17:99" x14ac:dyDescent="0.15">
      <c r="Q247" s="183"/>
      <c r="AB247" s="108"/>
      <c r="AC247" s="108"/>
      <c r="AD247" s="107"/>
      <c r="AE247" s="107"/>
      <c r="AF247" s="107"/>
      <c r="AH247" s="107"/>
      <c r="AI247" s="107"/>
      <c r="AJ247" s="107"/>
      <c r="AK247" s="107"/>
      <c r="AL247" s="107"/>
      <c r="AM247" s="214"/>
      <c r="AN247" s="107"/>
      <c r="AO247" s="109"/>
      <c r="AP247" s="109"/>
      <c r="AQ247" s="109"/>
      <c r="AT247" s="109"/>
      <c r="AU247" s="109"/>
      <c r="AV247" s="109"/>
      <c r="AW247" s="109"/>
      <c r="AX247" s="109"/>
      <c r="BB247" s="105"/>
      <c r="BC247" s="105"/>
      <c r="BD247" s="105"/>
      <c r="BG247" s="105"/>
      <c r="CI247" s="107"/>
      <c r="CJ247" s="107"/>
      <c r="CM247" s="107"/>
      <c r="CN247" s="107"/>
      <c r="CO247" s="105"/>
      <c r="CP247" s="105"/>
      <c r="CQ247" s="105"/>
      <c r="CS247" s="108"/>
      <c r="CT247" s="108"/>
      <c r="CU247" s="107"/>
    </row>
    <row r="248" spans="17:99" x14ac:dyDescent="0.15">
      <c r="Q248" s="183"/>
      <c r="AB248" s="108"/>
      <c r="AC248" s="108"/>
      <c r="AD248" s="107"/>
      <c r="AE248" s="107"/>
      <c r="AF248" s="107"/>
      <c r="AH248" s="107"/>
      <c r="AI248" s="107"/>
      <c r="AJ248" s="107"/>
      <c r="AK248" s="107"/>
      <c r="AL248" s="107"/>
      <c r="AM248" s="214"/>
      <c r="AN248" s="107"/>
      <c r="AO248" s="109"/>
      <c r="AP248" s="109"/>
      <c r="AQ248" s="109"/>
      <c r="AT248" s="109"/>
      <c r="AU248" s="109"/>
      <c r="AV248" s="109"/>
      <c r="AW248" s="109"/>
      <c r="AX248" s="109"/>
      <c r="BB248" s="105"/>
      <c r="BC248" s="105"/>
      <c r="BD248" s="105"/>
      <c r="BG248" s="105"/>
      <c r="CI248" s="107"/>
      <c r="CJ248" s="107"/>
      <c r="CM248" s="107"/>
      <c r="CN248" s="107"/>
      <c r="CO248" s="105"/>
      <c r="CP248" s="105"/>
      <c r="CQ248" s="105"/>
      <c r="CS248" s="108"/>
      <c r="CT248" s="108"/>
      <c r="CU248" s="107"/>
    </row>
    <row r="249" spans="17:99" x14ac:dyDescent="0.15">
      <c r="Q249" s="183"/>
      <c r="AB249" s="108"/>
      <c r="AC249" s="108"/>
      <c r="AD249" s="107"/>
      <c r="AE249" s="107"/>
      <c r="AF249" s="107"/>
      <c r="AH249" s="107"/>
      <c r="AI249" s="107"/>
      <c r="AJ249" s="107"/>
      <c r="AK249" s="107"/>
      <c r="AL249" s="107"/>
      <c r="AM249" s="214"/>
      <c r="AN249" s="107"/>
      <c r="AO249" s="109"/>
      <c r="AP249" s="109"/>
      <c r="AQ249" s="109"/>
      <c r="AT249" s="109"/>
      <c r="AU249" s="109"/>
      <c r="AV249" s="109"/>
      <c r="AW249" s="109"/>
      <c r="AX249" s="109"/>
      <c r="BB249" s="105"/>
      <c r="BC249" s="105"/>
      <c r="BD249" s="105"/>
      <c r="BG249" s="105"/>
      <c r="CI249" s="107"/>
      <c r="CJ249" s="107"/>
      <c r="CM249" s="107"/>
      <c r="CN249" s="107"/>
      <c r="CO249" s="105"/>
      <c r="CP249" s="105"/>
      <c r="CQ249" s="105"/>
      <c r="CS249" s="108"/>
      <c r="CT249" s="108"/>
      <c r="CU249" s="107"/>
    </row>
    <row r="250" spans="17:99" x14ac:dyDescent="0.15">
      <c r="Q250" s="183"/>
      <c r="AB250" s="108"/>
      <c r="AC250" s="108"/>
      <c r="AD250" s="107"/>
      <c r="AE250" s="107"/>
      <c r="AF250" s="107"/>
      <c r="AH250" s="107"/>
      <c r="AI250" s="107"/>
      <c r="AJ250" s="107"/>
      <c r="AK250" s="107"/>
      <c r="AL250" s="107"/>
      <c r="AM250" s="214"/>
      <c r="AN250" s="107"/>
      <c r="AO250" s="109"/>
      <c r="AP250" s="109"/>
      <c r="AQ250" s="109"/>
      <c r="AT250" s="109"/>
      <c r="AU250" s="109"/>
      <c r="AV250" s="109"/>
      <c r="AW250" s="109"/>
      <c r="AX250" s="109"/>
      <c r="BB250" s="105"/>
      <c r="BC250" s="105"/>
      <c r="BD250" s="105"/>
      <c r="BG250" s="105"/>
      <c r="CI250" s="107"/>
      <c r="CJ250" s="107"/>
      <c r="CM250" s="107"/>
      <c r="CN250" s="107"/>
      <c r="CO250" s="105"/>
      <c r="CP250" s="105"/>
      <c r="CQ250" s="105"/>
      <c r="CS250" s="108"/>
      <c r="CT250" s="108"/>
      <c r="CU250" s="107"/>
    </row>
    <row r="251" spans="17:99" x14ac:dyDescent="0.15">
      <c r="Q251" s="183"/>
      <c r="AB251" s="108"/>
      <c r="AC251" s="108"/>
      <c r="AD251" s="107"/>
      <c r="AE251" s="107"/>
      <c r="AF251" s="107"/>
      <c r="AH251" s="107"/>
      <c r="AI251" s="107"/>
      <c r="AJ251" s="107"/>
      <c r="AK251" s="107"/>
      <c r="AL251" s="107"/>
      <c r="AM251" s="214"/>
      <c r="AN251" s="107"/>
      <c r="AO251" s="109"/>
      <c r="AP251" s="109"/>
      <c r="AQ251" s="109"/>
      <c r="AT251" s="109"/>
      <c r="AU251" s="109"/>
      <c r="AV251" s="109"/>
      <c r="AW251" s="109"/>
      <c r="AX251" s="109"/>
      <c r="BB251" s="105"/>
      <c r="BC251" s="105"/>
      <c r="BD251" s="105"/>
      <c r="BG251" s="105"/>
      <c r="CI251" s="107"/>
      <c r="CJ251" s="107"/>
      <c r="CM251" s="107"/>
      <c r="CN251" s="107"/>
      <c r="CO251" s="105"/>
      <c r="CP251" s="105"/>
      <c r="CQ251" s="105"/>
      <c r="CS251" s="108"/>
      <c r="CT251" s="108"/>
      <c r="CU251" s="107"/>
    </row>
    <row r="252" spans="17:99" x14ac:dyDescent="0.15">
      <c r="Q252" s="183"/>
      <c r="AB252" s="108"/>
      <c r="AC252" s="108"/>
      <c r="AD252" s="107"/>
      <c r="AE252" s="107"/>
      <c r="AF252" s="107"/>
      <c r="AH252" s="107"/>
      <c r="AI252" s="107"/>
      <c r="AJ252" s="107"/>
      <c r="AK252" s="107"/>
      <c r="AL252" s="107"/>
      <c r="AM252" s="214"/>
      <c r="AN252" s="107"/>
      <c r="AO252" s="109"/>
      <c r="AP252" s="109"/>
      <c r="AQ252" s="109"/>
      <c r="AT252" s="109"/>
      <c r="AU252" s="109"/>
      <c r="AV252" s="109"/>
      <c r="AW252" s="109"/>
      <c r="AX252" s="109"/>
      <c r="BB252" s="105"/>
      <c r="BC252" s="105"/>
      <c r="BD252" s="105"/>
      <c r="BG252" s="105"/>
      <c r="CI252" s="107"/>
      <c r="CJ252" s="107"/>
      <c r="CM252" s="107"/>
      <c r="CN252" s="107"/>
      <c r="CO252" s="105"/>
      <c r="CP252" s="105"/>
      <c r="CQ252" s="105"/>
      <c r="CS252" s="108"/>
      <c r="CT252" s="108"/>
      <c r="CU252" s="107"/>
    </row>
    <row r="253" spans="17:99" x14ac:dyDescent="0.15">
      <c r="Q253" s="183"/>
      <c r="AB253" s="108"/>
      <c r="AC253" s="108"/>
      <c r="AD253" s="107"/>
      <c r="AE253" s="107"/>
      <c r="AF253" s="107"/>
      <c r="AH253" s="107"/>
      <c r="AI253" s="107"/>
      <c r="AJ253" s="107"/>
      <c r="AK253" s="107"/>
      <c r="AL253" s="107"/>
      <c r="AM253" s="214"/>
      <c r="AN253" s="107"/>
      <c r="AO253" s="109"/>
      <c r="AP253" s="109"/>
      <c r="AQ253" s="109"/>
      <c r="AT253" s="109"/>
      <c r="AU253" s="109"/>
      <c r="AV253" s="109"/>
      <c r="AW253" s="109"/>
      <c r="AX253" s="109"/>
      <c r="BB253" s="105"/>
      <c r="BC253" s="105"/>
      <c r="BD253" s="105"/>
      <c r="BG253" s="105"/>
      <c r="CI253" s="107"/>
      <c r="CJ253" s="107"/>
      <c r="CM253" s="107"/>
      <c r="CN253" s="107"/>
      <c r="CO253" s="105"/>
      <c r="CP253" s="105"/>
      <c r="CQ253" s="105"/>
      <c r="CS253" s="108"/>
      <c r="CT253" s="108"/>
      <c r="CU253" s="107"/>
    </row>
    <row r="254" spans="17:99" x14ac:dyDescent="0.15">
      <c r="Q254" s="183"/>
    </row>
    <row r="255" spans="17:99" x14ac:dyDescent="0.15">
      <c r="Q255" s="183"/>
    </row>
    <row r="256" spans="17:99" x14ac:dyDescent="0.15">
      <c r="Q256" s="183"/>
    </row>
    <row r="257" spans="17:17" x14ac:dyDescent="0.15">
      <c r="Q257" s="183"/>
    </row>
    <row r="258" spans="17:17" x14ac:dyDescent="0.15">
      <c r="Q258" s="183"/>
    </row>
    <row r="259" spans="17:17" x14ac:dyDescent="0.15">
      <c r="Q259" s="183"/>
    </row>
    <row r="260" spans="17:17" x14ac:dyDescent="0.15">
      <c r="Q260" s="183"/>
    </row>
    <row r="261" spans="17:17" x14ac:dyDescent="0.15">
      <c r="Q261" s="183"/>
    </row>
    <row r="262" spans="17:17" x14ac:dyDescent="0.15">
      <c r="Q262" s="183"/>
    </row>
    <row r="263" spans="17:17" x14ac:dyDescent="0.15">
      <c r="Q263" s="183"/>
    </row>
    <row r="264" spans="17:17" x14ac:dyDescent="0.15">
      <c r="Q264" s="183"/>
    </row>
    <row r="265" spans="17:17" x14ac:dyDescent="0.15">
      <c r="Q265" s="183"/>
    </row>
    <row r="266" spans="17:17" x14ac:dyDescent="0.15">
      <c r="Q266" s="183"/>
    </row>
    <row r="267" spans="17:17" x14ac:dyDescent="0.15">
      <c r="Q267" s="183"/>
    </row>
    <row r="268" spans="17:17" x14ac:dyDescent="0.15">
      <c r="Q268" s="183"/>
    </row>
    <row r="269" spans="17:17" x14ac:dyDescent="0.15">
      <c r="Q269" s="183"/>
    </row>
    <row r="270" spans="17:17" x14ac:dyDescent="0.15">
      <c r="Q270" s="183"/>
    </row>
    <row r="271" spans="17:17" x14ac:dyDescent="0.15">
      <c r="Q271" s="183"/>
    </row>
    <row r="272" spans="17:17" x14ac:dyDescent="0.15">
      <c r="Q272" s="183"/>
    </row>
    <row r="273" spans="17:17" x14ac:dyDescent="0.15">
      <c r="Q273" s="183"/>
    </row>
    <row r="274" spans="17:17" x14ac:dyDescent="0.15">
      <c r="Q274" s="183"/>
    </row>
    <row r="275" spans="17:17" x14ac:dyDescent="0.15">
      <c r="Q275" s="183"/>
    </row>
    <row r="276" spans="17:17" x14ac:dyDescent="0.15">
      <c r="Q276" s="183"/>
    </row>
    <row r="277" spans="17:17" x14ac:dyDescent="0.15">
      <c r="Q277" s="183"/>
    </row>
    <row r="278" spans="17:17" x14ac:dyDescent="0.15">
      <c r="Q278" s="183"/>
    </row>
    <row r="279" spans="17:17" x14ac:dyDescent="0.15">
      <c r="Q279" s="183"/>
    </row>
    <row r="280" spans="17:17" x14ac:dyDescent="0.15">
      <c r="Q280" s="183"/>
    </row>
    <row r="281" spans="17:17" x14ac:dyDescent="0.15">
      <c r="Q281" s="183"/>
    </row>
    <row r="282" spans="17:17" x14ac:dyDescent="0.15">
      <c r="Q282" s="183"/>
    </row>
    <row r="283" spans="17:17" x14ac:dyDescent="0.15">
      <c r="Q283" s="183"/>
    </row>
    <row r="284" spans="17:17" x14ac:dyDescent="0.15">
      <c r="Q284" s="183"/>
    </row>
    <row r="285" spans="17:17" x14ac:dyDescent="0.15">
      <c r="Q285" s="183"/>
    </row>
    <row r="286" spans="17:17" x14ac:dyDescent="0.15">
      <c r="Q286" s="183"/>
    </row>
    <row r="287" spans="17:17" x14ac:dyDescent="0.15">
      <c r="Q287" s="183"/>
    </row>
    <row r="288" spans="17:17" x14ac:dyDescent="0.15">
      <c r="Q288" s="183"/>
    </row>
    <row r="289" spans="17:17" x14ac:dyDescent="0.15">
      <c r="Q289" s="183"/>
    </row>
    <row r="290" spans="17:17" x14ac:dyDescent="0.15">
      <c r="Q290" s="183"/>
    </row>
    <row r="291" spans="17:17" x14ac:dyDescent="0.15">
      <c r="Q291" s="183"/>
    </row>
    <row r="292" spans="17:17" x14ac:dyDescent="0.15">
      <c r="Q292" s="183"/>
    </row>
    <row r="293" spans="17:17" x14ac:dyDescent="0.15">
      <c r="Q293" s="183"/>
    </row>
    <row r="294" spans="17:17" x14ac:dyDescent="0.15">
      <c r="Q294" s="183"/>
    </row>
    <row r="295" spans="17:17" x14ac:dyDescent="0.15">
      <c r="Q295" s="183"/>
    </row>
    <row r="296" spans="17:17" x14ac:dyDescent="0.15">
      <c r="Q296" s="183"/>
    </row>
    <row r="297" spans="17:17" x14ac:dyDescent="0.15">
      <c r="Q297" s="183"/>
    </row>
    <row r="298" spans="17:17" x14ac:dyDescent="0.15">
      <c r="Q298" s="183"/>
    </row>
    <row r="299" spans="17:17" x14ac:dyDescent="0.15">
      <c r="Q299" s="183"/>
    </row>
    <row r="300" spans="17:17" x14ac:dyDescent="0.15">
      <c r="Q300" s="183"/>
    </row>
    <row r="301" spans="17:17" x14ac:dyDescent="0.15">
      <c r="Q301" s="183"/>
    </row>
    <row r="302" spans="17:17" x14ac:dyDescent="0.15">
      <c r="Q302" s="183"/>
    </row>
    <row r="303" spans="17:17" x14ac:dyDescent="0.15">
      <c r="Q303" s="183"/>
    </row>
    <row r="304" spans="17:17" x14ac:dyDescent="0.15">
      <c r="Q304" s="183"/>
    </row>
    <row r="305" spans="17:17" x14ac:dyDescent="0.15">
      <c r="Q305" s="183"/>
    </row>
    <row r="306" spans="17:17" x14ac:dyDescent="0.15">
      <c r="Q306" s="183"/>
    </row>
    <row r="307" spans="17:17" x14ac:dyDescent="0.15">
      <c r="Q307" s="183"/>
    </row>
    <row r="308" spans="17:17" x14ac:dyDescent="0.15">
      <c r="Q308" s="183"/>
    </row>
    <row r="309" spans="17:17" x14ac:dyDescent="0.15">
      <c r="Q309" s="183"/>
    </row>
    <row r="310" spans="17:17" x14ac:dyDescent="0.15">
      <c r="Q310" s="183"/>
    </row>
    <row r="311" spans="17:17" x14ac:dyDescent="0.15">
      <c r="Q311" s="183"/>
    </row>
    <row r="312" spans="17:17" x14ac:dyDescent="0.15">
      <c r="Q312" s="183"/>
    </row>
    <row r="313" spans="17:17" x14ac:dyDescent="0.15">
      <c r="Q313" s="183"/>
    </row>
    <row r="314" spans="17:17" x14ac:dyDescent="0.15">
      <c r="Q314" s="183"/>
    </row>
    <row r="315" spans="17:17" x14ac:dyDescent="0.15">
      <c r="Q315" s="183"/>
    </row>
    <row r="316" spans="17:17" x14ac:dyDescent="0.15">
      <c r="Q316" s="183"/>
    </row>
    <row r="317" spans="17:17" x14ac:dyDescent="0.15">
      <c r="Q317" s="183"/>
    </row>
    <row r="318" spans="17:17" x14ac:dyDescent="0.15">
      <c r="Q318" s="183"/>
    </row>
    <row r="319" spans="17:17" x14ac:dyDescent="0.15">
      <c r="Q319" s="183"/>
    </row>
    <row r="320" spans="17:17" x14ac:dyDescent="0.15">
      <c r="Q320" s="183"/>
    </row>
    <row r="321" spans="17:17" x14ac:dyDescent="0.15">
      <c r="Q321" s="183"/>
    </row>
    <row r="322" spans="17:17" x14ac:dyDescent="0.15">
      <c r="Q322" s="183"/>
    </row>
    <row r="323" spans="17:17" x14ac:dyDescent="0.15">
      <c r="Q323" s="183"/>
    </row>
    <row r="324" spans="17:17" x14ac:dyDescent="0.15">
      <c r="Q324" s="183"/>
    </row>
    <row r="325" spans="17:17" x14ac:dyDescent="0.15">
      <c r="Q325" s="183"/>
    </row>
    <row r="326" spans="17:17" x14ac:dyDescent="0.15">
      <c r="Q326" s="183"/>
    </row>
    <row r="327" spans="17:17" x14ac:dyDescent="0.15">
      <c r="Q327" s="183"/>
    </row>
    <row r="328" spans="17:17" x14ac:dyDescent="0.15">
      <c r="Q328" s="183"/>
    </row>
    <row r="329" spans="17:17" x14ac:dyDescent="0.15">
      <c r="Q329" s="183"/>
    </row>
    <row r="330" spans="17:17" x14ac:dyDescent="0.15">
      <c r="Q330" s="183"/>
    </row>
    <row r="331" spans="17:17" x14ac:dyDescent="0.15">
      <c r="Q331" s="183"/>
    </row>
    <row r="332" spans="17:17" x14ac:dyDescent="0.15">
      <c r="Q332" s="183"/>
    </row>
    <row r="333" spans="17:17" x14ac:dyDescent="0.15">
      <c r="Q333" s="183"/>
    </row>
    <row r="334" spans="17:17" x14ac:dyDescent="0.15">
      <c r="Q334" s="183"/>
    </row>
    <row r="335" spans="17:17" x14ac:dyDescent="0.15">
      <c r="Q335" s="183"/>
    </row>
    <row r="336" spans="17:17" x14ac:dyDescent="0.15">
      <c r="Q336" s="183"/>
    </row>
    <row r="337" spans="17:17" x14ac:dyDescent="0.15">
      <c r="Q337" s="183"/>
    </row>
    <row r="338" spans="17:17" x14ac:dyDescent="0.15">
      <c r="Q338" s="183"/>
    </row>
    <row r="339" spans="17:17" x14ac:dyDescent="0.15">
      <c r="Q339" s="183"/>
    </row>
    <row r="340" spans="17:17" x14ac:dyDescent="0.15">
      <c r="Q340" s="183"/>
    </row>
    <row r="341" spans="17:17" x14ac:dyDescent="0.15">
      <c r="Q341" s="183"/>
    </row>
    <row r="342" spans="17:17" x14ac:dyDescent="0.15">
      <c r="Q342" s="183"/>
    </row>
    <row r="343" spans="17:17" x14ac:dyDescent="0.15">
      <c r="Q343" s="183"/>
    </row>
    <row r="344" spans="17:17" x14ac:dyDescent="0.15">
      <c r="Q344" s="183"/>
    </row>
    <row r="345" spans="17:17" x14ac:dyDescent="0.15">
      <c r="Q345" s="183"/>
    </row>
    <row r="346" spans="17:17" x14ac:dyDescent="0.15">
      <c r="Q346" s="183"/>
    </row>
    <row r="347" spans="17:17" x14ac:dyDescent="0.15">
      <c r="Q347" s="183"/>
    </row>
    <row r="348" spans="17:17" x14ac:dyDescent="0.15">
      <c r="Q348" s="183"/>
    </row>
    <row r="349" spans="17:17" x14ac:dyDescent="0.15">
      <c r="Q349" s="183"/>
    </row>
    <row r="350" spans="17:17" x14ac:dyDescent="0.15">
      <c r="Q350" s="183"/>
    </row>
    <row r="351" spans="17:17" x14ac:dyDescent="0.15">
      <c r="Q351" s="183"/>
    </row>
    <row r="352" spans="17:17" x14ac:dyDescent="0.15">
      <c r="Q352" s="183"/>
    </row>
    <row r="353" spans="17:17" x14ac:dyDescent="0.15">
      <c r="Q353" s="183"/>
    </row>
    <row r="354" spans="17:17" x14ac:dyDescent="0.15">
      <c r="Q354" s="183"/>
    </row>
    <row r="355" spans="17:17" x14ac:dyDescent="0.15">
      <c r="Q355" s="183"/>
    </row>
    <row r="356" spans="17:17" x14ac:dyDescent="0.15">
      <c r="Q356" s="183"/>
    </row>
    <row r="357" spans="17:17" x14ac:dyDescent="0.15">
      <c r="Q357" s="183"/>
    </row>
    <row r="358" spans="17:17" x14ac:dyDescent="0.15">
      <c r="Q358" s="183"/>
    </row>
    <row r="359" spans="17:17" x14ac:dyDescent="0.15">
      <c r="Q359" s="183"/>
    </row>
    <row r="360" spans="17:17" x14ac:dyDescent="0.15">
      <c r="Q360" s="183"/>
    </row>
    <row r="361" spans="17:17" x14ac:dyDescent="0.15">
      <c r="Q361" s="183"/>
    </row>
    <row r="362" spans="17:17" x14ac:dyDescent="0.15">
      <c r="Q362" s="183"/>
    </row>
    <row r="363" spans="17:17" x14ac:dyDescent="0.15">
      <c r="Q363" s="183"/>
    </row>
    <row r="364" spans="17:17" x14ac:dyDescent="0.15">
      <c r="Q364" s="183"/>
    </row>
    <row r="365" spans="17:17" x14ac:dyDescent="0.15">
      <c r="Q365" s="183"/>
    </row>
    <row r="366" spans="17:17" x14ac:dyDescent="0.15">
      <c r="Q366" s="183"/>
    </row>
    <row r="367" spans="17:17" x14ac:dyDescent="0.15">
      <c r="Q367" s="183"/>
    </row>
    <row r="368" spans="17:17" x14ac:dyDescent="0.15">
      <c r="Q368" s="183"/>
    </row>
    <row r="369" spans="17:17" x14ac:dyDescent="0.15">
      <c r="Q369" s="183"/>
    </row>
    <row r="370" spans="17:17" x14ac:dyDescent="0.15">
      <c r="Q370" s="183"/>
    </row>
    <row r="371" spans="17:17" x14ac:dyDescent="0.15">
      <c r="Q371" s="183"/>
    </row>
    <row r="372" spans="17:17" x14ac:dyDescent="0.15">
      <c r="Q372" s="183"/>
    </row>
    <row r="373" spans="17:17" x14ac:dyDescent="0.15">
      <c r="Q373" s="183"/>
    </row>
    <row r="374" spans="17:17" x14ac:dyDescent="0.15">
      <c r="Q374" s="183"/>
    </row>
    <row r="375" spans="17:17" x14ac:dyDescent="0.15">
      <c r="Q375" s="183"/>
    </row>
    <row r="376" spans="17:17" x14ac:dyDescent="0.15">
      <c r="Q376" s="183"/>
    </row>
    <row r="377" spans="17:17" x14ac:dyDescent="0.15">
      <c r="Q377" s="183"/>
    </row>
    <row r="378" spans="17:17" x14ac:dyDescent="0.15">
      <c r="Q378" s="183"/>
    </row>
    <row r="379" spans="17:17" x14ac:dyDescent="0.15">
      <c r="Q379" s="183"/>
    </row>
    <row r="380" spans="17:17" x14ac:dyDescent="0.15">
      <c r="Q380" s="183"/>
    </row>
    <row r="381" spans="17:17" x14ac:dyDescent="0.15">
      <c r="Q381" s="183"/>
    </row>
    <row r="382" spans="17:17" x14ac:dyDescent="0.15">
      <c r="Q382" s="183"/>
    </row>
    <row r="383" spans="17:17" x14ac:dyDescent="0.15">
      <c r="Q383" s="183"/>
    </row>
    <row r="384" spans="17:17" x14ac:dyDescent="0.15">
      <c r="Q384" s="183"/>
    </row>
    <row r="385" spans="17:17" x14ac:dyDescent="0.15">
      <c r="Q385" s="183"/>
    </row>
    <row r="386" spans="17:17" x14ac:dyDescent="0.15">
      <c r="Q386" s="183"/>
    </row>
    <row r="387" spans="17:17" x14ac:dyDescent="0.15">
      <c r="Q387" s="183"/>
    </row>
    <row r="388" spans="17:17" x14ac:dyDescent="0.15">
      <c r="Q388" s="183"/>
    </row>
    <row r="389" spans="17:17" x14ac:dyDescent="0.15">
      <c r="Q389" s="183"/>
    </row>
    <row r="390" spans="17:17" x14ac:dyDescent="0.15">
      <c r="Q390" s="183"/>
    </row>
    <row r="391" spans="17:17" x14ac:dyDescent="0.15">
      <c r="Q391" s="183"/>
    </row>
    <row r="392" spans="17:17" x14ac:dyDescent="0.15">
      <c r="Q392" s="183"/>
    </row>
    <row r="393" spans="17:17" x14ac:dyDescent="0.15">
      <c r="Q393" s="183"/>
    </row>
    <row r="394" spans="17:17" x14ac:dyDescent="0.15">
      <c r="Q394" s="183"/>
    </row>
    <row r="395" spans="17:17" x14ac:dyDescent="0.15">
      <c r="Q395" s="183"/>
    </row>
    <row r="396" spans="17:17" x14ac:dyDescent="0.15">
      <c r="Q396" s="183"/>
    </row>
    <row r="397" spans="17:17" x14ac:dyDescent="0.15">
      <c r="Q397" s="183"/>
    </row>
    <row r="398" spans="17:17" x14ac:dyDescent="0.15">
      <c r="Q398" s="183"/>
    </row>
    <row r="399" spans="17:17" x14ac:dyDescent="0.15">
      <c r="Q399" s="183"/>
    </row>
    <row r="400" spans="17:17" x14ac:dyDescent="0.15">
      <c r="Q400" s="183"/>
    </row>
    <row r="401" spans="17:17" x14ac:dyDescent="0.15">
      <c r="Q401" s="183"/>
    </row>
    <row r="402" spans="17:17" x14ac:dyDescent="0.15">
      <c r="Q402" s="183"/>
    </row>
    <row r="403" spans="17:17" x14ac:dyDescent="0.15">
      <c r="Q403" s="183"/>
    </row>
    <row r="404" spans="17:17" x14ac:dyDescent="0.15">
      <c r="Q404" s="183"/>
    </row>
    <row r="405" spans="17:17" x14ac:dyDescent="0.15">
      <c r="Q405" s="183"/>
    </row>
    <row r="406" spans="17:17" x14ac:dyDescent="0.15">
      <c r="Q406" s="183"/>
    </row>
    <row r="407" spans="17:17" x14ac:dyDescent="0.15">
      <c r="Q407" s="183"/>
    </row>
    <row r="408" spans="17:17" x14ac:dyDescent="0.15">
      <c r="Q408" s="183"/>
    </row>
    <row r="409" spans="17:17" x14ac:dyDescent="0.15">
      <c r="Q409" s="183"/>
    </row>
    <row r="410" spans="17:17" x14ac:dyDescent="0.15">
      <c r="Q410" s="183"/>
    </row>
    <row r="411" spans="17:17" x14ac:dyDescent="0.15">
      <c r="Q411" s="183"/>
    </row>
    <row r="412" spans="17:17" x14ac:dyDescent="0.15">
      <c r="Q412" s="183"/>
    </row>
    <row r="413" spans="17:17" x14ac:dyDescent="0.15">
      <c r="Q413" s="183"/>
    </row>
    <row r="414" spans="17:17" x14ac:dyDescent="0.15">
      <c r="Q414" s="183"/>
    </row>
    <row r="415" spans="17:17" x14ac:dyDescent="0.15">
      <c r="Q415" s="183"/>
    </row>
    <row r="416" spans="17:17" x14ac:dyDescent="0.15">
      <c r="Q416" s="183"/>
    </row>
  </sheetData>
  <sortState xmlns:xlrd2="http://schemas.microsoft.com/office/spreadsheetml/2017/richdata2" ref="A215:BB229">
    <sortCondition ref="C215:C229"/>
  </sortState>
  <mergeCells count="2">
    <mergeCell ref="B1:C1"/>
    <mergeCell ref="B209:C209"/>
  </mergeCells>
  <pageMargins left="0.2" right="0.2" top="0.25" bottom="0.25" header="0.3" footer="0.3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5"/>
  <dimension ref="A1:BO252"/>
  <sheetViews>
    <sheetView workbookViewId="0"/>
  </sheetViews>
  <sheetFormatPr baseColWidth="10" defaultColWidth="9.3984375" defaultRowHeight="13" x14ac:dyDescent="0.15"/>
  <cols>
    <col min="1" max="1" width="9.3984375" style="98" bestFit="1" customWidth="1"/>
    <col min="2" max="2" width="10.19921875" style="98" bestFit="1" customWidth="1"/>
    <col min="3" max="3" width="66.796875" style="98" customWidth="1"/>
    <col min="4" max="4" width="24.19921875" style="98" bestFit="1" customWidth="1"/>
    <col min="5" max="5" width="26.796875" style="98" customWidth="1"/>
    <col min="6" max="6" width="14.59765625" style="98" customWidth="1"/>
    <col min="7" max="7" width="12.59765625" style="98" customWidth="1"/>
    <col min="8" max="8" width="11.3984375" style="98" customWidth="1"/>
    <col min="9" max="9" width="13" style="98" customWidth="1"/>
    <col min="10" max="10" width="14.59765625" style="98" customWidth="1"/>
    <col min="11" max="11" width="13.3984375" style="98" customWidth="1"/>
    <col min="12" max="12" width="11.3984375" style="98" customWidth="1"/>
    <col min="13" max="13" width="14.796875" style="98" customWidth="1"/>
    <col min="14" max="14" width="12.3984375" style="98" customWidth="1"/>
    <col min="15" max="15" width="12.796875" style="98" customWidth="1"/>
    <col min="16" max="16" width="14.59765625" style="98" customWidth="1"/>
    <col min="17" max="18" width="11.796875" style="98" customWidth="1"/>
    <col min="19" max="19" width="15.3984375" style="98" customWidth="1"/>
    <col min="20" max="22" width="14.796875" style="98" customWidth="1"/>
    <col min="23" max="23" width="20.3984375" style="98" customWidth="1"/>
    <col min="24" max="27" width="18.19921875" style="98" customWidth="1"/>
    <col min="28" max="28" width="12.19921875" style="98" customWidth="1"/>
    <col min="29" max="29" width="14" style="98" customWidth="1"/>
    <col min="30" max="30" width="12.3984375" style="98" customWidth="1"/>
    <col min="31" max="31" width="14.59765625" style="98" customWidth="1"/>
    <col min="32" max="32" width="15.796875" style="98" customWidth="1"/>
    <col min="33" max="33" width="11.796875" style="98" customWidth="1"/>
    <col min="34" max="34" width="15.3984375" style="98" customWidth="1"/>
    <col min="35" max="35" width="11.796875" style="98" customWidth="1"/>
    <col min="36" max="36" width="19" style="98" customWidth="1"/>
    <col min="37" max="37" width="16.19921875" style="98" customWidth="1"/>
    <col min="38" max="38" width="10.3984375" style="98" bestFit="1" customWidth="1"/>
    <col min="39" max="39" width="18.3984375" style="98" customWidth="1"/>
    <col min="40" max="40" width="14.796875" style="98" customWidth="1"/>
    <col min="41" max="41" width="23.19921875" style="98" customWidth="1"/>
    <col min="42" max="42" width="14.796875" style="98" customWidth="1"/>
    <col min="43" max="43" width="20.796875" style="98" customWidth="1"/>
    <col min="44" max="44" width="14.796875" style="98" customWidth="1"/>
    <col min="45" max="45" width="19.796875" style="98" customWidth="1"/>
    <col min="46" max="46" width="18.19921875" style="98" customWidth="1"/>
    <col min="47" max="47" width="18.3984375" style="98" customWidth="1"/>
    <col min="48" max="48" width="15" style="98" customWidth="1"/>
    <col min="49" max="49" width="18.59765625" style="98" customWidth="1"/>
    <col min="50" max="50" width="17.59765625" style="98" customWidth="1"/>
    <col min="51" max="51" width="11.796875" style="98" customWidth="1"/>
    <col min="52" max="52" width="17.3984375" style="98" customWidth="1"/>
    <col min="53" max="53" width="11.796875" style="98" customWidth="1"/>
    <col min="54" max="54" width="13.59765625" style="98" customWidth="1"/>
    <col min="55" max="55" width="18.19921875" style="98" customWidth="1"/>
    <col min="56" max="56" width="23.3984375" style="98" customWidth="1"/>
    <col min="57" max="57" width="27" style="98" customWidth="1"/>
    <col min="58" max="58" width="18.3984375" style="98" customWidth="1"/>
    <col min="59" max="60" width="14.19921875" style="98" customWidth="1"/>
    <col min="61" max="61" width="13" style="98" customWidth="1"/>
    <col min="62" max="16384" width="9.3984375" style="98"/>
  </cols>
  <sheetData>
    <row r="1" spans="1:57" ht="140" x14ac:dyDescent="0.15">
      <c r="B1" s="354" t="s">
        <v>788</v>
      </c>
      <c r="C1" s="354"/>
      <c r="D1" s="99" t="s">
        <v>320</v>
      </c>
      <c r="E1" s="99" t="s">
        <v>321</v>
      </c>
      <c r="F1" s="99" t="str">
        <f>VLOOKUP(F2,'Facility Profile'!$A$120:$E$152,2,FALSE)</f>
        <v>Administrative and Routine (See July 2024 Rate Letter)</v>
      </c>
      <c r="G1" s="99" t="str">
        <f>VLOOKUP(G2,'Facility Profile'!$A$120:$E$152,2,FALSE)</f>
        <v>Other Patient Care (See July 2024 Rate Letter)</v>
      </c>
      <c r="H1" s="99" t="str">
        <f>VLOOKUP(H2,'Facility Profile'!$A$120:$E$152,2,FALSE)</f>
        <v>Capital (See July 2024 Rate Letter)</v>
      </c>
      <c r="I1" s="99" t="str">
        <f>VLOOKUP(I2,'Facility Profile'!$A$120:$E$152,2,FALSE)</f>
        <v>Nursing Service (Line 20)</v>
      </c>
      <c r="J1" s="99" t="str">
        <f>VLOOKUP(J2,'Facility Profile'!$A$120:$E$152,2,FALSE)</f>
        <v>Total Kosher Kitchen Add On (See July 2024 Rate Letter)</v>
      </c>
      <c r="K1" s="99" t="str">
        <f>VLOOKUP(K2,'Facility Profile'!$A$120:$E$152,2,FALSE)</f>
        <v xml:space="preserve">   Total Rate for All Levels (Sum of Lines 1 - 5) </v>
      </c>
      <c r="L1" s="99" t="str">
        <f>VLOOKUP(L2,'Facility Profile'!$A$120:$E$152,2,FALSE)</f>
        <v>Budget Adjustment Factor</v>
      </c>
      <c r="M1" s="99" t="str">
        <f>VLOOKUP(M2,'Facility Profile'!$A$120:$E$152,2,FALSE)</f>
        <v xml:space="preserve">   Final Adjusted Rate  (Line 6 x Line 7)</v>
      </c>
      <c r="N1" s="99" t="str">
        <f>VLOOKUP(N2,'Facility Profile'!$A$120:$E$152,2,FALSE)</f>
        <v>Quality Assessment Add On</v>
      </c>
      <c r="O1" s="99" t="str">
        <f>VLOOKUP(O2,'Facility Profile'!$A$120:$E$152,2,FALSE)</f>
        <v>Cost Report Period CMI (See July 2024 letter)</v>
      </c>
      <c r="P1" s="99" t="str">
        <f>VLOOKUP(P2,'Facility Profile'!$A$120:$E$152,2,FALSE)</f>
        <v>Statewide Average CMI</v>
      </c>
      <c r="Q1" s="99" t="str">
        <f>VLOOKUP(Q2,'Facility Profile'!$A$120:$E$152,2,FALSE)</f>
        <v>Quarter Ending 06/30/2024 Facility Average Medicaid CMI (1)</v>
      </c>
      <c r="R1" s="99" t="str">
        <f>VLOOKUP(R2,'Facility Profile'!$A$120:$E$152,2,FALSE)</f>
        <v>Case Mix Index Proportional Adjustment</v>
      </c>
      <c r="S1" s="99" t="str">
        <f>VLOOKUP(S2,'Facility Profile'!$A$120:$E$152,2,FALSE)</f>
        <v>Quarter Ending 06/30/2024 Facility Adjusted Average Medicaid CMI (Line 12 x Line 13)</v>
      </c>
      <c r="T1" s="99" t="str">
        <f>VLOOKUP(T2,'Facility Profile'!$A$120:$E$152,2,FALSE)</f>
        <v>Indexed Nursing Service Cost Per Diem (See July 2024 letter)</v>
      </c>
      <c r="U1" s="99" t="str">
        <f>VLOOKUP(U2,'Facility Profile'!$A$120:$E$152,2,FALSE)</f>
        <v>Indexed Regional Price (See July 2024 Rate Letter)</v>
      </c>
      <c r="V1" s="99" t="str">
        <f>VLOOKUP(V2,'Facility Profile'!$A$120:$E$152,2,FALSE)</f>
        <v>Adjusted to Facility Total Facility CMI (Line 16 x Line 10 ÷ Line 11)</v>
      </c>
      <c r="W1" s="99" t="str">
        <f>VLOOKUP(W2,'Facility Profile'!$A$120:$E$152,2,FALSE)</f>
        <v>Initial Nursing Service Rate (Line 17 x Line 14 ÷ Line 10)</v>
      </c>
      <c r="X1" s="99" t="str">
        <f>VLOOKUP(X2,'Facility Profile'!$A$120:$E$152,2,FALSE)</f>
        <v>Less Positive Difference Between Line 22 and Initial Nursing Service Rate (max(0,Line 23))</v>
      </c>
      <c r="Y1" s="99" t="str">
        <f>VLOOKUP(Y2,'Facility Profile'!$A$120:$E$152,2,FALSE)</f>
        <v>Final Nursing Service Rate Per Day (Line 18 + Line 19)</v>
      </c>
      <c r="Z1" s="99" t="str">
        <f>VLOOKUP(Z2,'Facility Profile'!$A$120:$E$152,2,FALSE)</f>
        <v>Medicaid Adjusted Nursing Service Cost Per Diem (Line 15 x Line 14 ÷ Line 10)</v>
      </c>
      <c r="AA1" s="99" t="str">
        <f>VLOOKUP(AA2,'Facility Profile'!$A$120:$E$152,2,FALSE)</f>
        <v>95% of Initial Nursing Service Rate (Line 18 x .95)</v>
      </c>
      <c r="AB1" s="99" t="str">
        <f>VLOOKUP(AB2,'Facility Profile'!$A$120:$E$152,2,FALSE)</f>
        <v>Difference Between Line 22 and Medicaid Adjusted Nursing Service Cost Per Diem (Line 22 - Line 21)</v>
      </c>
      <c r="AC1" s="99" t="str">
        <f>VLOOKUP(AC2,'Facility Profile'!$A$120:$E$152,2,FALSE)</f>
        <v>Administrative Day Rate (Line 1 + Line 2 + Line 3 + (Line 4 x .50) + Line 5)</v>
      </c>
      <c r="AD1" s="99" t="str">
        <f>VLOOKUP(AD2,'Facility Profile'!$A$120:$E$152,2,FALSE)</f>
        <v>Therapeutic Home Leave Rate (Line 1 + Line 2 + Line 3 + Line 5)</v>
      </c>
      <c r="AE1" s="99" t="s">
        <v>322</v>
      </c>
      <c r="AF1" s="99" t="s">
        <v>323</v>
      </c>
      <c r="AG1" s="99" t="s">
        <v>324</v>
      </c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</row>
    <row r="2" spans="1:57" s="101" customFormat="1" ht="28" x14ac:dyDescent="0.15">
      <c r="A2" s="167" t="s">
        <v>145</v>
      </c>
      <c r="B2" s="101" t="s">
        <v>325</v>
      </c>
      <c r="C2" s="101" t="s">
        <v>265</v>
      </c>
      <c r="E2" s="104" t="s">
        <v>326</v>
      </c>
      <c r="F2" s="101">
        <v>1</v>
      </c>
      <c r="G2" s="101">
        <v>2</v>
      </c>
      <c r="H2" s="101">
        <v>3</v>
      </c>
      <c r="I2" s="101">
        <v>4</v>
      </c>
      <c r="J2" s="101">
        <v>5</v>
      </c>
      <c r="K2" s="101">
        <v>6</v>
      </c>
      <c r="L2" s="101">
        <v>7</v>
      </c>
      <c r="M2" s="101">
        <v>8</v>
      </c>
      <c r="N2" s="101">
        <v>9</v>
      </c>
      <c r="O2" s="101">
        <f t="shared" ref="O2:AD2" si="0">+N2+1</f>
        <v>10</v>
      </c>
      <c r="P2" s="101">
        <f t="shared" si="0"/>
        <v>11</v>
      </c>
      <c r="Q2" s="101">
        <f t="shared" si="0"/>
        <v>12</v>
      </c>
      <c r="R2" s="101">
        <f t="shared" si="0"/>
        <v>13</v>
      </c>
      <c r="S2" s="101">
        <f t="shared" si="0"/>
        <v>14</v>
      </c>
      <c r="T2" s="101">
        <f t="shared" si="0"/>
        <v>15</v>
      </c>
      <c r="U2" s="101">
        <f t="shared" si="0"/>
        <v>16</v>
      </c>
      <c r="V2" s="101">
        <f t="shared" si="0"/>
        <v>17</v>
      </c>
      <c r="W2" s="101">
        <f t="shared" si="0"/>
        <v>18</v>
      </c>
      <c r="X2" s="101">
        <f t="shared" si="0"/>
        <v>19</v>
      </c>
      <c r="Y2" s="101">
        <f t="shared" si="0"/>
        <v>20</v>
      </c>
      <c r="Z2" s="101">
        <f t="shared" si="0"/>
        <v>21</v>
      </c>
      <c r="AA2" s="101">
        <f t="shared" si="0"/>
        <v>22</v>
      </c>
      <c r="AB2" s="101">
        <f t="shared" si="0"/>
        <v>23</v>
      </c>
      <c r="AC2" s="101">
        <f t="shared" si="0"/>
        <v>24</v>
      </c>
      <c r="AD2" s="101">
        <f t="shared" si="0"/>
        <v>25</v>
      </c>
      <c r="AI2" s="102"/>
      <c r="AK2" s="122"/>
      <c r="AL2" s="122"/>
      <c r="AM2" s="122"/>
    </row>
    <row r="3" spans="1:57" x14ac:dyDescent="0.15">
      <c r="A3" s="101">
        <v>228</v>
      </c>
      <c r="B3" s="98" t="e">
        <f>VLOOKUP($A3,'Rate Calculation'!$A$4:$CS$210,68,FALSE)</f>
        <v>#REF!</v>
      </c>
      <c r="C3" s="98" t="str">
        <f>UPPER(VLOOKUP($A3,'Rate Calculation'!$A$4:$CL$210,69,FALSE))</f>
        <v>141398</v>
      </c>
      <c r="D3" s="104" t="str">
        <f>VLOOKUP($A3,'Rate Calculation'!$A$4:$AJ$210,5,FALSE)</f>
        <v>WASHINGTON METRO</v>
      </c>
      <c r="E3" s="104" t="str">
        <f>VLOOKUP($A3,'Rate Calculation'!$A$4:$AJ$210,6,FALSE)</f>
        <v>WASHINGTON METRO</v>
      </c>
      <c r="F3" s="105">
        <f>VLOOKUP(A3,'Rate Calculation'!$A$3:$AT$210,35,FALSE)</f>
        <v>51474</v>
      </c>
      <c r="G3" s="105">
        <f>VLOOKUP(A3,'Rate Calculation'!$A$3:$AT$210,30,FALSE)</f>
        <v>62220</v>
      </c>
      <c r="H3" s="105">
        <f>VLOOKUP(A3,'Rate Calculation'!$A$3:$AW$210,36,FALSE)+VLOOKUP(A3,'Rate Calculation'!$A$3:$CC$210,42,FALSE)</f>
        <v>160527607</v>
      </c>
      <c r="I3" s="105">
        <f>+Y3</f>
        <v>-18.78</v>
      </c>
      <c r="J3" s="105" t="str">
        <f>VLOOKUP(A3,'Rate Calculation'!$A$3:$BL$210,43,FALSE)</f>
        <v>Adelphi Nursing and Rehabilitation Center, LLC</v>
      </c>
      <c r="K3" s="105">
        <f>SUM(F3:J3)</f>
        <v>160641282.22</v>
      </c>
      <c r="L3" s="164">
        <f t="shared" ref="L3:L66" si="1">+_baf</f>
        <v>0.98772000000000004</v>
      </c>
      <c r="M3" s="105">
        <f>ROUND(K3*L3,2)</f>
        <v>158668607.27000001</v>
      </c>
      <c r="N3" s="105" t="e">
        <f>VLOOKUP(A3,'Rate Calculation'!$A$4:$DK$210,47,FALSE)</f>
        <v>#DIV/0!</v>
      </c>
      <c r="O3" s="106">
        <f>VLOOKUP(A3,'Rate Calculation'!$A$4:$DK$210,10,FALSE)</f>
        <v>1.0309999999999999</v>
      </c>
      <c r="P3" s="114">
        <f t="shared" ref="P3:P66" si="2">+SW_CR_CMI</f>
        <v>1.4432</v>
      </c>
      <c r="Q3" s="114">
        <f>VLOOKUP(A3,'CMI Data'!$A$3:$Z$209,7,FALSE)</f>
        <v>0</v>
      </c>
      <c r="R3" s="120" t="e">
        <f>+'CMI Data'!$I$214</f>
        <v>#DIV/0!</v>
      </c>
      <c r="S3" s="106">
        <f>IF(Q3=0,'CMI Data'!$I$213,ROUND(Q3*R3,4))</f>
        <v>1.4061999999999999</v>
      </c>
      <c r="T3" s="105">
        <f>VLOOKUP(A3,'Rate Calculation'!$A$4:$DK$210,16,FALSE)</f>
        <v>164.82</v>
      </c>
      <c r="U3" s="105">
        <f>VLOOKUP(A3,'Rate Calculation'!$A$4:$DK$210,20,FALSE)</f>
        <v>-19.27</v>
      </c>
      <c r="V3" s="113">
        <f>IF($O3="NA","NA",ROUND(U3*(O3/P3),2))</f>
        <v>-13.77</v>
      </c>
      <c r="W3" s="105">
        <f>IF(O3="NA",ROUND(U3*S3,2),ROUND(V3*(S3/O3),2))</f>
        <v>-18.78</v>
      </c>
      <c r="X3" s="111">
        <f>IF(O3="NA","NA",ROUND(MAX(0,AB3)*-1,2))</f>
        <v>0</v>
      </c>
      <c r="Y3" s="105">
        <f>IF(O3="NA", W3,W3+X3)</f>
        <v>-18.78</v>
      </c>
      <c r="Z3" s="105">
        <f>IF(O3="NA","NA",ROUND(T3*(S3/O3),2))</f>
        <v>224.8</v>
      </c>
      <c r="AA3" s="105">
        <f>IF(O3="NA","NA",ROUND(W3*0.95,2))</f>
        <v>-17.84</v>
      </c>
      <c r="AB3" s="111">
        <f>IF(O3="NA","NA",AA3-Z3)</f>
        <v>-242.64</v>
      </c>
      <c r="AC3" s="105" t="e">
        <f>+F3+G3+H3+ROUND((I3*0.5),2)+J3</f>
        <v>#VALUE!</v>
      </c>
      <c r="AD3" s="105" t="e">
        <f t="shared" ref="AD3:AD66" si="3">+F3+G3+H3+J3</f>
        <v>#VALUE!</v>
      </c>
      <c r="AE3" s="105" t="e">
        <f t="shared" ref="AE3:AE66" si="4">+M3+N3</f>
        <v>#DIV/0!</v>
      </c>
      <c r="AF3" s="105" t="e">
        <f>+AC3+N3</f>
        <v>#VALUE!</v>
      </c>
      <c r="AG3" s="105" t="e">
        <f t="shared" ref="AG3:AG66" si="5">+AD3+N3</f>
        <v>#VALUE!</v>
      </c>
      <c r="AH3" s="111"/>
      <c r="AI3" s="105"/>
      <c r="AJ3" s="105"/>
      <c r="AK3" s="109"/>
      <c r="AL3" s="109"/>
      <c r="AM3" s="109"/>
      <c r="AN3" s="109"/>
      <c r="AO3" s="105"/>
      <c r="AP3" s="105"/>
      <c r="AQ3" s="109"/>
      <c r="AR3" s="110"/>
      <c r="AS3" s="110"/>
      <c r="AT3" s="110"/>
      <c r="AU3" s="110"/>
      <c r="AV3" s="110"/>
      <c r="AW3" s="112"/>
      <c r="AX3" s="112"/>
      <c r="AY3" s="110"/>
      <c r="AZ3" s="105"/>
      <c r="BA3" s="105"/>
      <c r="BB3" s="105"/>
      <c r="BC3" s="105"/>
      <c r="BD3" s="105"/>
      <c r="BE3" s="105"/>
    </row>
    <row r="4" spans="1:57" x14ac:dyDescent="0.15">
      <c r="A4" s="101">
        <v>70</v>
      </c>
      <c r="B4" s="98" t="e">
        <f>VLOOKUP($A4,'Rate Calculation'!$A$4:$CS$210,68,FALSE)</f>
        <v>#REF!</v>
      </c>
      <c r="C4" s="98" t="str">
        <f>UPPER(VLOOKUP($A4,'Rate Calculation'!$A$4:$CL$210,69,FALSE))</f>
        <v>81244</v>
      </c>
      <c r="D4" s="104" t="str">
        <f>VLOOKUP($A4,'Rate Calculation'!$A$4:$AJ$210,5,FALSE)</f>
        <v>BALTIMORE METRO</v>
      </c>
      <c r="E4" s="104" t="str">
        <f>VLOOKUP($A4,'Rate Calculation'!$A$4:$AJ$210,6,FALSE)</f>
        <v>BALTIMORE METRO</v>
      </c>
      <c r="F4" s="105">
        <f>VLOOKUP(A4,'Rate Calculation'!$A$3:$AT$210,35,FALSE)</f>
        <v>6697</v>
      </c>
      <c r="G4" s="105">
        <f>VLOOKUP(A4,'Rate Calculation'!$A$3:$AT$210,30,FALSE)</f>
        <v>40260</v>
      </c>
      <c r="H4" s="105">
        <f>VLOOKUP(A4,'Rate Calculation'!$A$3:$AW$210,36,FALSE)+VLOOKUP(A4,'Rate Calculation'!$A$3:$CC$210,42,FALSE)</f>
        <v>339097323</v>
      </c>
      <c r="I4" s="105">
        <f t="shared" ref="I4:I67" si="6">+Y4</f>
        <v>0</v>
      </c>
      <c r="J4" s="105" t="str">
        <f>VLOOKUP(A4,'Rate Calculation'!$A$3:$BL$210,43,FALSE)</f>
        <v>Advanced Rehab at Autumn Lake Healthcare</v>
      </c>
      <c r="K4" s="105">
        <f t="shared" ref="K4:K68" si="7">SUM(F4:J4)</f>
        <v>339144280</v>
      </c>
      <c r="L4" s="164">
        <f t="shared" si="1"/>
        <v>0.98772000000000004</v>
      </c>
      <c r="M4" s="105">
        <f t="shared" ref="M4:M67" si="8">ROUND(K4*L4,2)</f>
        <v>334979588.24000001</v>
      </c>
      <c r="N4" s="105" t="e">
        <f>VLOOKUP(A4,'Rate Calculation'!$A$4:$DK$210,47,FALSE)</f>
        <v>#DIV/0!</v>
      </c>
      <c r="O4" s="106">
        <f>VLOOKUP(A4,'Rate Calculation'!$A$4:$DK$210,10,FALSE)</f>
        <v>1.0309999999999999</v>
      </c>
      <c r="P4" s="114">
        <f t="shared" si="2"/>
        <v>1.4432</v>
      </c>
      <c r="Q4" s="114">
        <f>VLOOKUP(A4,'CMI Data'!$A$3:$Z$209,7,FALSE)</f>
        <v>0</v>
      </c>
      <c r="R4" s="120" t="e">
        <f>+'CMI Data'!$I$214</f>
        <v>#DIV/0!</v>
      </c>
      <c r="S4" s="106">
        <f>IF(Q4=0,'CMI Data'!$I$213,ROUND(Q4*R4,4))</f>
        <v>1.4061999999999999</v>
      </c>
      <c r="T4" s="105">
        <f>VLOOKUP(A4,'Rate Calculation'!$A$4:$DK$210,16,FALSE)</f>
        <v>203.73</v>
      </c>
      <c r="U4" s="105">
        <f>VLOOKUP(A4,'Rate Calculation'!$A$4:$DK$210,20,FALSE)</f>
        <v>0</v>
      </c>
      <c r="V4" s="113">
        <f t="shared" ref="V4:V67" si="9">IF($O4="NA","NA",ROUND(U4*(O4/P4),2))</f>
        <v>0</v>
      </c>
      <c r="W4" s="105">
        <f t="shared" ref="W4:W67" si="10">IF(O4="NA",ROUND(U4*S4,2),ROUND(V4*(S4/O4),2))</f>
        <v>0</v>
      </c>
      <c r="X4" s="111">
        <f t="shared" ref="X4:X66" si="11">IF(O4="NA","NA",ROUND(MAX(0,AB4)*-1,2))</f>
        <v>0</v>
      </c>
      <c r="Y4" s="105">
        <f t="shared" ref="Y4:Y67" si="12">IF(O4="NA", W4,W4+X4)</f>
        <v>0</v>
      </c>
      <c r="Z4" s="105">
        <f t="shared" ref="Z4:Z67" si="13">IF(O4="NA","NA",ROUND(T4*(S4/O4),2))</f>
        <v>277.87</v>
      </c>
      <c r="AA4" s="105">
        <f t="shared" ref="AA4:AA67" si="14">IF(O4="NA","NA",ROUND(W4*0.95,2))</f>
        <v>0</v>
      </c>
      <c r="AB4" s="111">
        <f t="shared" ref="AB4:AB67" si="15">IF(O4="NA","NA",AA4-Z4)</f>
        <v>-277.87</v>
      </c>
      <c r="AC4" s="105" t="e">
        <f t="shared" ref="AC4:AC67" si="16">+F4+G4+H4+ROUND((I4*0.5),2)+J4</f>
        <v>#VALUE!</v>
      </c>
      <c r="AD4" s="105" t="e">
        <f t="shared" si="3"/>
        <v>#VALUE!</v>
      </c>
      <c r="AE4" s="105" t="e">
        <f t="shared" si="4"/>
        <v>#DIV/0!</v>
      </c>
      <c r="AF4" s="105" t="e">
        <f t="shared" ref="AF4:AF66" si="17">+AC4+N4</f>
        <v>#VALUE!</v>
      </c>
      <c r="AG4" s="105" t="e">
        <f t="shared" si="5"/>
        <v>#VALUE!</v>
      </c>
      <c r="AH4" s="111"/>
      <c r="AI4" s="105"/>
      <c r="AJ4" s="105"/>
      <c r="AK4" s="109"/>
      <c r="AL4" s="109"/>
      <c r="AM4" s="109"/>
      <c r="AN4" s="109"/>
      <c r="AO4" s="105"/>
      <c r="AP4" s="105"/>
      <c r="AQ4" s="109"/>
      <c r="AR4" s="110"/>
      <c r="AS4" s="110"/>
      <c r="AT4" s="110"/>
      <c r="AU4" s="110"/>
      <c r="AV4" s="110"/>
      <c r="AW4" s="112"/>
      <c r="AX4" s="112"/>
      <c r="AY4" s="110"/>
      <c r="AZ4" s="105"/>
      <c r="BA4" s="105"/>
      <c r="BB4" s="105"/>
      <c r="BC4" s="105"/>
      <c r="BD4" s="105"/>
      <c r="BE4" s="105"/>
    </row>
    <row r="5" spans="1:57" x14ac:dyDescent="0.15">
      <c r="A5" s="101">
        <v>30</v>
      </c>
      <c r="B5" s="98" t="e">
        <f>VLOOKUP($A5,'Rate Calculation'!$A$4:$CS$210,68,FALSE)</f>
        <v>#REF!</v>
      </c>
      <c r="C5" s="98" t="str">
        <f>UPPER(VLOOKUP($A5,'Rate Calculation'!$A$4:$CL$210,69,FALSE))</f>
        <v>0</v>
      </c>
      <c r="D5" s="104" t="str">
        <f>VLOOKUP($A5,'Rate Calculation'!$A$4:$AJ$210,5,FALSE)</f>
        <v>EASTERN REGION</v>
      </c>
      <c r="E5" s="104" t="str">
        <f>VLOOKUP($A5,'Rate Calculation'!$A$4:$AJ$210,6,FALSE)</f>
        <v>NON METRO</v>
      </c>
      <c r="F5" s="105">
        <f>VLOOKUP(A5,'Rate Calculation'!$A$3:$AT$210,35,FALSE)</f>
        <v>22095</v>
      </c>
      <c r="G5" s="105">
        <f>VLOOKUP(A5,'Rate Calculation'!$A$3:$AT$210,30,FALSE)</f>
        <v>27816</v>
      </c>
      <c r="H5" s="105">
        <f>VLOOKUP(A5,'Rate Calculation'!$A$3:$AW$210,36,FALSE)+VLOOKUP(A5,'Rate Calculation'!$A$3:$CC$210,42,FALSE)</f>
        <v>198431986</v>
      </c>
      <c r="I5" s="105">
        <f t="shared" si="6"/>
        <v>0</v>
      </c>
      <c r="J5" s="105" t="str">
        <f>VLOOKUP(A5,'Rate Calculation'!$A$3:$BL$210,43,FALSE)</f>
        <v>Alice Byrd Tawes Nursing Home</v>
      </c>
      <c r="K5" s="105">
        <f t="shared" si="7"/>
        <v>198481897</v>
      </c>
      <c r="L5" s="164">
        <f t="shared" si="1"/>
        <v>0.98772000000000004</v>
      </c>
      <c r="M5" s="105">
        <f t="shared" si="8"/>
        <v>196044539.30000001</v>
      </c>
      <c r="N5" s="105" t="e">
        <f>VLOOKUP(A5,'Rate Calculation'!$A$4:$DK$210,47,FALSE)</f>
        <v>#DIV/0!</v>
      </c>
      <c r="O5" s="106">
        <f>VLOOKUP(A5,'Rate Calculation'!$A$4:$DK$210,10,FALSE)</f>
        <v>1.0309999999999999</v>
      </c>
      <c r="P5" s="114">
        <f t="shared" si="2"/>
        <v>1.4432</v>
      </c>
      <c r="Q5" s="114">
        <f>VLOOKUP(A5,'CMI Data'!$A$3:$Z$209,7,FALSE)</f>
        <v>0</v>
      </c>
      <c r="R5" s="120" t="e">
        <f>+'CMI Data'!$I$214</f>
        <v>#DIV/0!</v>
      </c>
      <c r="S5" s="106">
        <f>IF(Q5=0,'CMI Data'!$I$213,ROUND(Q5*R5,4))</f>
        <v>1.4061999999999999</v>
      </c>
      <c r="T5" s="105">
        <f>VLOOKUP(A5,'Rate Calculation'!$A$4:$DK$210,16,FALSE)</f>
        <v>156.65</v>
      </c>
      <c r="U5" s="105">
        <f>VLOOKUP(A5,'Rate Calculation'!$A$4:$DK$210,20,FALSE)</f>
        <v>0</v>
      </c>
      <c r="V5" s="113">
        <f t="shared" si="9"/>
        <v>0</v>
      </c>
      <c r="W5" s="105">
        <f t="shared" si="10"/>
        <v>0</v>
      </c>
      <c r="X5" s="111">
        <f t="shared" si="11"/>
        <v>0</v>
      </c>
      <c r="Y5" s="105">
        <f t="shared" si="12"/>
        <v>0</v>
      </c>
      <c r="Z5" s="105">
        <f t="shared" si="13"/>
        <v>213.66</v>
      </c>
      <c r="AA5" s="105">
        <f t="shared" si="14"/>
        <v>0</v>
      </c>
      <c r="AB5" s="111">
        <f t="shared" si="15"/>
        <v>-213.66</v>
      </c>
      <c r="AC5" s="105" t="e">
        <f t="shared" si="16"/>
        <v>#VALUE!</v>
      </c>
      <c r="AD5" s="105" t="e">
        <f t="shared" si="3"/>
        <v>#VALUE!</v>
      </c>
      <c r="AE5" s="105" t="e">
        <f t="shared" si="4"/>
        <v>#DIV/0!</v>
      </c>
      <c r="AF5" s="105" t="e">
        <f t="shared" si="17"/>
        <v>#VALUE!</v>
      </c>
      <c r="AG5" s="105" t="e">
        <f t="shared" si="5"/>
        <v>#VALUE!</v>
      </c>
      <c r="AH5" s="111"/>
      <c r="AI5" s="105"/>
      <c r="AJ5" s="105"/>
      <c r="AK5" s="109"/>
      <c r="AL5" s="109"/>
      <c r="AM5" s="109"/>
      <c r="AN5" s="109"/>
      <c r="AO5" s="105"/>
      <c r="AP5" s="105"/>
      <c r="AQ5" s="109"/>
      <c r="AR5" s="110"/>
      <c r="AS5" s="110"/>
      <c r="AT5" s="110"/>
      <c r="AU5" s="110"/>
      <c r="AV5" s="110"/>
      <c r="AW5" s="112"/>
      <c r="AX5" s="112"/>
      <c r="AY5" s="110"/>
      <c r="AZ5" s="105"/>
      <c r="BA5" s="105"/>
      <c r="BB5" s="105"/>
      <c r="BC5" s="105"/>
      <c r="BD5" s="105"/>
      <c r="BE5" s="105"/>
    </row>
    <row r="6" spans="1:57" x14ac:dyDescent="0.15">
      <c r="A6" s="101">
        <v>34</v>
      </c>
      <c r="B6" s="98" t="e">
        <f>VLOOKUP($A6,'Rate Calculation'!$A$4:$CS$210,68,FALSE)</f>
        <v>#REF!</v>
      </c>
      <c r="C6" s="98" t="str">
        <f>UPPER(VLOOKUP($A6,'Rate Calculation'!$A$4:$CL$210,69,FALSE))</f>
        <v>125951</v>
      </c>
      <c r="D6" s="104" t="str">
        <f>VLOOKUP($A6,'Rate Calculation'!$A$4:$AJ$210,5,FALSE)</f>
        <v>WESTERN REGION</v>
      </c>
      <c r="E6" s="104" t="str">
        <f>VLOOKUP($A6,'Rate Calculation'!$A$4:$AJ$210,6,FALSE)</f>
        <v>NON METRO</v>
      </c>
      <c r="F6" s="105">
        <f>VLOOKUP(A6,'Rate Calculation'!$A$3:$AT$210,35,FALSE)</f>
        <v>31831</v>
      </c>
      <c r="G6" s="105">
        <f>VLOOKUP(A6,'Rate Calculation'!$A$3:$AT$210,30,FALSE)</f>
        <v>55998</v>
      </c>
      <c r="H6" s="105">
        <f>VLOOKUP(A6,'Rate Calculation'!$A$3:$AW$210,36,FALSE)+VLOOKUP(A6,'Rate Calculation'!$A$3:$CC$210,42,FALSE)</f>
        <v>700135354</v>
      </c>
      <c r="I6" s="105">
        <f t="shared" si="6"/>
        <v>-8.92</v>
      </c>
      <c r="J6" s="105" t="str">
        <f>VLOOKUP(A6,'Rate Calculation'!$A$3:$BL$210,43,FALSE)</f>
        <v>Allegany Health Nursing and Rehabilitation</v>
      </c>
      <c r="K6" s="105">
        <f t="shared" si="7"/>
        <v>700223174.08000004</v>
      </c>
      <c r="L6" s="164">
        <f t="shared" si="1"/>
        <v>0.98772000000000004</v>
      </c>
      <c r="M6" s="105">
        <f t="shared" si="8"/>
        <v>691624433.5</v>
      </c>
      <c r="N6" s="105" t="e">
        <f>VLOOKUP(A6,'Rate Calculation'!$A$4:$DK$210,47,FALSE)</f>
        <v>#DIV/0!</v>
      </c>
      <c r="O6" s="106">
        <f>VLOOKUP(A6,'Rate Calculation'!$A$4:$DK$210,10,FALSE)</f>
        <v>1.0309999999999999</v>
      </c>
      <c r="P6" s="114">
        <f t="shared" si="2"/>
        <v>1.4432</v>
      </c>
      <c r="Q6" s="114">
        <f>VLOOKUP(A6,'CMI Data'!$A$3:$Z$209,7,FALSE)</f>
        <v>0</v>
      </c>
      <c r="R6" s="120" t="e">
        <f>+'CMI Data'!$I$214</f>
        <v>#DIV/0!</v>
      </c>
      <c r="S6" s="106">
        <f>IF(Q6=0,'CMI Data'!$I$213,ROUND(Q6*R6,4))</f>
        <v>1.4061999999999999</v>
      </c>
      <c r="T6" s="105">
        <f>VLOOKUP(A6,'Rate Calculation'!$A$4:$DK$210,16,FALSE)</f>
        <v>170.57</v>
      </c>
      <c r="U6" s="105">
        <f>VLOOKUP(A6,'Rate Calculation'!$A$4:$DK$210,20,FALSE)</f>
        <v>-9.15</v>
      </c>
      <c r="V6" s="113">
        <f t="shared" si="9"/>
        <v>-6.54</v>
      </c>
      <c r="W6" s="105">
        <f t="shared" si="10"/>
        <v>-8.92</v>
      </c>
      <c r="X6" s="111">
        <f t="shared" si="11"/>
        <v>0</v>
      </c>
      <c r="Y6" s="105">
        <f t="shared" si="12"/>
        <v>-8.92</v>
      </c>
      <c r="Z6" s="105">
        <f t="shared" si="13"/>
        <v>232.64</v>
      </c>
      <c r="AA6" s="105">
        <f t="shared" si="14"/>
        <v>-8.4700000000000006</v>
      </c>
      <c r="AB6" s="111">
        <f t="shared" si="15"/>
        <v>-241.11</v>
      </c>
      <c r="AC6" s="105" t="e">
        <f t="shared" si="16"/>
        <v>#VALUE!</v>
      </c>
      <c r="AD6" s="105" t="e">
        <f t="shared" si="3"/>
        <v>#VALUE!</v>
      </c>
      <c r="AE6" s="105" t="e">
        <f t="shared" si="4"/>
        <v>#DIV/0!</v>
      </c>
      <c r="AF6" s="105" t="e">
        <f t="shared" si="17"/>
        <v>#VALUE!</v>
      </c>
      <c r="AG6" s="105" t="e">
        <f t="shared" si="5"/>
        <v>#VALUE!</v>
      </c>
      <c r="AH6" s="111"/>
      <c r="AI6" s="105"/>
      <c r="AJ6" s="105"/>
      <c r="AK6" s="109"/>
      <c r="AL6" s="109"/>
      <c r="AM6" s="109"/>
      <c r="AN6" s="109"/>
      <c r="AO6" s="105"/>
      <c r="AP6" s="105"/>
      <c r="AQ6" s="109"/>
      <c r="AR6" s="110"/>
      <c r="AS6" s="110"/>
      <c r="AT6" s="110"/>
      <c r="AU6" s="110"/>
      <c r="AV6" s="110"/>
      <c r="AW6" s="112"/>
      <c r="AX6" s="112"/>
      <c r="AY6" s="110"/>
      <c r="AZ6" s="105"/>
      <c r="BA6" s="105"/>
      <c r="BB6" s="105"/>
      <c r="BC6" s="105"/>
      <c r="BD6" s="105"/>
      <c r="BE6" s="105"/>
    </row>
    <row r="7" spans="1:57" x14ac:dyDescent="0.15">
      <c r="A7" s="101">
        <v>36</v>
      </c>
      <c r="B7" s="98" t="e">
        <f>VLOOKUP($A7,'Rate Calculation'!$A$4:$CS$210,68,FALSE)</f>
        <v>#REF!</v>
      </c>
      <c r="C7" s="98" t="str">
        <f>UPPER(VLOOKUP($A7,'Rate Calculation'!$A$4:$CL$210,69,FALSE))</f>
        <v>60014</v>
      </c>
      <c r="D7" s="104" t="str">
        <f>VLOOKUP($A7,'Rate Calculation'!$A$4:$AJ$210,5,FALSE)</f>
        <v>WASHINGTON METRO</v>
      </c>
      <c r="E7" s="104" t="str">
        <f>VLOOKUP($A7,'Rate Calculation'!$A$4:$AJ$210,6,FALSE)</f>
        <v>WASHINGTON METRO</v>
      </c>
      <c r="F7" s="105">
        <f>VLOOKUP(A7,'Rate Calculation'!$A$3:$AT$210,35,FALSE)</f>
        <v>15851</v>
      </c>
      <c r="G7" s="105">
        <f>VLOOKUP(A7,'Rate Calculation'!$A$3:$AT$210,30,FALSE)</f>
        <v>18300</v>
      </c>
      <c r="H7" s="105">
        <f>VLOOKUP(A7,'Rate Calculation'!$A$3:$AW$210,36,FALSE)+VLOOKUP(A7,'Rate Calculation'!$A$3:$CC$210,42,FALSE)</f>
        <v>419292721</v>
      </c>
      <c r="I7" s="105">
        <f t="shared" si="6"/>
        <v>-21.54</v>
      </c>
      <c r="J7" s="105" t="str">
        <f>VLOOKUP(A7,'Rate Calculation'!$A$3:$BL$210,43,FALSE)</f>
        <v>Althea Woodland Nursing Home</v>
      </c>
      <c r="K7" s="105">
        <f t="shared" si="7"/>
        <v>419326850.45999998</v>
      </c>
      <c r="L7" s="164">
        <f t="shared" si="1"/>
        <v>0.98772000000000004</v>
      </c>
      <c r="M7" s="105">
        <f t="shared" si="8"/>
        <v>414177516.74000001</v>
      </c>
      <c r="N7" s="105" t="e">
        <f>VLOOKUP(A7,'Rate Calculation'!$A$4:$DK$210,47,FALSE)</f>
        <v>#DIV/0!</v>
      </c>
      <c r="O7" s="106">
        <f>VLOOKUP(A7,'Rate Calculation'!$A$4:$DK$210,10,FALSE)</f>
        <v>1.0309999999999999</v>
      </c>
      <c r="P7" s="114">
        <f t="shared" si="2"/>
        <v>1.4432</v>
      </c>
      <c r="Q7" s="114">
        <f>VLOOKUP(A7,'CMI Data'!$A$3:$Z$209,7,FALSE)</f>
        <v>0</v>
      </c>
      <c r="R7" s="120" t="e">
        <f>+'CMI Data'!$I$214</f>
        <v>#DIV/0!</v>
      </c>
      <c r="S7" s="106">
        <f>IF(Q7=0,'CMI Data'!$I$213,ROUND(Q7*R7,4))</f>
        <v>1.4061999999999999</v>
      </c>
      <c r="T7" s="105">
        <f>VLOOKUP(A7,'Rate Calculation'!$A$4:$DK$210,16,FALSE)</f>
        <v>144.9</v>
      </c>
      <c r="U7" s="105">
        <f>VLOOKUP(A7,'Rate Calculation'!$A$4:$DK$210,20,FALSE)</f>
        <v>-22.1</v>
      </c>
      <c r="V7" s="113">
        <f t="shared" si="9"/>
        <v>-15.79</v>
      </c>
      <c r="W7" s="105">
        <f t="shared" si="10"/>
        <v>-21.54</v>
      </c>
      <c r="X7" s="111">
        <f t="shared" si="11"/>
        <v>0</v>
      </c>
      <c r="Y7" s="105">
        <f t="shared" si="12"/>
        <v>-21.54</v>
      </c>
      <c r="Z7" s="105">
        <f t="shared" si="13"/>
        <v>197.63</v>
      </c>
      <c r="AA7" s="105">
        <f t="shared" si="14"/>
        <v>-20.46</v>
      </c>
      <c r="AB7" s="111">
        <f t="shared" si="15"/>
        <v>-218.09</v>
      </c>
      <c r="AC7" s="105" t="e">
        <f t="shared" si="16"/>
        <v>#VALUE!</v>
      </c>
      <c r="AD7" s="105" t="e">
        <f t="shared" si="3"/>
        <v>#VALUE!</v>
      </c>
      <c r="AE7" s="105" t="e">
        <f t="shared" si="4"/>
        <v>#DIV/0!</v>
      </c>
      <c r="AF7" s="105" t="e">
        <f t="shared" si="17"/>
        <v>#VALUE!</v>
      </c>
      <c r="AG7" s="105" t="e">
        <f t="shared" si="5"/>
        <v>#VALUE!</v>
      </c>
      <c r="AH7" s="111"/>
      <c r="AI7" s="105"/>
      <c r="AJ7" s="105"/>
      <c r="AK7" s="109"/>
      <c r="AL7" s="109"/>
      <c r="AM7" s="109"/>
      <c r="AN7" s="109"/>
      <c r="AO7" s="105"/>
      <c r="AP7" s="105"/>
      <c r="AQ7" s="109"/>
      <c r="AR7" s="110"/>
      <c r="AS7" s="110"/>
      <c r="AT7" s="110"/>
      <c r="AU7" s="110"/>
      <c r="AV7" s="110"/>
      <c r="AW7" s="112"/>
      <c r="AX7" s="112"/>
      <c r="AY7" s="110"/>
      <c r="AZ7" s="105"/>
      <c r="BA7" s="105"/>
      <c r="BB7" s="105"/>
      <c r="BC7" s="105"/>
      <c r="BD7" s="105"/>
      <c r="BE7" s="105"/>
    </row>
    <row r="8" spans="1:57" x14ac:dyDescent="0.15">
      <c r="A8" s="101">
        <v>38</v>
      </c>
      <c r="B8" s="98" t="e">
        <f>VLOOKUP($A8,'Rate Calculation'!$A$4:$CS$210,68,FALSE)</f>
        <v>#REF!</v>
      </c>
      <c r="C8" s="98" t="str">
        <f>UPPER(VLOOKUP($A8,'Rate Calculation'!$A$4:$CL$210,69,FALSE))</f>
        <v>198363</v>
      </c>
      <c r="D8" s="104" t="str">
        <f>VLOOKUP($A8,'Rate Calculation'!$A$4:$AJ$210,5,FALSE)</f>
        <v>EASTERN REGION</v>
      </c>
      <c r="E8" s="104" t="str">
        <f>VLOOKUP($A8,'Rate Calculation'!$A$4:$AJ$210,6,FALSE)</f>
        <v>NON METRO</v>
      </c>
      <c r="F8" s="105">
        <f>VLOOKUP(A8,'Rate Calculation'!$A$3:$AT$210,35,FALSE)</f>
        <v>32278</v>
      </c>
      <c r="G8" s="105">
        <f>VLOOKUP(A8,'Rate Calculation'!$A$3:$AT$210,30,FALSE)</f>
        <v>46116</v>
      </c>
      <c r="H8" s="105">
        <f>VLOOKUP(A8,'Rate Calculation'!$A$3:$AW$210,36,FALSE)+VLOOKUP(A8,'Rate Calculation'!$A$3:$CC$210,42,FALSE)</f>
        <v>420873106</v>
      </c>
      <c r="I8" s="105">
        <f t="shared" si="6"/>
        <v>0</v>
      </c>
      <c r="J8" s="105" t="str">
        <f>VLOOKUP(A8,'Rate Calculation'!$A$3:$BL$210,43,FALSE)</f>
        <v>Anchorage Nursing and Rehabilitation Center</v>
      </c>
      <c r="K8" s="105">
        <f t="shared" si="7"/>
        <v>420951500</v>
      </c>
      <c r="L8" s="164">
        <f t="shared" si="1"/>
        <v>0.98772000000000004</v>
      </c>
      <c r="M8" s="105">
        <f t="shared" si="8"/>
        <v>415782215.57999998</v>
      </c>
      <c r="N8" s="105" t="e">
        <f>VLOOKUP(A8,'Rate Calculation'!$A$4:$DK$210,47,FALSE)</f>
        <v>#DIV/0!</v>
      </c>
      <c r="O8" s="106">
        <f>VLOOKUP(A8,'Rate Calculation'!$A$4:$DK$210,10,FALSE)</f>
        <v>1.0309999999999999</v>
      </c>
      <c r="P8" s="114">
        <f t="shared" si="2"/>
        <v>1.4432</v>
      </c>
      <c r="Q8" s="114">
        <f>VLOOKUP(A8,'CMI Data'!$A$3:$Z$209,7,FALSE)</f>
        <v>0</v>
      </c>
      <c r="R8" s="120" t="e">
        <f>+'CMI Data'!$I$214</f>
        <v>#DIV/0!</v>
      </c>
      <c r="S8" s="106">
        <f>IF(Q8=0,'CMI Data'!$I$213,ROUND(Q8*R8,4))</f>
        <v>1.4061999999999999</v>
      </c>
      <c r="T8" s="105">
        <f>VLOOKUP(A8,'Rate Calculation'!$A$4:$DK$210,16,FALSE)</f>
        <v>151.19</v>
      </c>
      <c r="U8" s="105">
        <f>VLOOKUP(A8,'Rate Calculation'!$A$4:$DK$210,20,FALSE)</f>
        <v>0</v>
      </c>
      <c r="V8" s="113">
        <f t="shared" si="9"/>
        <v>0</v>
      </c>
      <c r="W8" s="105">
        <f t="shared" si="10"/>
        <v>0</v>
      </c>
      <c r="X8" s="111">
        <f t="shared" si="11"/>
        <v>0</v>
      </c>
      <c r="Y8" s="105">
        <f t="shared" si="12"/>
        <v>0</v>
      </c>
      <c r="Z8" s="105">
        <f t="shared" si="13"/>
        <v>206.21</v>
      </c>
      <c r="AA8" s="105">
        <f t="shared" si="14"/>
        <v>0</v>
      </c>
      <c r="AB8" s="111">
        <f t="shared" si="15"/>
        <v>-206.21</v>
      </c>
      <c r="AC8" s="105" t="e">
        <f t="shared" si="16"/>
        <v>#VALUE!</v>
      </c>
      <c r="AD8" s="105" t="e">
        <f t="shared" si="3"/>
        <v>#VALUE!</v>
      </c>
      <c r="AE8" s="105" t="e">
        <f t="shared" si="4"/>
        <v>#DIV/0!</v>
      </c>
      <c r="AF8" s="105" t="e">
        <f t="shared" si="17"/>
        <v>#VALUE!</v>
      </c>
      <c r="AG8" s="105" t="e">
        <f t="shared" si="5"/>
        <v>#VALUE!</v>
      </c>
      <c r="AH8" s="111"/>
      <c r="AI8" s="105"/>
      <c r="AJ8" s="105"/>
      <c r="AK8" s="109"/>
      <c r="AL8" s="109"/>
      <c r="AM8" s="109"/>
      <c r="AN8" s="109"/>
      <c r="AO8" s="105"/>
      <c r="AP8" s="105"/>
      <c r="AQ8" s="109"/>
      <c r="AR8" s="110"/>
      <c r="AS8" s="110"/>
      <c r="AT8" s="110"/>
      <c r="AU8" s="110"/>
      <c r="AV8" s="110"/>
      <c r="AW8" s="112"/>
      <c r="AX8" s="112"/>
      <c r="AY8" s="110"/>
      <c r="AZ8" s="105"/>
      <c r="BA8" s="105"/>
      <c r="BB8" s="105"/>
      <c r="BC8" s="105"/>
      <c r="BD8" s="105"/>
      <c r="BE8" s="105"/>
    </row>
    <row r="9" spans="1:57" x14ac:dyDescent="0.15">
      <c r="A9" s="101">
        <v>224</v>
      </c>
      <c r="B9" s="98" t="e">
        <f>VLOOKUP($A9,'Rate Calculation'!$A$4:$CS$210,68,FALSE)</f>
        <v>#REF!</v>
      </c>
      <c r="C9" s="98" t="str">
        <f>UPPER(VLOOKUP($A9,'Rate Calculation'!$A$4:$CL$210,69,FALSE))</f>
        <v>141088</v>
      </c>
      <c r="D9" s="104" t="str">
        <f>VLOOKUP($A9,'Rate Calculation'!$A$4:$AJ$210,5,FALSE)</f>
        <v>BALTIMORE METRO</v>
      </c>
      <c r="E9" s="104" t="str">
        <f>VLOOKUP($A9,'Rate Calculation'!$A$4:$AJ$210,6,FALSE)</f>
        <v>BALTIMORE CITY</v>
      </c>
      <c r="F9" s="105">
        <f>VLOOKUP(A9,'Rate Calculation'!$A$3:$AT$210,35,FALSE)</f>
        <v>23420</v>
      </c>
      <c r="G9" s="105">
        <f>VLOOKUP(A9,'Rate Calculation'!$A$3:$AT$210,30,FALSE)</f>
        <v>30012</v>
      </c>
      <c r="H9" s="105">
        <f>VLOOKUP(A9,'Rate Calculation'!$A$3:$AW$210,36,FALSE)+VLOOKUP(A9,'Rate Calculation'!$A$3:$CC$210,42,FALSE)</f>
        <v>907423398</v>
      </c>
      <c r="I9" s="105">
        <f t="shared" si="6"/>
        <v>-28.62</v>
      </c>
      <c r="J9" s="105" t="str">
        <f>VLOOKUP(A9,'Rate Calculation'!$A$3:$BL$210,43,FALSE)</f>
        <v>Arlington West Care Center</v>
      </c>
      <c r="K9" s="105">
        <f t="shared" si="7"/>
        <v>907476801.38</v>
      </c>
      <c r="L9" s="164">
        <f t="shared" si="1"/>
        <v>0.98772000000000004</v>
      </c>
      <c r="M9" s="105">
        <f t="shared" si="8"/>
        <v>896332986.25999999</v>
      </c>
      <c r="N9" s="105" t="e">
        <f>VLOOKUP(A9,'Rate Calculation'!$A$4:$DK$210,47,FALSE)</f>
        <v>#DIV/0!</v>
      </c>
      <c r="O9" s="106">
        <f>VLOOKUP(A9,'Rate Calculation'!$A$4:$DK$210,10,FALSE)</f>
        <v>1.0309999999999999</v>
      </c>
      <c r="P9" s="114">
        <f t="shared" si="2"/>
        <v>1.4432</v>
      </c>
      <c r="Q9" s="114">
        <f>VLOOKUP(A9,'CMI Data'!$A$3:$Z$209,7,FALSE)</f>
        <v>0</v>
      </c>
      <c r="R9" s="120" t="e">
        <f>+'CMI Data'!$I$214</f>
        <v>#DIV/0!</v>
      </c>
      <c r="S9" s="106">
        <f>IF(Q9=0,'CMI Data'!$I$213,ROUND(Q9*R9,4))</f>
        <v>1.4061999999999999</v>
      </c>
      <c r="T9" s="105">
        <f>VLOOKUP(A9,'Rate Calculation'!$A$4:$DK$210,16,FALSE)</f>
        <v>206.53</v>
      </c>
      <c r="U9" s="105">
        <f>VLOOKUP(A9,'Rate Calculation'!$A$4:$DK$210,20,FALSE)</f>
        <v>-29.37</v>
      </c>
      <c r="V9" s="113">
        <f t="shared" si="9"/>
        <v>-20.98</v>
      </c>
      <c r="W9" s="105">
        <f t="shared" si="10"/>
        <v>-28.62</v>
      </c>
      <c r="X9" s="111">
        <f t="shared" si="11"/>
        <v>0</v>
      </c>
      <c r="Y9" s="105">
        <f t="shared" si="12"/>
        <v>-28.62</v>
      </c>
      <c r="Z9" s="105">
        <f t="shared" si="13"/>
        <v>281.69</v>
      </c>
      <c r="AA9" s="105">
        <f t="shared" si="14"/>
        <v>-27.19</v>
      </c>
      <c r="AB9" s="111">
        <f t="shared" si="15"/>
        <v>-308.88</v>
      </c>
      <c r="AC9" s="105" t="e">
        <f t="shared" si="16"/>
        <v>#VALUE!</v>
      </c>
      <c r="AD9" s="105" t="e">
        <f t="shared" si="3"/>
        <v>#VALUE!</v>
      </c>
      <c r="AE9" s="105" t="e">
        <f t="shared" si="4"/>
        <v>#DIV/0!</v>
      </c>
      <c r="AF9" s="105" t="e">
        <f t="shared" si="17"/>
        <v>#VALUE!</v>
      </c>
      <c r="AG9" s="105" t="e">
        <f t="shared" si="5"/>
        <v>#VALUE!</v>
      </c>
      <c r="AH9" s="111"/>
      <c r="AI9" s="105"/>
      <c r="AJ9" s="105"/>
      <c r="AK9" s="109"/>
      <c r="AL9" s="109"/>
      <c r="AM9" s="109"/>
      <c r="AN9" s="109"/>
      <c r="AO9" s="105"/>
      <c r="AP9" s="105"/>
      <c r="AQ9" s="109"/>
      <c r="AR9" s="110"/>
      <c r="AS9" s="110"/>
      <c r="AT9" s="110"/>
      <c r="AU9" s="110"/>
      <c r="AV9" s="110"/>
      <c r="AW9" s="112"/>
      <c r="AX9" s="112"/>
      <c r="AY9" s="110"/>
      <c r="AZ9" s="105"/>
      <c r="BA9" s="105"/>
      <c r="BB9" s="105"/>
      <c r="BC9" s="105"/>
      <c r="BD9" s="105"/>
      <c r="BE9" s="105"/>
    </row>
    <row r="10" spans="1:57" x14ac:dyDescent="0.15">
      <c r="A10" s="101">
        <v>44</v>
      </c>
      <c r="B10" s="98" t="e">
        <f>VLOOKUP($A10,'Rate Calculation'!$A$4:$CS$210,68,FALSE)</f>
        <v>#REF!</v>
      </c>
      <c r="C10" s="98" t="str">
        <f>UPPER(VLOOKUP($A10,'Rate Calculation'!$A$4:$CL$210,69,FALSE))</f>
        <v>0</v>
      </c>
      <c r="D10" s="104" t="str">
        <f>VLOOKUP($A10,'Rate Calculation'!$A$4:$AJ$210,5,FALSE)</f>
        <v>WASHINGTON METRO</v>
      </c>
      <c r="E10" s="104" t="str">
        <f>VLOOKUP($A10,'Rate Calculation'!$A$4:$AJ$210,6,FALSE)</f>
        <v>NON METRO</v>
      </c>
      <c r="F10" s="105">
        <f>VLOOKUP(A10,'Rate Calculation'!$A$3:$AT$210,35,FALSE)</f>
        <v>0</v>
      </c>
      <c r="G10" s="105">
        <f>VLOOKUP(A10,'Rate Calculation'!$A$3:$AT$210,30,FALSE)</f>
        <v>17568</v>
      </c>
      <c r="H10" s="105">
        <f>VLOOKUP(A10,'Rate Calculation'!$A$3:$AW$210,36,FALSE)+VLOOKUP(A10,'Rate Calculation'!$A$3:$CC$210,42,FALSE)</f>
        <v>300175000</v>
      </c>
      <c r="I10" s="105">
        <f t="shared" si="6"/>
        <v>0</v>
      </c>
      <c r="J10" s="105" t="str">
        <f>VLOOKUP(A10,'Rate Calculation'!$A$3:$BL$210,43,FALSE)</f>
        <v>Asbury Solomons</v>
      </c>
      <c r="K10" s="105">
        <f t="shared" si="7"/>
        <v>300192568</v>
      </c>
      <c r="L10" s="164">
        <f t="shared" si="1"/>
        <v>0.98772000000000004</v>
      </c>
      <c r="M10" s="105">
        <f t="shared" si="8"/>
        <v>296506203.25999999</v>
      </c>
      <c r="N10" s="105" t="e">
        <f>VLOOKUP(A10,'Rate Calculation'!$A$4:$DK$210,47,FALSE)</f>
        <v>#DIV/0!</v>
      </c>
      <c r="O10" s="106">
        <f>VLOOKUP(A10,'Rate Calculation'!$A$4:$DK$210,10,FALSE)</f>
        <v>1.0309999999999999</v>
      </c>
      <c r="P10" s="114">
        <f t="shared" si="2"/>
        <v>1.4432</v>
      </c>
      <c r="Q10" s="114">
        <f>VLOOKUP(A10,'CMI Data'!$A$3:$Z$209,7,FALSE)</f>
        <v>0</v>
      </c>
      <c r="R10" s="120" t="e">
        <f>+'CMI Data'!$I$214</f>
        <v>#DIV/0!</v>
      </c>
      <c r="S10" s="106">
        <f>IF(Q10=0,'CMI Data'!$I$213,ROUND(Q10*R10,4))</f>
        <v>1.4061999999999999</v>
      </c>
      <c r="T10" s="105">
        <f>VLOOKUP(A10,'Rate Calculation'!$A$4:$DK$210,16,FALSE)</f>
        <v>159.29</v>
      </c>
      <c r="U10" s="105">
        <f>VLOOKUP(A10,'Rate Calculation'!$A$4:$DK$210,20,FALSE)</f>
        <v>0</v>
      </c>
      <c r="V10" s="113">
        <f t="shared" si="9"/>
        <v>0</v>
      </c>
      <c r="W10" s="105">
        <f t="shared" si="10"/>
        <v>0</v>
      </c>
      <c r="X10" s="111">
        <f t="shared" si="11"/>
        <v>0</v>
      </c>
      <c r="Y10" s="105">
        <f t="shared" si="12"/>
        <v>0</v>
      </c>
      <c r="Z10" s="105">
        <f t="shared" si="13"/>
        <v>217.26</v>
      </c>
      <c r="AA10" s="105">
        <f t="shared" si="14"/>
        <v>0</v>
      </c>
      <c r="AB10" s="111">
        <f t="shared" si="15"/>
        <v>-217.26</v>
      </c>
      <c r="AC10" s="105" t="e">
        <f t="shared" si="16"/>
        <v>#VALUE!</v>
      </c>
      <c r="AD10" s="105" t="e">
        <f t="shared" si="3"/>
        <v>#VALUE!</v>
      </c>
      <c r="AE10" s="105" t="e">
        <f t="shared" si="4"/>
        <v>#DIV/0!</v>
      </c>
      <c r="AF10" s="105" t="e">
        <f t="shared" si="17"/>
        <v>#VALUE!</v>
      </c>
      <c r="AG10" s="105" t="e">
        <f t="shared" si="5"/>
        <v>#VALUE!</v>
      </c>
      <c r="AH10" s="111"/>
      <c r="AI10" s="105"/>
      <c r="AJ10" s="105"/>
      <c r="AK10" s="109"/>
      <c r="AL10" s="109"/>
      <c r="AM10" s="109"/>
      <c r="AN10" s="109"/>
      <c r="AO10" s="105"/>
      <c r="AP10" s="105"/>
      <c r="AQ10" s="109"/>
      <c r="AR10" s="110"/>
      <c r="AS10" s="110"/>
      <c r="AT10" s="110"/>
      <c r="AU10" s="110"/>
      <c r="AV10" s="110"/>
      <c r="AW10" s="112"/>
      <c r="AX10" s="112"/>
      <c r="AY10" s="110"/>
      <c r="AZ10" s="105"/>
      <c r="BA10" s="105"/>
      <c r="BB10" s="105"/>
      <c r="BC10" s="105"/>
      <c r="BD10" s="105"/>
      <c r="BE10" s="105"/>
    </row>
    <row r="11" spans="1:57" x14ac:dyDescent="0.15">
      <c r="A11" s="101">
        <v>671</v>
      </c>
      <c r="B11" s="98" t="e">
        <f>VLOOKUP($A11,'Rate Calculation'!$A$4:$CS$210,68,FALSE)</f>
        <v>#REF!</v>
      </c>
      <c r="C11" s="98" t="str">
        <f>UPPER(VLOOKUP($A11,'Rate Calculation'!$A$4:$CL$210,69,FALSE))</f>
        <v>24639</v>
      </c>
      <c r="D11" s="104" t="str">
        <f>VLOOKUP($A11,'Rate Calculation'!$A$4:$AJ$210,5,FALSE)</f>
        <v>BALTIMORE METRO</v>
      </c>
      <c r="E11" s="104" t="str">
        <f>VLOOKUP($A11,'Rate Calculation'!$A$4:$AJ$210,6,FALSE)</f>
        <v>BALTIMORE METRO</v>
      </c>
      <c r="F11" s="105">
        <f>VLOOKUP(A11,'Rate Calculation'!$A$3:$AT$210,35,FALSE)</f>
        <v>10776</v>
      </c>
      <c r="G11" s="105">
        <f>VLOOKUP(A11,'Rate Calculation'!$A$3:$AT$210,30,FALSE)</f>
        <v>21960</v>
      </c>
      <c r="H11" s="105">
        <f>VLOOKUP(A11,'Rate Calculation'!$A$3:$AW$210,36,FALSE)+VLOOKUP(A11,'Rate Calculation'!$A$3:$CC$210,42,FALSE)</f>
        <v>407424145</v>
      </c>
      <c r="I11" s="105">
        <f t="shared" si="6"/>
        <v>0</v>
      </c>
      <c r="J11" s="105" t="str">
        <f>VLOOKUP(A11,'Rate Calculation'!$A$3:$BL$210,43,FALSE)</f>
        <v>Atlee Hill Health and Rehabilitation Center</v>
      </c>
      <c r="K11" s="105">
        <f t="shared" si="7"/>
        <v>407456881</v>
      </c>
      <c r="L11" s="164">
        <f t="shared" si="1"/>
        <v>0.98772000000000004</v>
      </c>
      <c r="M11" s="105">
        <f t="shared" si="8"/>
        <v>402453310.5</v>
      </c>
      <c r="N11" s="105" t="e">
        <f>VLOOKUP(A11,'Rate Calculation'!$A$4:$DK$210,47,FALSE)</f>
        <v>#DIV/0!</v>
      </c>
      <c r="O11" s="106">
        <f>VLOOKUP(A11,'Rate Calculation'!$A$4:$DK$210,10,FALSE)</f>
        <v>1.0309999999999999</v>
      </c>
      <c r="P11" s="114">
        <f t="shared" si="2"/>
        <v>1.4432</v>
      </c>
      <c r="Q11" s="114">
        <f>VLOOKUP(A11,'CMI Data'!$A$3:$Z$209,7,FALSE)</f>
        <v>0</v>
      </c>
      <c r="R11" s="120" t="e">
        <f>+'CMI Data'!$I$214</f>
        <v>#DIV/0!</v>
      </c>
      <c r="S11" s="106">
        <f>IF(Q11=0,'CMI Data'!$I$213,ROUND(Q11*R11,4))</f>
        <v>1.4061999999999999</v>
      </c>
      <c r="T11" s="105">
        <f>VLOOKUP(A11,'Rate Calculation'!$A$4:$DK$210,16,FALSE)</f>
        <v>184.48</v>
      </c>
      <c r="U11" s="105">
        <f>VLOOKUP(A11,'Rate Calculation'!$A$4:$DK$210,20,FALSE)</f>
        <v>0</v>
      </c>
      <c r="V11" s="113">
        <f t="shared" si="9"/>
        <v>0</v>
      </c>
      <c r="W11" s="105">
        <f t="shared" si="10"/>
        <v>0</v>
      </c>
      <c r="X11" s="111">
        <f t="shared" si="11"/>
        <v>0</v>
      </c>
      <c r="Y11" s="105">
        <f t="shared" si="12"/>
        <v>0</v>
      </c>
      <c r="Z11" s="105">
        <f t="shared" si="13"/>
        <v>251.62</v>
      </c>
      <c r="AA11" s="105">
        <f t="shared" si="14"/>
        <v>0</v>
      </c>
      <c r="AB11" s="111">
        <f t="shared" si="15"/>
        <v>-251.62</v>
      </c>
      <c r="AC11" s="105" t="e">
        <f t="shared" si="16"/>
        <v>#VALUE!</v>
      </c>
      <c r="AD11" s="105" t="e">
        <f t="shared" si="3"/>
        <v>#VALUE!</v>
      </c>
      <c r="AE11" s="105" t="e">
        <f t="shared" si="4"/>
        <v>#DIV/0!</v>
      </c>
      <c r="AF11" s="105" t="e">
        <f t="shared" si="17"/>
        <v>#VALUE!</v>
      </c>
      <c r="AG11" s="105" t="e">
        <f t="shared" si="5"/>
        <v>#VALUE!</v>
      </c>
      <c r="AH11" s="111"/>
      <c r="AI11" s="105"/>
      <c r="AJ11" s="105"/>
      <c r="AK11" s="109"/>
      <c r="AL11" s="109"/>
      <c r="AM11" s="109"/>
      <c r="AN11" s="109"/>
      <c r="AO11" s="105"/>
      <c r="AP11" s="105"/>
      <c r="AQ11" s="109"/>
      <c r="AR11" s="110"/>
      <c r="AS11" s="110"/>
      <c r="AT11" s="110"/>
      <c r="AU11" s="110"/>
      <c r="AV11" s="110"/>
      <c r="AW11" s="112"/>
      <c r="AX11" s="112"/>
      <c r="AY11" s="110"/>
      <c r="AZ11" s="105"/>
      <c r="BA11" s="105"/>
      <c r="BB11" s="105"/>
      <c r="BC11" s="105"/>
      <c r="BD11" s="105"/>
      <c r="BE11" s="105"/>
    </row>
    <row r="12" spans="1:57" x14ac:dyDescent="0.15">
      <c r="A12" s="101">
        <v>46</v>
      </c>
      <c r="B12" s="98" t="e">
        <f>VLOOKUP($A12,'Rate Calculation'!$A$4:$CS$210,68,FALSE)</f>
        <v>#REF!</v>
      </c>
      <c r="C12" s="98" t="str">
        <f>UPPER(VLOOKUP($A12,'Rate Calculation'!$A$4:$CL$210,69,FALSE))</f>
        <v>166139</v>
      </c>
      <c r="D12" s="104" t="str">
        <f>VLOOKUP($A12,'Rate Calculation'!$A$4:$AJ$210,5,FALSE)</f>
        <v>BALTIMORE METRO</v>
      </c>
      <c r="E12" s="104" t="str">
        <f>VLOOKUP($A12,'Rate Calculation'!$A$4:$AJ$210,6,FALSE)</f>
        <v>BALTIMORE METRO</v>
      </c>
      <c r="F12" s="105">
        <f>VLOOKUP(A12,'Rate Calculation'!$A$3:$AT$210,35,FALSE)</f>
        <v>0</v>
      </c>
      <c r="G12" s="105">
        <f>VLOOKUP(A12,'Rate Calculation'!$A$3:$AT$210,30,FALSE)</f>
        <v>47946</v>
      </c>
      <c r="H12" s="105">
        <f>VLOOKUP(A12,'Rate Calculation'!$A$3:$AW$210,36,FALSE)+VLOOKUP(A12,'Rate Calculation'!$A$3:$CC$210,42,FALSE)</f>
        <v>556124800</v>
      </c>
      <c r="I12" s="105">
        <f t="shared" si="6"/>
        <v>0</v>
      </c>
      <c r="J12" s="105" t="str">
        <f>VLOOKUP(A12,'Rate Calculation'!$A$3:$BL$210,43,FALSE)</f>
        <v>Resorts of Augsburg Corp</v>
      </c>
      <c r="K12" s="105">
        <f t="shared" si="7"/>
        <v>556172746</v>
      </c>
      <c r="L12" s="164">
        <f t="shared" si="1"/>
        <v>0.98772000000000004</v>
      </c>
      <c r="M12" s="105">
        <f t="shared" si="8"/>
        <v>549342944.67999995</v>
      </c>
      <c r="N12" s="105" t="e">
        <f>VLOOKUP(A12,'Rate Calculation'!$A$4:$DK$210,47,FALSE)</f>
        <v>#DIV/0!</v>
      </c>
      <c r="O12" s="106">
        <f>VLOOKUP(A12,'Rate Calculation'!$A$4:$DK$210,10,FALSE)</f>
        <v>1.0309999999999999</v>
      </c>
      <c r="P12" s="114">
        <f t="shared" si="2"/>
        <v>1.4432</v>
      </c>
      <c r="Q12" s="114">
        <f>VLOOKUP(A12,'CMI Data'!$A$3:$Z$209,7,FALSE)</f>
        <v>0</v>
      </c>
      <c r="R12" s="120" t="e">
        <f>+'CMI Data'!$I$214</f>
        <v>#DIV/0!</v>
      </c>
      <c r="S12" s="106">
        <f>IF(Q12=0,'CMI Data'!$I$213,ROUND(Q12*R12,4))</f>
        <v>1.4061999999999999</v>
      </c>
      <c r="T12" s="105">
        <f>VLOOKUP(A12,'Rate Calculation'!$A$4:$DK$210,16,FALSE)</f>
        <v>186.1</v>
      </c>
      <c r="U12" s="105">
        <f>VLOOKUP(A12,'Rate Calculation'!$A$4:$DK$210,20,FALSE)</f>
        <v>0</v>
      </c>
      <c r="V12" s="113">
        <f t="shared" si="9"/>
        <v>0</v>
      </c>
      <c r="W12" s="105">
        <f t="shared" si="10"/>
        <v>0</v>
      </c>
      <c r="X12" s="111">
        <f t="shared" si="11"/>
        <v>0</v>
      </c>
      <c r="Y12" s="105">
        <f t="shared" si="12"/>
        <v>0</v>
      </c>
      <c r="Z12" s="105">
        <f t="shared" si="13"/>
        <v>253.83</v>
      </c>
      <c r="AA12" s="105">
        <f t="shared" si="14"/>
        <v>0</v>
      </c>
      <c r="AB12" s="111">
        <f t="shared" si="15"/>
        <v>-253.83</v>
      </c>
      <c r="AC12" s="105" t="e">
        <f t="shared" si="16"/>
        <v>#VALUE!</v>
      </c>
      <c r="AD12" s="105" t="e">
        <f t="shared" si="3"/>
        <v>#VALUE!</v>
      </c>
      <c r="AE12" s="105" t="e">
        <f t="shared" si="4"/>
        <v>#DIV/0!</v>
      </c>
      <c r="AF12" s="105" t="e">
        <f t="shared" si="17"/>
        <v>#VALUE!</v>
      </c>
      <c r="AG12" s="105" t="e">
        <f t="shared" si="5"/>
        <v>#VALUE!</v>
      </c>
      <c r="AH12" s="111"/>
      <c r="AI12" s="105"/>
      <c r="AJ12" s="105"/>
      <c r="AK12" s="109"/>
      <c r="AL12" s="109"/>
      <c r="AM12" s="109"/>
      <c r="AN12" s="109"/>
      <c r="AO12" s="105"/>
      <c r="AP12" s="105"/>
      <c r="AQ12" s="109"/>
      <c r="AR12" s="110"/>
      <c r="AS12" s="110"/>
      <c r="AT12" s="110"/>
      <c r="AU12" s="110"/>
      <c r="AV12" s="110"/>
      <c r="AW12" s="112"/>
      <c r="AX12" s="112"/>
      <c r="AY12" s="110"/>
      <c r="AZ12" s="105"/>
      <c r="BA12" s="105"/>
      <c r="BB12" s="105"/>
      <c r="BC12" s="105"/>
      <c r="BD12" s="105"/>
      <c r="BE12" s="105"/>
    </row>
    <row r="13" spans="1:57" x14ac:dyDescent="0.15">
      <c r="A13" s="101">
        <v>32</v>
      </c>
      <c r="B13" s="98" t="e">
        <f>VLOOKUP($A13,'Rate Calculation'!$A$4:$CS$210,68,FALSE)</f>
        <v>#REF!</v>
      </c>
      <c r="C13" s="98" t="str">
        <f>UPPER(VLOOKUP($A13,'Rate Calculation'!$A$4:$CL$210,69,FALSE))</f>
        <v>200694</v>
      </c>
      <c r="D13" s="104" t="str">
        <f>VLOOKUP($A13,'Rate Calculation'!$A$4:$AJ$210,5,FALSE)</f>
        <v>BALTIMORE METRO</v>
      </c>
      <c r="E13" s="104" t="str">
        <f>VLOOKUP($A13,'Rate Calculation'!$A$4:$AJ$210,6,FALSE)</f>
        <v>BALTIMORE CITY</v>
      </c>
      <c r="F13" s="105">
        <f>VLOOKUP(A13,'Rate Calculation'!$A$3:$AT$210,35,FALSE)</f>
        <v>29911</v>
      </c>
      <c r="G13" s="105">
        <f>VLOOKUP(A13,'Rate Calculation'!$A$3:$AT$210,30,FALSE)</f>
        <v>38430</v>
      </c>
      <c r="H13" s="105">
        <f>VLOOKUP(A13,'Rate Calculation'!$A$3:$AW$210,36,FALSE)+VLOOKUP(A13,'Rate Calculation'!$A$3:$CC$210,42,FALSE)</f>
        <v>422912164</v>
      </c>
      <c r="I13" s="105">
        <f t="shared" si="6"/>
        <v>-24</v>
      </c>
      <c r="J13" s="105" t="str">
        <f>VLOOKUP(A13,'Rate Calculation'!$A$3:$BL$210,43,FALSE)</f>
        <v>Autumn Lake Healthcare at Alice Manor</v>
      </c>
      <c r="K13" s="105">
        <f t="shared" si="7"/>
        <v>422980481</v>
      </c>
      <c r="L13" s="164">
        <f t="shared" si="1"/>
        <v>0.98772000000000004</v>
      </c>
      <c r="M13" s="105">
        <f t="shared" si="8"/>
        <v>417786280.69</v>
      </c>
      <c r="N13" s="105" t="e">
        <f>VLOOKUP(A13,'Rate Calculation'!$A$4:$DK$210,47,FALSE)</f>
        <v>#DIV/0!</v>
      </c>
      <c r="O13" s="106">
        <f>VLOOKUP(A13,'Rate Calculation'!$A$4:$DK$210,10,FALSE)</f>
        <v>1.0309999999999999</v>
      </c>
      <c r="P13" s="114">
        <f t="shared" si="2"/>
        <v>1.4432</v>
      </c>
      <c r="Q13" s="114">
        <f>VLOOKUP(A13,'CMI Data'!$A$3:$Z$209,7,FALSE)</f>
        <v>0</v>
      </c>
      <c r="R13" s="120" t="e">
        <f>+'CMI Data'!$I$214</f>
        <v>#DIV/0!</v>
      </c>
      <c r="S13" s="106">
        <f>IF(Q13=0,'CMI Data'!$I$213,ROUND(Q13*R13,4))</f>
        <v>1.4061999999999999</v>
      </c>
      <c r="T13" s="105">
        <f>VLOOKUP(A13,'Rate Calculation'!$A$4:$DK$210,16,FALSE)</f>
        <v>182.32</v>
      </c>
      <c r="U13" s="105">
        <f>VLOOKUP(A13,'Rate Calculation'!$A$4:$DK$210,20,FALSE)</f>
        <v>-24.63</v>
      </c>
      <c r="V13" s="113">
        <f t="shared" si="9"/>
        <v>-17.600000000000001</v>
      </c>
      <c r="W13" s="105">
        <f t="shared" si="10"/>
        <v>-24</v>
      </c>
      <c r="X13" s="111">
        <f t="shared" si="11"/>
        <v>0</v>
      </c>
      <c r="Y13" s="105">
        <f t="shared" si="12"/>
        <v>-24</v>
      </c>
      <c r="Z13" s="105">
        <f t="shared" si="13"/>
        <v>248.67</v>
      </c>
      <c r="AA13" s="105">
        <f t="shared" si="14"/>
        <v>-22.8</v>
      </c>
      <c r="AB13" s="111">
        <f t="shared" si="15"/>
        <v>-271.47000000000003</v>
      </c>
      <c r="AC13" s="105" t="e">
        <f t="shared" si="16"/>
        <v>#VALUE!</v>
      </c>
      <c r="AD13" s="105" t="e">
        <f t="shared" si="3"/>
        <v>#VALUE!</v>
      </c>
      <c r="AE13" s="105" t="e">
        <f t="shared" si="4"/>
        <v>#DIV/0!</v>
      </c>
      <c r="AF13" s="105" t="e">
        <f t="shared" si="17"/>
        <v>#VALUE!</v>
      </c>
      <c r="AG13" s="105" t="e">
        <f t="shared" si="5"/>
        <v>#VALUE!</v>
      </c>
      <c r="AH13" s="111"/>
      <c r="AI13" s="105"/>
      <c r="AJ13" s="105"/>
      <c r="AK13" s="109"/>
      <c r="AL13" s="109"/>
      <c r="AM13" s="109"/>
      <c r="AN13" s="109"/>
      <c r="AO13" s="105"/>
      <c r="AP13" s="105"/>
      <c r="AQ13" s="109"/>
      <c r="AR13" s="110"/>
      <c r="AS13" s="110"/>
      <c r="AT13" s="110"/>
      <c r="AU13" s="110"/>
      <c r="AV13" s="110"/>
      <c r="AW13" s="112"/>
      <c r="AX13" s="112"/>
      <c r="AY13" s="110"/>
      <c r="AZ13" s="105"/>
      <c r="BA13" s="105"/>
      <c r="BB13" s="105"/>
      <c r="BC13" s="105"/>
      <c r="BD13" s="105"/>
      <c r="BE13" s="105"/>
    </row>
    <row r="14" spans="1:57" x14ac:dyDescent="0.15">
      <c r="A14" s="101">
        <v>689</v>
      </c>
      <c r="B14" s="98" t="e">
        <f>VLOOKUP($A14,'Rate Calculation'!$A$4:$CS$210,68,FALSE)</f>
        <v>#REF!</v>
      </c>
      <c r="C14" s="98" t="str">
        <f>UPPER(VLOOKUP($A14,'Rate Calculation'!$A$4:$CL$210,69,FALSE))</f>
        <v>168053</v>
      </c>
      <c r="D14" s="104" t="str">
        <f>VLOOKUP($A14,'Rate Calculation'!$A$4:$AJ$210,5,FALSE)</f>
        <v>WASHINGTON METRO</v>
      </c>
      <c r="E14" s="104" t="str">
        <f>VLOOKUP($A14,'Rate Calculation'!$A$4:$AJ$210,6,FALSE)</f>
        <v>WASHINGTON METRO</v>
      </c>
      <c r="F14" s="105">
        <f>VLOOKUP(A14,'Rate Calculation'!$A$3:$AT$210,35,FALSE)</f>
        <v>37973</v>
      </c>
      <c r="G14" s="105">
        <f>VLOOKUP(A14,'Rate Calculation'!$A$3:$AT$210,30,FALSE)</f>
        <v>55266</v>
      </c>
      <c r="H14" s="105">
        <f>VLOOKUP(A14,'Rate Calculation'!$A$3:$AW$210,36,FALSE)+VLOOKUP(A14,'Rate Calculation'!$A$3:$CC$210,42,FALSE)</f>
        <v>888763606</v>
      </c>
      <c r="I14" s="105">
        <f t="shared" si="6"/>
        <v>-4.1500000000000004</v>
      </c>
      <c r="J14" s="105" t="str">
        <f>VLOOKUP(A14,'Rate Calculation'!$A$3:$BL$210,43,FALSE)</f>
        <v>Autumn Lake Healthcare at Arcola</v>
      </c>
      <c r="K14" s="105">
        <f t="shared" si="7"/>
        <v>888856840.85000002</v>
      </c>
      <c r="L14" s="164">
        <f t="shared" si="1"/>
        <v>0.98772000000000004</v>
      </c>
      <c r="M14" s="105">
        <f t="shared" si="8"/>
        <v>877941678.84000003</v>
      </c>
      <c r="N14" s="105" t="e">
        <f>VLOOKUP(A14,'Rate Calculation'!$A$4:$DK$210,47,FALSE)</f>
        <v>#DIV/0!</v>
      </c>
      <c r="O14" s="106">
        <f>VLOOKUP(A14,'Rate Calculation'!$A$4:$DK$210,10,FALSE)</f>
        <v>1.0309999999999999</v>
      </c>
      <c r="P14" s="114">
        <f t="shared" si="2"/>
        <v>1.4432</v>
      </c>
      <c r="Q14" s="114">
        <f>VLOOKUP(A14,'CMI Data'!$A$3:$Z$209,7,FALSE)</f>
        <v>0</v>
      </c>
      <c r="R14" s="120" t="e">
        <f>+'CMI Data'!$I$214</f>
        <v>#DIV/0!</v>
      </c>
      <c r="S14" s="106">
        <f>IF(Q14=0,'CMI Data'!$I$213,ROUND(Q14*R14,4))</f>
        <v>1.4061999999999999</v>
      </c>
      <c r="T14" s="105">
        <f>VLOOKUP(A14,'Rate Calculation'!$A$4:$DK$210,16,FALSE)</f>
        <v>162.22</v>
      </c>
      <c r="U14" s="105">
        <f>VLOOKUP(A14,'Rate Calculation'!$A$4:$DK$210,20,FALSE)</f>
        <v>-4.26</v>
      </c>
      <c r="V14" s="113">
        <f t="shared" si="9"/>
        <v>-3.04</v>
      </c>
      <c r="W14" s="105">
        <f t="shared" si="10"/>
        <v>-4.1500000000000004</v>
      </c>
      <c r="X14" s="111">
        <f t="shared" si="11"/>
        <v>0</v>
      </c>
      <c r="Y14" s="105">
        <f t="shared" si="12"/>
        <v>-4.1500000000000004</v>
      </c>
      <c r="Z14" s="105">
        <f t="shared" si="13"/>
        <v>221.25</v>
      </c>
      <c r="AA14" s="105">
        <f t="shared" si="14"/>
        <v>-3.94</v>
      </c>
      <c r="AB14" s="111">
        <f t="shared" si="15"/>
        <v>-225.19</v>
      </c>
      <c r="AC14" s="105" t="e">
        <f t="shared" si="16"/>
        <v>#VALUE!</v>
      </c>
      <c r="AD14" s="105" t="e">
        <f t="shared" si="3"/>
        <v>#VALUE!</v>
      </c>
      <c r="AE14" s="105" t="e">
        <f t="shared" si="4"/>
        <v>#DIV/0!</v>
      </c>
      <c r="AF14" s="105" t="e">
        <f t="shared" si="17"/>
        <v>#VALUE!</v>
      </c>
      <c r="AG14" s="105" t="e">
        <f t="shared" si="5"/>
        <v>#VALUE!</v>
      </c>
      <c r="AH14" s="111"/>
      <c r="AI14" s="105"/>
      <c r="AJ14" s="105"/>
      <c r="AK14" s="109"/>
      <c r="AL14" s="109"/>
      <c r="AM14" s="109"/>
      <c r="AN14" s="109"/>
      <c r="AO14" s="105"/>
      <c r="AP14" s="105"/>
      <c r="AQ14" s="109"/>
      <c r="AR14" s="110"/>
      <c r="AS14" s="110"/>
      <c r="AT14" s="110"/>
      <c r="AU14" s="110"/>
      <c r="AV14" s="110"/>
      <c r="AW14" s="112"/>
      <c r="AX14" s="112"/>
      <c r="AY14" s="110"/>
      <c r="AZ14" s="105"/>
      <c r="BA14" s="105"/>
      <c r="BB14" s="105"/>
      <c r="BC14" s="105"/>
      <c r="BD14" s="105"/>
      <c r="BE14" s="105"/>
    </row>
    <row r="15" spans="1:57" x14ac:dyDescent="0.15">
      <c r="A15" s="101">
        <v>116</v>
      </c>
      <c r="B15" s="98" t="e">
        <f>VLOOKUP($A15,'Rate Calculation'!$A$4:$CS$210,68,FALSE)</f>
        <v>#REF!</v>
      </c>
      <c r="C15" s="98" t="str">
        <f>UPPER(VLOOKUP($A15,'Rate Calculation'!$A$4:$CL$210,69,FALSE))</f>
        <v>211675</v>
      </c>
      <c r="D15" s="104" t="str">
        <f>VLOOKUP($A15,'Rate Calculation'!$A$4:$AJ$210,5,FALSE)</f>
        <v>WASHINGTON METRO</v>
      </c>
      <c r="E15" s="104" t="str">
        <f>VLOOKUP($A15,'Rate Calculation'!$A$4:$AJ$210,6,FALSE)</f>
        <v>NON METRO</v>
      </c>
      <c r="F15" s="105">
        <f>VLOOKUP(A15,'Rate Calculation'!$A$3:$AT$210,35,FALSE)</f>
        <v>26219</v>
      </c>
      <c r="G15" s="105">
        <f>VLOOKUP(A15,'Rate Calculation'!$A$3:$AT$210,30,FALSE)</f>
        <v>47580</v>
      </c>
      <c r="H15" s="105">
        <f>VLOOKUP(A15,'Rate Calculation'!$A$3:$AW$210,36,FALSE)+VLOOKUP(A15,'Rate Calculation'!$A$3:$CC$210,42,FALSE)</f>
        <v>430108368</v>
      </c>
      <c r="I15" s="105">
        <f t="shared" si="6"/>
        <v>-8.6999999999999993</v>
      </c>
      <c r="J15" s="105" t="str">
        <f>VLOOKUP(A15,'Rate Calculation'!$A$3:$BL$210,43,FALSE)</f>
        <v>Autumn Lake Healthcare at Ballenger Creek</v>
      </c>
      <c r="K15" s="105">
        <f t="shared" si="7"/>
        <v>430182158.30000001</v>
      </c>
      <c r="L15" s="164">
        <f t="shared" si="1"/>
        <v>0.98772000000000004</v>
      </c>
      <c r="M15" s="105">
        <f t="shared" si="8"/>
        <v>424899521.39999998</v>
      </c>
      <c r="N15" s="105" t="e">
        <f>VLOOKUP(A15,'Rate Calculation'!$A$4:$DK$210,47,FALSE)</f>
        <v>#DIV/0!</v>
      </c>
      <c r="O15" s="106">
        <f>VLOOKUP(A15,'Rate Calculation'!$A$4:$DK$210,10,FALSE)</f>
        <v>1.0309999999999999</v>
      </c>
      <c r="P15" s="114">
        <f t="shared" si="2"/>
        <v>1.4432</v>
      </c>
      <c r="Q15" s="114">
        <f>VLOOKUP(A15,'CMI Data'!$A$3:$Z$209,7,FALSE)</f>
        <v>0</v>
      </c>
      <c r="R15" s="120" t="e">
        <f>+'CMI Data'!$I$214</f>
        <v>#DIV/0!</v>
      </c>
      <c r="S15" s="106">
        <f>IF(Q15=0,'CMI Data'!$I$213,ROUND(Q15*R15,4))</f>
        <v>1.4061999999999999</v>
      </c>
      <c r="T15" s="105">
        <f>VLOOKUP(A15,'Rate Calculation'!$A$4:$DK$210,16,FALSE)</f>
        <v>195.95</v>
      </c>
      <c r="U15" s="105">
        <f>VLOOKUP(A15,'Rate Calculation'!$A$4:$DK$210,20,FALSE)</f>
        <v>-8.93</v>
      </c>
      <c r="V15" s="113">
        <f t="shared" si="9"/>
        <v>-6.38</v>
      </c>
      <c r="W15" s="105">
        <f t="shared" si="10"/>
        <v>-8.6999999999999993</v>
      </c>
      <c r="X15" s="111">
        <f t="shared" si="11"/>
        <v>0</v>
      </c>
      <c r="Y15" s="105">
        <f t="shared" si="12"/>
        <v>-8.6999999999999993</v>
      </c>
      <c r="Z15" s="105">
        <f t="shared" si="13"/>
        <v>267.26</v>
      </c>
      <c r="AA15" s="105">
        <f t="shared" si="14"/>
        <v>-8.27</v>
      </c>
      <c r="AB15" s="111">
        <f t="shared" si="15"/>
        <v>-275.52999999999997</v>
      </c>
      <c r="AC15" s="105" t="e">
        <f t="shared" si="16"/>
        <v>#VALUE!</v>
      </c>
      <c r="AD15" s="105" t="e">
        <f t="shared" si="3"/>
        <v>#VALUE!</v>
      </c>
      <c r="AE15" s="105" t="e">
        <f t="shared" si="4"/>
        <v>#DIV/0!</v>
      </c>
      <c r="AF15" s="105" t="e">
        <f t="shared" si="17"/>
        <v>#VALUE!</v>
      </c>
      <c r="AG15" s="105" t="e">
        <f t="shared" si="5"/>
        <v>#VALUE!</v>
      </c>
      <c r="AH15" s="111"/>
      <c r="AI15" s="105"/>
      <c r="AJ15" s="105"/>
      <c r="AK15" s="109"/>
      <c r="AL15" s="109"/>
      <c r="AM15" s="109"/>
      <c r="AN15" s="109"/>
      <c r="AO15" s="105"/>
      <c r="AP15" s="105"/>
      <c r="AQ15" s="109"/>
      <c r="AR15" s="110"/>
      <c r="AS15" s="110"/>
      <c r="AT15" s="110"/>
      <c r="AU15" s="110"/>
      <c r="AV15" s="110"/>
      <c r="AW15" s="112"/>
      <c r="AX15" s="112"/>
      <c r="AY15" s="110"/>
      <c r="AZ15" s="105"/>
      <c r="BA15" s="105"/>
      <c r="BB15" s="105"/>
      <c r="BC15" s="105"/>
      <c r="BD15" s="105"/>
      <c r="BE15" s="105"/>
    </row>
    <row r="16" spans="1:57" x14ac:dyDescent="0.15">
      <c r="A16" s="101">
        <v>725</v>
      </c>
      <c r="B16" s="98" t="e">
        <f>VLOOKUP($A16,'Rate Calculation'!$A$4:$CS$210,68,FALSE)</f>
        <v>#REF!</v>
      </c>
      <c r="C16" s="98" t="str">
        <f>UPPER(VLOOKUP($A16,'Rate Calculation'!$A$4:$CL$210,69,FALSE))</f>
        <v>85251</v>
      </c>
      <c r="D16" s="104" t="str">
        <f>VLOOKUP($A16,'Rate Calculation'!$A$4:$AJ$210,5,FALSE)</f>
        <v>BALTIMORE METRO</v>
      </c>
      <c r="E16" s="104" t="str">
        <f>VLOOKUP($A16,'Rate Calculation'!$A$4:$AJ$210,6,FALSE)</f>
        <v>BALTIMORE METRO</v>
      </c>
      <c r="F16" s="105">
        <f>VLOOKUP(A16,'Rate Calculation'!$A$3:$AT$210,35,FALSE)</f>
        <v>24725</v>
      </c>
      <c r="G16" s="105">
        <f>VLOOKUP(A16,'Rate Calculation'!$A$3:$AT$210,30,FALSE)</f>
        <v>42456</v>
      </c>
      <c r="H16" s="105">
        <f>VLOOKUP(A16,'Rate Calculation'!$A$3:$AW$210,36,FALSE)+VLOOKUP(A16,'Rate Calculation'!$A$3:$CC$210,42,FALSE)</f>
        <v>425088031</v>
      </c>
      <c r="I16" s="105">
        <f t="shared" si="6"/>
        <v>-41.86</v>
      </c>
      <c r="J16" s="105" t="str">
        <f>VLOOKUP(A16,'Rate Calculation'!$A$3:$BL$210,43,FALSE)</f>
        <v>Autumn Lake Healthcare at Baltimore Washington</v>
      </c>
      <c r="K16" s="105">
        <f t="shared" si="7"/>
        <v>425155170.13999999</v>
      </c>
      <c r="L16" s="164">
        <f t="shared" si="1"/>
        <v>0.98772000000000004</v>
      </c>
      <c r="M16" s="105">
        <f t="shared" si="8"/>
        <v>419934264.64999998</v>
      </c>
      <c r="N16" s="105" t="e">
        <f>VLOOKUP(A16,'Rate Calculation'!$A$4:$DK$210,47,FALSE)</f>
        <v>#DIV/0!</v>
      </c>
      <c r="O16" s="106">
        <f>VLOOKUP(A16,'Rate Calculation'!$A$4:$DK$210,10,FALSE)</f>
        <v>1.0309999999999999</v>
      </c>
      <c r="P16" s="114">
        <f t="shared" si="2"/>
        <v>1.4432</v>
      </c>
      <c r="Q16" s="114">
        <f>VLOOKUP(A16,'CMI Data'!$A$3:$Z$209,7,FALSE)</f>
        <v>0</v>
      </c>
      <c r="R16" s="120" t="e">
        <f>+'CMI Data'!$I$214</f>
        <v>#DIV/0!</v>
      </c>
      <c r="S16" s="106">
        <f>IF(Q16=0,'CMI Data'!$I$213,ROUND(Q16*R16,4))</f>
        <v>1.4061999999999999</v>
      </c>
      <c r="T16" s="105">
        <f>VLOOKUP(A16,'Rate Calculation'!$A$4:$DK$210,16,FALSE)</f>
        <v>189.52</v>
      </c>
      <c r="U16" s="105">
        <f>VLOOKUP(A16,'Rate Calculation'!$A$4:$DK$210,20,FALSE)</f>
        <v>-42.96</v>
      </c>
      <c r="V16" s="113">
        <f t="shared" si="9"/>
        <v>-30.69</v>
      </c>
      <c r="W16" s="105">
        <f t="shared" si="10"/>
        <v>-41.86</v>
      </c>
      <c r="X16" s="111">
        <f t="shared" si="11"/>
        <v>0</v>
      </c>
      <c r="Y16" s="105">
        <f t="shared" si="12"/>
        <v>-41.86</v>
      </c>
      <c r="Z16" s="105">
        <f t="shared" si="13"/>
        <v>258.49</v>
      </c>
      <c r="AA16" s="105">
        <f t="shared" si="14"/>
        <v>-39.770000000000003</v>
      </c>
      <c r="AB16" s="111">
        <f t="shared" si="15"/>
        <v>-298.26</v>
      </c>
      <c r="AC16" s="105" t="e">
        <f t="shared" si="16"/>
        <v>#VALUE!</v>
      </c>
      <c r="AD16" s="105" t="e">
        <f t="shared" si="3"/>
        <v>#VALUE!</v>
      </c>
      <c r="AE16" s="105" t="e">
        <f t="shared" si="4"/>
        <v>#DIV/0!</v>
      </c>
      <c r="AF16" s="105" t="e">
        <f t="shared" si="17"/>
        <v>#VALUE!</v>
      </c>
      <c r="AG16" s="105" t="e">
        <f t="shared" si="5"/>
        <v>#VALUE!</v>
      </c>
      <c r="AH16" s="111"/>
      <c r="AI16" s="105"/>
      <c r="AJ16" s="105"/>
      <c r="AK16" s="109"/>
      <c r="AL16" s="109"/>
      <c r="AM16" s="109"/>
      <c r="AN16" s="109"/>
      <c r="AO16" s="105"/>
      <c r="AP16" s="105"/>
      <c r="AQ16" s="109"/>
      <c r="AR16" s="110"/>
      <c r="AS16" s="110"/>
      <c r="AT16" s="110"/>
      <c r="AU16" s="110"/>
      <c r="AV16" s="110"/>
      <c r="AW16" s="112"/>
      <c r="AX16" s="112"/>
      <c r="AY16" s="110"/>
      <c r="AZ16" s="105"/>
      <c r="BA16" s="105"/>
      <c r="BB16" s="105"/>
      <c r="BC16" s="105"/>
      <c r="BD16" s="105"/>
      <c r="BE16" s="105"/>
    </row>
    <row r="17" spans="1:57" x14ac:dyDescent="0.15">
      <c r="A17" s="101">
        <v>122</v>
      </c>
      <c r="B17" s="98" t="e">
        <f>VLOOKUP($A17,'Rate Calculation'!$A$4:$CS$210,68,FALSE)</f>
        <v>#REF!</v>
      </c>
      <c r="C17" s="98" t="str">
        <f>UPPER(VLOOKUP($A17,'Rate Calculation'!$A$4:$CL$210,69,FALSE))</f>
        <v>74767</v>
      </c>
      <c r="D17" s="104" t="str">
        <f>VLOOKUP($A17,'Rate Calculation'!$A$4:$AJ$210,5,FALSE)</f>
        <v>BALTIMORE METRO</v>
      </c>
      <c r="E17" s="104" t="str">
        <f>VLOOKUP($A17,'Rate Calculation'!$A$4:$AJ$210,6,FALSE)</f>
        <v>BALTIMORE METRO</v>
      </c>
      <c r="F17" s="105">
        <f>VLOOKUP(A17,'Rate Calculation'!$A$3:$AT$210,35,FALSE)</f>
        <v>32094</v>
      </c>
      <c r="G17" s="105">
        <f>VLOOKUP(A17,'Rate Calculation'!$A$3:$AT$210,30,FALSE)</f>
        <v>43188</v>
      </c>
      <c r="H17" s="105">
        <f>VLOOKUP(A17,'Rate Calculation'!$A$3:$AW$210,36,FALSE)+VLOOKUP(A17,'Rate Calculation'!$A$3:$CC$210,42,FALSE)</f>
        <v>714300448</v>
      </c>
      <c r="I17" s="105">
        <f t="shared" si="6"/>
        <v>0</v>
      </c>
      <c r="J17" s="105" t="str">
        <f>VLOOKUP(A17,'Rate Calculation'!$A$3:$BL$210,43,FALSE)</f>
        <v>Autumn Lake Healthcare at Birch Manor</v>
      </c>
      <c r="K17" s="105">
        <f t="shared" si="7"/>
        <v>714375730</v>
      </c>
      <c r="L17" s="164">
        <f t="shared" si="1"/>
        <v>0.98772000000000004</v>
      </c>
      <c r="M17" s="105">
        <f t="shared" si="8"/>
        <v>705603196.03999996</v>
      </c>
      <c r="N17" s="105" t="e">
        <f>VLOOKUP(A17,'Rate Calculation'!$A$4:$DK$210,47,FALSE)</f>
        <v>#DIV/0!</v>
      </c>
      <c r="O17" s="106">
        <f>VLOOKUP(A17,'Rate Calculation'!$A$4:$DK$210,10,FALSE)</f>
        <v>1.0309999999999999</v>
      </c>
      <c r="P17" s="114">
        <f t="shared" si="2"/>
        <v>1.4432</v>
      </c>
      <c r="Q17" s="114">
        <f>VLOOKUP(A17,'CMI Data'!$A$3:$Z$209,7,FALSE)</f>
        <v>0</v>
      </c>
      <c r="R17" s="120" t="e">
        <f>+'CMI Data'!$I$214</f>
        <v>#DIV/0!</v>
      </c>
      <c r="S17" s="106">
        <f>IF(Q17=0,'CMI Data'!$I$213,ROUND(Q17*R17,4))</f>
        <v>1.4061999999999999</v>
      </c>
      <c r="T17" s="105">
        <f>VLOOKUP(A17,'Rate Calculation'!$A$4:$DK$210,16,FALSE)</f>
        <v>171.5</v>
      </c>
      <c r="U17" s="105">
        <f>VLOOKUP(A17,'Rate Calculation'!$A$4:$DK$210,20,FALSE)</f>
        <v>0</v>
      </c>
      <c r="V17" s="113">
        <f t="shared" si="9"/>
        <v>0</v>
      </c>
      <c r="W17" s="105">
        <f t="shared" si="10"/>
        <v>0</v>
      </c>
      <c r="X17" s="111">
        <f t="shared" si="11"/>
        <v>0</v>
      </c>
      <c r="Y17" s="105">
        <f t="shared" si="12"/>
        <v>0</v>
      </c>
      <c r="Z17" s="105">
        <f t="shared" si="13"/>
        <v>233.91</v>
      </c>
      <c r="AA17" s="105">
        <f t="shared" si="14"/>
        <v>0</v>
      </c>
      <c r="AB17" s="111">
        <f t="shared" si="15"/>
        <v>-233.91</v>
      </c>
      <c r="AC17" s="105" t="e">
        <f t="shared" si="16"/>
        <v>#VALUE!</v>
      </c>
      <c r="AD17" s="105" t="e">
        <f t="shared" si="3"/>
        <v>#VALUE!</v>
      </c>
      <c r="AE17" s="105" t="e">
        <f t="shared" si="4"/>
        <v>#DIV/0!</v>
      </c>
      <c r="AF17" s="105" t="e">
        <f t="shared" si="17"/>
        <v>#VALUE!</v>
      </c>
      <c r="AG17" s="105" t="e">
        <f t="shared" si="5"/>
        <v>#VALUE!</v>
      </c>
      <c r="AH17" s="111"/>
      <c r="AI17" s="105"/>
      <c r="AJ17" s="105"/>
      <c r="AK17" s="109"/>
      <c r="AL17" s="109"/>
      <c r="AM17" s="109"/>
      <c r="AN17" s="109"/>
      <c r="AO17" s="105"/>
      <c r="AP17" s="105"/>
      <c r="AQ17" s="109"/>
      <c r="AR17" s="110"/>
      <c r="AS17" s="110"/>
      <c r="AT17" s="110"/>
      <c r="AU17" s="110"/>
      <c r="AV17" s="110"/>
      <c r="AW17" s="112"/>
      <c r="AX17" s="112"/>
      <c r="AY17" s="110"/>
      <c r="AZ17" s="105"/>
      <c r="BA17" s="105"/>
      <c r="BB17" s="105"/>
      <c r="BC17" s="105"/>
      <c r="BD17" s="105"/>
      <c r="BE17" s="105"/>
    </row>
    <row r="18" spans="1:57" x14ac:dyDescent="0.15">
      <c r="A18" s="101">
        <v>446</v>
      </c>
      <c r="B18" s="98" t="e">
        <f>VLOOKUP($A18,'Rate Calculation'!$A$4:$CS$210,68,FALSE)</f>
        <v>#REF!</v>
      </c>
      <c r="C18" s="98" t="str">
        <f>UPPER(VLOOKUP($A18,'Rate Calculation'!$A$4:$CL$210,69,FALSE))</f>
        <v>24987</v>
      </c>
      <c r="D18" s="104" t="str">
        <f>VLOOKUP($A18,'Rate Calculation'!$A$4:$AJ$210,5,FALSE)</f>
        <v>WASHINGTON METRO</v>
      </c>
      <c r="E18" s="104" t="str">
        <f>VLOOKUP($A18,'Rate Calculation'!$A$4:$AJ$210,6,FALSE)</f>
        <v>NON METRO</v>
      </c>
      <c r="F18" s="105">
        <f>VLOOKUP(A18,'Rate Calculation'!$A$3:$AT$210,35,FALSE)</f>
        <v>14268</v>
      </c>
      <c r="G18" s="105">
        <f>VLOOKUP(A18,'Rate Calculation'!$A$3:$AT$210,30,FALSE)</f>
        <v>23790</v>
      </c>
      <c r="H18" s="105">
        <f>VLOOKUP(A18,'Rate Calculation'!$A$3:$AW$210,36,FALSE)+VLOOKUP(A18,'Rate Calculation'!$A$3:$CC$210,42,FALSE)</f>
        <v>209674253</v>
      </c>
      <c r="I18" s="105">
        <f t="shared" si="6"/>
        <v>-30.96</v>
      </c>
      <c r="J18" s="105" t="str">
        <f>VLOOKUP(A18,'Rate Calculation'!$A$3:$BL$210,43,FALSE)</f>
        <v>Autumn Lake Healthcare at Braddock Heights</v>
      </c>
      <c r="K18" s="105">
        <f t="shared" si="7"/>
        <v>209712280.03999999</v>
      </c>
      <c r="L18" s="164">
        <f t="shared" si="1"/>
        <v>0.98772000000000004</v>
      </c>
      <c r="M18" s="105">
        <f t="shared" si="8"/>
        <v>207137013.24000001</v>
      </c>
      <c r="N18" s="105" t="e">
        <f>VLOOKUP(A18,'Rate Calculation'!$A$4:$DK$210,47,FALSE)</f>
        <v>#DIV/0!</v>
      </c>
      <c r="O18" s="106">
        <f>VLOOKUP(A18,'Rate Calculation'!$A$4:$DK$210,10,FALSE)</f>
        <v>1.0309999999999999</v>
      </c>
      <c r="P18" s="114">
        <f t="shared" si="2"/>
        <v>1.4432</v>
      </c>
      <c r="Q18" s="114">
        <f>VLOOKUP(A18,'CMI Data'!$A$3:$Z$209,7,FALSE)</f>
        <v>0</v>
      </c>
      <c r="R18" s="120" t="e">
        <f>+'CMI Data'!$I$214</f>
        <v>#DIV/0!</v>
      </c>
      <c r="S18" s="106">
        <f>IF(Q18=0,'CMI Data'!$I$213,ROUND(Q18*R18,4))</f>
        <v>1.4061999999999999</v>
      </c>
      <c r="T18" s="105">
        <f>VLOOKUP(A18,'Rate Calculation'!$A$4:$DK$210,16,FALSE)</f>
        <v>166.24</v>
      </c>
      <c r="U18" s="105">
        <f>VLOOKUP(A18,'Rate Calculation'!$A$4:$DK$210,20,FALSE)</f>
        <v>-31.77</v>
      </c>
      <c r="V18" s="113">
        <f t="shared" si="9"/>
        <v>-22.7</v>
      </c>
      <c r="W18" s="105">
        <f t="shared" si="10"/>
        <v>-30.96</v>
      </c>
      <c r="X18" s="111">
        <f t="shared" si="11"/>
        <v>0</v>
      </c>
      <c r="Y18" s="105">
        <f t="shared" si="12"/>
        <v>-30.96</v>
      </c>
      <c r="Z18" s="105">
        <f t="shared" si="13"/>
        <v>226.74</v>
      </c>
      <c r="AA18" s="105">
        <f t="shared" si="14"/>
        <v>-29.41</v>
      </c>
      <c r="AB18" s="111">
        <f t="shared" si="15"/>
        <v>-256.14999999999998</v>
      </c>
      <c r="AC18" s="105" t="e">
        <f t="shared" si="16"/>
        <v>#VALUE!</v>
      </c>
      <c r="AD18" s="105" t="e">
        <f t="shared" si="3"/>
        <v>#VALUE!</v>
      </c>
      <c r="AE18" s="105" t="e">
        <f t="shared" si="4"/>
        <v>#DIV/0!</v>
      </c>
      <c r="AF18" s="105" t="e">
        <f t="shared" si="17"/>
        <v>#VALUE!</v>
      </c>
      <c r="AG18" s="105" t="e">
        <f t="shared" si="5"/>
        <v>#VALUE!</v>
      </c>
      <c r="AH18" s="111"/>
      <c r="AI18" s="105"/>
      <c r="AJ18" s="105"/>
      <c r="AK18" s="109"/>
      <c r="AL18" s="109"/>
      <c r="AM18" s="109"/>
      <c r="AN18" s="109"/>
      <c r="AO18" s="105"/>
      <c r="AP18" s="105"/>
      <c r="AQ18" s="109"/>
      <c r="AR18" s="110"/>
      <c r="AS18" s="110"/>
      <c r="AT18" s="110"/>
      <c r="AU18" s="110"/>
      <c r="AV18" s="110"/>
      <c r="AW18" s="112"/>
      <c r="AX18" s="112"/>
      <c r="AY18" s="110"/>
      <c r="AZ18" s="105"/>
      <c r="BA18" s="105"/>
      <c r="BB18" s="105"/>
      <c r="BC18" s="105"/>
      <c r="BD18" s="105"/>
      <c r="BE18" s="105"/>
    </row>
    <row r="19" spans="1:57" x14ac:dyDescent="0.15">
      <c r="A19" s="101">
        <v>66</v>
      </c>
      <c r="B19" s="98" t="e">
        <f>VLOOKUP($A19,'Rate Calculation'!$A$4:$CS$210,68,FALSE)</f>
        <v>#REF!</v>
      </c>
      <c r="C19" s="98" t="str">
        <f>UPPER(VLOOKUP($A19,'Rate Calculation'!$A$4:$CL$210,69,FALSE))</f>
        <v>247679</v>
      </c>
      <c r="D19" s="104" t="str">
        <f>VLOOKUP($A19,'Rate Calculation'!$A$4:$AJ$210,5,FALSE)</f>
        <v>WASHINGTON METRO</v>
      </c>
      <c r="E19" s="104" t="str">
        <f>VLOOKUP($A19,'Rate Calculation'!$A$4:$AJ$210,6,FALSE)</f>
        <v>WASHINGTON METRO</v>
      </c>
      <c r="F19" s="105">
        <f>VLOOKUP(A19,'Rate Calculation'!$A$3:$AT$210,35,FALSE)</f>
        <v>46183</v>
      </c>
      <c r="G19" s="105">
        <f>VLOOKUP(A19,'Rate Calculation'!$A$3:$AT$210,30,FALSE)</f>
        <v>65880</v>
      </c>
      <c r="H19" s="105">
        <f>VLOOKUP(A19,'Rate Calculation'!$A$3:$AW$210,36,FALSE)+VLOOKUP(A19,'Rate Calculation'!$A$3:$CC$210,42,FALSE)</f>
        <v>999422191</v>
      </c>
      <c r="I19" s="105">
        <f t="shared" si="6"/>
        <v>-26.62</v>
      </c>
      <c r="J19" s="105" t="str">
        <f>VLOOKUP(A19,'Rate Calculation'!$A$3:$BL$210,43,FALSE)</f>
        <v>Autumn Lake Healthcare at Bradford Oaks</v>
      </c>
      <c r="K19" s="105">
        <f t="shared" si="7"/>
        <v>999534227.38</v>
      </c>
      <c r="L19" s="164">
        <f t="shared" si="1"/>
        <v>0.98772000000000004</v>
      </c>
      <c r="M19" s="105">
        <f t="shared" si="8"/>
        <v>987259947.07000005</v>
      </c>
      <c r="N19" s="105" t="e">
        <f>VLOOKUP(A19,'Rate Calculation'!$A$4:$DK$210,47,FALSE)</f>
        <v>#DIV/0!</v>
      </c>
      <c r="O19" s="106">
        <f>VLOOKUP(A19,'Rate Calculation'!$A$4:$DK$210,10,FALSE)</f>
        <v>1.0309999999999999</v>
      </c>
      <c r="P19" s="114">
        <f t="shared" si="2"/>
        <v>1.4432</v>
      </c>
      <c r="Q19" s="114">
        <f>VLOOKUP(A19,'CMI Data'!$A$3:$Z$209,7,FALSE)</f>
        <v>0</v>
      </c>
      <c r="R19" s="120" t="e">
        <f>+'CMI Data'!$I$214</f>
        <v>#DIV/0!</v>
      </c>
      <c r="S19" s="106">
        <f>IF(Q19=0,'CMI Data'!$I$213,ROUND(Q19*R19,4))</f>
        <v>1.4061999999999999</v>
      </c>
      <c r="T19" s="105">
        <f>VLOOKUP(A19,'Rate Calculation'!$A$4:$DK$210,16,FALSE)</f>
        <v>166.99</v>
      </c>
      <c r="U19" s="105">
        <f>VLOOKUP(A19,'Rate Calculation'!$A$4:$DK$210,20,FALSE)</f>
        <v>-27.33</v>
      </c>
      <c r="V19" s="113">
        <f t="shared" si="9"/>
        <v>-19.52</v>
      </c>
      <c r="W19" s="105">
        <f t="shared" si="10"/>
        <v>-26.62</v>
      </c>
      <c r="X19" s="111">
        <f t="shared" si="11"/>
        <v>0</v>
      </c>
      <c r="Y19" s="105">
        <f t="shared" si="12"/>
        <v>-26.62</v>
      </c>
      <c r="Z19" s="105">
        <f t="shared" si="13"/>
        <v>227.76</v>
      </c>
      <c r="AA19" s="105">
        <f t="shared" si="14"/>
        <v>-25.29</v>
      </c>
      <c r="AB19" s="111">
        <f t="shared" si="15"/>
        <v>-253.05</v>
      </c>
      <c r="AC19" s="105" t="e">
        <f t="shared" si="16"/>
        <v>#VALUE!</v>
      </c>
      <c r="AD19" s="105" t="e">
        <f t="shared" si="3"/>
        <v>#VALUE!</v>
      </c>
      <c r="AE19" s="105" t="e">
        <f t="shared" si="4"/>
        <v>#DIV/0!</v>
      </c>
      <c r="AF19" s="105" t="e">
        <f t="shared" si="17"/>
        <v>#VALUE!</v>
      </c>
      <c r="AG19" s="105" t="e">
        <f t="shared" si="5"/>
        <v>#VALUE!</v>
      </c>
      <c r="AH19" s="111"/>
      <c r="AI19" s="105"/>
      <c r="AJ19" s="105"/>
      <c r="AK19" s="109"/>
      <c r="AL19" s="109"/>
      <c r="AM19" s="109"/>
      <c r="AN19" s="109"/>
      <c r="AO19" s="105"/>
      <c r="AP19" s="105"/>
      <c r="AQ19" s="109"/>
      <c r="AR19" s="110"/>
      <c r="AS19" s="110"/>
      <c r="AT19" s="110"/>
      <c r="AU19" s="110"/>
      <c r="AV19" s="110"/>
      <c r="AW19" s="112"/>
      <c r="AX19" s="112"/>
      <c r="AY19" s="110"/>
      <c r="AZ19" s="105"/>
      <c r="BA19" s="105"/>
      <c r="BB19" s="105"/>
      <c r="BC19" s="105"/>
      <c r="BD19" s="105"/>
      <c r="BE19" s="105"/>
    </row>
    <row r="20" spans="1:57" x14ac:dyDescent="0.15">
      <c r="A20" s="101">
        <v>741</v>
      </c>
      <c r="B20" s="98" t="e">
        <f>VLOOKUP($A20,'Rate Calculation'!$A$4:$CS$210,68,FALSE)</f>
        <v>#REF!</v>
      </c>
      <c r="C20" s="98" t="str">
        <f>UPPER(VLOOKUP($A20,'Rate Calculation'!$A$4:$CL$210,69,FALSE))</f>
        <v>129076</v>
      </c>
      <c r="D20" s="104" t="str">
        <f>VLOOKUP($A20,'Rate Calculation'!$A$4:$AJ$210,5,FALSE)</f>
        <v>BALTIMORE METRO</v>
      </c>
      <c r="E20" s="104" t="str">
        <f>VLOOKUP($A20,'Rate Calculation'!$A$4:$AJ$210,6,FALSE)</f>
        <v>BALTIMORE CITY</v>
      </c>
      <c r="F20" s="105">
        <f>VLOOKUP(A20,'Rate Calculation'!$A$3:$AT$210,35,FALSE)</f>
        <v>26031</v>
      </c>
      <c r="G20" s="105">
        <f>VLOOKUP(A20,'Rate Calculation'!$A$3:$AT$210,30,FALSE)</f>
        <v>36234</v>
      </c>
      <c r="H20" s="105">
        <f>VLOOKUP(A20,'Rate Calculation'!$A$3:$AW$210,36,FALSE)+VLOOKUP(A20,'Rate Calculation'!$A$3:$CC$210,42,FALSE)</f>
        <v>510675341</v>
      </c>
      <c r="I20" s="105">
        <f t="shared" si="6"/>
        <v>0</v>
      </c>
      <c r="J20" s="105" t="str">
        <f>VLOOKUP(A20,'Rate Calculation'!$A$3:$BL$210,43,FALSE)</f>
        <v>Autumn Lake Healthcare at Bridgepark</v>
      </c>
      <c r="K20" s="105">
        <f t="shared" si="7"/>
        <v>510737606</v>
      </c>
      <c r="L20" s="164">
        <f t="shared" si="1"/>
        <v>0.98772000000000004</v>
      </c>
      <c r="M20" s="105">
        <f t="shared" si="8"/>
        <v>504465748.19999999</v>
      </c>
      <c r="N20" s="105" t="e">
        <f>VLOOKUP(A20,'Rate Calculation'!$A$4:$DK$210,47,FALSE)</f>
        <v>#DIV/0!</v>
      </c>
      <c r="O20" s="106">
        <f>VLOOKUP(A20,'Rate Calculation'!$A$4:$DK$210,10,FALSE)</f>
        <v>1.0309999999999999</v>
      </c>
      <c r="P20" s="114">
        <f t="shared" si="2"/>
        <v>1.4432</v>
      </c>
      <c r="Q20" s="114">
        <f>VLOOKUP(A20,'CMI Data'!$A$3:$Z$209,7,FALSE)</f>
        <v>0</v>
      </c>
      <c r="R20" s="120" t="e">
        <f>+'CMI Data'!$I$214</f>
        <v>#DIV/0!</v>
      </c>
      <c r="S20" s="106">
        <f>IF(Q20=0,'CMI Data'!$I$213,ROUND(Q20*R20,4))</f>
        <v>1.4061999999999999</v>
      </c>
      <c r="T20" s="105">
        <f>VLOOKUP(A20,'Rate Calculation'!$A$4:$DK$210,16,FALSE)</f>
        <v>212.47</v>
      </c>
      <c r="U20" s="105">
        <f>VLOOKUP(A20,'Rate Calculation'!$A$4:$DK$210,20,FALSE)</f>
        <v>0</v>
      </c>
      <c r="V20" s="113">
        <f t="shared" si="9"/>
        <v>0</v>
      </c>
      <c r="W20" s="105">
        <f t="shared" si="10"/>
        <v>0</v>
      </c>
      <c r="X20" s="111">
        <f t="shared" si="11"/>
        <v>0</v>
      </c>
      <c r="Y20" s="105">
        <f t="shared" si="12"/>
        <v>0</v>
      </c>
      <c r="Z20" s="105">
        <f t="shared" si="13"/>
        <v>289.79000000000002</v>
      </c>
      <c r="AA20" s="105">
        <f t="shared" si="14"/>
        <v>0</v>
      </c>
      <c r="AB20" s="111">
        <f t="shared" si="15"/>
        <v>-289.79000000000002</v>
      </c>
      <c r="AC20" s="105" t="e">
        <f t="shared" si="16"/>
        <v>#VALUE!</v>
      </c>
      <c r="AD20" s="105" t="e">
        <f t="shared" si="3"/>
        <v>#VALUE!</v>
      </c>
      <c r="AE20" s="105" t="e">
        <f t="shared" si="4"/>
        <v>#DIV/0!</v>
      </c>
      <c r="AF20" s="105" t="e">
        <f t="shared" si="17"/>
        <v>#VALUE!</v>
      </c>
      <c r="AG20" s="105" t="e">
        <f t="shared" si="5"/>
        <v>#VALUE!</v>
      </c>
      <c r="AH20" s="111"/>
      <c r="AI20" s="105"/>
      <c r="AJ20" s="105"/>
      <c r="AK20" s="109"/>
      <c r="AL20" s="109"/>
      <c r="AM20" s="109"/>
      <c r="AN20" s="109"/>
      <c r="AO20" s="105"/>
      <c r="AP20" s="105"/>
      <c r="AQ20" s="109"/>
      <c r="AR20" s="110"/>
      <c r="AS20" s="110"/>
      <c r="AT20" s="110"/>
      <c r="AU20" s="110"/>
      <c r="AV20" s="110"/>
      <c r="AW20" s="112"/>
      <c r="AX20" s="112"/>
      <c r="AY20" s="110"/>
      <c r="AZ20" s="105"/>
      <c r="BA20" s="105"/>
      <c r="BB20" s="105"/>
      <c r="BC20" s="105"/>
      <c r="BD20" s="105"/>
      <c r="BE20" s="105"/>
    </row>
    <row r="21" spans="1:57" x14ac:dyDescent="0.15">
      <c r="A21" s="101">
        <v>78</v>
      </c>
      <c r="B21" s="98" t="e">
        <f>VLOOKUP($A21,'Rate Calculation'!$A$4:$CS$210,68,FALSE)</f>
        <v>#REF!</v>
      </c>
      <c r="C21" s="98" t="str">
        <f>UPPER(VLOOKUP($A21,'Rate Calculation'!$A$4:$CL$210,69,FALSE))</f>
        <v>144420</v>
      </c>
      <c r="D21" s="104" t="str">
        <f>VLOOKUP($A21,'Rate Calculation'!$A$4:$AJ$210,5,FALSE)</f>
        <v>BALTIMORE METRO</v>
      </c>
      <c r="E21" s="104" t="str">
        <f>VLOOKUP($A21,'Rate Calculation'!$A$4:$AJ$210,6,FALSE)</f>
        <v>NON METRO</v>
      </c>
      <c r="F21" s="105">
        <f>VLOOKUP(A21,'Rate Calculation'!$A$3:$AT$210,35,FALSE)</f>
        <v>34096</v>
      </c>
      <c r="G21" s="105">
        <f>VLOOKUP(A21,'Rate Calculation'!$A$3:$AT$210,30,FALSE)</f>
        <v>52704</v>
      </c>
      <c r="H21" s="105">
        <f>VLOOKUP(A21,'Rate Calculation'!$A$3:$AW$210,36,FALSE)+VLOOKUP(A21,'Rate Calculation'!$A$3:$CC$210,42,FALSE)</f>
        <v>722086178</v>
      </c>
      <c r="I21" s="105">
        <f t="shared" si="6"/>
        <v>-13.03</v>
      </c>
      <c r="J21" s="105" t="str">
        <f>VLOOKUP(A21,'Rate Calculation'!$A$3:$BL$210,43,FALSE)</f>
        <v>Autumn Lake Healthcare at Calvert Manor</v>
      </c>
      <c r="K21" s="105">
        <f t="shared" si="7"/>
        <v>722172964.97000003</v>
      </c>
      <c r="L21" s="164">
        <f t="shared" si="1"/>
        <v>0.98772000000000004</v>
      </c>
      <c r="M21" s="105">
        <f t="shared" si="8"/>
        <v>713304680.96000004</v>
      </c>
      <c r="N21" s="105" t="e">
        <f>VLOOKUP(A21,'Rate Calculation'!$A$4:$DK$210,47,FALSE)</f>
        <v>#DIV/0!</v>
      </c>
      <c r="O21" s="106">
        <f>VLOOKUP(A21,'Rate Calculation'!$A$4:$DK$210,10,FALSE)</f>
        <v>1.0309999999999999</v>
      </c>
      <c r="P21" s="114">
        <f t="shared" si="2"/>
        <v>1.4432</v>
      </c>
      <c r="Q21" s="114">
        <f>VLOOKUP(A21,'CMI Data'!$A$3:$Z$209,7,FALSE)</f>
        <v>0</v>
      </c>
      <c r="R21" s="120" t="e">
        <f>+'CMI Data'!$I$214</f>
        <v>#DIV/0!</v>
      </c>
      <c r="S21" s="106">
        <f>IF(Q21=0,'CMI Data'!$I$213,ROUND(Q21*R21,4))</f>
        <v>1.4061999999999999</v>
      </c>
      <c r="T21" s="105">
        <f>VLOOKUP(A21,'Rate Calculation'!$A$4:$DK$210,16,FALSE)</f>
        <v>187.82</v>
      </c>
      <c r="U21" s="105">
        <f>VLOOKUP(A21,'Rate Calculation'!$A$4:$DK$210,20,FALSE)</f>
        <v>-13.37</v>
      </c>
      <c r="V21" s="113">
        <f t="shared" si="9"/>
        <v>-9.5500000000000007</v>
      </c>
      <c r="W21" s="105">
        <f t="shared" si="10"/>
        <v>-13.03</v>
      </c>
      <c r="X21" s="111">
        <f t="shared" si="11"/>
        <v>0</v>
      </c>
      <c r="Y21" s="105">
        <f t="shared" si="12"/>
        <v>-13.03</v>
      </c>
      <c r="Z21" s="105">
        <f t="shared" si="13"/>
        <v>256.17</v>
      </c>
      <c r="AA21" s="105">
        <f t="shared" si="14"/>
        <v>-12.38</v>
      </c>
      <c r="AB21" s="111">
        <f t="shared" si="15"/>
        <v>-268.55</v>
      </c>
      <c r="AC21" s="105" t="e">
        <f t="shared" si="16"/>
        <v>#VALUE!</v>
      </c>
      <c r="AD21" s="105" t="e">
        <f t="shared" si="3"/>
        <v>#VALUE!</v>
      </c>
      <c r="AE21" s="105" t="e">
        <f t="shared" si="4"/>
        <v>#DIV/0!</v>
      </c>
      <c r="AF21" s="105" t="e">
        <f t="shared" si="17"/>
        <v>#VALUE!</v>
      </c>
      <c r="AG21" s="105" t="e">
        <f t="shared" si="5"/>
        <v>#VALUE!</v>
      </c>
      <c r="AH21" s="111"/>
      <c r="AI21" s="105"/>
      <c r="AJ21" s="105"/>
      <c r="AK21" s="109"/>
      <c r="AL21" s="109"/>
      <c r="AM21" s="109"/>
      <c r="AN21" s="109"/>
      <c r="AO21" s="105"/>
      <c r="AP21" s="105"/>
      <c r="AQ21" s="109"/>
      <c r="AR21" s="110"/>
      <c r="AS21" s="110"/>
      <c r="AT21" s="110"/>
      <c r="AU21" s="110"/>
      <c r="AV21" s="110"/>
      <c r="AW21" s="112"/>
      <c r="AX21" s="112"/>
      <c r="AY21" s="110"/>
      <c r="AZ21" s="105"/>
      <c r="BA21" s="105"/>
      <c r="BB21" s="105"/>
      <c r="BC21" s="105"/>
      <c r="BD21" s="105"/>
      <c r="BE21" s="105"/>
    </row>
    <row r="22" spans="1:57" x14ac:dyDescent="0.15">
      <c r="A22" s="101">
        <v>88</v>
      </c>
      <c r="B22" s="98" t="e">
        <f>VLOOKUP($A22,'Rate Calculation'!$A$4:$CS$210,68,FALSE)</f>
        <v>#REF!</v>
      </c>
      <c r="C22" s="98" t="str">
        <f>UPPER(VLOOKUP($A22,'Rate Calculation'!$A$4:$CL$210,69,FALSE))</f>
        <v>60456</v>
      </c>
      <c r="D22" s="104" t="str">
        <f>VLOOKUP($A22,'Rate Calculation'!$A$4:$AJ$210,5,FALSE)</f>
        <v>BALTIMORE METRO</v>
      </c>
      <c r="E22" s="104" t="str">
        <f>VLOOKUP($A22,'Rate Calculation'!$A$4:$AJ$210,6,FALSE)</f>
        <v>BALTIMORE METRO</v>
      </c>
      <c r="F22" s="105">
        <f>VLOOKUP(A22,'Rate Calculation'!$A$3:$AT$210,35,FALSE)</f>
        <v>34585</v>
      </c>
      <c r="G22" s="105">
        <f>VLOOKUP(A22,'Rate Calculation'!$A$3:$AT$210,30,FALSE)</f>
        <v>49776</v>
      </c>
      <c r="H22" s="105">
        <f>VLOOKUP(A22,'Rate Calculation'!$A$3:$AW$210,36,FALSE)+VLOOKUP(A22,'Rate Calculation'!$A$3:$CC$210,42,FALSE)</f>
        <v>424994515</v>
      </c>
      <c r="I22" s="105">
        <f t="shared" si="6"/>
        <v>-9.81</v>
      </c>
      <c r="J22" s="105" t="str">
        <f>VLOOKUP(A22,'Rate Calculation'!$A$3:$BL$210,43,FALSE)</f>
        <v>Autumn Lake Healthcare at Catonsville</v>
      </c>
      <c r="K22" s="105">
        <f t="shared" si="7"/>
        <v>425078866.19</v>
      </c>
      <c r="L22" s="164">
        <f t="shared" si="1"/>
        <v>0.98772000000000004</v>
      </c>
      <c r="M22" s="105">
        <f t="shared" si="8"/>
        <v>419858897.70999998</v>
      </c>
      <c r="N22" s="105" t="e">
        <f>VLOOKUP(A22,'Rate Calculation'!$A$4:$DK$210,47,FALSE)</f>
        <v>#DIV/0!</v>
      </c>
      <c r="O22" s="106">
        <f>VLOOKUP(A22,'Rate Calculation'!$A$4:$DK$210,10,FALSE)</f>
        <v>1.0309999999999999</v>
      </c>
      <c r="P22" s="114">
        <f t="shared" si="2"/>
        <v>1.4432</v>
      </c>
      <c r="Q22" s="114">
        <f>VLOOKUP(A22,'CMI Data'!$A$3:$Z$209,7,FALSE)</f>
        <v>0</v>
      </c>
      <c r="R22" s="120" t="e">
        <f>+'CMI Data'!$I$214</f>
        <v>#DIV/0!</v>
      </c>
      <c r="S22" s="106">
        <f>IF(Q22=0,'CMI Data'!$I$213,ROUND(Q22*R22,4))</f>
        <v>1.4061999999999999</v>
      </c>
      <c r="T22" s="105">
        <f>VLOOKUP(A22,'Rate Calculation'!$A$4:$DK$210,16,FALSE)</f>
        <v>185.22</v>
      </c>
      <c r="U22" s="105">
        <f>VLOOKUP(A22,'Rate Calculation'!$A$4:$DK$210,20,FALSE)</f>
        <v>-10.06</v>
      </c>
      <c r="V22" s="113">
        <f t="shared" si="9"/>
        <v>-7.19</v>
      </c>
      <c r="W22" s="105">
        <f t="shared" si="10"/>
        <v>-9.81</v>
      </c>
      <c r="X22" s="111">
        <f t="shared" si="11"/>
        <v>0</v>
      </c>
      <c r="Y22" s="105">
        <f t="shared" si="12"/>
        <v>-9.81</v>
      </c>
      <c r="Z22" s="105">
        <f t="shared" si="13"/>
        <v>252.62</v>
      </c>
      <c r="AA22" s="105">
        <f t="shared" si="14"/>
        <v>-9.32</v>
      </c>
      <c r="AB22" s="111">
        <f t="shared" si="15"/>
        <v>-261.94</v>
      </c>
      <c r="AC22" s="105" t="e">
        <f t="shared" si="16"/>
        <v>#VALUE!</v>
      </c>
      <c r="AD22" s="105" t="e">
        <f t="shared" si="3"/>
        <v>#VALUE!</v>
      </c>
      <c r="AE22" s="105" t="e">
        <f t="shared" si="4"/>
        <v>#DIV/0!</v>
      </c>
      <c r="AF22" s="105" t="e">
        <f t="shared" si="17"/>
        <v>#VALUE!</v>
      </c>
      <c r="AG22" s="105" t="e">
        <f t="shared" si="5"/>
        <v>#VALUE!</v>
      </c>
      <c r="AH22" s="111"/>
      <c r="AI22" s="105"/>
      <c r="AJ22" s="105"/>
      <c r="AK22" s="109"/>
      <c r="AL22" s="109"/>
      <c r="AM22" s="109"/>
      <c r="AN22" s="109"/>
      <c r="AO22" s="105"/>
      <c r="AP22" s="105"/>
      <c r="AQ22" s="109"/>
      <c r="AR22" s="110"/>
      <c r="AS22" s="110"/>
      <c r="AT22" s="110"/>
      <c r="AU22" s="110"/>
      <c r="AV22" s="110"/>
      <c r="AW22" s="112"/>
      <c r="AX22" s="112"/>
      <c r="AY22" s="110"/>
      <c r="AZ22" s="105"/>
      <c r="BA22" s="105"/>
      <c r="BB22" s="105"/>
      <c r="BC22" s="105"/>
      <c r="BD22" s="105"/>
      <c r="BE22" s="105"/>
    </row>
    <row r="23" spans="1:57" x14ac:dyDescent="0.15">
      <c r="A23" s="101">
        <v>98</v>
      </c>
      <c r="B23" s="98" t="e">
        <f>VLOOKUP($A23,'Rate Calculation'!$A$4:$CS$210,68,FALSE)</f>
        <v>#REF!</v>
      </c>
      <c r="C23" s="98" t="str">
        <f>UPPER(VLOOKUP($A23,'Rate Calculation'!$A$4:$CL$210,69,FALSE))</f>
        <v>206748</v>
      </c>
      <c r="D23" s="104" t="str">
        <f>VLOOKUP($A23,'Rate Calculation'!$A$4:$AJ$210,5,FALSE)</f>
        <v>WASHINGTON METRO</v>
      </c>
      <c r="E23" s="104" t="str">
        <f>VLOOKUP($A23,'Rate Calculation'!$A$4:$AJ$210,6,FALSE)</f>
        <v>WASHINGTON METRO</v>
      </c>
      <c r="F23" s="105">
        <f>VLOOKUP(A23,'Rate Calculation'!$A$3:$AT$210,35,FALSE)</f>
        <v>38724</v>
      </c>
      <c r="G23" s="105">
        <f>VLOOKUP(A23,'Rate Calculation'!$A$3:$AT$210,30,FALSE)</f>
        <v>56730</v>
      </c>
      <c r="H23" s="105">
        <f>VLOOKUP(A23,'Rate Calculation'!$A$3:$AW$210,36,FALSE)+VLOOKUP(A23,'Rate Calculation'!$A$3:$CC$210,42,FALSE)</f>
        <v>160086395</v>
      </c>
      <c r="I23" s="105">
        <f t="shared" si="6"/>
        <v>-23.13</v>
      </c>
      <c r="J23" s="105" t="str">
        <f>VLOOKUP(A23,'Rate Calculation'!$A$3:$BL$210,43,FALSE)</f>
        <v>Autumn Lake Healthcare at Cherry Lane</v>
      </c>
      <c r="K23" s="105">
        <f t="shared" si="7"/>
        <v>160181825.87</v>
      </c>
      <c r="L23" s="164">
        <f t="shared" si="1"/>
        <v>0.98772000000000004</v>
      </c>
      <c r="M23" s="105">
        <f t="shared" si="8"/>
        <v>158214793.05000001</v>
      </c>
      <c r="N23" s="105" t="e">
        <f>VLOOKUP(A23,'Rate Calculation'!$A$4:$DK$210,47,FALSE)</f>
        <v>#DIV/0!</v>
      </c>
      <c r="O23" s="106">
        <f>VLOOKUP(A23,'Rate Calculation'!$A$4:$DK$210,10,FALSE)</f>
        <v>1.0309999999999999</v>
      </c>
      <c r="P23" s="114">
        <f t="shared" si="2"/>
        <v>1.4432</v>
      </c>
      <c r="Q23" s="114">
        <f>VLOOKUP(A23,'CMI Data'!$A$3:$Z$209,7,FALSE)</f>
        <v>0</v>
      </c>
      <c r="R23" s="120" t="e">
        <f>+'CMI Data'!$I$214</f>
        <v>#DIV/0!</v>
      </c>
      <c r="S23" s="106">
        <f>IF(Q23=0,'CMI Data'!$I$213,ROUND(Q23*R23,4))</f>
        <v>1.4061999999999999</v>
      </c>
      <c r="T23" s="105">
        <f>VLOOKUP(A23,'Rate Calculation'!$A$4:$DK$210,16,FALSE)</f>
        <v>188.83</v>
      </c>
      <c r="U23" s="105">
        <f>VLOOKUP(A23,'Rate Calculation'!$A$4:$DK$210,20,FALSE)</f>
        <v>-23.74</v>
      </c>
      <c r="V23" s="113">
        <f t="shared" si="9"/>
        <v>-16.96</v>
      </c>
      <c r="W23" s="105">
        <f t="shared" si="10"/>
        <v>-23.13</v>
      </c>
      <c r="X23" s="111">
        <f t="shared" si="11"/>
        <v>0</v>
      </c>
      <c r="Y23" s="105">
        <f t="shared" si="12"/>
        <v>-23.13</v>
      </c>
      <c r="Z23" s="105">
        <f t="shared" si="13"/>
        <v>257.55</v>
      </c>
      <c r="AA23" s="105">
        <f t="shared" si="14"/>
        <v>-21.97</v>
      </c>
      <c r="AB23" s="111">
        <f t="shared" si="15"/>
        <v>-279.52</v>
      </c>
      <c r="AC23" s="105" t="e">
        <f t="shared" si="16"/>
        <v>#VALUE!</v>
      </c>
      <c r="AD23" s="105" t="e">
        <f t="shared" si="3"/>
        <v>#VALUE!</v>
      </c>
      <c r="AE23" s="105" t="e">
        <f t="shared" si="4"/>
        <v>#DIV/0!</v>
      </c>
      <c r="AF23" s="105" t="e">
        <f t="shared" si="17"/>
        <v>#VALUE!</v>
      </c>
      <c r="AG23" s="105" t="e">
        <f t="shared" si="5"/>
        <v>#VALUE!</v>
      </c>
      <c r="AH23" s="111"/>
      <c r="AI23" s="105"/>
      <c r="AJ23" s="105"/>
      <c r="AK23" s="109"/>
      <c r="AL23" s="109"/>
      <c r="AM23" s="109"/>
      <c r="AN23" s="109"/>
      <c r="AO23" s="105"/>
      <c r="AP23" s="105"/>
      <c r="AQ23" s="109"/>
      <c r="AR23" s="110"/>
      <c r="AS23" s="110"/>
      <c r="AT23" s="110"/>
      <c r="AU23" s="110"/>
      <c r="AV23" s="110"/>
      <c r="AW23" s="112"/>
      <c r="AX23" s="112"/>
      <c r="AY23" s="110"/>
      <c r="AZ23" s="105"/>
      <c r="BA23" s="105"/>
      <c r="BB23" s="105"/>
      <c r="BC23" s="105"/>
      <c r="BD23" s="105"/>
      <c r="BE23" s="105"/>
    </row>
    <row r="24" spans="1:57" x14ac:dyDescent="0.15">
      <c r="A24" s="101">
        <v>100</v>
      </c>
      <c r="B24" s="98" t="e">
        <f>VLOOKUP($A24,'Rate Calculation'!$A$4:$CS$210,68,FALSE)</f>
        <v>#REF!</v>
      </c>
      <c r="C24" s="98" t="str">
        <f>UPPER(VLOOKUP($A24,'Rate Calculation'!$A$4:$CL$210,69,FALSE))</f>
        <v>67211</v>
      </c>
      <c r="D24" s="104" t="str">
        <f>VLOOKUP($A24,'Rate Calculation'!$A$4:$AJ$210,5,FALSE)</f>
        <v>EASTERN REGION</v>
      </c>
      <c r="E24" s="104" t="str">
        <f>VLOOKUP($A24,'Rate Calculation'!$A$4:$AJ$210,6,FALSE)</f>
        <v>NON METRO</v>
      </c>
      <c r="F24" s="105">
        <f>VLOOKUP(A24,'Rate Calculation'!$A$3:$AT$210,35,FALSE)</f>
        <v>26315</v>
      </c>
      <c r="G24" s="105">
        <f>VLOOKUP(A24,'Rate Calculation'!$A$3:$AT$210,30,FALSE)</f>
        <v>35868</v>
      </c>
      <c r="H24" s="105">
        <f>VLOOKUP(A24,'Rate Calculation'!$A$3:$AW$210,36,FALSE)+VLOOKUP(A24,'Rate Calculation'!$A$3:$CC$210,42,FALSE)</f>
        <v>999394844</v>
      </c>
      <c r="I24" s="105">
        <f t="shared" si="6"/>
        <v>-36.14</v>
      </c>
      <c r="J24" s="105" t="str">
        <f>VLOOKUP(A24,'Rate Calculation'!$A$3:$BL$210,43,FALSE)</f>
        <v>Autumn Lake Healthcare at Chesapeake Woods</v>
      </c>
      <c r="K24" s="105">
        <f t="shared" si="7"/>
        <v>999456990.86000001</v>
      </c>
      <c r="L24" s="164">
        <f t="shared" si="1"/>
        <v>0.98772000000000004</v>
      </c>
      <c r="M24" s="105">
        <f t="shared" si="8"/>
        <v>987183659.00999999</v>
      </c>
      <c r="N24" s="105" t="e">
        <f>VLOOKUP(A24,'Rate Calculation'!$A$4:$DK$210,47,FALSE)</f>
        <v>#DIV/0!</v>
      </c>
      <c r="O24" s="106">
        <f>VLOOKUP(A24,'Rate Calculation'!$A$4:$DK$210,10,FALSE)</f>
        <v>1.0309999999999999</v>
      </c>
      <c r="P24" s="114">
        <f t="shared" si="2"/>
        <v>1.4432</v>
      </c>
      <c r="Q24" s="114">
        <f>VLOOKUP(A24,'CMI Data'!$A$3:$Z$209,7,FALSE)</f>
        <v>0</v>
      </c>
      <c r="R24" s="120" t="e">
        <f>+'CMI Data'!$I$214</f>
        <v>#DIV/0!</v>
      </c>
      <c r="S24" s="106">
        <f>IF(Q24=0,'CMI Data'!$I$213,ROUND(Q24*R24,4))</f>
        <v>1.4061999999999999</v>
      </c>
      <c r="T24" s="105">
        <f>VLOOKUP(A24,'Rate Calculation'!$A$4:$DK$210,16,FALSE)</f>
        <v>179.97</v>
      </c>
      <c r="U24" s="105">
        <f>VLOOKUP(A24,'Rate Calculation'!$A$4:$DK$210,20,FALSE)</f>
        <v>-37.1</v>
      </c>
      <c r="V24" s="113">
        <f t="shared" si="9"/>
        <v>-26.5</v>
      </c>
      <c r="W24" s="105">
        <f t="shared" si="10"/>
        <v>-36.14</v>
      </c>
      <c r="X24" s="111">
        <f t="shared" si="11"/>
        <v>0</v>
      </c>
      <c r="Y24" s="105">
        <f t="shared" si="12"/>
        <v>-36.14</v>
      </c>
      <c r="Z24" s="105">
        <f t="shared" si="13"/>
        <v>245.46</v>
      </c>
      <c r="AA24" s="105">
        <f t="shared" si="14"/>
        <v>-34.33</v>
      </c>
      <c r="AB24" s="111">
        <f t="shared" si="15"/>
        <v>-279.79000000000002</v>
      </c>
      <c r="AC24" s="105" t="e">
        <f t="shared" si="16"/>
        <v>#VALUE!</v>
      </c>
      <c r="AD24" s="105" t="e">
        <f t="shared" si="3"/>
        <v>#VALUE!</v>
      </c>
      <c r="AE24" s="105" t="e">
        <f t="shared" si="4"/>
        <v>#DIV/0!</v>
      </c>
      <c r="AF24" s="105" t="e">
        <f t="shared" si="17"/>
        <v>#VALUE!</v>
      </c>
      <c r="AG24" s="105" t="e">
        <f t="shared" si="5"/>
        <v>#VALUE!</v>
      </c>
      <c r="AH24" s="111"/>
      <c r="AI24" s="105"/>
      <c r="AJ24" s="105"/>
      <c r="AK24" s="109"/>
      <c r="AL24" s="109"/>
      <c r="AM24" s="109"/>
      <c r="AN24" s="109"/>
      <c r="AO24" s="105"/>
      <c r="AP24" s="105"/>
      <c r="AQ24" s="109"/>
      <c r="AR24" s="110"/>
      <c r="AS24" s="110"/>
      <c r="AT24" s="110"/>
      <c r="AU24" s="110"/>
      <c r="AV24" s="110"/>
      <c r="AW24" s="112"/>
      <c r="AX24" s="112"/>
      <c r="AY24" s="110"/>
      <c r="AZ24" s="105"/>
      <c r="BA24" s="105"/>
      <c r="BB24" s="105"/>
      <c r="BC24" s="105"/>
      <c r="BD24" s="105"/>
      <c r="BE24" s="105"/>
    </row>
    <row r="25" spans="1:57" x14ac:dyDescent="0.15">
      <c r="A25" s="101">
        <v>310</v>
      </c>
      <c r="B25" s="98" t="e">
        <f>VLOOKUP($A25,'Rate Calculation'!$A$4:$CS$210,68,FALSE)</f>
        <v>#REF!</v>
      </c>
      <c r="C25" s="98" t="str">
        <f>UPPER(VLOOKUP($A25,'Rate Calculation'!$A$4:$CL$210,69,FALSE))</f>
        <v>182549</v>
      </c>
      <c r="D25" s="104" t="str">
        <f>VLOOKUP($A25,'Rate Calculation'!$A$4:$AJ$210,5,FALSE)</f>
        <v>WASHINGTON METRO</v>
      </c>
      <c r="E25" s="104" t="str">
        <f>VLOOKUP($A25,'Rate Calculation'!$A$4:$AJ$210,6,FALSE)</f>
        <v>WASHINGTON METRO</v>
      </c>
      <c r="F25" s="105">
        <f>VLOOKUP(A25,'Rate Calculation'!$A$3:$AT$210,35,FALSE)</f>
        <v>29843</v>
      </c>
      <c r="G25" s="105">
        <f>VLOOKUP(A25,'Rate Calculation'!$A$3:$AT$210,30,FALSE)</f>
        <v>62952</v>
      </c>
      <c r="H25" s="105">
        <f>VLOOKUP(A25,'Rate Calculation'!$A$3:$AW$210,36,FALSE)+VLOOKUP(A25,'Rate Calculation'!$A$3:$CC$210,42,FALSE)</f>
        <v>887708227</v>
      </c>
      <c r="I25" s="105">
        <f t="shared" si="6"/>
        <v>0</v>
      </c>
      <c r="J25" s="105" t="str">
        <f>VLOOKUP(A25,'Rate Calculation'!$A$3:$BL$210,43,FALSE)</f>
        <v>Autumn Lake Healthcare at Chevy Chase</v>
      </c>
      <c r="K25" s="105">
        <f t="shared" si="7"/>
        <v>887801022</v>
      </c>
      <c r="L25" s="164">
        <f t="shared" si="1"/>
        <v>0.98772000000000004</v>
      </c>
      <c r="M25" s="105">
        <f t="shared" si="8"/>
        <v>876898825.45000005</v>
      </c>
      <c r="N25" s="105" t="e">
        <f>VLOOKUP(A25,'Rate Calculation'!$A$4:$DK$210,47,FALSE)</f>
        <v>#DIV/0!</v>
      </c>
      <c r="O25" s="106">
        <f>VLOOKUP(A25,'Rate Calculation'!$A$4:$DK$210,10,FALSE)</f>
        <v>1.0309999999999999</v>
      </c>
      <c r="P25" s="114">
        <f t="shared" si="2"/>
        <v>1.4432</v>
      </c>
      <c r="Q25" s="114">
        <f>VLOOKUP(A25,'CMI Data'!$A$3:$Z$209,7,FALSE)</f>
        <v>0</v>
      </c>
      <c r="R25" s="120" t="e">
        <f>+'CMI Data'!$I$214</f>
        <v>#DIV/0!</v>
      </c>
      <c r="S25" s="106">
        <f>IF(Q25=0,'CMI Data'!$I$213,ROUND(Q25*R25,4))</f>
        <v>1.4061999999999999</v>
      </c>
      <c r="T25" s="105">
        <f>VLOOKUP(A25,'Rate Calculation'!$A$4:$DK$210,16,FALSE)</f>
        <v>162.02000000000001</v>
      </c>
      <c r="U25" s="105">
        <f>VLOOKUP(A25,'Rate Calculation'!$A$4:$DK$210,20,FALSE)</f>
        <v>0</v>
      </c>
      <c r="V25" s="113">
        <f t="shared" si="9"/>
        <v>0</v>
      </c>
      <c r="W25" s="105">
        <f t="shared" si="10"/>
        <v>0</v>
      </c>
      <c r="X25" s="111">
        <f t="shared" si="11"/>
        <v>0</v>
      </c>
      <c r="Y25" s="105">
        <f t="shared" si="12"/>
        <v>0</v>
      </c>
      <c r="Z25" s="105">
        <f t="shared" si="13"/>
        <v>220.98</v>
      </c>
      <c r="AA25" s="105">
        <f t="shared" si="14"/>
        <v>0</v>
      </c>
      <c r="AB25" s="111">
        <f t="shared" si="15"/>
        <v>-220.98</v>
      </c>
      <c r="AC25" s="105" t="e">
        <f t="shared" si="16"/>
        <v>#VALUE!</v>
      </c>
      <c r="AD25" s="105" t="e">
        <f t="shared" si="3"/>
        <v>#VALUE!</v>
      </c>
      <c r="AE25" s="105" t="e">
        <f t="shared" si="4"/>
        <v>#DIV/0!</v>
      </c>
      <c r="AF25" s="105" t="e">
        <f t="shared" si="17"/>
        <v>#VALUE!</v>
      </c>
      <c r="AG25" s="105" t="e">
        <f t="shared" si="5"/>
        <v>#VALUE!</v>
      </c>
      <c r="AH25" s="111"/>
      <c r="AI25" s="105"/>
      <c r="AJ25" s="105"/>
      <c r="AK25" s="109"/>
      <c r="AL25" s="109"/>
      <c r="AM25" s="109"/>
      <c r="AN25" s="109"/>
      <c r="AO25" s="105"/>
      <c r="AP25" s="105"/>
      <c r="AQ25" s="109"/>
      <c r="AR25" s="110"/>
      <c r="AS25" s="110"/>
      <c r="AT25" s="110"/>
      <c r="AU25" s="110"/>
      <c r="AV25" s="110"/>
      <c r="AW25" s="112"/>
      <c r="AX25" s="112"/>
      <c r="AY25" s="110"/>
      <c r="AZ25" s="105"/>
      <c r="BA25" s="105"/>
      <c r="BB25" s="105"/>
      <c r="BC25" s="105"/>
      <c r="BD25" s="105"/>
      <c r="BE25" s="105"/>
    </row>
    <row r="26" spans="1:57" x14ac:dyDescent="0.15">
      <c r="A26" s="101">
        <v>132</v>
      </c>
      <c r="B26" s="98" t="e">
        <f>VLOOKUP($A26,'Rate Calculation'!$A$4:$CS$210,68,FALSE)</f>
        <v>#REF!</v>
      </c>
      <c r="C26" s="98" t="str">
        <f>UPPER(VLOOKUP($A26,'Rate Calculation'!$A$4:$CL$210,69,FALSE))</f>
        <v>125724</v>
      </c>
      <c r="D26" s="104" t="str">
        <f>VLOOKUP($A26,'Rate Calculation'!$A$4:$AJ$210,5,FALSE)</f>
        <v>BALTIMORE METRO</v>
      </c>
      <c r="E26" s="104" t="str">
        <f>VLOOKUP($A26,'Rate Calculation'!$A$4:$AJ$210,6,FALSE)</f>
        <v>BALTIMORE METRO</v>
      </c>
      <c r="F26" s="105">
        <f>VLOOKUP(A26,'Rate Calculation'!$A$3:$AT$210,35,FALSE)</f>
        <v>32808</v>
      </c>
      <c r="G26" s="105">
        <f>VLOOKUP(A26,'Rate Calculation'!$A$3:$AT$210,30,FALSE)</f>
        <v>65880</v>
      </c>
      <c r="H26" s="105">
        <f>VLOOKUP(A26,'Rate Calculation'!$A$3:$AW$210,36,FALSE)+VLOOKUP(A26,'Rate Calculation'!$A$3:$CC$210,42,FALSE)</f>
        <v>785663135</v>
      </c>
      <c r="I26" s="105">
        <f t="shared" si="6"/>
        <v>-16.07</v>
      </c>
      <c r="J26" s="105" t="str">
        <f>VLOOKUP(A26,'Rate Calculation'!$A$3:$BL$210,43,FALSE)</f>
        <v>Autumn Lake Healthcare at Crofton</v>
      </c>
      <c r="K26" s="105">
        <f t="shared" si="7"/>
        <v>785761806.92999995</v>
      </c>
      <c r="L26" s="164">
        <f t="shared" si="1"/>
        <v>0.98772000000000004</v>
      </c>
      <c r="M26" s="105">
        <f t="shared" si="8"/>
        <v>776112651.94000006</v>
      </c>
      <c r="N26" s="105" t="e">
        <f>VLOOKUP(A26,'Rate Calculation'!$A$4:$DK$210,47,FALSE)</f>
        <v>#DIV/0!</v>
      </c>
      <c r="O26" s="106">
        <f>VLOOKUP(A26,'Rate Calculation'!$A$4:$DK$210,10,FALSE)</f>
        <v>1.0309999999999999</v>
      </c>
      <c r="P26" s="114">
        <f t="shared" si="2"/>
        <v>1.4432</v>
      </c>
      <c r="Q26" s="114">
        <f>VLOOKUP(A26,'CMI Data'!$A$3:$Z$209,7,FALSE)</f>
        <v>0</v>
      </c>
      <c r="R26" s="120" t="e">
        <f>+'CMI Data'!$I$214</f>
        <v>#DIV/0!</v>
      </c>
      <c r="S26" s="106">
        <f>IF(Q26=0,'CMI Data'!$I$213,ROUND(Q26*R26,4))</f>
        <v>1.4061999999999999</v>
      </c>
      <c r="T26" s="105">
        <f>VLOOKUP(A26,'Rate Calculation'!$A$4:$DK$210,16,FALSE)</f>
        <v>201.68</v>
      </c>
      <c r="U26" s="105">
        <f>VLOOKUP(A26,'Rate Calculation'!$A$4:$DK$210,20,FALSE)</f>
        <v>-16.489999999999998</v>
      </c>
      <c r="V26" s="113">
        <f t="shared" si="9"/>
        <v>-11.78</v>
      </c>
      <c r="W26" s="105">
        <f t="shared" si="10"/>
        <v>-16.07</v>
      </c>
      <c r="X26" s="111">
        <f t="shared" si="11"/>
        <v>0</v>
      </c>
      <c r="Y26" s="105">
        <f t="shared" si="12"/>
        <v>-16.07</v>
      </c>
      <c r="Z26" s="105">
        <f t="shared" si="13"/>
        <v>275.08</v>
      </c>
      <c r="AA26" s="105">
        <f t="shared" si="14"/>
        <v>-15.27</v>
      </c>
      <c r="AB26" s="111">
        <f t="shared" si="15"/>
        <v>-290.35000000000002</v>
      </c>
      <c r="AC26" s="105" t="e">
        <f t="shared" si="16"/>
        <v>#VALUE!</v>
      </c>
      <c r="AD26" s="105" t="e">
        <f t="shared" si="3"/>
        <v>#VALUE!</v>
      </c>
      <c r="AE26" s="105" t="e">
        <f t="shared" si="4"/>
        <v>#DIV/0!</v>
      </c>
      <c r="AF26" s="105" t="e">
        <f t="shared" si="17"/>
        <v>#VALUE!</v>
      </c>
      <c r="AG26" s="105" t="e">
        <f t="shared" si="5"/>
        <v>#VALUE!</v>
      </c>
      <c r="AH26" s="111"/>
      <c r="AI26" s="105"/>
      <c r="AJ26" s="105"/>
      <c r="AK26" s="109"/>
      <c r="AL26" s="109"/>
      <c r="AM26" s="109"/>
      <c r="AN26" s="109"/>
      <c r="AO26" s="105"/>
      <c r="AP26" s="105"/>
      <c r="AQ26" s="109"/>
      <c r="AR26" s="110"/>
      <c r="AS26" s="110"/>
      <c r="AT26" s="110"/>
      <c r="AU26" s="110"/>
      <c r="AV26" s="110"/>
      <c r="AW26" s="112"/>
      <c r="AX26" s="112"/>
      <c r="AY26" s="110"/>
      <c r="AZ26" s="105"/>
      <c r="BA26" s="105"/>
      <c r="BB26" s="105"/>
      <c r="BC26" s="105"/>
      <c r="BD26" s="105"/>
      <c r="BE26" s="105"/>
    </row>
    <row r="27" spans="1:57" x14ac:dyDescent="0.15">
      <c r="A27" s="101">
        <v>198</v>
      </c>
      <c r="B27" s="98" t="e">
        <f>VLOOKUP($A27,'Rate Calculation'!$A$4:$CS$210,68,FALSE)</f>
        <v>#REF!</v>
      </c>
      <c r="C27" s="98" t="str">
        <f>UPPER(VLOOKUP($A27,'Rate Calculation'!$A$4:$CL$210,69,FALSE))</f>
        <v>139023</v>
      </c>
      <c r="D27" s="104" t="str">
        <f>VLOOKUP($A27,'Rate Calculation'!$A$4:$AJ$210,5,FALSE)</f>
        <v>WASHINGTON METRO</v>
      </c>
      <c r="E27" s="104" t="str">
        <f>VLOOKUP($A27,'Rate Calculation'!$A$4:$AJ$210,6,FALSE)</f>
        <v>NON METRO</v>
      </c>
      <c r="F27" s="105">
        <f>VLOOKUP(A27,'Rate Calculation'!$A$3:$AT$210,35,FALSE)</f>
        <v>27527</v>
      </c>
      <c r="G27" s="105">
        <f>VLOOKUP(A27,'Rate Calculation'!$A$3:$AT$210,30,FALSE)</f>
        <v>45384</v>
      </c>
      <c r="H27" s="105">
        <f>VLOOKUP(A27,'Rate Calculation'!$A$3:$AW$210,36,FALSE)+VLOOKUP(A27,'Rate Calculation'!$A$3:$CC$210,42,FALSE)</f>
        <v>566061260</v>
      </c>
      <c r="I27" s="105">
        <f t="shared" si="6"/>
        <v>0</v>
      </c>
      <c r="J27" s="105" t="str">
        <f>VLOOKUP(A27,'Rate Calculation'!$A$3:$BL$210,43,FALSE)</f>
        <v>Autumn Lake Healthcare at Glade Valley</v>
      </c>
      <c r="K27" s="105">
        <f t="shared" si="7"/>
        <v>566134171</v>
      </c>
      <c r="L27" s="164">
        <f t="shared" si="1"/>
        <v>0.98772000000000004</v>
      </c>
      <c r="M27" s="105">
        <f t="shared" si="8"/>
        <v>559182043.38</v>
      </c>
      <c r="N27" s="105" t="e">
        <f>VLOOKUP(A27,'Rate Calculation'!$A$4:$DK$210,47,FALSE)</f>
        <v>#DIV/0!</v>
      </c>
      <c r="O27" s="106">
        <f>VLOOKUP(A27,'Rate Calculation'!$A$4:$DK$210,10,FALSE)</f>
        <v>1.0309999999999999</v>
      </c>
      <c r="P27" s="114">
        <f t="shared" si="2"/>
        <v>1.4432</v>
      </c>
      <c r="Q27" s="114">
        <f>VLOOKUP(A27,'CMI Data'!$A$3:$Z$209,7,FALSE)</f>
        <v>0</v>
      </c>
      <c r="R27" s="120" t="e">
        <f>+'CMI Data'!$I$214</f>
        <v>#DIV/0!</v>
      </c>
      <c r="S27" s="106">
        <f>IF(Q27=0,'CMI Data'!$I$213,ROUND(Q27*R27,4))</f>
        <v>1.4061999999999999</v>
      </c>
      <c r="T27" s="105">
        <f>VLOOKUP(A27,'Rate Calculation'!$A$4:$DK$210,16,FALSE)</f>
        <v>177.28</v>
      </c>
      <c r="U27" s="105">
        <f>VLOOKUP(A27,'Rate Calculation'!$A$4:$DK$210,20,FALSE)</f>
        <v>0</v>
      </c>
      <c r="V27" s="113">
        <f t="shared" si="9"/>
        <v>0</v>
      </c>
      <c r="W27" s="105">
        <f t="shared" si="10"/>
        <v>0</v>
      </c>
      <c r="X27" s="111">
        <f t="shared" si="11"/>
        <v>0</v>
      </c>
      <c r="Y27" s="105">
        <f t="shared" si="12"/>
        <v>0</v>
      </c>
      <c r="Z27" s="105">
        <f t="shared" si="13"/>
        <v>241.8</v>
      </c>
      <c r="AA27" s="105">
        <f t="shared" si="14"/>
        <v>0</v>
      </c>
      <c r="AB27" s="111">
        <f t="shared" si="15"/>
        <v>-241.8</v>
      </c>
      <c r="AC27" s="105" t="e">
        <f t="shared" si="16"/>
        <v>#VALUE!</v>
      </c>
      <c r="AD27" s="105" t="e">
        <f t="shared" si="3"/>
        <v>#VALUE!</v>
      </c>
      <c r="AE27" s="105" t="e">
        <f t="shared" si="4"/>
        <v>#DIV/0!</v>
      </c>
      <c r="AF27" s="105" t="e">
        <f t="shared" si="17"/>
        <v>#VALUE!</v>
      </c>
      <c r="AG27" s="105" t="e">
        <f t="shared" si="5"/>
        <v>#VALUE!</v>
      </c>
      <c r="AH27" s="111"/>
      <c r="AI27" s="105"/>
      <c r="AJ27" s="105"/>
      <c r="AK27" s="109"/>
      <c r="AL27" s="109"/>
      <c r="AM27" s="109"/>
      <c r="AN27" s="109"/>
      <c r="AO27" s="105"/>
      <c r="AP27" s="105"/>
      <c r="AQ27" s="109"/>
      <c r="AR27" s="110"/>
      <c r="AS27" s="110"/>
      <c r="AT27" s="110"/>
      <c r="AU27" s="110"/>
      <c r="AV27" s="110"/>
      <c r="AW27" s="112"/>
      <c r="AX27" s="112"/>
      <c r="AY27" s="110"/>
      <c r="AZ27" s="105"/>
      <c r="BA27" s="105"/>
      <c r="BB27" s="105"/>
      <c r="BC27" s="105"/>
      <c r="BD27" s="105"/>
      <c r="BE27" s="105"/>
    </row>
    <row r="28" spans="1:57" x14ac:dyDescent="0.15">
      <c r="A28" s="101">
        <v>687</v>
      </c>
      <c r="B28" s="98" t="e">
        <f>VLOOKUP($A28,'Rate Calculation'!$A$4:$CS$210,68,FALSE)</f>
        <v>#REF!</v>
      </c>
      <c r="C28" s="98" t="str">
        <f>UPPER(VLOOKUP($A28,'Rate Calculation'!$A$4:$CL$210,69,FALSE))</f>
        <v>189323</v>
      </c>
      <c r="D28" s="104" t="str">
        <f>VLOOKUP($A28,'Rate Calculation'!$A$4:$AJ$210,5,FALSE)</f>
        <v>BALTIMORE METRO</v>
      </c>
      <c r="E28" s="104" t="str">
        <f>VLOOKUP($A28,'Rate Calculation'!$A$4:$AJ$210,6,FALSE)</f>
        <v>BALTIMORE METRO</v>
      </c>
      <c r="F28" s="105">
        <f>VLOOKUP(A28,'Rate Calculation'!$A$3:$AT$210,35,FALSE)</f>
        <v>44737</v>
      </c>
      <c r="G28" s="105">
        <f>VLOOKUP(A28,'Rate Calculation'!$A$3:$AT$210,30,FALSE)</f>
        <v>69540</v>
      </c>
      <c r="H28" s="105">
        <f>VLOOKUP(A28,'Rate Calculation'!$A$3:$AW$210,36,FALSE)+VLOOKUP(A28,'Rate Calculation'!$A$3:$CC$210,42,FALSE)</f>
        <v>888761399</v>
      </c>
      <c r="I28" s="105">
        <f t="shared" si="6"/>
        <v>-27.44</v>
      </c>
      <c r="J28" s="105" t="str">
        <f>VLOOKUP(A28,'Rate Calculation'!$A$3:$BL$210,43,FALSE)</f>
        <v>Autumn Lake Healthcare at Glen Burnie</v>
      </c>
      <c r="K28" s="105">
        <f t="shared" si="7"/>
        <v>888875648.55999994</v>
      </c>
      <c r="L28" s="164">
        <f t="shared" si="1"/>
        <v>0.98772000000000004</v>
      </c>
      <c r="M28" s="105">
        <f t="shared" si="8"/>
        <v>877960255.60000002</v>
      </c>
      <c r="N28" s="105" t="e">
        <f>VLOOKUP(A28,'Rate Calculation'!$A$4:$DK$210,47,FALSE)</f>
        <v>#DIV/0!</v>
      </c>
      <c r="O28" s="106">
        <f>VLOOKUP(A28,'Rate Calculation'!$A$4:$DK$210,10,FALSE)</f>
        <v>1.0309999999999999</v>
      </c>
      <c r="P28" s="114">
        <f t="shared" si="2"/>
        <v>1.4432</v>
      </c>
      <c r="Q28" s="114">
        <f>VLOOKUP(A28,'CMI Data'!$A$3:$Z$209,7,FALSE)</f>
        <v>0</v>
      </c>
      <c r="R28" s="120" t="e">
        <f>+'CMI Data'!$I$214</f>
        <v>#DIV/0!</v>
      </c>
      <c r="S28" s="106">
        <f>IF(Q28=0,'CMI Data'!$I$213,ROUND(Q28*R28,4))</f>
        <v>1.4061999999999999</v>
      </c>
      <c r="T28" s="105">
        <f>VLOOKUP(A28,'Rate Calculation'!$A$4:$DK$210,16,FALSE)</f>
        <v>190.84</v>
      </c>
      <c r="U28" s="105">
        <f>VLOOKUP(A28,'Rate Calculation'!$A$4:$DK$210,20,FALSE)</f>
        <v>-28.17</v>
      </c>
      <c r="V28" s="113">
        <f t="shared" si="9"/>
        <v>-20.12</v>
      </c>
      <c r="W28" s="105">
        <f t="shared" si="10"/>
        <v>-27.44</v>
      </c>
      <c r="X28" s="111">
        <f t="shared" si="11"/>
        <v>0</v>
      </c>
      <c r="Y28" s="105">
        <f t="shared" si="12"/>
        <v>-27.44</v>
      </c>
      <c r="Z28" s="105">
        <f t="shared" si="13"/>
        <v>260.29000000000002</v>
      </c>
      <c r="AA28" s="105">
        <f t="shared" si="14"/>
        <v>-26.07</v>
      </c>
      <c r="AB28" s="111">
        <f t="shared" si="15"/>
        <v>-286.36</v>
      </c>
      <c r="AC28" s="105" t="e">
        <f t="shared" si="16"/>
        <v>#VALUE!</v>
      </c>
      <c r="AD28" s="105" t="e">
        <f t="shared" si="3"/>
        <v>#VALUE!</v>
      </c>
      <c r="AE28" s="105" t="e">
        <f t="shared" si="4"/>
        <v>#DIV/0!</v>
      </c>
      <c r="AF28" s="105" t="e">
        <f t="shared" si="17"/>
        <v>#VALUE!</v>
      </c>
      <c r="AG28" s="105" t="e">
        <f t="shared" si="5"/>
        <v>#VALUE!</v>
      </c>
      <c r="AH28" s="111"/>
      <c r="AI28" s="105"/>
      <c r="AJ28" s="105"/>
      <c r="AK28" s="109"/>
      <c r="AL28" s="109"/>
      <c r="AM28" s="109"/>
      <c r="AN28" s="109"/>
      <c r="AO28" s="105"/>
      <c r="AP28" s="105"/>
      <c r="AQ28" s="109"/>
      <c r="AR28" s="110"/>
      <c r="AS28" s="110"/>
      <c r="AT28" s="110"/>
      <c r="AU28" s="110"/>
      <c r="AV28" s="110"/>
      <c r="AW28" s="112"/>
      <c r="AX28" s="112"/>
      <c r="AY28" s="110"/>
      <c r="AZ28" s="105"/>
      <c r="BA28" s="105"/>
      <c r="BB28" s="105"/>
      <c r="BC28" s="105"/>
      <c r="BD28" s="105"/>
      <c r="BE28" s="105"/>
    </row>
    <row r="29" spans="1:57" x14ac:dyDescent="0.15">
      <c r="A29" s="101">
        <v>246</v>
      </c>
      <c r="B29" s="98" t="e">
        <f>VLOOKUP($A29,'Rate Calculation'!$A$4:$CS$210,68,FALSE)</f>
        <v>#REF!</v>
      </c>
      <c r="C29" s="98" t="str">
        <f>UPPER(VLOOKUP($A29,'Rate Calculation'!$A$4:$CL$210,69,FALSE))</f>
        <v>136334</v>
      </c>
      <c r="D29" s="104" t="str">
        <f>VLOOKUP($A29,'Rate Calculation'!$A$4:$AJ$210,5,FALSE)</f>
        <v>BALTIMORE METRO</v>
      </c>
      <c r="E29" s="104" t="str">
        <f>VLOOKUP($A29,'Rate Calculation'!$A$4:$AJ$210,6,FALSE)</f>
        <v>BALTIMORE CITY</v>
      </c>
      <c r="F29" s="105">
        <f>VLOOKUP(A29,'Rate Calculation'!$A$3:$AT$210,35,FALSE)</f>
        <v>27663</v>
      </c>
      <c r="G29" s="105">
        <f>VLOOKUP(A29,'Rate Calculation'!$A$3:$AT$210,30,FALSE)</f>
        <v>40992</v>
      </c>
      <c r="H29" s="105">
        <f>VLOOKUP(A29,'Rate Calculation'!$A$3:$AW$210,36,FALSE)+VLOOKUP(A29,'Rate Calculation'!$A$3:$CC$210,42,FALSE)</f>
        <v>589099358</v>
      </c>
      <c r="I29" s="105">
        <f t="shared" si="6"/>
        <v>-15.51</v>
      </c>
      <c r="J29" s="105" t="str">
        <f>VLOOKUP(A29,'Rate Calculation'!$A$3:$BL$210,43,FALSE)</f>
        <v>Autumn Lake Healthcare at Homewood</v>
      </c>
      <c r="K29" s="105">
        <f t="shared" si="7"/>
        <v>589167997.49000001</v>
      </c>
      <c r="L29" s="164">
        <f t="shared" si="1"/>
        <v>0.98772000000000004</v>
      </c>
      <c r="M29" s="105">
        <f t="shared" si="8"/>
        <v>581933014.48000002</v>
      </c>
      <c r="N29" s="105" t="e">
        <f>VLOOKUP(A29,'Rate Calculation'!$A$4:$DK$210,47,FALSE)</f>
        <v>#DIV/0!</v>
      </c>
      <c r="O29" s="106">
        <f>VLOOKUP(A29,'Rate Calculation'!$A$4:$DK$210,10,FALSE)</f>
        <v>1.0309999999999999</v>
      </c>
      <c r="P29" s="114">
        <f t="shared" si="2"/>
        <v>1.4432</v>
      </c>
      <c r="Q29" s="114">
        <f>VLOOKUP(A29,'CMI Data'!$A$3:$Z$209,7,FALSE)</f>
        <v>0</v>
      </c>
      <c r="R29" s="120" t="e">
        <f>+'CMI Data'!$I$214</f>
        <v>#DIV/0!</v>
      </c>
      <c r="S29" s="106">
        <f>IF(Q29=0,'CMI Data'!$I$213,ROUND(Q29*R29,4))</f>
        <v>1.4061999999999999</v>
      </c>
      <c r="T29" s="105">
        <f>VLOOKUP(A29,'Rate Calculation'!$A$4:$DK$210,16,FALSE)</f>
        <v>203.68</v>
      </c>
      <c r="U29" s="105">
        <f>VLOOKUP(A29,'Rate Calculation'!$A$4:$DK$210,20,FALSE)</f>
        <v>-15.92</v>
      </c>
      <c r="V29" s="113">
        <f t="shared" si="9"/>
        <v>-11.37</v>
      </c>
      <c r="W29" s="105">
        <f t="shared" si="10"/>
        <v>-15.51</v>
      </c>
      <c r="X29" s="111">
        <f t="shared" si="11"/>
        <v>0</v>
      </c>
      <c r="Y29" s="105">
        <f t="shared" si="12"/>
        <v>-15.51</v>
      </c>
      <c r="Z29" s="105">
        <f t="shared" si="13"/>
        <v>277.8</v>
      </c>
      <c r="AA29" s="105">
        <f t="shared" si="14"/>
        <v>-14.73</v>
      </c>
      <c r="AB29" s="111">
        <f t="shared" si="15"/>
        <v>-292.52999999999997</v>
      </c>
      <c r="AC29" s="105" t="e">
        <f t="shared" si="16"/>
        <v>#VALUE!</v>
      </c>
      <c r="AD29" s="105" t="e">
        <f t="shared" si="3"/>
        <v>#VALUE!</v>
      </c>
      <c r="AE29" s="105" t="e">
        <f t="shared" si="4"/>
        <v>#DIV/0!</v>
      </c>
      <c r="AF29" s="105" t="e">
        <f t="shared" si="17"/>
        <v>#VALUE!</v>
      </c>
      <c r="AG29" s="105" t="e">
        <f t="shared" si="5"/>
        <v>#VALUE!</v>
      </c>
      <c r="AH29" s="111"/>
      <c r="AI29" s="105"/>
      <c r="AJ29" s="105"/>
      <c r="AK29" s="109"/>
      <c r="AL29" s="109"/>
      <c r="AM29" s="109"/>
      <c r="AN29" s="109"/>
      <c r="AO29" s="105"/>
      <c r="AP29" s="105"/>
      <c r="AQ29" s="109"/>
      <c r="AR29" s="110"/>
      <c r="AS29" s="110"/>
      <c r="AT29" s="110"/>
      <c r="AU29" s="110"/>
      <c r="AV29" s="110"/>
      <c r="AW29" s="112"/>
      <c r="AX29" s="112"/>
      <c r="AY29" s="110"/>
      <c r="AZ29" s="105"/>
      <c r="BA29" s="105"/>
      <c r="BB29" s="105"/>
      <c r="BC29" s="105"/>
      <c r="BD29" s="105"/>
      <c r="BE29" s="105"/>
    </row>
    <row r="30" spans="1:57" x14ac:dyDescent="0.15">
      <c r="A30" s="101">
        <v>278</v>
      </c>
      <c r="B30" s="98" t="e">
        <f>VLOOKUP($A30,'Rate Calculation'!$A$4:$CS$210,68,FALSE)</f>
        <v>#REF!</v>
      </c>
      <c r="C30" s="98" t="str">
        <f>UPPER(VLOOKUP($A30,'Rate Calculation'!$A$4:$CL$210,69,FALSE))</f>
        <v>49523</v>
      </c>
      <c r="D30" s="104" t="str">
        <f>VLOOKUP($A30,'Rate Calculation'!$A$4:$AJ$210,5,FALSE)</f>
        <v>BALTIMORE METRO</v>
      </c>
      <c r="E30" s="104" t="str">
        <f>VLOOKUP($A30,'Rate Calculation'!$A$4:$AJ$210,6,FALSE)</f>
        <v>BALTIMORE METRO</v>
      </c>
      <c r="F30" s="105">
        <f>VLOOKUP(A30,'Rate Calculation'!$A$3:$AT$210,35,FALSE)</f>
        <v>28985</v>
      </c>
      <c r="G30" s="105">
        <f>VLOOKUP(A30,'Rate Calculation'!$A$3:$AT$210,30,FALSE)</f>
        <v>41358</v>
      </c>
      <c r="H30" s="105">
        <f>VLOOKUP(A30,'Rate Calculation'!$A$3:$AW$210,36,FALSE)+VLOOKUP(A30,'Rate Calculation'!$A$3:$CC$210,42,FALSE)</f>
        <v>691060290</v>
      </c>
      <c r="I30" s="105">
        <f t="shared" si="6"/>
        <v>-24.65</v>
      </c>
      <c r="J30" s="105" t="str">
        <f>VLOOKUP(A30,'Rate Calculation'!$A$3:$BL$210,43,FALSE)</f>
        <v>Autumn Lake Healthcare at Loch Raven</v>
      </c>
      <c r="K30" s="105">
        <f t="shared" si="7"/>
        <v>691130608.35000002</v>
      </c>
      <c r="L30" s="164">
        <f t="shared" si="1"/>
        <v>0.98772000000000004</v>
      </c>
      <c r="M30" s="105">
        <f t="shared" si="8"/>
        <v>682643524.48000002</v>
      </c>
      <c r="N30" s="105" t="e">
        <f>VLOOKUP(A30,'Rate Calculation'!$A$4:$DK$210,47,FALSE)</f>
        <v>#DIV/0!</v>
      </c>
      <c r="O30" s="106">
        <f>VLOOKUP(A30,'Rate Calculation'!$A$4:$DK$210,10,FALSE)</f>
        <v>1.0309999999999999</v>
      </c>
      <c r="P30" s="114">
        <f t="shared" si="2"/>
        <v>1.4432</v>
      </c>
      <c r="Q30" s="114">
        <f>VLOOKUP(A30,'CMI Data'!$A$3:$Z$209,7,FALSE)</f>
        <v>0</v>
      </c>
      <c r="R30" s="120" t="e">
        <f>+'CMI Data'!$I$214</f>
        <v>#DIV/0!</v>
      </c>
      <c r="S30" s="106">
        <f>IF(Q30=0,'CMI Data'!$I$213,ROUND(Q30*R30,4))</f>
        <v>1.4061999999999999</v>
      </c>
      <c r="T30" s="105">
        <f>VLOOKUP(A30,'Rate Calculation'!$A$4:$DK$210,16,FALSE)</f>
        <v>216.99</v>
      </c>
      <c r="U30" s="105">
        <f>VLOOKUP(A30,'Rate Calculation'!$A$4:$DK$210,20,FALSE)</f>
        <v>-25.3</v>
      </c>
      <c r="V30" s="113">
        <f t="shared" si="9"/>
        <v>-18.07</v>
      </c>
      <c r="W30" s="105">
        <f t="shared" si="10"/>
        <v>-24.65</v>
      </c>
      <c r="X30" s="111">
        <f t="shared" si="11"/>
        <v>0</v>
      </c>
      <c r="Y30" s="105">
        <f t="shared" si="12"/>
        <v>-24.65</v>
      </c>
      <c r="Z30" s="105">
        <f t="shared" si="13"/>
        <v>295.95999999999998</v>
      </c>
      <c r="AA30" s="105">
        <f t="shared" si="14"/>
        <v>-23.42</v>
      </c>
      <c r="AB30" s="111">
        <f t="shared" si="15"/>
        <v>-319.38</v>
      </c>
      <c r="AC30" s="105" t="e">
        <f t="shared" si="16"/>
        <v>#VALUE!</v>
      </c>
      <c r="AD30" s="105" t="e">
        <f t="shared" si="3"/>
        <v>#VALUE!</v>
      </c>
      <c r="AE30" s="105" t="e">
        <f t="shared" si="4"/>
        <v>#DIV/0!</v>
      </c>
      <c r="AF30" s="105" t="e">
        <f t="shared" si="17"/>
        <v>#VALUE!</v>
      </c>
      <c r="AG30" s="105" t="e">
        <f t="shared" si="5"/>
        <v>#VALUE!</v>
      </c>
      <c r="AH30" s="111"/>
      <c r="AI30" s="105"/>
      <c r="AJ30" s="105"/>
      <c r="AK30" s="109"/>
      <c r="AL30" s="109"/>
      <c r="AM30" s="109"/>
      <c r="AN30" s="109"/>
      <c r="AO30" s="105"/>
      <c r="AP30" s="105"/>
      <c r="AQ30" s="109"/>
      <c r="AR30" s="110"/>
      <c r="AS30" s="110"/>
      <c r="AT30" s="110"/>
      <c r="AU30" s="110"/>
      <c r="AV30" s="110"/>
      <c r="AW30" s="112"/>
      <c r="AX30" s="112"/>
      <c r="AY30" s="110"/>
      <c r="AZ30" s="105"/>
      <c r="BA30" s="105"/>
      <c r="BB30" s="105"/>
      <c r="BC30" s="105"/>
      <c r="BD30" s="105"/>
      <c r="BE30" s="105"/>
    </row>
    <row r="31" spans="1:57" x14ac:dyDescent="0.15">
      <c r="A31" s="101">
        <v>282</v>
      </c>
      <c r="B31" s="98" t="e">
        <f>VLOOKUP($A31,'Rate Calculation'!$A$4:$CS$210,68,FALSE)</f>
        <v>#REF!</v>
      </c>
      <c r="C31" s="98" t="str">
        <f>UPPER(VLOOKUP($A31,'Rate Calculation'!$A$4:$CL$210,69,FALSE))</f>
        <v>301052</v>
      </c>
      <c r="D31" s="104" t="str">
        <f>VLOOKUP($A31,'Rate Calculation'!$A$4:$AJ$210,5,FALSE)</f>
        <v>BALTIMORE METRO</v>
      </c>
      <c r="E31" s="104" t="str">
        <f>VLOOKUP($A31,'Rate Calculation'!$A$4:$AJ$210,6,FALSE)</f>
        <v>BALTIMORE CITY</v>
      </c>
      <c r="F31" s="105">
        <f>VLOOKUP(A31,'Rate Calculation'!$A$3:$AT$210,35,FALSE)</f>
        <v>34662</v>
      </c>
      <c r="G31" s="105">
        <f>VLOOKUP(A31,'Rate Calculation'!$A$3:$AT$210,30,FALSE)</f>
        <v>49410</v>
      </c>
      <c r="H31" s="105">
        <f>VLOOKUP(A31,'Rate Calculation'!$A$3:$AW$210,36,FALSE)+VLOOKUP(A31,'Rate Calculation'!$A$3:$CC$210,42,FALSE)</f>
        <v>424994159</v>
      </c>
      <c r="I31" s="105">
        <f t="shared" si="6"/>
        <v>-15.92</v>
      </c>
      <c r="J31" s="105" t="str">
        <f>VLOOKUP(A31,'Rate Calculation'!$A$3:$BL$210,43,FALSE)</f>
        <v>Autumn Lake Healthcare at Long Green</v>
      </c>
      <c r="K31" s="105">
        <f t="shared" si="7"/>
        <v>425078215.07999998</v>
      </c>
      <c r="L31" s="164">
        <f t="shared" si="1"/>
        <v>0.98772000000000004</v>
      </c>
      <c r="M31" s="105">
        <f t="shared" si="8"/>
        <v>419858254.60000002</v>
      </c>
      <c r="N31" s="105" t="e">
        <f>VLOOKUP(A31,'Rate Calculation'!$A$4:$DK$210,47,FALSE)</f>
        <v>#DIV/0!</v>
      </c>
      <c r="O31" s="106">
        <f>VLOOKUP(A31,'Rate Calculation'!$A$4:$DK$210,10,FALSE)</f>
        <v>1.0309999999999999</v>
      </c>
      <c r="P31" s="114">
        <f t="shared" si="2"/>
        <v>1.4432</v>
      </c>
      <c r="Q31" s="114">
        <f>VLOOKUP(A31,'CMI Data'!$A$3:$Z$209,7,FALSE)</f>
        <v>0</v>
      </c>
      <c r="R31" s="120" t="e">
        <f>+'CMI Data'!$I$214</f>
        <v>#DIV/0!</v>
      </c>
      <c r="S31" s="106">
        <f>IF(Q31=0,'CMI Data'!$I$213,ROUND(Q31*R31,4))</f>
        <v>1.4061999999999999</v>
      </c>
      <c r="T31" s="105">
        <f>VLOOKUP(A31,'Rate Calculation'!$A$4:$DK$210,16,FALSE)</f>
        <v>197.31</v>
      </c>
      <c r="U31" s="105">
        <f>VLOOKUP(A31,'Rate Calculation'!$A$4:$DK$210,20,FALSE)</f>
        <v>-16.34</v>
      </c>
      <c r="V31" s="113">
        <f t="shared" si="9"/>
        <v>-11.67</v>
      </c>
      <c r="W31" s="105">
        <f t="shared" si="10"/>
        <v>-15.92</v>
      </c>
      <c r="X31" s="111">
        <f t="shared" si="11"/>
        <v>0</v>
      </c>
      <c r="Y31" s="105">
        <f t="shared" si="12"/>
        <v>-15.92</v>
      </c>
      <c r="Z31" s="105">
        <f t="shared" si="13"/>
        <v>269.11</v>
      </c>
      <c r="AA31" s="105">
        <f t="shared" si="14"/>
        <v>-15.12</v>
      </c>
      <c r="AB31" s="111">
        <f t="shared" si="15"/>
        <v>-284.23</v>
      </c>
      <c r="AC31" s="105" t="e">
        <f t="shared" si="16"/>
        <v>#VALUE!</v>
      </c>
      <c r="AD31" s="105" t="e">
        <f t="shared" si="3"/>
        <v>#VALUE!</v>
      </c>
      <c r="AE31" s="105" t="e">
        <f t="shared" si="4"/>
        <v>#DIV/0!</v>
      </c>
      <c r="AF31" s="105" t="e">
        <f t="shared" si="17"/>
        <v>#VALUE!</v>
      </c>
      <c r="AG31" s="105" t="e">
        <f t="shared" si="5"/>
        <v>#VALUE!</v>
      </c>
      <c r="AH31" s="111"/>
      <c r="AI31" s="105"/>
      <c r="AJ31" s="105"/>
      <c r="AK31" s="109"/>
      <c r="AL31" s="109"/>
      <c r="AM31" s="109"/>
      <c r="AN31" s="109"/>
      <c r="AO31" s="105"/>
      <c r="AP31" s="105"/>
      <c r="AQ31" s="109"/>
      <c r="AR31" s="110"/>
      <c r="AS31" s="110"/>
      <c r="AT31" s="110"/>
      <c r="AU31" s="110"/>
      <c r="AV31" s="110"/>
      <c r="AW31" s="112"/>
      <c r="AX31" s="112"/>
      <c r="AY31" s="110"/>
      <c r="AZ31" s="105"/>
      <c r="BA31" s="105"/>
      <c r="BB31" s="105"/>
      <c r="BC31" s="105"/>
      <c r="BD31" s="105"/>
      <c r="BE31" s="105"/>
    </row>
    <row r="32" spans="1:57" x14ac:dyDescent="0.15">
      <c r="A32" s="101">
        <v>284</v>
      </c>
      <c r="B32" s="98" t="e">
        <f>VLOOKUP($A32,'Rate Calculation'!$A$4:$CS$210,68,FALSE)</f>
        <v>#REF!</v>
      </c>
      <c r="C32" s="98" t="str">
        <f>UPPER(VLOOKUP($A32,'Rate Calculation'!$A$4:$CL$210,69,FALSE))</f>
        <v>77427</v>
      </c>
      <c r="D32" s="104" t="str">
        <f>VLOOKUP($A32,'Rate Calculation'!$A$4:$AJ$210,5,FALSE)</f>
        <v>BALTIMORE METRO</v>
      </c>
      <c r="E32" s="104" t="str">
        <f>VLOOKUP($A32,'Rate Calculation'!$A$4:$AJ$210,6,FALSE)</f>
        <v>BALTIMORE METRO</v>
      </c>
      <c r="F32" s="105">
        <f>VLOOKUP(A32,'Rate Calculation'!$A$3:$AT$210,35,FALSE)</f>
        <v>24606</v>
      </c>
      <c r="G32" s="105">
        <f>VLOOKUP(A32,'Rate Calculation'!$A$3:$AT$210,30,FALSE)</f>
        <v>39528</v>
      </c>
      <c r="H32" s="105">
        <f>VLOOKUP(A32,'Rate Calculation'!$A$3:$AW$210,36,FALSE)+VLOOKUP(A32,'Rate Calculation'!$A$3:$CC$210,42,FALSE)</f>
        <v>209081660</v>
      </c>
      <c r="I32" s="105">
        <f t="shared" si="6"/>
        <v>0</v>
      </c>
      <c r="J32" s="105" t="str">
        <f>VLOOKUP(A32,'Rate Calculation'!$A$3:$BL$210,43,FALSE)</f>
        <v>Autumn Lake Healthcare at Long View</v>
      </c>
      <c r="K32" s="105">
        <f t="shared" si="7"/>
        <v>209145794</v>
      </c>
      <c r="L32" s="164">
        <f t="shared" si="1"/>
        <v>0.98772000000000004</v>
      </c>
      <c r="M32" s="105">
        <f t="shared" si="8"/>
        <v>206577483.65000001</v>
      </c>
      <c r="N32" s="105" t="e">
        <f>VLOOKUP(A32,'Rate Calculation'!$A$4:$DK$210,47,FALSE)</f>
        <v>#DIV/0!</v>
      </c>
      <c r="O32" s="106">
        <f>VLOOKUP(A32,'Rate Calculation'!$A$4:$DK$210,10,FALSE)</f>
        <v>1.0309999999999999</v>
      </c>
      <c r="P32" s="114">
        <f t="shared" si="2"/>
        <v>1.4432</v>
      </c>
      <c r="Q32" s="114">
        <f>VLOOKUP(A32,'CMI Data'!$A$3:$Z$209,7,FALSE)</f>
        <v>0</v>
      </c>
      <c r="R32" s="120" t="e">
        <f>+'CMI Data'!$I$214</f>
        <v>#DIV/0!</v>
      </c>
      <c r="S32" s="106">
        <f>IF(Q32=0,'CMI Data'!$I$213,ROUND(Q32*R32,4))</f>
        <v>1.4061999999999999</v>
      </c>
      <c r="T32" s="105">
        <f>VLOOKUP(A32,'Rate Calculation'!$A$4:$DK$210,16,FALSE)</f>
        <v>195.42</v>
      </c>
      <c r="U32" s="105">
        <f>VLOOKUP(A32,'Rate Calculation'!$A$4:$DK$210,20,FALSE)</f>
        <v>0</v>
      </c>
      <c r="V32" s="113">
        <f t="shared" si="9"/>
        <v>0</v>
      </c>
      <c r="W32" s="105">
        <f t="shared" si="10"/>
        <v>0</v>
      </c>
      <c r="X32" s="111">
        <f t="shared" si="11"/>
        <v>0</v>
      </c>
      <c r="Y32" s="105">
        <f t="shared" si="12"/>
        <v>0</v>
      </c>
      <c r="Z32" s="105">
        <f t="shared" si="13"/>
        <v>266.54000000000002</v>
      </c>
      <c r="AA32" s="105">
        <f t="shared" si="14"/>
        <v>0</v>
      </c>
      <c r="AB32" s="111">
        <f t="shared" si="15"/>
        <v>-266.54000000000002</v>
      </c>
      <c r="AC32" s="105" t="e">
        <f t="shared" si="16"/>
        <v>#VALUE!</v>
      </c>
      <c r="AD32" s="105" t="e">
        <f t="shared" si="3"/>
        <v>#VALUE!</v>
      </c>
      <c r="AE32" s="105" t="e">
        <f t="shared" si="4"/>
        <v>#DIV/0!</v>
      </c>
      <c r="AF32" s="105" t="e">
        <f t="shared" si="17"/>
        <v>#VALUE!</v>
      </c>
      <c r="AG32" s="105" t="e">
        <f t="shared" si="5"/>
        <v>#VALUE!</v>
      </c>
      <c r="AH32" s="111"/>
      <c r="AI32" s="105"/>
      <c r="AJ32" s="105"/>
      <c r="AK32" s="109"/>
      <c r="AL32" s="109"/>
      <c r="AM32" s="109"/>
      <c r="AN32" s="109"/>
      <c r="AO32" s="105"/>
      <c r="AP32" s="105"/>
      <c r="AQ32" s="109"/>
      <c r="AR32" s="110"/>
      <c r="AS32" s="110"/>
      <c r="AT32" s="110"/>
      <c r="AU32" s="110"/>
      <c r="AV32" s="110"/>
      <c r="AW32" s="112"/>
      <c r="AX32" s="112"/>
      <c r="AY32" s="110"/>
      <c r="AZ32" s="105"/>
      <c r="BA32" s="105"/>
      <c r="BB32" s="105"/>
      <c r="BC32" s="105"/>
      <c r="BD32" s="105"/>
      <c r="BE32" s="105"/>
    </row>
    <row r="33" spans="1:57" x14ac:dyDescent="0.15">
      <c r="A33" s="101">
        <v>240</v>
      </c>
      <c r="B33" s="98" t="e">
        <f>VLOOKUP($A33,'Rate Calculation'!$A$4:$CS$210,68,FALSE)</f>
        <v>#REF!</v>
      </c>
      <c r="C33" s="98" t="str">
        <f>UPPER(VLOOKUP($A33,'Rate Calculation'!$A$4:$CL$210,69,FALSE))</f>
        <v>124051</v>
      </c>
      <c r="D33" s="104" t="str">
        <f>VLOOKUP($A33,'Rate Calculation'!$A$4:$AJ$210,5,FALSE)</f>
        <v>WASHINGTON METRO</v>
      </c>
      <c r="E33" s="104" t="str">
        <f>VLOOKUP($A33,'Rate Calculation'!$A$4:$AJ$210,6,FALSE)</f>
        <v>WASHINGTON METRO</v>
      </c>
      <c r="F33" s="105">
        <f>VLOOKUP(A33,'Rate Calculation'!$A$3:$AT$210,35,FALSE)</f>
        <v>32055</v>
      </c>
      <c r="G33" s="105">
        <f>VLOOKUP(A33,'Rate Calculation'!$A$3:$AT$210,30,FALSE)</f>
        <v>54900</v>
      </c>
      <c r="H33" s="105">
        <f>VLOOKUP(A33,'Rate Calculation'!$A$3:$AW$210,36,FALSE)+VLOOKUP(A33,'Rate Calculation'!$A$3:$CC$210,42,FALSE)</f>
        <v>918315318</v>
      </c>
      <c r="I33" s="105">
        <f t="shared" si="6"/>
        <v>0</v>
      </c>
      <c r="J33" s="105" t="str">
        <f>VLOOKUP(A33,'Rate Calculation'!$A$3:$BL$210,43,FALSE)</f>
        <v>Autumn Lake Healthcare at Oak Manor</v>
      </c>
      <c r="K33" s="105">
        <f t="shared" si="7"/>
        <v>918402273</v>
      </c>
      <c r="L33" s="164">
        <f t="shared" si="1"/>
        <v>0.98772000000000004</v>
      </c>
      <c r="M33" s="105">
        <f t="shared" si="8"/>
        <v>907124293.09000003</v>
      </c>
      <c r="N33" s="105" t="e">
        <f>VLOOKUP(A33,'Rate Calculation'!$A$4:$DK$210,47,FALSE)</f>
        <v>#DIV/0!</v>
      </c>
      <c r="O33" s="106">
        <f>VLOOKUP(A33,'Rate Calculation'!$A$4:$DK$210,10,FALSE)</f>
        <v>1.0309999999999999</v>
      </c>
      <c r="P33" s="114">
        <f t="shared" si="2"/>
        <v>1.4432</v>
      </c>
      <c r="Q33" s="114">
        <f>VLOOKUP(A33,'CMI Data'!$A$3:$Z$209,7,FALSE)</f>
        <v>0</v>
      </c>
      <c r="R33" s="120" t="e">
        <f>+'CMI Data'!$I$214</f>
        <v>#DIV/0!</v>
      </c>
      <c r="S33" s="106">
        <f>IF(Q33=0,'CMI Data'!$I$213,ROUND(Q33*R33,4))</f>
        <v>1.4061999999999999</v>
      </c>
      <c r="T33" s="105">
        <f>VLOOKUP(A33,'Rate Calculation'!$A$4:$DK$210,16,FALSE)</f>
        <v>190.81</v>
      </c>
      <c r="U33" s="105">
        <f>VLOOKUP(A33,'Rate Calculation'!$A$4:$DK$210,20,FALSE)</f>
        <v>0</v>
      </c>
      <c r="V33" s="113">
        <f t="shared" si="9"/>
        <v>0</v>
      </c>
      <c r="W33" s="105">
        <f t="shared" si="10"/>
        <v>0</v>
      </c>
      <c r="X33" s="111">
        <f t="shared" si="11"/>
        <v>0</v>
      </c>
      <c r="Y33" s="105">
        <f t="shared" si="12"/>
        <v>0</v>
      </c>
      <c r="Z33" s="105">
        <f t="shared" si="13"/>
        <v>260.25</v>
      </c>
      <c r="AA33" s="105">
        <f t="shared" si="14"/>
        <v>0</v>
      </c>
      <c r="AB33" s="111">
        <f t="shared" si="15"/>
        <v>-260.25</v>
      </c>
      <c r="AC33" s="105" t="e">
        <f t="shared" si="16"/>
        <v>#VALUE!</v>
      </c>
      <c r="AD33" s="105" t="e">
        <f t="shared" si="3"/>
        <v>#VALUE!</v>
      </c>
      <c r="AE33" s="105" t="e">
        <f t="shared" si="4"/>
        <v>#DIV/0!</v>
      </c>
      <c r="AF33" s="105" t="e">
        <f t="shared" si="17"/>
        <v>#VALUE!</v>
      </c>
      <c r="AG33" s="105" t="e">
        <f t="shared" si="5"/>
        <v>#VALUE!</v>
      </c>
      <c r="AH33" s="111"/>
      <c r="AI33" s="105"/>
      <c r="AJ33" s="105"/>
      <c r="AK33" s="109"/>
      <c r="AL33" s="109"/>
      <c r="AM33" s="109"/>
      <c r="AN33" s="109"/>
      <c r="AO33" s="105"/>
      <c r="AP33" s="105"/>
      <c r="AQ33" s="109"/>
      <c r="AR33" s="110"/>
      <c r="AS33" s="110"/>
      <c r="AT33" s="110"/>
      <c r="AU33" s="110"/>
      <c r="AV33" s="110"/>
      <c r="AW33" s="112"/>
      <c r="AX33" s="112"/>
      <c r="AY33" s="110"/>
      <c r="AZ33" s="105"/>
      <c r="BA33" s="105"/>
      <c r="BB33" s="105"/>
      <c r="BC33" s="105"/>
      <c r="BD33" s="105"/>
      <c r="BE33" s="105"/>
    </row>
    <row r="34" spans="1:57" x14ac:dyDescent="0.15">
      <c r="A34" s="101">
        <v>154</v>
      </c>
      <c r="B34" s="98" t="e">
        <f>VLOOKUP($A34,'Rate Calculation'!$A$4:$CS$210,68,FALSE)</f>
        <v>#REF!</v>
      </c>
      <c r="C34" s="98" t="str">
        <f>UPPER(VLOOKUP($A34,'Rate Calculation'!$A$4:$CL$210,69,FALSE))</f>
        <v>120816</v>
      </c>
      <c r="D34" s="104" t="str">
        <f>VLOOKUP($A34,'Rate Calculation'!$A$4:$AJ$210,5,FALSE)</f>
        <v>WASHINGTON METRO</v>
      </c>
      <c r="E34" s="104" t="str">
        <f>VLOOKUP($A34,'Rate Calculation'!$A$4:$AJ$210,6,FALSE)</f>
        <v>WASHINGTON METRO</v>
      </c>
      <c r="F34" s="105">
        <f>VLOOKUP(A34,'Rate Calculation'!$A$3:$AT$210,35,FALSE)</f>
        <v>27917</v>
      </c>
      <c r="G34" s="105">
        <f>VLOOKUP(A34,'Rate Calculation'!$A$3:$AT$210,30,FALSE)</f>
        <v>50508</v>
      </c>
      <c r="H34" s="105">
        <f>VLOOKUP(A34,'Rate Calculation'!$A$3:$AW$210,36,FALSE)+VLOOKUP(A34,'Rate Calculation'!$A$3:$CC$210,42,FALSE)</f>
        <v>823041827</v>
      </c>
      <c r="I34" s="105">
        <f t="shared" si="6"/>
        <v>-17.920000000000002</v>
      </c>
      <c r="J34" s="105" t="str">
        <f>VLOOKUP(A34,'Rate Calculation'!$A$3:$BL$210,43,FALSE)</f>
        <v>Autumn Lake Healthcare at Oakview</v>
      </c>
      <c r="K34" s="105">
        <f t="shared" si="7"/>
        <v>823120234.08000004</v>
      </c>
      <c r="L34" s="164">
        <f t="shared" si="1"/>
        <v>0.98772000000000004</v>
      </c>
      <c r="M34" s="105">
        <f t="shared" si="8"/>
        <v>813012317.61000001</v>
      </c>
      <c r="N34" s="105" t="e">
        <f>VLOOKUP(A34,'Rate Calculation'!$A$4:$DK$210,47,FALSE)</f>
        <v>#DIV/0!</v>
      </c>
      <c r="O34" s="106">
        <f>VLOOKUP(A34,'Rate Calculation'!$A$4:$DK$210,10,FALSE)</f>
        <v>1.0309999999999999</v>
      </c>
      <c r="P34" s="114">
        <f t="shared" si="2"/>
        <v>1.4432</v>
      </c>
      <c r="Q34" s="114">
        <f>VLOOKUP(A34,'CMI Data'!$A$3:$Z$209,7,FALSE)</f>
        <v>0</v>
      </c>
      <c r="R34" s="120" t="e">
        <f>+'CMI Data'!$I$214</f>
        <v>#DIV/0!</v>
      </c>
      <c r="S34" s="106">
        <f>IF(Q34=0,'CMI Data'!$I$213,ROUND(Q34*R34,4))</f>
        <v>1.4061999999999999</v>
      </c>
      <c r="T34" s="105">
        <f>VLOOKUP(A34,'Rate Calculation'!$A$4:$DK$210,16,FALSE)</f>
        <v>165.85</v>
      </c>
      <c r="U34" s="105">
        <f>VLOOKUP(A34,'Rate Calculation'!$A$4:$DK$210,20,FALSE)</f>
        <v>-18.39</v>
      </c>
      <c r="V34" s="113">
        <f t="shared" si="9"/>
        <v>-13.14</v>
      </c>
      <c r="W34" s="105">
        <f t="shared" si="10"/>
        <v>-17.920000000000002</v>
      </c>
      <c r="X34" s="111">
        <f t="shared" si="11"/>
        <v>0</v>
      </c>
      <c r="Y34" s="105">
        <f t="shared" si="12"/>
        <v>-17.920000000000002</v>
      </c>
      <c r="Z34" s="105">
        <f t="shared" si="13"/>
        <v>226.21</v>
      </c>
      <c r="AA34" s="105">
        <f t="shared" si="14"/>
        <v>-17.02</v>
      </c>
      <c r="AB34" s="111">
        <f t="shared" si="15"/>
        <v>-243.23</v>
      </c>
      <c r="AC34" s="105" t="e">
        <f t="shared" si="16"/>
        <v>#VALUE!</v>
      </c>
      <c r="AD34" s="105" t="e">
        <f t="shared" si="3"/>
        <v>#VALUE!</v>
      </c>
      <c r="AE34" s="105" t="e">
        <f t="shared" si="4"/>
        <v>#DIV/0!</v>
      </c>
      <c r="AF34" s="105" t="e">
        <f t="shared" si="17"/>
        <v>#VALUE!</v>
      </c>
      <c r="AG34" s="105" t="e">
        <f t="shared" si="5"/>
        <v>#VALUE!</v>
      </c>
      <c r="AH34" s="111"/>
      <c r="AI34" s="105"/>
      <c r="AJ34" s="105"/>
      <c r="AK34" s="109"/>
      <c r="AL34" s="109"/>
      <c r="AM34" s="109"/>
      <c r="AN34" s="109"/>
      <c r="AO34" s="105"/>
      <c r="AP34" s="105"/>
      <c r="AQ34" s="109"/>
      <c r="AR34" s="110"/>
      <c r="AS34" s="110"/>
      <c r="AT34" s="110"/>
      <c r="AU34" s="110"/>
      <c r="AV34" s="110"/>
      <c r="AW34" s="112"/>
      <c r="AX34" s="112"/>
      <c r="AY34" s="110"/>
      <c r="AZ34" s="105"/>
      <c r="BA34" s="105"/>
      <c r="BB34" s="105"/>
      <c r="BC34" s="105"/>
      <c r="BD34" s="105"/>
      <c r="BE34" s="105"/>
    </row>
    <row r="35" spans="1:57" x14ac:dyDescent="0.15">
      <c r="A35" s="101">
        <v>358</v>
      </c>
      <c r="B35" s="98" t="e">
        <f>VLOOKUP($A35,'Rate Calculation'!$A$4:$CS$210,68,FALSE)</f>
        <v>#REF!</v>
      </c>
      <c r="C35" s="98" t="str">
        <f>UPPER(VLOOKUP($A35,'Rate Calculation'!$A$4:$CL$210,69,FALSE))</f>
        <v>262546</v>
      </c>
      <c r="D35" s="104" t="str">
        <f>VLOOKUP($A35,'Rate Calculation'!$A$4:$AJ$210,5,FALSE)</f>
        <v>BALTIMORE METRO</v>
      </c>
      <c r="E35" s="104" t="str">
        <f>VLOOKUP($A35,'Rate Calculation'!$A$4:$AJ$210,6,FALSE)</f>
        <v>BALTIMORE CITY</v>
      </c>
      <c r="F35" s="105">
        <f>VLOOKUP(A35,'Rate Calculation'!$A$3:$AT$210,35,FALSE)</f>
        <v>39634</v>
      </c>
      <c r="G35" s="105">
        <f>VLOOKUP(A35,'Rate Calculation'!$A$3:$AT$210,30,FALSE)</f>
        <v>54900</v>
      </c>
      <c r="H35" s="105">
        <f>VLOOKUP(A35,'Rate Calculation'!$A$3:$AW$210,36,FALSE)+VLOOKUP(A35,'Rate Calculation'!$A$3:$CC$210,42,FALSE)</f>
        <v>888772256</v>
      </c>
      <c r="I35" s="105">
        <f t="shared" si="6"/>
        <v>-15.88</v>
      </c>
      <c r="J35" s="105" t="str">
        <f>VLOOKUP(A35,'Rate Calculation'!$A$3:$BL$210,43,FALSE)</f>
        <v>Autumn Lake Healthcare at Overlea</v>
      </c>
      <c r="K35" s="105">
        <f t="shared" si="7"/>
        <v>888866774.12</v>
      </c>
      <c r="L35" s="164">
        <f t="shared" si="1"/>
        <v>0.98772000000000004</v>
      </c>
      <c r="M35" s="105">
        <f t="shared" si="8"/>
        <v>877951490.13</v>
      </c>
      <c r="N35" s="105" t="e">
        <f>VLOOKUP(A35,'Rate Calculation'!$A$4:$DK$210,47,FALSE)</f>
        <v>#DIV/0!</v>
      </c>
      <c r="O35" s="106">
        <f>VLOOKUP(A35,'Rate Calculation'!$A$4:$DK$210,10,FALSE)</f>
        <v>1.0309999999999999</v>
      </c>
      <c r="P35" s="114">
        <f t="shared" si="2"/>
        <v>1.4432</v>
      </c>
      <c r="Q35" s="114">
        <f>VLOOKUP(A35,'CMI Data'!$A$3:$Z$209,7,FALSE)</f>
        <v>0</v>
      </c>
      <c r="R35" s="120" t="e">
        <f>+'CMI Data'!$I$214</f>
        <v>#DIV/0!</v>
      </c>
      <c r="S35" s="106">
        <f>IF(Q35=0,'CMI Data'!$I$213,ROUND(Q35*R35,4))</f>
        <v>1.4061999999999999</v>
      </c>
      <c r="T35" s="105">
        <f>VLOOKUP(A35,'Rate Calculation'!$A$4:$DK$210,16,FALSE)</f>
        <v>202.09</v>
      </c>
      <c r="U35" s="105">
        <f>VLOOKUP(A35,'Rate Calculation'!$A$4:$DK$210,20,FALSE)</f>
        <v>-16.29</v>
      </c>
      <c r="V35" s="113">
        <f t="shared" si="9"/>
        <v>-11.64</v>
      </c>
      <c r="W35" s="105">
        <f t="shared" si="10"/>
        <v>-15.88</v>
      </c>
      <c r="X35" s="111">
        <f t="shared" si="11"/>
        <v>0</v>
      </c>
      <c r="Y35" s="105">
        <f t="shared" si="12"/>
        <v>-15.88</v>
      </c>
      <c r="Z35" s="105">
        <f t="shared" si="13"/>
        <v>275.63</v>
      </c>
      <c r="AA35" s="105">
        <f t="shared" si="14"/>
        <v>-15.09</v>
      </c>
      <c r="AB35" s="111">
        <f t="shared" si="15"/>
        <v>-290.72000000000003</v>
      </c>
      <c r="AC35" s="105" t="e">
        <f t="shared" si="16"/>
        <v>#VALUE!</v>
      </c>
      <c r="AD35" s="105" t="e">
        <f t="shared" si="3"/>
        <v>#VALUE!</v>
      </c>
      <c r="AE35" s="105" t="e">
        <f t="shared" si="4"/>
        <v>#DIV/0!</v>
      </c>
      <c r="AF35" s="105" t="e">
        <f t="shared" si="17"/>
        <v>#VALUE!</v>
      </c>
      <c r="AG35" s="105" t="e">
        <f t="shared" si="5"/>
        <v>#VALUE!</v>
      </c>
      <c r="AH35" s="111"/>
      <c r="AI35" s="105"/>
      <c r="AJ35" s="105"/>
      <c r="AK35" s="109"/>
      <c r="AL35" s="109"/>
      <c r="AM35" s="109"/>
      <c r="AN35" s="109"/>
      <c r="AO35" s="105"/>
      <c r="AP35" s="105"/>
      <c r="AQ35" s="109"/>
      <c r="AR35" s="110"/>
      <c r="AS35" s="110"/>
      <c r="AT35" s="110"/>
      <c r="AU35" s="110"/>
      <c r="AV35" s="110"/>
      <c r="AW35" s="112"/>
      <c r="AX35" s="112"/>
      <c r="AY35" s="110"/>
      <c r="AZ35" s="105"/>
      <c r="BA35" s="105"/>
      <c r="BB35" s="105"/>
      <c r="BC35" s="105"/>
      <c r="BD35" s="105"/>
      <c r="BE35" s="105"/>
    </row>
    <row r="36" spans="1:57" x14ac:dyDescent="0.15">
      <c r="A36" s="101">
        <v>134</v>
      </c>
      <c r="B36" s="98" t="e">
        <f>VLOOKUP($A36,'Rate Calculation'!$A$4:$CS$210,68,FALSE)</f>
        <v>#REF!</v>
      </c>
      <c r="C36" s="98" t="str">
        <f>UPPER(VLOOKUP($A36,'Rate Calculation'!$A$4:$CL$210,69,FALSE))</f>
        <v>88796</v>
      </c>
      <c r="D36" s="104" t="str">
        <f>VLOOKUP($A36,'Rate Calculation'!$A$4:$AJ$210,5,FALSE)</f>
        <v>BALTIMORE METRO</v>
      </c>
      <c r="E36" s="104" t="str">
        <f>VLOOKUP($A36,'Rate Calculation'!$A$4:$AJ$210,6,FALSE)</f>
        <v>BALTIMORE METRO</v>
      </c>
      <c r="F36" s="105">
        <f>VLOOKUP(A36,'Rate Calculation'!$A$3:$AT$210,35,FALSE)</f>
        <v>33815</v>
      </c>
      <c r="G36" s="105">
        <f>VLOOKUP(A36,'Rate Calculation'!$A$3:$AT$210,30,FALSE)</f>
        <v>49410</v>
      </c>
      <c r="H36" s="105">
        <f>VLOOKUP(A36,'Rate Calculation'!$A$3:$AW$210,36,FALSE)+VLOOKUP(A36,'Rate Calculation'!$A$3:$CC$210,42,FALSE)</f>
        <v>999387981</v>
      </c>
      <c r="I36" s="105">
        <f t="shared" si="6"/>
        <v>0</v>
      </c>
      <c r="J36" s="105" t="str">
        <f>VLOOKUP(A36,'Rate Calculation'!$A$3:$BL$210,43,FALSE)</f>
        <v>Autumn Lake Healthcare at Parkville</v>
      </c>
      <c r="K36" s="105">
        <f t="shared" si="7"/>
        <v>999471206</v>
      </c>
      <c r="L36" s="164">
        <f t="shared" si="1"/>
        <v>0.98772000000000004</v>
      </c>
      <c r="M36" s="105">
        <f t="shared" si="8"/>
        <v>987197699.59000003</v>
      </c>
      <c r="N36" s="105" t="e">
        <f>VLOOKUP(A36,'Rate Calculation'!$A$4:$DK$210,47,FALSE)</f>
        <v>#DIV/0!</v>
      </c>
      <c r="O36" s="106">
        <f>VLOOKUP(A36,'Rate Calculation'!$A$4:$DK$210,10,FALSE)</f>
        <v>1.0309999999999999</v>
      </c>
      <c r="P36" s="114">
        <f t="shared" si="2"/>
        <v>1.4432</v>
      </c>
      <c r="Q36" s="114">
        <f>VLOOKUP(A36,'CMI Data'!$A$3:$Z$209,7,FALSE)</f>
        <v>0</v>
      </c>
      <c r="R36" s="120" t="e">
        <f>+'CMI Data'!$I$214</f>
        <v>#DIV/0!</v>
      </c>
      <c r="S36" s="106">
        <f>IF(Q36=0,'CMI Data'!$I$213,ROUND(Q36*R36,4))</f>
        <v>1.4061999999999999</v>
      </c>
      <c r="T36" s="105">
        <f>VLOOKUP(A36,'Rate Calculation'!$A$4:$DK$210,16,FALSE)</f>
        <v>178.97</v>
      </c>
      <c r="U36" s="105">
        <f>VLOOKUP(A36,'Rate Calculation'!$A$4:$DK$210,20,FALSE)</f>
        <v>0</v>
      </c>
      <c r="V36" s="113">
        <f t="shared" si="9"/>
        <v>0</v>
      </c>
      <c r="W36" s="105">
        <f t="shared" si="10"/>
        <v>0</v>
      </c>
      <c r="X36" s="111">
        <f t="shared" si="11"/>
        <v>0</v>
      </c>
      <c r="Y36" s="105">
        <f t="shared" si="12"/>
        <v>0</v>
      </c>
      <c r="Z36" s="105">
        <f t="shared" si="13"/>
        <v>244.1</v>
      </c>
      <c r="AA36" s="105">
        <f t="shared" si="14"/>
        <v>0</v>
      </c>
      <c r="AB36" s="111">
        <f t="shared" si="15"/>
        <v>-244.1</v>
      </c>
      <c r="AC36" s="105" t="e">
        <f t="shared" si="16"/>
        <v>#VALUE!</v>
      </c>
      <c r="AD36" s="105" t="e">
        <f t="shared" si="3"/>
        <v>#VALUE!</v>
      </c>
      <c r="AE36" s="105" t="e">
        <f t="shared" si="4"/>
        <v>#DIV/0!</v>
      </c>
      <c r="AF36" s="105" t="e">
        <f t="shared" si="17"/>
        <v>#VALUE!</v>
      </c>
      <c r="AG36" s="105" t="e">
        <f t="shared" si="5"/>
        <v>#VALUE!</v>
      </c>
      <c r="AH36" s="111"/>
      <c r="AI36" s="105"/>
      <c r="AJ36" s="105"/>
      <c r="AK36" s="109"/>
      <c r="AL36" s="109"/>
      <c r="AM36" s="109"/>
      <c r="AN36" s="109"/>
      <c r="AO36" s="105"/>
      <c r="AP36" s="105"/>
      <c r="AQ36" s="109"/>
      <c r="AR36" s="110"/>
      <c r="AS36" s="110"/>
      <c r="AT36" s="110"/>
      <c r="AU36" s="110"/>
      <c r="AV36" s="110"/>
      <c r="AW36" s="112"/>
      <c r="AX36" s="112"/>
      <c r="AY36" s="110"/>
      <c r="AZ36" s="105"/>
      <c r="BA36" s="105"/>
      <c r="BB36" s="105"/>
      <c r="BC36" s="105"/>
      <c r="BD36" s="105"/>
      <c r="BE36" s="105"/>
    </row>
    <row r="37" spans="1:57" x14ac:dyDescent="0.15">
      <c r="A37" s="101">
        <v>695</v>
      </c>
      <c r="B37" s="98" t="e">
        <f>VLOOKUP($A37,'Rate Calculation'!$A$4:$CS$210,68,FALSE)</f>
        <v>#REF!</v>
      </c>
      <c r="C37" s="98" t="str">
        <f>UPPER(VLOOKUP($A37,'Rate Calculation'!$A$4:$CL$210,69,FALSE))</f>
        <v>368512</v>
      </c>
      <c r="D37" s="104" t="str">
        <f>VLOOKUP($A37,'Rate Calculation'!$A$4:$AJ$210,5,FALSE)</f>
        <v>WASHINGTON METRO</v>
      </c>
      <c r="E37" s="104" t="str">
        <f>VLOOKUP($A37,'Rate Calculation'!$A$4:$AJ$210,6,FALSE)</f>
        <v>WASHINGTON METRO</v>
      </c>
      <c r="F37" s="105">
        <f>VLOOKUP(A37,'Rate Calculation'!$A$3:$AT$210,35,FALSE)</f>
        <v>37544</v>
      </c>
      <c r="G37" s="105">
        <f>VLOOKUP(A37,'Rate Calculation'!$A$3:$AT$210,30,FALSE)</f>
        <v>55998</v>
      </c>
      <c r="H37" s="105">
        <f>VLOOKUP(A37,'Rate Calculation'!$A$3:$AW$210,36,FALSE)+VLOOKUP(A37,'Rate Calculation'!$A$3:$CC$210,42,FALSE)</f>
        <v>888780973</v>
      </c>
      <c r="I37" s="105">
        <f t="shared" si="6"/>
        <v>-12.3</v>
      </c>
      <c r="J37" s="105" t="str">
        <f>VLOOKUP(A37,'Rate Calculation'!$A$3:$BL$210,43,FALSE)</f>
        <v>Autumn Lake Healthcare at Patuxent River</v>
      </c>
      <c r="K37" s="105">
        <f t="shared" si="7"/>
        <v>888874502.70000005</v>
      </c>
      <c r="L37" s="164">
        <f t="shared" si="1"/>
        <v>0.98772000000000004</v>
      </c>
      <c r="M37" s="105">
        <f t="shared" si="8"/>
        <v>877959123.80999994</v>
      </c>
      <c r="N37" s="105" t="e">
        <f>VLOOKUP(A37,'Rate Calculation'!$A$4:$DK$210,47,FALSE)</f>
        <v>#DIV/0!</v>
      </c>
      <c r="O37" s="106">
        <f>VLOOKUP(A37,'Rate Calculation'!$A$4:$DK$210,10,FALSE)</f>
        <v>1.0309999999999999</v>
      </c>
      <c r="P37" s="114">
        <f t="shared" si="2"/>
        <v>1.4432</v>
      </c>
      <c r="Q37" s="114">
        <f>VLOOKUP(A37,'CMI Data'!$A$3:$Z$209,7,FALSE)</f>
        <v>0</v>
      </c>
      <c r="R37" s="120" t="e">
        <f>+'CMI Data'!$I$214</f>
        <v>#DIV/0!</v>
      </c>
      <c r="S37" s="106">
        <f>IF(Q37=0,'CMI Data'!$I$213,ROUND(Q37*R37,4))</f>
        <v>1.4061999999999999</v>
      </c>
      <c r="T37" s="105">
        <f>VLOOKUP(A37,'Rate Calculation'!$A$4:$DK$210,16,FALSE)</f>
        <v>183.91</v>
      </c>
      <c r="U37" s="105">
        <f>VLOOKUP(A37,'Rate Calculation'!$A$4:$DK$210,20,FALSE)</f>
        <v>-12.62</v>
      </c>
      <c r="V37" s="113">
        <f t="shared" si="9"/>
        <v>-9.02</v>
      </c>
      <c r="W37" s="105">
        <f t="shared" si="10"/>
        <v>-12.3</v>
      </c>
      <c r="X37" s="111">
        <f t="shared" si="11"/>
        <v>0</v>
      </c>
      <c r="Y37" s="105">
        <f t="shared" si="12"/>
        <v>-12.3</v>
      </c>
      <c r="Z37" s="105">
        <f t="shared" si="13"/>
        <v>250.84</v>
      </c>
      <c r="AA37" s="105">
        <f t="shared" si="14"/>
        <v>-11.69</v>
      </c>
      <c r="AB37" s="111">
        <f t="shared" si="15"/>
        <v>-262.52999999999997</v>
      </c>
      <c r="AC37" s="105" t="e">
        <f t="shared" si="16"/>
        <v>#VALUE!</v>
      </c>
      <c r="AD37" s="105" t="e">
        <f t="shared" si="3"/>
        <v>#VALUE!</v>
      </c>
      <c r="AE37" s="105" t="e">
        <f t="shared" si="4"/>
        <v>#DIV/0!</v>
      </c>
      <c r="AF37" s="105" t="e">
        <f t="shared" si="17"/>
        <v>#VALUE!</v>
      </c>
      <c r="AG37" s="105" t="e">
        <f t="shared" si="5"/>
        <v>#VALUE!</v>
      </c>
      <c r="AH37" s="111"/>
      <c r="AI37" s="105"/>
      <c r="AJ37" s="105"/>
      <c r="AK37" s="109"/>
      <c r="AL37" s="109"/>
      <c r="AM37" s="109"/>
      <c r="AN37" s="109"/>
      <c r="AO37" s="105"/>
      <c r="AP37" s="105"/>
      <c r="AQ37" s="109"/>
      <c r="AR37" s="110"/>
      <c r="AS37" s="110"/>
      <c r="AT37" s="110"/>
      <c r="AU37" s="110"/>
      <c r="AV37" s="110"/>
      <c r="AW37" s="112"/>
      <c r="AX37" s="112"/>
      <c r="AY37" s="110"/>
      <c r="AZ37" s="105"/>
      <c r="BA37" s="105"/>
      <c r="BB37" s="105"/>
      <c r="BC37" s="105"/>
      <c r="BD37" s="105"/>
      <c r="BE37" s="105"/>
    </row>
    <row r="38" spans="1:57" x14ac:dyDescent="0.15">
      <c r="A38" s="101">
        <v>362</v>
      </c>
      <c r="B38" s="98" t="e">
        <f>VLOOKUP($A38,'Rate Calculation'!$A$4:$CS$210,68,FALSE)</f>
        <v>#REF!</v>
      </c>
      <c r="C38" s="98" t="str">
        <f>UPPER(VLOOKUP($A38,'Rate Calculation'!$A$4:$CL$210,69,FALSE))</f>
        <v>48944</v>
      </c>
      <c r="D38" s="104" t="str">
        <f>VLOOKUP($A38,'Rate Calculation'!$A$4:$AJ$210,5,FALSE)</f>
        <v>BALTIMORE METRO</v>
      </c>
      <c r="E38" s="104" t="str">
        <f>VLOOKUP($A38,'Rate Calculation'!$A$4:$AJ$210,6,FALSE)</f>
        <v>BALTIMORE METRO</v>
      </c>
      <c r="F38" s="105">
        <f>VLOOKUP(A38,'Rate Calculation'!$A$3:$AT$210,35,FALSE)</f>
        <v>26352</v>
      </c>
      <c r="G38" s="105">
        <f>VLOOKUP(A38,'Rate Calculation'!$A$3:$AT$210,30,FALSE)</f>
        <v>40260</v>
      </c>
      <c r="H38" s="105">
        <f>VLOOKUP(A38,'Rate Calculation'!$A$3:$AW$210,36,FALSE)+VLOOKUP(A38,'Rate Calculation'!$A$3:$CC$210,42,FALSE)</f>
        <v>889105061</v>
      </c>
      <c r="I38" s="105">
        <f t="shared" si="6"/>
        <v>-23.47</v>
      </c>
      <c r="J38" s="105" t="str">
        <f>VLOOKUP(A38,'Rate Calculation'!$A$3:$BL$210,43,FALSE)</f>
        <v>Autumn Lake Healthcare at Perring Parkway</v>
      </c>
      <c r="K38" s="105">
        <f t="shared" si="7"/>
        <v>889171649.52999997</v>
      </c>
      <c r="L38" s="164">
        <f t="shared" si="1"/>
        <v>0.98772000000000004</v>
      </c>
      <c r="M38" s="105">
        <f t="shared" si="8"/>
        <v>878252621.66999996</v>
      </c>
      <c r="N38" s="105" t="e">
        <f>VLOOKUP(A38,'Rate Calculation'!$A$4:$DK$210,47,FALSE)</f>
        <v>#DIV/0!</v>
      </c>
      <c r="O38" s="106">
        <f>VLOOKUP(A38,'Rate Calculation'!$A$4:$DK$210,10,FALSE)</f>
        <v>1.0309999999999999</v>
      </c>
      <c r="P38" s="114">
        <f t="shared" si="2"/>
        <v>1.4432</v>
      </c>
      <c r="Q38" s="114">
        <f>VLOOKUP(A38,'CMI Data'!$A$3:$Z$209,7,FALSE)</f>
        <v>0</v>
      </c>
      <c r="R38" s="120" t="e">
        <f>+'CMI Data'!$I$214</f>
        <v>#DIV/0!</v>
      </c>
      <c r="S38" s="106">
        <f>IF(Q38=0,'CMI Data'!$I$213,ROUND(Q38*R38,4))</f>
        <v>1.4061999999999999</v>
      </c>
      <c r="T38" s="105">
        <f>VLOOKUP(A38,'Rate Calculation'!$A$4:$DK$210,16,FALSE)</f>
        <v>196.15</v>
      </c>
      <c r="U38" s="105">
        <f>VLOOKUP(A38,'Rate Calculation'!$A$4:$DK$210,20,FALSE)</f>
        <v>-24.09</v>
      </c>
      <c r="V38" s="113">
        <f t="shared" si="9"/>
        <v>-17.21</v>
      </c>
      <c r="W38" s="105">
        <f t="shared" si="10"/>
        <v>-23.47</v>
      </c>
      <c r="X38" s="111">
        <f t="shared" si="11"/>
        <v>0</v>
      </c>
      <c r="Y38" s="105">
        <f t="shared" si="12"/>
        <v>-23.47</v>
      </c>
      <c r="Z38" s="105">
        <f t="shared" si="13"/>
        <v>267.52999999999997</v>
      </c>
      <c r="AA38" s="105">
        <f t="shared" si="14"/>
        <v>-22.3</v>
      </c>
      <c r="AB38" s="111">
        <f t="shared" si="15"/>
        <v>-289.83</v>
      </c>
      <c r="AC38" s="105" t="e">
        <f t="shared" si="16"/>
        <v>#VALUE!</v>
      </c>
      <c r="AD38" s="105" t="e">
        <f t="shared" si="3"/>
        <v>#VALUE!</v>
      </c>
      <c r="AE38" s="105" t="e">
        <f t="shared" si="4"/>
        <v>#DIV/0!</v>
      </c>
      <c r="AF38" s="105" t="e">
        <f t="shared" si="17"/>
        <v>#VALUE!</v>
      </c>
      <c r="AG38" s="105" t="e">
        <f t="shared" si="5"/>
        <v>#VALUE!</v>
      </c>
      <c r="AH38" s="111"/>
      <c r="AI38" s="105"/>
      <c r="AJ38" s="105"/>
      <c r="AK38" s="109"/>
      <c r="AL38" s="109"/>
      <c r="AM38" s="109"/>
      <c r="AN38" s="109"/>
      <c r="AO38" s="105"/>
      <c r="AP38" s="105"/>
      <c r="AQ38" s="109"/>
      <c r="AR38" s="110"/>
      <c r="AS38" s="110"/>
      <c r="AT38" s="110"/>
      <c r="AU38" s="110"/>
      <c r="AV38" s="110"/>
      <c r="AW38" s="112"/>
      <c r="AX38" s="112"/>
      <c r="AY38" s="110"/>
      <c r="AZ38" s="105"/>
      <c r="BA38" s="105"/>
      <c r="BB38" s="105"/>
      <c r="BC38" s="105"/>
      <c r="BD38" s="105"/>
      <c r="BE38" s="105"/>
    </row>
    <row r="39" spans="1:57" x14ac:dyDescent="0.15">
      <c r="A39" s="101">
        <v>390</v>
      </c>
      <c r="B39" s="98" t="e">
        <f>VLOOKUP($A39,'Rate Calculation'!$A$4:$CS$210,68,FALSE)</f>
        <v>#REF!</v>
      </c>
      <c r="C39" s="98" t="str">
        <f>UPPER(VLOOKUP($A39,'Rate Calculation'!$A$4:$CL$210,69,FALSE))</f>
        <v>107893</v>
      </c>
      <c r="D39" s="104" t="str">
        <f>VLOOKUP($A39,'Rate Calculation'!$A$4:$AJ$210,5,FALSE)</f>
        <v>BALTIMORE METRO</v>
      </c>
      <c r="E39" s="104" t="str">
        <f>VLOOKUP($A39,'Rate Calculation'!$A$4:$AJ$210,6,FALSE)</f>
        <v>BALTIMORE METRO</v>
      </c>
      <c r="F39" s="105">
        <f>VLOOKUP(A39,'Rate Calculation'!$A$3:$AT$210,35,FALSE)</f>
        <v>31534</v>
      </c>
      <c r="G39" s="105">
        <f>VLOOKUP(A39,'Rate Calculation'!$A$3:$AT$210,30,FALSE)</f>
        <v>51240</v>
      </c>
      <c r="H39" s="105">
        <f>VLOOKUP(A39,'Rate Calculation'!$A$3:$AW$210,36,FALSE)+VLOOKUP(A39,'Rate Calculation'!$A$3:$CC$210,42,FALSE)</f>
        <v>750059151</v>
      </c>
      <c r="I39" s="105">
        <f t="shared" si="6"/>
        <v>0</v>
      </c>
      <c r="J39" s="105" t="str">
        <f>VLOOKUP(A39,'Rate Calculation'!$A$3:$BL$210,43,FALSE)</f>
        <v>Autumn Lake Healthcare at Pikesville</v>
      </c>
      <c r="K39" s="105">
        <f t="shared" si="7"/>
        <v>750141925</v>
      </c>
      <c r="L39" s="164">
        <f t="shared" si="1"/>
        <v>0.98772000000000004</v>
      </c>
      <c r="M39" s="105">
        <f t="shared" si="8"/>
        <v>740930182.15999997</v>
      </c>
      <c r="N39" s="105" t="e">
        <f>VLOOKUP(A39,'Rate Calculation'!$A$4:$DK$210,47,FALSE)</f>
        <v>#DIV/0!</v>
      </c>
      <c r="O39" s="106">
        <f>VLOOKUP(A39,'Rate Calculation'!$A$4:$DK$210,10,FALSE)</f>
        <v>1.0309999999999999</v>
      </c>
      <c r="P39" s="114">
        <f t="shared" si="2"/>
        <v>1.4432</v>
      </c>
      <c r="Q39" s="114">
        <f>VLOOKUP(A39,'CMI Data'!$A$3:$Z$209,7,FALSE)</f>
        <v>0</v>
      </c>
      <c r="R39" s="120" t="e">
        <f>+'CMI Data'!$I$214</f>
        <v>#DIV/0!</v>
      </c>
      <c r="S39" s="106">
        <f>IF(Q39=0,'CMI Data'!$I$213,ROUND(Q39*R39,4))</f>
        <v>1.4061999999999999</v>
      </c>
      <c r="T39" s="105">
        <f>VLOOKUP(A39,'Rate Calculation'!$A$4:$DK$210,16,FALSE)</f>
        <v>200.22</v>
      </c>
      <c r="U39" s="105">
        <f>VLOOKUP(A39,'Rate Calculation'!$A$4:$DK$210,20,FALSE)</f>
        <v>0</v>
      </c>
      <c r="V39" s="113">
        <f t="shared" si="9"/>
        <v>0</v>
      </c>
      <c r="W39" s="105">
        <f t="shared" si="10"/>
        <v>0</v>
      </c>
      <c r="X39" s="111">
        <f t="shared" si="11"/>
        <v>0</v>
      </c>
      <c r="Y39" s="105">
        <f t="shared" si="12"/>
        <v>0</v>
      </c>
      <c r="Z39" s="105">
        <f t="shared" si="13"/>
        <v>273.08</v>
      </c>
      <c r="AA39" s="105">
        <f t="shared" si="14"/>
        <v>0</v>
      </c>
      <c r="AB39" s="111">
        <f t="shared" si="15"/>
        <v>-273.08</v>
      </c>
      <c r="AC39" s="105" t="e">
        <f t="shared" si="16"/>
        <v>#VALUE!</v>
      </c>
      <c r="AD39" s="105" t="e">
        <f t="shared" si="3"/>
        <v>#VALUE!</v>
      </c>
      <c r="AE39" s="105" t="e">
        <f t="shared" si="4"/>
        <v>#DIV/0!</v>
      </c>
      <c r="AF39" s="105" t="e">
        <f t="shared" si="17"/>
        <v>#VALUE!</v>
      </c>
      <c r="AG39" s="105" t="e">
        <f t="shared" si="5"/>
        <v>#VALUE!</v>
      </c>
      <c r="AH39" s="111"/>
      <c r="AI39" s="105"/>
      <c r="AJ39" s="105"/>
      <c r="AK39" s="109"/>
      <c r="AL39" s="109"/>
      <c r="AM39" s="109"/>
      <c r="AN39" s="109"/>
      <c r="AO39" s="105"/>
      <c r="AP39" s="105"/>
      <c r="AQ39" s="109"/>
      <c r="AR39" s="110"/>
      <c r="AS39" s="110"/>
      <c r="AT39" s="110"/>
      <c r="AU39" s="110"/>
      <c r="AV39" s="110"/>
      <c r="AW39" s="112"/>
      <c r="AX39" s="112"/>
      <c r="AY39" s="110"/>
      <c r="AZ39" s="105"/>
      <c r="BA39" s="105"/>
      <c r="BB39" s="105"/>
      <c r="BC39" s="105"/>
      <c r="BD39" s="105"/>
      <c r="BE39" s="105"/>
    </row>
    <row r="40" spans="1:57" x14ac:dyDescent="0.15">
      <c r="A40" s="101">
        <v>384</v>
      </c>
      <c r="B40" s="98" t="e">
        <f>VLOOKUP($A40,'Rate Calculation'!$A$4:$CS$210,68,FALSE)</f>
        <v>#REF!</v>
      </c>
      <c r="C40" s="98" t="str">
        <f>UPPER(VLOOKUP($A40,'Rate Calculation'!$A$4:$CL$210,69,FALSE))</f>
        <v>110837</v>
      </c>
      <c r="D40" s="104" t="str">
        <f>VLOOKUP($A40,'Rate Calculation'!$A$4:$AJ$210,5,FALSE)</f>
        <v>BALTIMORE METRO</v>
      </c>
      <c r="E40" s="104" t="str">
        <f>VLOOKUP($A40,'Rate Calculation'!$A$4:$AJ$210,6,FALSE)</f>
        <v>BALTIMORE METRO</v>
      </c>
      <c r="F40" s="105">
        <f>VLOOKUP(A40,'Rate Calculation'!$A$3:$AT$210,35,FALSE)</f>
        <v>57913</v>
      </c>
      <c r="G40" s="105">
        <f>VLOOKUP(A40,'Rate Calculation'!$A$3:$AT$210,30,FALSE)</f>
        <v>87108</v>
      </c>
      <c r="H40" s="105">
        <f>VLOOKUP(A40,'Rate Calculation'!$A$3:$AW$210,36,FALSE)+VLOOKUP(A40,'Rate Calculation'!$A$3:$CC$210,42,FALSE)</f>
        <v>811142804</v>
      </c>
      <c r="I40" s="105">
        <f t="shared" si="6"/>
        <v>-24.59</v>
      </c>
      <c r="J40" s="105" t="str">
        <f>VLOOKUP(A40,'Rate Calculation'!$A$3:$BL$210,43,FALSE)</f>
        <v>Autumn Lake Healthcare at Riverview</v>
      </c>
      <c r="K40" s="105">
        <f t="shared" si="7"/>
        <v>811287800.40999997</v>
      </c>
      <c r="L40" s="164">
        <f t="shared" si="1"/>
        <v>0.98772000000000004</v>
      </c>
      <c r="M40" s="105">
        <f t="shared" si="8"/>
        <v>801325186.22000003</v>
      </c>
      <c r="N40" s="105" t="e">
        <f>VLOOKUP(A40,'Rate Calculation'!$A$4:$DK$210,47,FALSE)</f>
        <v>#DIV/0!</v>
      </c>
      <c r="O40" s="106">
        <f>VLOOKUP(A40,'Rate Calculation'!$A$4:$DK$210,10,FALSE)</f>
        <v>1.0309999999999999</v>
      </c>
      <c r="P40" s="114">
        <f t="shared" si="2"/>
        <v>1.4432</v>
      </c>
      <c r="Q40" s="114">
        <f>VLOOKUP(A40,'CMI Data'!$A$3:$Z$209,7,FALSE)</f>
        <v>0</v>
      </c>
      <c r="R40" s="120" t="e">
        <f>+'CMI Data'!$I$214</f>
        <v>#DIV/0!</v>
      </c>
      <c r="S40" s="106">
        <f>IF(Q40=0,'CMI Data'!$I$213,ROUND(Q40*R40,4))</f>
        <v>1.4061999999999999</v>
      </c>
      <c r="T40" s="105">
        <f>VLOOKUP(A40,'Rate Calculation'!$A$4:$DK$210,16,FALSE)</f>
        <v>191.71</v>
      </c>
      <c r="U40" s="105">
        <f>VLOOKUP(A40,'Rate Calculation'!$A$4:$DK$210,20,FALSE)</f>
        <v>-25.24</v>
      </c>
      <c r="V40" s="113">
        <f t="shared" si="9"/>
        <v>-18.03</v>
      </c>
      <c r="W40" s="105">
        <f t="shared" si="10"/>
        <v>-24.59</v>
      </c>
      <c r="X40" s="111">
        <f t="shared" si="11"/>
        <v>0</v>
      </c>
      <c r="Y40" s="105">
        <f t="shared" si="12"/>
        <v>-24.59</v>
      </c>
      <c r="Z40" s="105">
        <f t="shared" si="13"/>
        <v>261.48</v>
      </c>
      <c r="AA40" s="105">
        <f t="shared" si="14"/>
        <v>-23.36</v>
      </c>
      <c r="AB40" s="111">
        <f t="shared" si="15"/>
        <v>-284.83999999999997</v>
      </c>
      <c r="AC40" s="105" t="e">
        <f t="shared" si="16"/>
        <v>#VALUE!</v>
      </c>
      <c r="AD40" s="105" t="e">
        <f t="shared" si="3"/>
        <v>#VALUE!</v>
      </c>
      <c r="AE40" s="105" t="e">
        <f t="shared" si="4"/>
        <v>#DIV/0!</v>
      </c>
      <c r="AF40" s="105" t="e">
        <f t="shared" si="17"/>
        <v>#VALUE!</v>
      </c>
      <c r="AG40" s="105" t="e">
        <f t="shared" si="5"/>
        <v>#VALUE!</v>
      </c>
      <c r="AH40" s="111"/>
      <c r="AI40" s="105"/>
      <c r="AJ40" s="105"/>
      <c r="AK40" s="109"/>
      <c r="AL40" s="109"/>
      <c r="AM40" s="109"/>
      <c r="AN40" s="109"/>
      <c r="AO40" s="105"/>
      <c r="AP40" s="105"/>
      <c r="AQ40" s="109"/>
      <c r="AR40" s="110"/>
      <c r="AS40" s="110"/>
      <c r="AT40" s="110"/>
      <c r="AU40" s="110"/>
      <c r="AV40" s="110"/>
      <c r="AW40" s="112"/>
      <c r="AX40" s="112"/>
      <c r="AY40" s="110"/>
      <c r="AZ40" s="105"/>
      <c r="BA40" s="105"/>
      <c r="BB40" s="105"/>
      <c r="BC40" s="105"/>
      <c r="BD40" s="105"/>
      <c r="BE40" s="105"/>
    </row>
    <row r="41" spans="1:57" x14ac:dyDescent="0.15">
      <c r="A41" s="101">
        <v>314</v>
      </c>
      <c r="B41" s="98" t="e">
        <f>VLOOKUP($A41,'Rate Calculation'!$A$4:$CS$210,68,FALSE)</f>
        <v>#REF!</v>
      </c>
      <c r="C41" s="98" t="str">
        <f>UPPER(VLOOKUP($A41,'Rate Calculation'!$A$4:$CL$210,69,FALSE))</f>
        <v>85630</v>
      </c>
      <c r="D41" s="104" t="str">
        <f>VLOOKUP($A41,'Rate Calculation'!$A$4:$AJ$210,5,FALSE)</f>
        <v>BALTIMORE METRO</v>
      </c>
      <c r="E41" s="104" t="str">
        <f>VLOOKUP($A41,'Rate Calculation'!$A$4:$AJ$210,6,FALSE)</f>
        <v>BALTIMORE METRO</v>
      </c>
      <c r="F41" s="105">
        <f>VLOOKUP(A41,'Rate Calculation'!$A$3:$AT$210,35,FALSE)</f>
        <v>45806</v>
      </c>
      <c r="G41" s="105">
        <f>VLOOKUP(A41,'Rate Calculation'!$A$3:$AT$210,30,FALSE)</f>
        <v>65514</v>
      </c>
      <c r="H41" s="105">
        <f>VLOOKUP(A41,'Rate Calculation'!$A$3:$AW$210,36,FALSE)+VLOOKUP(A41,'Rate Calculation'!$A$3:$CC$210,42,FALSE)</f>
        <v>502777633</v>
      </c>
      <c r="I41" s="105">
        <f t="shared" si="6"/>
        <v>0</v>
      </c>
      <c r="J41" s="105" t="str">
        <f>VLOOKUP(A41,'Rate Calculation'!$A$3:$BL$210,43,FALSE)</f>
        <v>Autumn Lake Healthcare at Ruxton</v>
      </c>
      <c r="K41" s="105">
        <f t="shared" si="7"/>
        <v>502888953</v>
      </c>
      <c r="L41" s="164">
        <f t="shared" si="1"/>
        <v>0.98772000000000004</v>
      </c>
      <c r="M41" s="105">
        <f t="shared" si="8"/>
        <v>496713476.66000003</v>
      </c>
      <c r="N41" s="105" t="e">
        <f>VLOOKUP(A41,'Rate Calculation'!$A$4:$DK$210,47,FALSE)</f>
        <v>#DIV/0!</v>
      </c>
      <c r="O41" s="106">
        <f>VLOOKUP(A41,'Rate Calculation'!$A$4:$DK$210,10,FALSE)</f>
        <v>1.0309999999999999</v>
      </c>
      <c r="P41" s="114">
        <f t="shared" si="2"/>
        <v>1.4432</v>
      </c>
      <c r="Q41" s="114">
        <f>VLOOKUP(A41,'CMI Data'!$A$3:$Z$209,7,FALSE)</f>
        <v>0</v>
      </c>
      <c r="R41" s="120" t="e">
        <f>+'CMI Data'!$I$214</f>
        <v>#DIV/0!</v>
      </c>
      <c r="S41" s="106">
        <f>IF(Q41=0,'CMI Data'!$I$213,ROUND(Q41*R41,4))</f>
        <v>1.4061999999999999</v>
      </c>
      <c r="T41" s="105">
        <f>VLOOKUP(A41,'Rate Calculation'!$A$4:$DK$210,16,FALSE)</f>
        <v>194.89</v>
      </c>
      <c r="U41" s="105">
        <f>VLOOKUP(A41,'Rate Calculation'!$A$4:$DK$210,20,FALSE)</f>
        <v>0</v>
      </c>
      <c r="V41" s="113">
        <f t="shared" si="9"/>
        <v>0</v>
      </c>
      <c r="W41" s="105">
        <f t="shared" si="10"/>
        <v>0</v>
      </c>
      <c r="X41" s="111">
        <f t="shared" si="11"/>
        <v>0</v>
      </c>
      <c r="Y41" s="105">
        <f t="shared" si="12"/>
        <v>0</v>
      </c>
      <c r="Z41" s="105">
        <f t="shared" si="13"/>
        <v>265.81</v>
      </c>
      <c r="AA41" s="105">
        <f t="shared" si="14"/>
        <v>0</v>
      </c>
      <c r="AB41" s="111">
        <f t="shared" si="15"/>
        <v>-265.81</v>
      </c>
      <c r="AC41" s="105" t="e">
        <f t="shared" si="16"/>
        <v>#VALUE!</v>
      </c>
      <c r="AD41" s="105" t="e">
        <f t="shared" si="3"/>
        <v>#VALUE!</v>
      </c>
      <c r="AE41" s="105" t="e">
        <f t="shared" si="4"/>
        <v>#DIV/0!</v>
      </c>
      <c r="AF41" s="105" t="e">
        <f t="shared" si="17"/>
        <v>#VALUE!</v>
      </c>
      <c r="AG41" s="105" t="e">
        <f t="shared" si="5"/>
        <v>#VALUE!</v>
      </c>
      <c r="AH41" s="111"/>
      <c r="AI41" s="105"/>
      <c r="AJ41" s="105"/>
      <c r="AK41" s="109"/>
      <c r="AL41" s="109"/>
      <c r="AM41" s="109"/>
      <c r="AN41" s="109"/>
      <c r="AO41" s="105"/>
      <c r="AP41" s="105"/>
      <c r="AQ41" s="109"/>
      <c r="AR41" s="110"/>
      <c r="AS41" s="110"/>
      <c r="AT41" s="110"/>
      <c r="AU41" s="110"/>
      <c r="AV41" s="110"/>
      <c r="AW41" s="112"/>
      <c r="AX41" s="112"/>
      <c r="AY41" s="110"/>
      <c r="AZ41" s="105"/>
      <c r="BA41" s="105"/>
      <c r="BB41" s="105"/>
      <c r="BC41" s="105"/>
      <c r="BD41" s="105"/>
      <c r="BE41" s="105"/>
    </row>
    <row r="42" spans="1:57" x14ac:dyDescent="0.15">
      <c r="A42" s="101">
        <v>324</v>
      </c>
      <c r="B42" s="98" t="e">
        <f>VLOOKUP($A42,'Rate Calculation'!$A$4:$CS$210,68,FALSE)</f>
        <v>#REF!</v>
      </c>
      <c r="C42" s="98" t="str">
        <f>UPPER(VLOOKUP($A42,'Rate Calculation'!$A$4:$CL$210,69,FALSE))</f>
        <v>187961</v>
      </c>
      <c r="D42" s="104" t="str">
        <f>VLOOKUP($A42,'Rate Calculation'!$A$4:$AJ$210,5,FALSE)</f>
        <v>WASHINGTON METRO</v>
      </c>
      <c r="E42" s="104" t="str">
        <f>VLOOKUP($A42,'Rate Calculation'!$A$4:$AJ$210,6,FALSE)</f>
        <v>WASHINGTON METRO</v>
      </c>
      <c r="F42" s="105">
        <f>VLOOKUP(A42,'Rate Calculation'!$A$3:$AT$210,35,FALSE)</f>
        <v>38226</v>
      </c>
      <c r="G42" s="105">
        <f>VLOOKUP(A42,'Rate Calculation'!$A$3:$AT$210,30,FALSE)</f>
        <v>54168</v>
      </c>
      <c r="H42" s="105">
        <f>VLOOKUP(A42,'Rate Calculation'!$A$3:$AW$210,36,FALSE)+VLOOKUP(A42,'Rate Calculation'!$A$3:$CC$210,42,FALSE)</f>
        <v>772580355</v>
      </c>
      <c r="I42" s="105">
        <f t="shared" si="6"/>
        <v>0</v>
      </c>
      <c r="J42" s="105" t="str">
        <f>VLOOKUP(A42,'Rate Calculation'!$A$3:$BL$210,43,FALSE)</f>
        <v>Autumn Lake Healthcare at Silver Spring</v>
      </c>
      <c r="K42" s="105">
        <f t="shared" si="7"/>
        <v>772672749</v>
      </c>
      <c r="L42" s="164">
        <f t="shared" si="1"/>
        <v>0.98772000000000004</v>
      </c>
      <c r="M42" s="105">
        <f t="shared" si="8"/>
        <v>763184327.63999999</v>
      </c>
      <c r="N42" s="105" t="e">
        <f>VLOOKUP(A42,'Rate Calculation'!$A$4:$DK$210,47,FALSE)</f>
        <v>#DIV/0!</v>
      </c>
      <c r="O42" s="106">
        <f>VLOOKUP(A42,'Rate Calculation'!$A$4:$DK$210,10,FALSE)</f>
        <v>1.0309999999999999</v>
      </c>
      <c r="P42" s="114">
        <f t="shared" si="2"/>
        <v>1.4432</v>
      </c>
      <c r="Q42" s="114">
        <f>VLOOKUP(A42,'CMI Data'!$A$3:$Z$209,7,FALSE)</f>
        <v>0</v>
      </c>
      <c r="R42" s="120" t="e">
        <f>+'CMI Data'!$I$214</f>
        <v>#DIV/0!</v>
      </c>
      <c r="S42" s="106">
        <f>IF(Q42=0,'CMI Data'!$I$213,ROUND(Q42*R42,4))</f>
        <v>1.4061999999999999</v>
      </c>
      <c r="T42" s="105">
        <f>VLOOKUP(A42,'Rate Calculation'!$A$4:$DK$210,16,FALSE)</f>
        <v>172.16</v>
      </c>
      <c r="U42" s="105">
        <f>VLOOKUP(A42,'Rate Calculation'!$A$4:$DK$210,20,FALSE)</f>
        <v>0</v>
      </c>
      <c r="V42" s="113">
        <f t="shared" si="9"/>
        <v>0</v>
      </c>
      <c r="W42" s="105">
        <f t="shared" si="10"/>
        <v>0</v>
      </c>
      <c r="X42" s="111">
        <f t="shared" si="11"/>
        <v>0</v>
      </c>
      <c r="Y42" s="105">
        <f t="shared" si="12"/>
        <v>0</v>
      </c>
      <c r="Z42" s="105">
        <f t="shared" si="13"/>
        <v>234.81</v>
      </c>
      <c r="AA42" s="105">
        <f t="shared" si="14"/>
        <v>0</v>
      </c>
      <c r="AB42" s="111">
        <f t="shared" si="15"/>
        <v>-234.81</v>
      </c>
      <c r="AC42" s="105" t="e">
        <f t="shared" si="16"/>
        <v>#VALUE!</v>
      </c>
      <c r="AD42" s="105" t="e">
        <f t="shared" si="3"/>
        <v>#VALUE!</v>
      </c>
      <c r="AE42" s="105" t="e">
        <f t="shared" si="4"/>
        <v>#DIV/0!</v>
      </c>
      <c r="AF42" s="105" t="e">
        <f t="shared" si="17"/>
        <v>#VALUE!</v>
      </c>
      <c r="AG42" s="105" t="e">
        <f t="shared" si="5"/>
        <v>#VALUE!</v>
      </c>
      <c r="AH42" s="111"/>
      <c r="AI42" s="105"/>
      <c r="AJ42" s="105"/>
      <c r="AK42" s="109"/>
      <c r="AL42" s="109"/>
      <c r="AM42" s="109"/>
      <c r="AN42" s="109"/>
      <c r="AO42" s="105"/>
      <c r="AP42" s="105"/>
      <c r="AQ42" s="109"/>
      <c r="AR42" s="110"/>
      <c r="AS42" s="110"/>
      <c r="AT42" s="110"/>
      <c r="AU42" s="110"/>
      <c r="AV42" s="110"/>
      <c r="AW42" s="112"/>
      <c r="AX42" s="112"/>
      <c r="AY42" s="110"/>
      <c r="AZ42" s="105"/>
      <c r="BA42" s="105"/>
      <c r="BB42" s="105"/>
      <c r="BC42" s="105"/>
      <c r="BD42" s="105"/>
      <c r="BE42" s="105"/>
    </row>
    <row r="43" spans="1:57" x14ac:dyDescent="0.15">
      <c r="A43" s="101">
        <v>410</v>
      </c>
      <c r="B43" s="98" t="e">
        <f>VLOOKUP($A43,'Rate Calculation'!$A$4:$CS$210,68,FALSE)</f>
        <v>#REF!</v>
      </c>
      <c r="C43" s="98" t="str">
        <f>UPPER(VLOOKUP($A43,'Rate Calculation'!$A$4:$CL$210,69,FALSE))</f>
        <v>172380</v>
      </c>
      <c r="D43" s="104" t="str">
        <f>VLOOKUP($A43,'Rate Calculation'!$A$4:$AJ$210,5,FALSE)</f>
        <v>BALTIMORE METRO</v>
      </c>
      <c r="E43" s="104" t="str">
        <f>VLOOKUP($A43,'Rate Calculation'!$A$4:$AJ$210,6,FALSE)</f>
        <v>BALTIMORE METRO</v>
      </c>
      <c r="F43" s="105">
        <f>VLOOKUP(A43,'Rate Calculation'!$A$3:$AT$210,35,FALSE)</f>
        <v>26273</v>
      </c>
      <c r="G43" s="105">
        <f>VLOOKUP(A43,'Rate Calculation'!$A$3:$AT$210,30,FALSE)</f>
        <v>47580</v>
      </c>
      <c r="H43" s="105">
        <f>VLOOKUP(A43,'Rate Calculation'!$A$3:$AW$210,36,FALSE)+VLOOKUP(A43,'Rate Calculation'!$A$3:$CC$210,42,FALSE)</f>
        <v>547101339</v>
      </c>
      <c r="I43" s="105">
        <f t="shared" si="6"/>
        <v>0</v>
      </c>
      <c r="J43" s="105" t="str">
        <f>VLOOKUP(A43,'Rate Calculation'!$A$3:$BL$210,43,FALSE)</f>
        <v>Autumn Lake Healthcare at Spa Creek</v>
      </c>
      <c r="K43" s="105">
        <f t="shared" si="7"/>
        <v>547175192</v>
      </c>
      <c r="L43" s="164">
        <f t="shared" si="1"/>
        <v>0.98772000000000004</v>
      </c>
      <c r="M43" s="105">
        <f t="shared" si="8"/>
        <v>540455880.63999999</v>
      </c>
      <c r="N43" s="105" t="e">
        <f>VLOOKUP(A43,'Rate Calculation'!$A$4:$DK$210,47,FALSE)</f>
        <v>#DIV/0!</v>
      </c>
      <c r="O43" s="106">
        <f>VLOOKUP(A43,'Rate Calculation'!$A$4:$DK$210,10,FALSE)</f>
        <v>1.0309999999999999</v>
      </c>
      <c r="P43" s="114">
        <f t="shared" si="2"/>
        <v>1.4432</v>
      </c>
      <c r="Q43" s="114">
        <f>VLOOKUP(A43,'CMI Data'!$A$3:$Z$209,7,FALSE)</f>
        <v>0</v>
      </c>
      <c r="R43" s="120" t="e">
        <f>+'CMI Data'!$I$214</f>
        <v>#DIV/0!</v>
      </c>
      <c r="S43" s="106">
        <f>IF(Q43=0,'CMI Data'!$I$213,ROUND(Q43*R43,4))</f>
        <v>1.4061999999999999</v>
      </c>
      <c r="T43" s="105">
        <f>VLOOKUP(A43,'Rate Calculation'!$A$4:$DK$210,16,FALSE)</f>
        <v>195.52</v>
      </c>
      <c r="U43" s="105">
        <f>VLOOKUP(A43,'Rate Calculation'!$A$4:$DK$210,20,FALSE)</f>
        <v>0</v>
      </c>
      <c r="V43" s="113">
        <f t="shared" si="9"/>
        <v>0</v>
      </c>
      <c r="W43" s="105">
        <f t="shared" si="10"/>
        <v>0</v>
      </c>
      <c r="X43" s="111">
        <f t="shared" si="11"/>
        <v>0</v>
      </c>
      <c r="Y43" s="105">
        <f t="shared" si="12"/>
        <v>0</v>
      </c>
      <c r="Z43" s="105">
        <f t="shared" si="13"/>
        <v>266.67</v>
      </c>
      <c r="AA43" s="105">
        <f t="shared" si="14"/>
        <v>0</v>
      </c>
      <c r="AB43" s="111">
        <f t="shared" si="15"/>
        <v>-266.67</v>
      </c>
      <c r="AC43" s="105" t="e">
        <f t="shared" si="16"/>
        <v>#VALUE!</v>
      </c>
      <c r="AD43" s="105" t="e">
        <f t="shared" si="3"/>
        <v>#VALUE!</v>
      </c>
      <c r="AE43" s="105" t="e">
        <f t="shared" si="4"/>
        <v>#DIV/0!</v>
      </c>
      <c r="AF43" s="105" t="e">
        <f t="shared" si="17"/>
        <v>#VALUE!</v>
      </c>
      <c r="AG43" s="105" t="e">
        <f t="shared" si="5"/>
        <v>#VALUE!</v>
      </c>
      <c r="AH43" s="111"/>
      <c r="AI43" s="105"/>
      <c r="AJ43" s="105"/>
      <c r="AK43" s="109"/>
      <c r="AL43" s="109"/>
      <c r="AM43" s="109"/>
      <c r="AN43" s="109"/>
      <c r="AO43" s="105"/>
      <c r="AP43" s="105"/>
      <c r="AQ43" s="109"/>
      <c r="AR43" s="110"/>
      <c r="AS43" s="110"/>
      <c r="AT43" s="110"/>
      <c r="AU43" s="110"/>
      <c r="AV43" s="110"/>
      <c r="AW43" s="112"/>
      <c r="AX43" s="112"/>
      <c r="AY43" s="110"/>
      <c r="AZ43" s="105"/>
      <c r="BA43" s="105"/>
      <c r="BB43" s="105"/>
      <c r="BC43" s="105"/>
      <c r="BD43" s="105"/>
      <c r="BE43" s="105"/>
    </row>
    <row r="44" spans="1:57" x14ac:dyDescent="0.15">
      <c r="A44" s="101">
        <v>679</v>
      </c>
      <c r="B44" s="98" t="e">
        <f>VLOOKUP($A44,'Rate Calculation'!$A$4:$CS$210,68,FALSE)</f>
        <v>#REF!</v>
      </c>
      <c r="C44" s="98" t="str">
        <f>UPPER(VLOOKUP($A44,'Rate Calculation'!$A$4:$CL$210,69,FALSE))</f>
        <v>74410</v>
      </c>
      <c r="D44" s="104" t="str">
        <f>VLOOKUP($A44,'Rate Calculation'!$A$4:$AJ$210,5,FALSE)</f>
        <v>BALTIMORE METRO</v>
      </c>
      <c r="E44" s="104" t="str">
        <f>VLOOKUP($A44,'Rate Calculation'!$A$4:$AJ$210,6,FALSE)</f>
        <v>BALTIMORE METRO</v>
      </c>
      <c r="F44" s="105">
        <f>VLOOKUP(A44,'Rate Calculation'!$A$3:$AT$210,35,FALSE)</f>
        <v>36964</v>
      </c>
      <c r="G44" s="105">
        <f>VLOOKUP(A44,'Rate Calculation'!$A$3:$AT$210,30,FALSE)</f>
        <v>49044</v>
      </c>
      <c r="H44" s="105">
        <f>VLOOKUP(A44,'Rate Calculation'!$A$3:$AW$210,36,FALSE)+VLOOKUP(A44,'Rate Calculation'!$A$3:$CC$210,42,FALSE)</f>
        <v>888779119</v>
      </c>
      <c r="I44" s="105">
        <f t="shared" si="6"/>
        <v>-4.46</v>
      </c>
      <c r="J44" s="105" t="str">
        <f>VLOOKUP(A44,'Rate Calculation'!$A$3:$BL$210,43,FALSE)</f>
        <v>Autumn Lake Healthcare at Summit Park</v>
      </c>
      <c r="K44" s="105">
        <f t="shared" si="7"/>
        <v>888865122.53999996</v>
      </c>
      <c r="L44" s="164">
        <f t="shared" si="1"/>
        <v>0.98772000000000004</v>
      </c>
      <c r="M44" s="105">
        <f t="shared" si="8"/>
        <v>877949858.84000003</v>
      </c>
      <c r="N44" s="105" t="e">
        <f>VLOOKUP(A44,'Rate Calculation'!$A$4:$DK$210,47,FALSE)</f>
        <v>#DIV/0!</v>
      </c>
      <c r="O44" s="106">
        <f>VLOOKUP(A44,'Rate Calculation'!$A$4:$DK$210,10,FALSE)</f>
        <v>1.0309999999999999</v>
      </c>
      <c r="P44" s="114">
        <f t="shared" si="2"/>
        <v>1.4432</v>
      </c>
      <c r="Q44" s="114">
        <f>VLOOKUP(A44,'CMI Data'!$A$3:$Z$209,7,FALSE)</f>
        <v>0</v>
      </c>
      <c r="R44" s="120" t="e">
        <f>+'CMI Data'!$I$214</f>
        <v>#DIV/0!</v>
      </c>
      <c r="S44" s="106">
        <f>IF(Q44=0,'CMI Data'!$I$213,ROUND(Q44*R44,4))</f>
        <v>1.4061999999999999</v>
      </c>
      <c r="T44" s="105">
        <f>VLOOKUP(A44,'Rate Calculation'!$A$4:$DK$210,16,FALSE)</f>
        <v>185.29</v>
      </c>
      <c r="U44" s="105">
        <f>VLOOKUP(A44,'Rate Calculation'!$A$4:$DK$210,20,FALSE)</f>
        <v>-4.58</v>
      </c>
      <c r="V44" s="113">
        <f t="shared" si="9"/>
        <v>-3.27</v>
      </c>
      <c r="W44" s="105">
        <f t="shared" si="10"/>
        <v>-4.46</v>
      </c>
      <c r="X44" s="111">
        <f t="shared" si="11"/>
        <v>0</v>
      </c>
      <c r="Y44" s="105">
        <f t="shared" si="12"/>
        <v>-4.46</v>
      </c>
      <c r="Z44" s="105">
        <f t="shared" si="13"/>
        <v>252.72</v>
      </c>
      <c r="AA44" s="105">
        <f t="shared" si="14"/>
        <v>-4.24</v>
      </c>
      <c r="AB44" s="111">
        <f t="shared" si="15"/>
        <v>-256.95999999999998</v>
      </c>
      <c r="AC44" s="105" t="e">
        <f t="shared" si="16"/>
        <v>#VALUE!</v>
      </c>
      <c r="AD44" s="105" t="e">
        <f t="shared" si="3"/>
        <v>#VALUE!</v>
      </c>
      <c r="AE44" s="105" t="e">
        <f t="shared" si="4"/>
        <v>#DIV/0!</v>
      </c>
      <c r="AF44" s="105" t="e">
        <f t="shared" si="17"/>
        <v>#VALUE!</v>
      </c>
      <c r="AG44" s="105" t="e">
        <f t="shared" si="5"/>
        <v>#VALUE!</v>
      </c>
      <c r="AH44" s="111"/>
      <c r="AI44" s="105"/>
      <c r="AJ44" s="105"/>
      <c r="AK44" s="109"/>
      <c r="AL44" s="109"/>
      <c r="AM44" s="109"/>
      <c r="AN44" s="109"/>
      <c r="AO44" s="105"/>
      <c r="AP44" s="105"/>
      <c r="AQ44" s="109"/>
      <c r="AR44" s="110"/>
      <c r="AS44" s="110"/>
      <c r="AT44" s="110"/>
      <c r="AU44" s="110"/>
      <c r="AV44" s="110"/>
      <c r="AW44" s="112"/>
      <c r="AX44" s="112"/>
      <c r="AY44" s="110"/>
      <c r="AZ44" s="105"/>
      <c r="BA44" s="105"/>
      <c r="BB44" s="105"/>
      <c r="BC44" s="105"/>
      <c r="BD44" s="105"/>
      <c r="BE44" s="105"/>
    </row>
    <row r="45" spans="1:57" x14ac:dyDescent="0.15">
      <c r="A45" s="101">
        <v>260</v>
      </c>
      <c r="B45" s="98" t="e">
        <f>VLOOKUP($A45,'Rate Calculation'!$A$4:$CS$210,68,FALSE)</f>
        <v>#REF!</v>
      </c>
      <c r="C45" s="98" t="str">
        <f>UPPER(VLOOKUP($A45,'Rate Calculation'!$A$4:$CL$210,69,FALSE))</f>
        <v>207160</v>
      </c>
      <c r="D45" s="104" t="str">
        <f>VLOOKUP($A45,'Rate Calculation'!$A$4:$AJ$210,5,FALSE)</f>
        <v>BALTIMORE METRO</v>
      </c>
      <c r="E45" s="104" t="str">
        <f>VLOOKUP($A45,'Rate Calculation'!$A$4:$AJ$210,6,FALSE)</f>
        <v>BALTIMORE METRO</v>
      </c>
      <c r="F45" s="105">
        <f>VLOOKUP(A45,'Rate Calculation'!$A$3:$AT$210,35,FALSE)</f>
        <v>11375</v>
      </c>
      <c r="G45" s="105">
        <f>VLOOKUP(A45,'Rate Calculation'!$A$3:$AT$210,30,FALSE)</f>
        <v>40260</v>
      </c>
      <c r="H45" s="105">
        <f>VLOOKUP(A45,'Rate Calculation'!$A$3:$AW$210,36,FALSE)+VLOOKUP(A45,'Rate Calculation'!$A$3:$CC$210,42,FALSE)</f>
        <v>654314787</v>
      </c>
      <c r="I45" s="105">
        <f t="shared" si="6"/>
        <v>0</v>
      </c>
      <c r="J45" s="105" t="str">
        <f>VLOOKUP(A45,'Rate Calculation'!$A$3:$BL$210,43,FALSE)</f>
        <v>Autumn Lake Healthcare at Waugh Chapel</v>
      </c>
      <c r="K45" s="105">
        <f t="shared" si="7"/>
        <v>654366422</v>
      </c>
      <c r="L45" s="164">
        <f t="shared" si="1"/>
        <v>0.98772000000000004</v>
      </c>
      <c r="M45" s="105">
        <f t="shared" si="8"/>
        <v>646330802.34000003</v>
      </c>
      <c r="N45" s="105" t="e">
        <f>VLOOKUP(A45,'Rate Calculation'!$A$4:$DK$210,47,FALSE)</f>
        <v>#DIV/0!</v>
      </c>
      <c r="O45" s="106">
        <f>VLOOKUP(A45,'Rate Calculation'!$A$4:$DK$210,10,FALSE)</f>
        <v>1.0309999999999999</v>
      </c>
      <c r="P45" s="114">
        <f t="shared" si="2"/>
        <v>1.4432</v>
      </c>
      <c r="Q45" s="114">
        <f>VLOOKUP(A45,'CMI Data'!$A$3:$Z$209,7,FALSE)</f>
        <v>0</v>
      </c>
      <c r="R45" s="120" t="e">
        <f>+'CMI Data'!$I$214</f>
        <v>#DIV/0!</v>
      </c>
      <c r="S45" s="106">
        <f>IF(Q45=0,'CMI Data'!$I$213,ROUND(Q45*R45,4))</f>
        <v>1.4061999999999999</v>
      </c>
      <c r="T45" s="105">
        <f>VLOOKUP(A45,'Rate Calculation'!$A$4:$DK$210,16,FALSE)</f>
        <v>204.55</v>
      </c>
      <c r="U45" s="105">
        <f>VLOOKUP(A45,'Rate Calculation'!$A$4:$DK$210,20,FALSE)</f>
        <v>0</v>
      </c>
      <c r="V45" s="113">
        <f t="shared" si="9"/>
        <v>0</v>
      </c>
      <c r="W45" s="105">
        <f t="shared" si="10"/>
        <v>0</v>
      </c>
      <c r="X45" s="111">
        <f t="shared" si="11"/>
        <v>0</v>
      </c>
      <c r="Y45" s="105">
        <f t="shared" si="12"/>
        <v>0</v>
      </c>
      <c r="Z45" s="105">
        <f t="shared" si="13"/>
        <v>278.99</v>
      </c>
      <c r="AA45" s="105">
        <f t="shared" si="14"/>
        <v>0</v>
      </c>
      <c r="AB45" s="111">
        <f t="shared" si="15"/>
        <v>-278.99</v>
      </c>
      <c r="AC45" s="105" t="e">
        <f t="shared" si="16"/>
        <v>#VALUE!</v>
      </c>
      <c r="AD45" s="105" t="e">
        <f t="shared" si="3"/>
        <v>#VALUE!</v>
      </c>
      <c r="AE45" s="105" t="e">
        <f t="shared" si="4"/>
        <v>#DIV/0!</v>
      </c>
      <c r="AF45" s="105" t="e">
        <f t="shared" si="17"/>
        <v>#VALUE!</v>
      </c>
      <c r="AG45" s="105" t="e">
        <f t="shared" si="5"/>
        <v>#VALUE!</v>
      </c>
      <c r="AH45" s="111"/>
      <c r="AI45" s="105"/>
      <c r="AJ45" s="105"/>
      <c r="AK45" s="109"/>
      <c r="AL45" s="109"/>
      <c r="AM45" s="109"/>
      <c r="AN45" s="109"/>
      <c r="AO45" s="105"/>
      <c r="AP45" s="105"/>
      <c r="AQ45" s="109"/>
      <c r="AR45" s="110"/>
      <c r="AS45" s="110"/>
      <c r="AT45" s="110"/>
      <c r="AU45" s="110"/>
      <c r="AV45" s="110"/>
      <c r="AW45" s="112"/>
      <c r="AX45" s="112"/>
      <c r="AY45" s="110"/>
      <c r="AZ45" s="105"/>
      <c r="BA45" s="105"/>
      <c r="BB45" s="105"/>
      <c r="BC45" s="105"/>
      <c r="BD45" s="105"/>
      <c r="BE45" s="105"/>
    </row>
    <row r="46" spans="1:57" x14ac:dyDescent="0.15">
      <c r="A46" s="101">
        <v>701</v>
      </c>
      <c r="B46" s="98" t="e">
        <f>VLOOKUP($A46,'Rate Calculation'!$A$4:$CS$210,68,FALSE)</f>
        <v>#REF!</v>
      </c>
      <c r="C46" s="98" t="str">
        <f>UPPER(VLOOKUP($A46,'Rate Calculation'!$A$4:$CL$210,69,FALSE))</f>
        <v>26557</v>
      </c>
      <c r="D46" s="104" t="str">
        <f>VLOOKUP($A46,'Rate Calculation'!$A$4:$AJ$210,5,FALSE)</f>
        <v>EASTERN REGION</v>
      </c>
      <c r="E46" s="104" t="str">
        <f>VLOOKUP($A46,'Rate Calculation'!$A$4:$AJ$210,6,FALSE)</f>
        <v>NON METRO</v>
      </c>
      <c r="F46" s="105">
        <f>VLOOKUP(A46,'Rate Calculation'!$A$3:$AT$210,35,FALSE)</f>
        <v>0</v>
      </c>
      <c r="G46" s="105">
        <f>VLOOKUP(A46,'Rate Calculation'!$A$3:$AT$210,30,FALSE)</f>
        <v>36234</v>
      </c>
      <c r="H46" s="105">
        <f>VLOOKUP(A46,'Rate Calculation'!$A$3:$AW$210,36,FALSE)+VLOOKUP(A46,'Rate Calculation'!$A$3:$CC$210,42,FALSE)</f>
        <v>769505500</v>
      </c>
      <c r="I46" s="105">
        <f t="shared" si="6"/>
        <v>0</v>
      </c>
      <c r="J46" s="105" t="str">
        <f>VLOOKUP(A46,'Rate Calculation'!$A$3:$BL$210,43,FALSE)</f>
        <v>Bayleigh Chase</v>
      </c>
      <c r="K46" s="105">
        <f t="shared" si="7"/>
        <v>769541734</v>
      </c>
      <c r="L46" s="164">
        <f t="shared" si="1"/>
        <v>0.98772000000000004</v>
      </c>
      <c r="M46" s="105">
        <f t="shared" si="8"/>
        <v>760091761.50999999</v>
      </c>
      <c r="N46" s="105" t="e">
        <f>VLOOKUP(A46,'Rate Calculation'!$A$4:$DK$210,47,FALSE)</f>
        <v>#DIV/0!</v>
      </c>
      <c r="O46" s="106">
        <f>VLOOKUP(A46,'Rate Calculation'!$A$4:$DK$210,10,FALSE)</f>
        <v>1.0309999999999999</v>
      </c>
      <c r="P46" s="114">
        <f t="shared" si="2"/>
        <v>1.4432</v>
      </c>
      <c r="Q46" s="114">
        <f>VLOOKUP(A46,'CMI Data'!$A$3:$Z$209,7,FALSE)</f>
        <v>0</v>
      </c>
      <c r="R46" s="120" t="e">
        <f>+'CMI Data'!$I$214</f>
        <v>#DIV/0!</v>
      </c>
      <c r="S46" s="106">
        <f>IF(Q46=0,'CMI Data'!$I$213,ROUND(Q46*R46,4))</f>
        <v>1.4061999999999999</v>
      </c>
      <c r="T46" s="105">
        <f>VLOOKUP(A46,'Rate Calculation'!$A$4:$DK$210,16,FALSE)</f>
        <v>159.94</v>
      </c>
      <c r="U46" s="105">
        <f>VLOOKUP(A46,'Rate Calculation'!$A$4:$DK$210,20,FALSE)</f>
        <v>0</v>
      </c>
      <c r="V46" s="113">
        <f t="shared" si="9"/>
        <v>0</v>
      </c>
      <c r="W46" s="105">
        <f t="shared" si="10"/>
        <v>0</v>
      </c>
      <c r="X46" s="111">
        <f t="shared" si="11"/>
        <v>0</v>
      </c>
      <c r="Y46" s="105">
        <f t="shared" si="12"/>
        <v>0</v>
      </c>
      <c r="Z46" s="105">
        <f t="shared" si="13"/>
        <v>218.15</v>
      </c>
      <c r="AA46" s="105">
        <f t="shared" si="14"/>
        <v>0</v>
      </c>
      <c r="AB46" s="111">
        <f t="shared" si="15"/>
        <v>-218.15</v>
      </c>
      <c r="AC46" s="105" t="e">
        <f t="shared" si="16"/>
        <v>#VALUE!</v>
      </c>
      <c r="AD46" s="105" t="e">
        <f t="shared" si="3"/>
        <v>#VALUE!</v>
      </c>
      <c r="AE46" s="105" t="e">
        <f t="shared" si="4"/>
        <v>#DIV/0!</v>
      </c>
      <c r="AF46" s="105" t="e">
        <f t="shared" si="17"/>
        <v>#VALUE!</v>
      </c>
      <c r="AG46" s="105" t="e">
        <f t="shared" si="5"/>
        <v>#VALUE!</v>
      </c>
      <c r="AH46" s="111"/>
      <c r="AI46" s="105"/>
      <c r="AJ46" s="105"/>
      <c r="AK46" s="109"/>
      <c r="AL46" s="109"/>
      <c r="AM46" s="109"/>
      <c r="AN46" s="109"/>
      <c r="AO46" s="105"/>
      <c r="AP46" s="105"/>
      <c r="AQ46" s="109"/>
      <c r="AR46" s="110"/>
      <c r="AS46" s="110"/>
      <c r="AT46" s="110"/>
      <c r="AU46" s="110"/>
      <c r="AV46" s="110"/>
      <c r="AW46" s="112"/>
      <c r="AX46" s="112"/>
      <c r="AY46" s="110"/>
      <c r="AZ46" s="105"/>
      <c r="BA46" s="105"/>
      <c r="BB46" s="105"/>
      <c r="BC46" s="105"/>
      <c r="BD46" s="105"/>
      <c r="BE46" s="105"/>
    </row>
    <row r="47" spans="1:57" x14ac:dyDescent="0.15">
      <c r="A47" s="101">
        <v>52</v>
      </c>
      <c r="B47" s="98" t="e">
        <f>VLOOKUP($A47,'Rate Calculation'!$A$4:$CS$210,68,FALSE)</f>
        <v>#REF!</v>
      </c>
      <c r="C47" s="98" t="str">
        <f>UPPER(VLOOKUP($A47,'Rate Calculation'!$A$4:$CL$210,69,FALSE))</f>
        <v>55023</v>
      </c>
      <c r="D47" s="104" t="str">
        <f>VLOOKUP($A47,'Rate Calculation'!$A$4:$AJ$210,5,FALSE)</f>
        <v>WASHINGTON METRO</v>
      </c>
      <c r="E47" s="104" t="str">
        <f>VLOOKUP($A47,'Rate Calculation'!$A$4:$AJ$210,6,FALSE)</f>
        <v>WASHINGTON METRO</v>
      </c>
      <c r="F47" s="105">
        <f>VLOOKUP(A47,'Rate Calculation'!$A$3:$AT$210,35,FALSE)</f>
        <v>0</v>
      </c>
      <c r="G47" s="105">
        <f>VLOOKUP(A47,'Rate Calculation'!$A$3:$AT$210,30,FALSE)</f>
        <v>21960</v>
      </c>
      <c r="H47" s="105">
        <f>VLOOKUP(A47,'Rate Calculation'!$A$3:$AW$210,36,FALSE)+VLOOKUP(A47,'Rate Calculation'!$A$3:$CC$210,42,FALSE)</f>
        <v>740033100</v>
      </c>
      <c r="I47" s="105">
        <f t="shared" si="6"/>
        <v>0</v>
      </c>
      <c r="J47" s="105" t="str">
        <f>VLOOKUP(A47,'Rate Calculation'!$A$3:$BL$210,43,FALSE)</f>
        <v>Bedford Court Healthcare Center</v>
      </c>
      <c r="K47" s="105">
        <f t="shared" si="7"/>
        <v>740055060</v>
      </c>
      <c r="L47" s="164">
        <f t="shared" si="1"/>
        <v>0.98772000000000004</v>
      </c>
      <c r="M47" s="105">
        <f t="shared" si="8"/>
        <v>730967183.86000001</v>
      </c>
      <c r="N47" s="105" t="e">
        <f>VLOOKUP(A47,'Rate Calculation'!$A$4:$DK$210,47,FALSE)</f>
        <v>#DIV/0!</v>
      </c>
      <c r="O47" s="106">
        <f>VLOOKUP(A47,'Rate Calculation'!$A$4:$DK$210,10,FALSE)</f>
        <v>1.0309999999999999</v>
      </c>
      <c r="P47" s="114">
        <f t="shared" si="2"/>
        <v>1.4432</v>
      </c>
      <c r="Q47" s="114">
        <f>VLOOKUP(A47,'CMI Data'!$A$3:$Z$209,7,FALSE)</f>
        <v>0</v>
      </c>
      <c r="R47" s="120" t="e">
        <f>+'CMI Data'!$I$214</f>
        <v>#DIV/0!</v>
      </c>
      <c r="S47" s="106">
        <f>IF(Q47=0,'CMI Data'!$I$213,ROUND(Q47*R47,4))</f>
        <v>1.4061999999999999</v>
      </c>
      <c r="T47" s="105">
        <f>VLOOKUP(A47,'Rate Calculation'!$A$4:$DK$210,16,FALSE)</f>
        <v>146.79</v>
      </c>
      <c r="U47" s="105">
        <f>VLOOKUP(A47,'Rate Calculation'!$A$4:$DK$210,20,FALSE)</f>
        <v>0</v>
      </c>
      <c r="V47" s="113">
        <f t="shared" si="9"/>
        <v>0</v>
      </c>
      <c r="W47" s="105">
        <f t="shared" si="10"/>
        <v>0</v>
      </c>
      <c r="X47" s="111">
        <f t="shared" si="11"/>
        <v>0</v>
      </c>
      <c r="Y47" s="105">
        <f t="shared" si="12"/>
        <v>0</v>
      </c>
      <c r="Z47" s="105">
        <f t="shared" si="13"/>
        <v>200.21</v>
      </c>
      <c r="AA47" s="105">
        <f t="shared" si="14"/>
        <v>0</v>
      </c>
      <c r="AB47" s="111">
        <f t="shared" si="15"/>
        <v>-200.21</v>
      </c>
      <c r="AC47" s="105" t="e">
        <f t="shared" si="16"/>
        <v>#VALUE!</v>
      </c>
      <c r="AD47" s="105" t="e">
        <f t="shared" si="3"/>
        <v>#VALUE!</v>
      </c>
      <c r="AE47" s="105" t="e">
        <f t="shared" si="4"/>
        <v>#DIV/0!</v>
      </c>
      <c r="AF47" s="105" t="e">
        <f t="shared" si="17"/>
        <v>#VALUE!</v>
      </c>
      <c r="AG47" s="105" t="e">
        <f t="shared" si="5"/>
        <v>#VALUE!</v>
      </c>
      <c r="AH47" s="111"/>
      <c r="AI47" s="105"/>
      <c r="AJ47" s="105"/>
      <c r="AK47" s="109"/>
      <c r="AL47" s="109"/>
      <c r="AM47" s="109"/>
      <c r="AN47" s="109"/>
      <c r="AO47" s="105"/>
      <c r="AP47" s="105"/>
      <c r="AQ47" s="109"/>
      <c r="AR47" s="110"/>
      <c r="AS47" s="110"/>
      <c r="AT47" s="110"/>
      <c r="AU47" s="110"/>
      <c r="AV47" s="110"/>
      <c r="AW47" s="112"/>
      <c r="AX47" s="112"/>
      <c r="AY47" s="110"/>
      <c r="AZ47" s="105"/>
      <c r="BA47" s="105"/>
      <c r="BB47" s="105"/>
      <c r="BC47" s="105"/>
      <c r="BD47" s="105"/>
      <c r="BE47" s="105"/>
    </row>
    <row r="48" spans="1:57" x14ac:dyDescent="0.15">
      <c r="A48" s="101">
        <v>743</v>
      </c>
      <c r="B48" s="98" t="e">
        <f>VLOOKUP($A48,'Rate Calculation'!$A$4:$CS$210,68,FALSE)</f>
        <v>#REF!</v>
      </c>
      <c r="C48" s="98" t="str">
        <f>UPPER(VLOOKUP($A48,'Rate Calculation'!$A$4:$CL$210,69,FALSE))</f>
        <v>336752</v>
      </c>
      <c r="D48" s="104" t="str">
        <f>VLOOKUP($A48,'Rate Calculation'!$A$4:$AJ$210,5,FALSE)</f>
        <v>WASHINGTON METRO</v>
      </c>
      <c r="E48" s="104" t="str">
        <f>VLOOKUP($A48,'Rate Calculation'!$A$4:$AJ$210,6,FALSE)</f>
        <v>WASHINGTON METRO</v>
      </c>
      <c r="F48" s="105">
        <f>VLOOKUP(A48,'Rate Calculation'!$A$3:$AT$210,35,FALSE)</f>
        <v>31474</v>
      </c>
      <c r="G48" s="105">
        <f>VLOOKUP(A48,'Rate Calculation'!$A$3:$AT$210,30,FALSE)</f>
        <v>33672</v>
      </c>
      <c r="H48" s="105">
        <f>VLOOKUP(A48,'Rate Calculation'!$A$3:$AW$210,36,FALSE)+VLOOKUP(A48,'Rate Calculation'!$A$3:$CC$210,42,FALSE)</f>
        <v>414460746</v>
      </c>
      <c r="I48" s="105">
        <f t="shared" si="6"/>
        <v>-32.42</v>
      </c>
      <c r="J48" s="105" t="str">
        <f>VLOOKUP(A48,'Rate Calculation'!$A$3:$BL$210,43,FALSE)</f>
        <v>Bel Pre Health and Rehabilitation Center</v>
      </c>
      <c r="K48" s="105">
        <f t="shared" ref="K48" si="18">SUM(F48:J48)</f>
        <v>414525859.57999998</v>
      </c>
      <c r="L48" s="164">
        <f t="shared" si="1"/>
        <v>0.98772000000000004</v>
      </c>
      <c r="M48" s="105">
        <f t="shared" si="8"/>
        <v>409435482.01999998</v>
      </c>
      <c r="N48" s="105" t="e">
        <f>VLOOKUP(A48,'Rate Calculation'!$A$4:$DK$210,47,FALSE)</f>
        <v>#DIV/0!</v>
      </c>
      <c r="O48" s="106">
        <f>VLOOKUP(A48,'Rate Calculation'!$A$4:$DK$210,10,FALSE)</f>
        <v>1.0309999999999999</v>
      </c>
      <c r="P48" s="114">
        <f t="shared" si="2"/>
        <v>1.4432</v>
      </c>
      <c r="Q48" s="114">
        <f>VLOOKUP(A48,'CMI Data'!$A$3:$Z$209,7,FALSE)</f>
        <v>0</v>
      </c>
      <c r="R48" s="120" t="e">
        <f>+'CMI Data'!$I$214</f>
        <v>#DIV/0!</v>
      </c>
      <c r="S48" s="106">
        <f>IF(Q48=0,'CMI Data'!$I$213,ROUND(Q48*R48,4))</f>
        <v>1.4061999999999999</v>
      </c>
      <c r="T48" s="105">
        <f>VLOOKUP(A48,'Rate Calculation'!$A$4:$DK$210,16,FALSE)</f>
        <v>151.05000000000001</v>
      </c>
      <c r="U48" s="105">
        <f>VLOOKUP(A48,'Rate Calculation'!$A$4:$DK$210,20,FALSE)</f>
        <v>-33.270000000000003</v>
      </c>
      <c r="V48" s="113">
        <f t="shared" si="9"/>
        <v>-23.77</v>
      </c>
      <c r="W48" s="105">
        <f t="shared" si="10"/>
        <v>-32.42</v>
      </c>
      <c r="X48" s="111">
        <f t="shared" si="11"/>
        <v>0</v>
      </c>
      <c r="Y48" s="105">
        <f t="shared" si="12"/>
        <v>-32.42</v>
      </c>
      <c r="Z48" s="105">
        <f t="shared" si="13"/>
        <v>206.02</v>
      </c>
      <c r="AA48" s="105">
        <f t="shared" si="14"/>
        <v>-30.8</v>
      </c>
      <c r="AB48" s="111">
        <f t="shared" si="15"/>
        <v>-236.82</v>
      </c>
      <c r="AC48" s="105" t="e">
        <f t="shared" si="16"/>
        <v>#VALUE!</v>
      </c>
      <c r="AD48" s="105" t="e">
        <f t="shared" si="3"/>
        <v>#VALUE!</v>
      </c>
      <c r="AE48" s="105" t="e">
        <f t="shared" si="4"/>
        <v>#DIV/0!</v>
      </c>
      <c r="AF48" s="105" t="e">
        <f t="shared" si="17"/>
        <v>#VALUE!</v>
      </c>
      <c r="AG48" s="105" t="e">
        <f t="shared" si="5"/>
        <v>#VALUE!</v>
      </c>
      <c r="AH48" s="111"/>
      <c r="AI48" s="105"/>
      <c r="AJ48" s="105"/>
      <c r="AK48" s="109"/>
      <c r="AL48" s="109"/>
      <c r="AM48" s="109"/>
      <c r="AN48" s="109"/>
      <c r="AO48" s="105"/>
      <c r="AP48" s="105"/>
      <c r="AQ48" s="109"/>
      <c r="AR48" s="110"/>
      <c r="AS48" s="110"/>
      <c r="AT48" s="110"/>
      <c r="AU48" s="110"/>
      <c r="AV48" s="110"/>
      <c r="AW48" s="112"/>
      <c r="AX48" s="112"/>
      <c r="AY48" s="110"/>
      <c r="AZ48" s="105"/>
      <c r="BA48" s="105"/>
      <c r="BB48" s="105"/>
      <c r="BC48" s="105"/>
      <c r="BD48" s="105"/>
      <c r="BE48" s="105"/>
    </row>
    <row r="49" spans="1:57" x14ac:dyDescent="0.15">
      <c r="A49" s="101">
        <v>58</v>
      </c>
      <c r="B49" s="98" t="e">
        <f>VLOOKUP($A49,'Rate Calculation'!$A$4:$CS$210,68,FALSE)</f>
        <v>#REF!</v>
      </c>
      <c r="C49" s="98" t="str">
        <f>UPPER(VLOOKUP($A49,'Rate Calculation'!$A$4:$CL$210,69,FALSE))</f>
        <v>214114</v>
      </c>
      <c r="D49" s="104" t="str">
        <f>VLOOKUP($A49,'Rate Calculation'!$A$4:$AJ$210,5,FALSE)</f>
        <v>EASTERN REGION</v>
      </c>
      <c r="E49" s="104" t="str">
        <f>VLOOKUP($A49,'Rate Calculation'!$A$4:$AJ$210,6,FALSE)</f>
        <v>NON METRO</v>
      </c>
      <c r="F49" s="105">
        <f>VLOOKUP(A49,'Rate Calculation'!$A$3:$AT$210,35,FALSE)</f>
        <v>26034</v>
      </c>
      <c r="G49" s="105">
        <f>VLOOKUP(A49,'Rate Calculation'!$A$3:$AT$210,30,FALSE)</f>
        <v>57462</v>
      </c>
      <c r="H49" s="105">
        <f>VLOOKUP(A49,'Rate Calculation'!$A$3:$AW$210,36,FALSE)+VLOOKUP(A49,'Rate Calculation'!$A$3:$CC$210,42,FALSE)</f>
        <v>900067876</v>
      </c>
      <c r="I49" s="105">
        <f t="shared" si="6"/>
        <v>-38.71</v>
      </c>
      <c r="J49" s="105" t="str">
        <f>VLOOKUP(A49,'Rate Calculation'!$A$3:$BL$210,43,FALSE)</f>
        <v>Berlin Nursing and Rehabilitation Center</v>
      </c>
      <c r="K49" s="105">
        <f t="shared" ref="K49" si="19">SUM(F49:J49)</f>
        <v>900151333.28999996</v>
      </c>
      <c r="L49" s="164">
        <f t="shared" si="1"/>
        <v>0.98772000000000004</v>
      </c>
      <c r="M49" s="105">
        <f t="shared" si="8"/>
        <v>889097474.91999996</v>
      </c>
      <c r="N49" s="105" t="e">
        <f>VLOOKUP(A49,'Rate Calculation'!$A$4:$DK$210,47,FALSE)</f>
        <v>#DIV/0!</v>
      </c>
      <c r="O49" s="106">
        <f>VLOOKUP(A49,'Rate Calculation'!$A$4:$DK$210,10,FALSE)</f>
        <v>1.0309999999999999</v>
      </c>
      <c r="P49" s="114">
        <f t="shared" si="2"/>
        <v>1.4432</v>
      </c>
      <c r="Q49" s="114">
        <f>VLOOKUP(A49,'CMI Data'!$A$3:$Z$209,7,FALSE)</f>
        <v>0</v>
      </c>
      <c r="R49" s="120" t="e">
        <f>+'CMI Data'!$I$214</f>
        <v>#DIV/0!</v>
      </c>
      <c r="S49" s="106">
        <f>IF(Q49=0,'CMI Data'!$I$213,ROUND(Q49*R49,4))</f>
        <v>1.4061999999999999</v>
      </c>
      <c r="T49" s="105">
        <f>VLOOKUP(A49,'Rate Calculation'!$A$4:$DK$210,16,FALSE)</f>
        <v>167.55</v>
      </c>
      <c r="U49" s="105">
        <f>VLOOKUP(A49,'Rate Calculation'!$A$4:$DK$210,20,FALSE)</f>
        <v>-39.72</v>
      </c>
      <c r="V49" s="113">
        <f t="shared" si="9"/>
        <v>-28.38</v>
      </c>
      <c r="W49" s="105">
        <f t="shared" si="10"/>
        <v>-38.71</v>
      </c>
      <c r="X49" s="111">
        <f t="shared" si="11"/>
        <v>0</v>
      </c>
      <c r="Y49" s="105">
        <f t="shared" si="12"/>
        <v>-38.71</v>
      </c>
      <c r="Z49" s="105">
        <f t="shared" si="13"/>
        <v>228.52</v>
      </c>
      <c r="AA49" s="105">
        <f t="shared" si="14"/>
        <v>-36.770000000000003</v>
      </c>
      <c r="AB49" s="111">
        <f t="shared" si="15"/>
        <v>-265.29000000000002</v>
      </c>
      <c r="AC49" s="105" t="e">
        <f t="shared" si="16"/>
        <v>#VALUE!</v>
      </c>
      <c r="AD49" s="105" t="e">
        <f t="shared" si="3"/>
        <v>#VALUE!</v>
      </c>
      <c r="AE49" s="105" t="e">
        <f t="shared" si="4"/>
        <v>#DIV/0!</v>
      </c>
      <c r="AF49" s="105" t="e">
        <f t="shared" si="17"/>
        <v>#VALUE!</v>
      </c>
      <c r="AG49" s="105" t="e">
        <f t="shared" si="5"/>
        <v>#VALUE!</v>
      </c>
      <c r="AH49" s="111"/>
      <c r="AI49" s="105"/>
      <c r="AJ49" s="105"/>
      <c r="AK49" s="109"/>
      <c r="AL49" s="109"/>
      <c r="AM49" s="109"/>
      <c r="AN49" s="109"/>
      <c r="AO49" s="105"/>
      <c r="AP49" s="105"/>
      <c r="AQ49" s="109"/>
      <c r="AR49" s="110"/>
      <c r="AS49" s="110"/>
      <c r="AT49" s="110"/>
      <c r="AU49" s="110"/>
      <c r="AV49" s="110"/>
      <c r="AW49" s="112"/>
      <c r="AX49" s="112"/>
      <c r="AY49" s="110"/>
      <c r="AZ49" s="105"/>
      <c r="BA49" s="105"/>
      <c r="BB49" s="105"/>
      <c r="BC49" s="105"/>
      <c r="BD49" s="105"/>
      <c r="BE49" s="105"/>
    </row>
    <row r="50" spans="1:57" x14ac:dyDescent="0.15">
      <c r="A50" s="101">
        <v>699</v>
      </c>
      <c r="B50" s="98" t="e">
        <f>VLOOKUP($A50,'Rate Calculation'!$A$4:$CS$210,68,FALSE)</f>
        <v>#REF!</v>
      </c>
      <c r="C50" s="98" t="str">
        <f>UPPER(VLOOKUP($A50,'Rate Calculation'!$A$4:$CL$210,69,FALSE))</f>
        <v>266009</v>
      </c>
      <c r="D50" s="104" t="str">
        <f>VLOOKUP($A50,'Rate Calculation'!$A$4:$AJ$210,5,FALSE)</f>
        <v>BALTIMORE METRO</v>
      </c>
      <c r="E50" s="104" t="str">
        <f>VLOOKUP($A50,'Rate Calculation'!$A$4:$AJ$210,6,FALSE)</f>
        <v>BALTIMORE CITY</v>
      </c>
      <c r="F50" s="105">
        <f>VLOOKUP(A50,'Rate Calculation'!$A$3:$AT$210,35,FALSE)</f>
        <v>44247</v>
      </c>
      <c r="G50" s="105">
        <f>VLOOKUP(A50,'Rate Calculation'!$A$3:$AT$210,30,FALSE)</f>
        <v>49410</v>
      </c>
      <c r="H50" s="105">
        <f>VLOOKUP(A50,'Rate Calculation'!$A$3:$AW$210,36,FALSE)+VLOOKUP(A50,'Rate Calculation'!$A$3:$CC$210,42,FALSE)</f>
        <v>420882810</v>
      </c>
      <c r="I50" s="105">
        <f t="shared" si="6"/>
        <v>-16.63</v>
      </c>
      <c r="J50" s="105" t="str">
        <f>VLOOKUP(A50,'Rate Calculation'!$A$3:$BL$210,43,FALSE)</f>
        <v>Blue Point Nursing and Rehabilitation Center</v>
      </c>
      <c r="K50" s="105">
        <f t="shared" si="7"/>
        <v>420976450.37</v>
      </c>
      <c r="L50" s="164">
        <f t="shared" si="1"/>
        <v>0.98772000000000004</v>
      </c>
      <c r="M50" s="105">
        <f t="shared" si="8"/>
        <v>415806859.56</v>
      </c>
      <c r="N50" s="105" t="e">
        <f>VLOOKUP(A50,'Rate Calculation'!$A$4:$DK$210,47,FALSE)</f>
        <v>#DIV/0!</v>
      </c>
      <c r="O50" s="106">
        <f>VLOOKUP(A50,'Rate Calculation'!$A$4:$DK$210,10,FALSE)</f>
        <v>1.0309999999999999</v>
      </c>
      <c r="P50" s="114">
        <f t="shared" si="2"/>
        <v>1.4432</v>
      </c>
      <c r="Q50" s="114">
        <f>VLOOKUP(A50,'CMI Data'!$A$3:$Z$209,7,FALSE)</f>
        <v>0</v>
      </c>
      <c r="R50" s="120" t="e">
        <f>+'CMI Data'!$I$214</f>
        <v>#DIV/0!</v>
      </c>
      <c r="S50" s="106">
        <f>IF(Q50=0,'CMI Data'!$I$213,ROUND(Q50*R50,4))</f>
        <v>1.4061999999999999</v>
      </c>
      <c r="T50" s="105">
        <f>VLOOKUP(A50,'Rate Calculation'!$A$4:$DK$210,16,FALSE)</f>
        <v>173.29</v>
      </c>
      <c r="U50" s="105">
        <f>VLOOKUP(A50,'Rate Calculation'!$A$4:$DK$210,20,FALSE)</f>
        <v>-17.059999999999999</v>
      </c>
      <c r="V50" s="113">
        <f t="shared" si="9"/>
        <v>-12.19</v>
      </c>
      <c r="W50" s="105">
        <f t="shared" si="10"/>
        <v>-16.63</v>
      </c>
      <c r="X50" s="111">
        <f t="shared" si="11"/>
        <v>0</v>
      </c>
      <c r="Y50" s="105">
        <f t="shared" si="12"/>
        <v>-16.63</v>
      </c>
      <c r="Z50" s="105">
        <f t="shared" si="13"/>
        <v>236.35</v>
      </c>
      <c r="AA50" s="105">
        <f t="shared" si="14"/>
        <v>-15.8</v>
      </c>
      <c r="AB50" s="111">
        <f t="shared" si="15"/>
        <v>-252.15</v>
      </c>
      <c r="AC50" s="105" t="e">
        <f t="shared" si="16"/>
        <v>#VALUE!</v>
      </c>
      <c r="AD50" s="105" t="e">
        <f t="shared" si="3"/>
        <v>#VALUE!</v>
      </c>
      <c r="AE50" s="105" t="e">
        <f t="shared" si="4"/>
        <v>#DIV/0!</v>
      </c>
      <c r="AF50" s="105" t="e">
        <f t="shared" si="17"/>
        <v>#VALUE!</v>
      </c>
      <c r="AG50" s="105" t="e">
        <f t="shared" si="5"/>
        <v>#VALUE!</v>
      </c>
      <c r="AH50" s="111"/>
      <c r="AI50" s="105"/>
      <c r="AJ50" s="105"/>
      <c r="AK50" s="109"/>
      <c r="AL50" s="109"/>
      <c r="AM50" s="109"/>
      <c r="AN50" s="109"/>
      <c r="AO50" s="105"/>
      <c r="AP50" s="105"/>
      <c r="AQ50" s="109"/>
      <c r="AR50" s="110"/>
      <c r="AS50" s="110"/>
      <c r="AT50" s="110"/>
      <c r="AU50" s="110"/>
      <c r="AV50" s="110"/>
      <c r="AW50" s="112"/>
      <c r="AX50" s="112"/>
      <c r="AY50" s="110"/>
      <c r="AZ50" s="105"/>
      <c r="BA50" s="105"/>
      <c r="BB50" s="105"/>
      <c r="BC50" s="105"/>
      <c r="BD50" s="105"/>
      <c r="BE50" s="105"/>
    </row>
    <row r="51" spans="1:57" x14ac:dyDescent="0.15">
      <c r="A51" s="101">
        <v>74</v>
      </c>
      <c r="B51" s="98" t="e">
        <f>VLOOKUP($A51,'Rate Calculation'!$A$4:$CS$210,68,FALSE)</f>
        <v>#REF!</v>
      </c>
      <c r="C51" s="98" t="str">
        <f>UPPER(VLOOKUP($A51,'Rate Calculation'!$A$4:$CL$210,69,FALSE))</f>
        <v>13378</v>
      </c>
      <c r="D51" s="104" t="str">
        <f>VLOOKUP($A51,'Rate Calculation'!$A$4:$AJ$210,5,FALSE)</f>
        <v>WASHINGTON METRO</v>
      </c>
      <c r="E51" s="104" t="str">
        <f>VLOOKUP($A51,'Rate Calculation'!$A$4:$AJ$210,6,FALSE)</f>
        <v>WASHINGTON METRO</v>
      </c>
      <c r="F51" s="105">
        <f>VLOOKUP(A51,'Rate Calculation'!$A$3:$AT$210,35,FALSE)</f>
        <v>0</v>
      </c>
      <c r="G51" s="105">
        <f>VLOOKUP(A51,'Rate Calculation'!$A$3:$AT$210,30,FALSE)</f>
        <v>69540</v>
      </c>
      <c r="H51" s="105">
        <f>VLOOKUP(A51,'Rate Calculation'!$A$3:$AW$210,36,FALSE)+VLOOKUP(A51,'Rate Calculation'!$A$3:$CC$210,42,FALSE)</f>
        <v>155167100</v>
      </c>
      <c r="I51" s="105">
        <f t="shared" si="6"/>
        <v>0</v>
      </c>
      <c r="J51" s="105" t="str">
        <f>VLOOKUP(A51,'Rate Calculation'!$A$3:$BL$210,43,FALSE)</f>
        <v>Brooke Grove Rehabilitation and Nursing Center</v>
      </c>
      <c r="K51" s="105">
        <f t="shared" si="7"/>
        <v>155236640</v>
      </c>
      <c r="L51" s="164">
        <f t="shared" si="1"/>
        <v>0.98772000000000004</v>
      </c>
      <c r="M51" s="105">
        <f t="shared" si="8"/>
        <v>153330334.06</v>
      </c>
      <c r="N51" s="105" t="e">
        <f>VLOOKUP(A51,'Rate Calculation'!$A$4:$DK$210,47,FALSE)</f>
        <v>#DIV/0!</v>
      </c>
      <c r="O51" s="106">
        <f>VLOOKUP(A51,'Rate Calculation'!$A$4:$DK$210,10,FALSE)</f>
        <v>1.0309999999999999</v>
      </c>
      <c r="P51" s="114">
        <f t="shared" si="2"/>
        <v>1.4432</v>
      </c>
      <c r="Q51" s="114">
        <f>VLOOKUP(A51,'CMI Data'!$A$3:$Z$209,7,FALSE)</f>
        <v>0</v>
      </c>
      <c r="R51" s="120" t="e">
        <f>+'CMI Data'!$I$214</f>
        <v>#DIV/0!</v>
      </c>
      <c r="S51" s="106">
        <f>IF(Q51=0,'CMI Data'!$I$213,ROUND(Q51*R51,4))</f>
        <v>1.4061999999999999</v>
      </c>
      <c r="T51" s="105">
        <f>VLOOKUP(A51,'Rate Calculation'!$A$4:$DK$210,16,FALSE)</f>
        <v>186.11</v>
      </c>
      <c r="U51" s="105">
        <f>VLOOKUP(A51,'Rate Calculation'!$A$4:$DK$210,20,FALSE)</f>
        <v>0</v>
      </c>
      <c r="V51" s="113">
        <f t="shared" si="9"/>
        <v>0</v>
      </c>
      <c r="W51" s="105">
        <f t="shared" si="10"/>
        <v>0</v>
      </c>
      <c r="X51" s="111">
        <f t="shared" si="11"/>
        <v>0</v>
      </c>
      <c r="Y51" s="105">
        <f t="shared" si="12"/>
        <v>0</v>
      </c>
      <c r="Z51" s="105">
        <f t="shared" si="13"/>
        <v>253.84</v>
      </c>
      <c r="AA51" s="105">
        <f t="shared" si="14"/>
        <v>0</v>
      </c>
      <c r="AB51" s="111">
        <f t="shared" si="15"/>
        <v>-253.84</v>
      </c>
      <c r="AC51" s="105" t="e">
        <f t="shared" si="16"/>
        <v>#VALUE!</v>
      </c>
      <c r="AD51" s="105" t="e">
        <f t="shared" si="3"/>
        <v>#VALUE!</v>
      </c>
      <c r="AE51" s="105" t="e">
        <f t="shared" si="4"/>
        <v>#DIV/0!</v>
      </c>
      <c r="AF51" s="105" t="e">
        <f t="shared" si="17"/>
        <v>#VALUE!</v>
      </c>
      <c r="AG51" s="105" t="e">
        <f t="shared" si="5"/>
        <v>#VALUE!</v>
      </c>
      <c r="AH51" s="111"/>
      <c r="AI51" s="105"/>
      <c r="AJ51" s="105"/>
      <c r="AK51" s="109"/>
      <c r="AL51" s="109"/>
      <c r="AM51" s="109"/>
      <c r="AN51" s="109"/>
      <c r="AO51" s="105"/>
      <c r="AP51" s="105"/>
      <c r="AQ51" s="109"/>
      <c r="AR51" s="110"/>
      <c r="AS51" s="110"/>
      <c r="AT51" s="110"/>
      <c r="AU51" s="110"/>
      <c r="AV51" s="110"/>
      <c r="AW51" s="112"/>
      <c r="AX51" s="112"/>
      <c r="AY51" s="110"/>
      <c r="AZ51" s="105"/>
      <c r="BA51" s="105"/>
      <c r="BB51" s="105"/>
      <c r="BC51" s="105"/>
      <c r="BD51" s="105"/>
      <c r="BE51" s="105"/>
    </row>
    <row r="52" spans="1:57" x14ac:dyDescent="0.15">
      <c r="A52" s="101">
        <v>785</v>
      </c>
      <c r="B52" s="98" t="e">
        <f>VLOOKUP($A52,'Rate Calculation'!$A$4:$CS$210,68,FALSE)</f>
        <v>#REF!</v>
      </c>
      <c r="C52" s="98" t="str">
        <f>UPPER(VLOOKUP($A52,'Rate Calculation'!$A$4:$CL$210,69,FALSE))</f>
        <v>24974</v>
      </c>
      <c r="D52" s="104" t="str">
        <f>VLOOKUP($A52,'Rate Calculation'!$A$4:$AJ$210,5,FALSE)</f>
        <v>WASHINGTON METRO</v>
      </c>
      <c r="E52" s="104" t="str">
        <f>VLOOKUP($A52,'Rate Calculation'!$A$4:$AJ$210,6,FALSE)</f>
        <v>NON METRO</v>
      </c>
      <c r="F52" s="105">
        <f>VLOOKUP(A52,'Rate Calculation'!$A$3:$AT$210,35,FALSE)</f>
        <v>0</v>
      </c>
      <c r="G52" s="105">
        <f>VLOOKUP(A52,'Rate Calculation'!$A$3:$AT$210,30,FALSE)</f>
        <v>15372</v>
      </c>
      <c r="H52" s="105">
        <f>VLOOKUP(A52,'Rate Calculation'!$A$3:$AW$210,36,FALSE)+VLOOKUP(A52,'Rate Calculation'!$A$3:$CC$210,42,FALSE)</f>
        <v>300390600</v>
      </c>
      <c r="I52" s="105">
        <f t="shared" si="6"/>
        <v>0</v>
      </c>
      <c r="J52" s="105" t="str">
        <f>VLOOKUP(A52,'Rate Calculation'!$A$3:$BL$210,43,FALSE)</f>
        <v>Buckingham's Choice</v>
      </c>
      <c r="K52" s="105">
        <f t="shared" si="7"/>
        <v>300405972</v>
      </c>
      <c r="L52" s="164">
        <f t="shared" si="1"/>
        <v>0.98772000000000004</v>
      </c>
      <c r="M52" s="105">
        <f t="shared" si="8"/>
        <v>296716986.66000003</v>
      </c>
      <c r="N52" s="105" t="e">
        <f>VLOOKUP(A52,'Rate Calculation'!$A$4:$DK$210,47,FALSE)</f>
        <v>#DIV/0!</v>
      </c>
      <c r="O52" s="106">
        <f>VLOOKUP(A52,'Rate Calculation'!$A$4:$DK$210,10,FALSE)</f>
        <v>1.0309999999999999</v>
      </c>
      <c r="P52" s="114">
        <f t="shared" si="2"/>
        <v>1.4432</v>
      </c>
      <c r="Q52" s="114">
        <f>VLOOKUP(A52,'CMI Data'!$A$3:$Z$209,7,FALSE)</f>
        <v>0</v>
      </c>
      <c r="R52" s="120" t="e">
        <f>+'CMI Data'!$I$214</f>
        <v>#DIV/0!</v>
      </c>
      <c r="S52" s="106">
        <f>IF(Q52=0,'CMI Data'!$I$213,ROUND(Q52*R52,4))</f>
        <v>1.4061999999999999</v>
      </c>
      <c r="T52" s="105">
        <f>VLOOKUP(A52,'Rate Calculation'!$A$4:$DK$210,16,FALSE)</f>
        <v>167.98</v>
      </c>
      <c r="U52" s="105">
        <f>VLOOKUP(A52,'Rate Calculation'!$A$4:$DK$210,20,FALSE)</f>
        <v>0</v>
      </c>
      <c r="V52" s="113">
        <f t="shared" si="9"/>
        <v>0</v>
      </c>
      <c r="W52" s="105">
        <f t="shared" si="10"/>
        <v>0</v>
      </c>
      <c r="X52" s="111">
        <f t="shared" si="11"/>
        <v>0</v>
      </c>
      <c r="Y52" s="105">
        <f t="shared" si="12"/>
        <v>0</v>
      </c>
      <c r="Z52" s="105">
        <f t="shared" si="13"/>
        <v>229.11</v>
      </c>
      <c r="AA52" s="105">
        <f t="shared" si="14"/>
        <v>0</v>
      </c>
      <c r="AB52" s="111">
        <f t="shared" si="15"/>
        <v>-229.11</v>
      </c>
      <c r="AC52" s="105" t="e">
        <f t="shared" si="16"/>
        <v>#VALUE!</v>
      </c>
      <c r="AD52" s="105" t="e">
        <f t="shared" si="3"/>
        <v>#VALUE!</v>
      </c>
      <c r="AE52" s="105" t="e">
        <f t="shared" si="4"/>
        <v>#DIV/0!</v>
      </c>
      <c r="AF52" s="105" t="e">
        <f t="shared" si="17"/>
        <v>#VALUE!</v>
      </c>
      <c r="AG52" s="105" t="e">
        <f t="shared" si="5"/>
        <v>#VALUE!</v>
      </c>
      <c r="AH52" s="111"/>
      <c r="AI52" s="105"/>
      <c r="AJ52" s="105"/>
      <c r="AK52" s="109"/>
      <c r="AL52" s="109"/>
      <c r="AM52" s="109"/>
      <c r="AN52" s="109"/>
      <c r="AO52" s="105"/>
      <c r="AP52" s="105"/>
      <c r="AQ52" s="109"/>
      <c r="AR52" s="110"/>
      <c r="AS52" s="110"/>
      <c r="AT52" s="110"/>
      <c r="AU52" s="110"/>
      <c r="AV52" s="110"/>
      <c r="AW52" s="112"/>
      <c r="AX52" s="112"/>
      <c r="AY52" s="110"/>
      <c r="AZ52" s="105"/>
      <c r="BA52" s="105"/>
      <c r="BB52" s="105"/>
      <c r="BC52" s="105"/>
      <c r="BD52" s="105"/>
      <c r="BE52" s="105"/>
    </row>
    <row r="53" spans="1:57" x14ac:dyDescent="0.15">
      <c r="A53" s="101">
        <v>76</v>
      </c>
      <c r="B53" s="98" t="e">
        <f>VLOOKUP($A53,'Rate Calculation'!$A$4:$CS$210,68,FALSE)</f>
        <v>#REF!</v>
      </c>
      <c r="C53" s="98" t="str">
        <f>UPPER(VLOOKUP($A53,'Rate Calculation'!$A$4:$CL$210,69,FALSE))</f>
        <v>0</v>
      </c>
      <c r="D53" s="104" t="str">
        <f>VLOOKUP($A53,'Rate Calculation'!$A$4:$AJ$210,5,FALSE)</f>
        <v>WASHINGTON METRO</v>
      </c>
      <c r="E53" s="104" t="str">
        <f>VLOOKUP($A53,'Rate Calculation'!$A$4:$AJ$210,6,FALSE)</f>
        <v>NON METRO</v>
      </c>
      <c r="F53" s="105">
        <f>VLOOKUP(A53,'Rate Calculation'!$A$3:$AT$210,35,FALSE)</f>
        <v>33519</v>
      </c>
      <c r="G53" s="105">
        <f>VLOOKUP(A53,'Rate Calculation'!$A$3:$AT$210,30,FALSE)</f>
        <v>54534</v>
      </c>
      <c r="H53" s="105">
        <f>VLOOKUP(A53,'Rate Calculation'!$A$3:$AW$210,36,FALSE)+VLOOKUP(A53,'Rate Calculation'!$A$3:$CC$210,42,FALSE)</f>
        <v>487047862</v>
      </c>
      <c r="I53" s="105">
        <f t="shared" si="6"/>
        <v>0</v>
      </c>
      <c r="J53" s="105" t="str">
        <f>VLOOKUP(A53,'Rate Calculation'!$A$3:$BL$210,43,FALSE)</f>
        <v>Calvert County Nursing Center</v>
      </c>
      <c r="K53" s="105">
        <f t="shared" si="7"/>
        <v>487135915</v>
      </c>
      <c r="L53" s="164">
        <f t="shared" si="1"/>
        <v>0.98772000000000004</v>
      </c>
      <c r="M53" s="105">
        <f t="shared" si="8"/>
        <v>481153885.95999998</v>
      </c>
      <c r="N53" s="105" t="e">
        <f>VLOOKUP(A53,'Rate Calculation'!$A$4:$DK$210,47,FALSE)</f>
        <v>#DIV/0!</v>
      </c>
      <c r="O53" s="106">
        <f>VLOOKUP(A53,'Rate Calculation'!$A$4:$DK$210,10,FALSE)</f>
        <v>1.0309999999999999</v>
      </c>
      <c r="P53" s="114">
        <f t="shared" si="2"/>
        <v>1.4432</v>
      </c>
      <c r="Q53" s="114">
        <f>VLOOKUP(A53,'CMI Data'!$A$3:$Z$209,7,FALSE)</f>
        <v>0</v>
      </c>
      <c r="R53" s="120" t="e">
        <f>+'CMI Data'!$I$214</f>
        <v>#DIV/0!</v>
      </c>
      <c r="S53" s="106">
        <f>IF(Q53=0,'CMI Data'!$I$213,ROUND(Q53*R53,4))</f>
        <v>1.4061999999999999</v>
      </c>
      <c r="T53" s="105">
        <f>VLOOKUP(A53,'Rate Calculation'!$A$4:$DK$210,16,FALSE)</f>
        <v>161.79</v>
      </c>
      <c r="U53" s="105">
        <f>VLOOKUP(A53,'Rate Calculation'!$A$4:$DK$210,20,FALSE)</f>
        <v>0</v>
      </c>
      <c r="V53" s="113">
        <f t="shared" si="9"/>
        <v>0</v>
      </c>
      <c r="W53" s="105">
        <f t="shared" si="10"/>
        <v>0</v>
      </c>
      <c r="X53" s="111">
        <f t="shared" si="11"/>
        <v>0</v>
      </c>
      <c r="Y53" s="105">
        <f t="shared" si="12"/>
        <v>0</v>
      </c>
      <c r="Z53" s="105">
        <f t="shared" si="13"/>
        <v>220.67</v>
      </c>
      <c r="AA53" s="105">
        <f t="shared" si="14"/>
        <v>0</v>
      </c>
      <c r="AB53" s="111">
        <f t="shared" si="15"/>
        <v>-220.67</v>
      </c>
      <c r="AC53" s="105" t="e">
        <f t="shared" si="16"/>
        <v>#VALUE!</v>
      </c>
      <c r="AD53" s="105" t="e">
        <f t="shared" si="3"/>
        <v>#VALUE!</v>
      </c>
      <c r="AE53" s="105" t="e">
        <f t="shared" si="4"/>
        <v>#DIV/0!</v>
      </c>
      <c r="AF53" s="105" t="e">
        <f t="shared" si="17"/>
        <v>#VALUE!</v>
      </c>
      <c r="AG53" s="105" t="e">
        <f t="shared" si="5"/>
        <v>#VALUE!</v>
      </c>
      <c r="AH53" s="111"/>
      <c r="AI53" s="105"/>
      <c r="AJ53" s="105"/>
      <c r="AK53" s="109"/>
      <c r="AL53" s="109"/>
      <c r="AM53" s="109"/>
      <c r="AN53" s="109"/>
      <c r="AO53" s="105"/>
      <c r="AP53" s="105"/>
      <c r="AQ53" s="109"/>
      <c r="AR53" s="110"/>
      <c r="AS53" s="110"/>
      <c r="AT53" s="110"/>
      <c r="AU53" s="110"/>
      <c r="AV53" s="110"/>
      <c r="AW53" s="112"/>
      <c r="AX53" s="112"/>
      <c r="AY53" s="110"/>
      <c r="AZ53" s="105"/>
      <c r="BA53" s="105"/>
      <c r="BB53" s="105"/>
      <c r="BC53" s="105"/>
      <c r="BD53" s="105"/>
      <c r="BE53" s="105"/>
    </row>
    <row r="54" spans="1:57" x14ac:dyDescent="0.15">
      <c r="A54" s="101">
        <v>82</v>
      </c>
      <c r="B54" s="98" t="e">
        <f>VLOOKUP($A54,'Rate Calculation'!$A$4:$CS$210,68,FALSE)</f>
        <v>#REF!</v>
      </c>
      <c r="C54" s="98" t="str">
        <f>UPPER(VLOOKUP($A54,'Rate Calculation'!$A$4:$CL$210,69,FALSE))</f>
        <v>109620</v>
      </c>
      <c r="D54" s="104" t="str">
        <f>VLOOKUP($A54,'Rate Calculation'!$A$4:$AJ$210,5,FALSE)</f>
        <v>EASTERN REGION</v>
      </c>
      <c r="E54" s="104" t="str">
        <f>VLOOKUP($A54,'Rate Calculation'!$A$4:$AJ$210,6,FALSE)</f>
        <v>NON METRO</v>
      </c>
      <c r="F54" s="105">
        <f>VLOOKUP(A54,'Rate Calculation'!$A$3:$AT$210,35,FALSE)</f>
        <v>26218</v>
      </c>
      <c r="G54" s="105">
        <f>VLOOKUP(A54,'Rate Calculation'!$A$3:$AT$210,30,FALSE)</f>
        <v>34038</v>
      </c>
      <c r="H54" s="105">
        <f>VLOOKUP(A54,'Rate Calculation'!$A$3:$AW$210,36,FALSE)+VLOOKUP(A54,'Rate Calculation'!$A$3:$CC$210,42,FALSE)</f>
        <v>692249303</v>
      </c>
      <c r="I54" s="105">
        <f t="shared" si="6"/>
        <v>-13.26</v>
      </c>
      <c r="J54" s="105" t="str">
        <f>VLOOKUP(A54,'Rate Calculation'!$A$3:$BL$210,43,FALSE)</f>
        <v>Caroline Nursing and Rehab</v>
      </c>
      <c r="K54" s="105">
        <f t="shared" si="7"/>
        <v>692309545.74000001</v>
      </c>
      <c r="L54" s="164">
        <f t="shared" si="1"/>
        <v>0.98772000000000004</v>
      </c>
      <c r="M54" s="105">
        <f t="shared" si="8"/>
        <v>683807984.51999998</v>
      </c>
      <c r="N54" s="105" t="e">
        <f>VLOOKUP(A54,'Rate Calculation'!$A$4:$DK$210,47,FALSE)</f>
        <v>#DIV/0!</v>
      </c>
      <c r="O54" s="106">
        <f>VLOOKUP(A54,'Rate Calculation'!$A$4:$DK$210,10,FALSE)</f>
        <v>1.0309999999999999</v>
      </c>
      <c r="P54" s="114">
        <f t="shared" si="2"/>
        <v>1.4432</v>
      </c>
      <c r="Q54" s="114">
        <f>VLOOKUP(A54,'CMI Data'!$A$3:$Z$209,7,FALSE)</f>
        <v>0</v>
      </c>
      <c r="R54" s="120" t="e">
        <f>+'CMI Data'!$I$214</f>
        <v>#DIV/0!</v>
      </c>
      <c r="S54" s="106">
        <f>IF(Q54=0,'CMI Data'!$I$213,ROUND(Q54*R54,4))</f>
        <v>1.4061999999999999</v>
      </c>
      <c r="T54" s="105">
        <f>VLOOKUP(A54,'Rate Calculation'!$A$4:$DK$210,16,FALSE)</f>
        <v>195.34</v>
      </c>
      <c r="U54" s="105">
        <f>VLOOKUP(A54,'Rate Calculation'!$A$4:$DK$210,20,FALSE)</f>
        <v>-13.61</v>
      </c>
      <c r="V54" s="113">
        <f t="shared" si="9"/>
        <v>-9.7200000000000006</v>
      </c>
      <c r="W54" s="105">
        <f t="shared" si="10"/>
        <v>-13.26</v>
      </c>
      <c r="X54" s="111">
        <f t="shared" si="11"/>
        <v>0</v>
      </c>
      <c r="Y54" s="105">
        <f t="shared" si="12"/>
        <v>-13.26</v>
      </c>
      <c r="Z54" s="105">
        <f t="shared" si="13"/>
        <v>266.43</v>
      </c>
      <c r="AA54" s="105">
        <f t="shared" si="14"/>
        <v>-12.6</v>
      </c>
      <c r="AB54" s="111">
        <f t="shared" si="15"/>
        <v>-279.02999999999997</v>
      </c>
      <c r="AC54" s="105" t="e">
        <f t="shared" si="16"/>
        <v>#VALUE!</v>
      </c>
      <c r="AD54" s="105" t="e">
        <f t="shared" si="3"/>
        <v>#VALUE!</v>
      </c>
      <c r="AE54" s="105" t="e">
        <f t="shared" si="4"/>
        <v>#DIV/0!</v>
      </c>
      <c r="AF54" s="105" t="e">
        <f t="shared" si="17"/>
        <v>#VALUE!</v>
      </c>
      <c r="AG54" s="105" t="e">
        <f t="shared" si="5"/>
        <v>#VALUE!</v>
      </c>
      <c r="AH54" s="111"/>
      <c r="AI54" s="105"/>
      <c r="AJ54" s="105"/>
      <c r="AK54" s="109"/>
      <c r="AL54" s="109"/>
      <c r="AM54" s="109"/>
      <c r="AN54" s="109"/>
      <c r="AO54" s="105"/>
      <c r="AP54" s="105"/>
      <c r="AQ54" s="109"/>
      <c r="AR54" s="110"/>
      <c r="AS54" s="110"/>
      <c r="AT54" s="110"/>
      <c r="AU54" s="110"/>
      <c r="AV54" s="110"/>
      <c r="AW54" s="112"/>
      <c r="AX54" s="112"/>
      <c r="AY54" s="110"/>
      <c r="AZ54" s="105"/>
      <c r="BA54" s="105"/>
      <c r="BB54" s="105"/>
      <c r="BC54" s="105"/>
      <c r="BD54" s="105"/>
      <c r="BE54" s="105"/>
    </row>
    <row r="55" spans="1:57" x14ac:dyDescent="0.15">
      <c r="A55" s="101">
        <v>1421</v>
      </c>
      <c r="B55" s="98" t="e">
        <f>VLOOKUP($A55,'Rate Calculation'!$A$4:$CS$210,68,FALSE)</f>
        <v>#REF!</v>
      </c>
      <c r="C55" s="98" t="str">
        <f>UPPER(VLOOKUP($A55,'Rate Calculation'!$A$4:$CL$210,69,FALSE))</f>
        <v>124249</v>
      </c>
      <c r="D55" s="104" t="str">
        <f>VLOOKUP($A55,'Rate Calculation'!$A$4:$AJ$210,5,FALSE)</f>
        <v>WASHINGTON METRO</v>
      </c>
      <c r="E55" s="104" t="str">
        <f>VLOOKUP($A55,'Rate Calculation'!$A$4:$AJ$210,6,FALSE)</f>
        <v>WASHINGTON METRO</v>
      </c>
      <c r="F55" s="105">
        <f>VLOOKUP(A55,'Rate Calculation'!$A$3:$AT$210,35,FALSE)</f>
        <v>25749</v>
      </c>
      <c r="G55" s="105">
        <f>VLOOKUP(A55,'Rate Calculation'!$A$3:$AT$210,30,FALSE)</f>
        <v>39528</v>
      </c>
      <c r="H55" s="105">
        <f>VLOOKUP(A55,'Rate Calculation'!$A$3:$AW$210,36,FALSE)+VLOOKUP(A55,'Rate Calculation'!$A$3:$CC$210,42,FALSE)</f>
        <v>567059887</v>
      </c>
      <c r="I55" s="105">
        <f t="shared" si="6"/>
        <v>-1.1200000000000001</v>
      </c>
      <c r="J55" s="105" t="str">
        <f>VLOOKUP(A55,'Rate Calculation'!$A$3:$BL$210,43,FALSE)</f>
        <v>Carriage Hill Bethesda</v>
      </c>
      <c r="K55" s="105">
        <f t="shared" si="7"/>
        <v>567125162.88</v>
      </c>
      <c r="L55" s="164">
        <f t="shared" si="1"/>
        <v>0.98772000000000004</v>
      </c>
      <c r="M55" s="105">
        <f t="shared" si="8"/>
        <v>560160865.88</v>
      </c>
      <c r="N55" s="105" t="e">
        <f>VLOOKUP(A55,'Rate Calculation'!$A$4:$DK$210,47,FALSE)</f>
        <v>#DIV/0!</v>
      </c>
      <c r="O55" s="106">
        <f>VLOOKUP(A55,'Rate Calculation'!$A$4:$DK$210,10,FALSE)</f>
        <v>1.0309999999999999</v>
      </c>
      <c r="P55" s="114">
        <f t="shared" si="2"/>
        <v>1.4432</v>
      </c>
      <c r="Q55" s="114">
        <f>VLOOKUP(A55,'CMI Data'!$A$3:$Z$209,7,FALSE)</f>
        <v>0</v>
      </c>
      <c r="R55" s="120" t="e">
        <f>+'CMI Data'!$I$214</f>
        <v>#DIV/0!</v>
      </c>
      <c r="S55" s="106">
        <f>IF(Q55=0,'CMI Data'!$I$213,ROUND(Q55*R55,4))</f>
        <v>1.4061999999999999</v>
      </c>
      <c r="T55" s="105">
        <f>VLOOKUP(A55,'Rate Calculation'!$A$4:$DK$210,16,FALSE)</f>
        <v>158.01</v>
      </c>
      <c r="U55" s="105">
        <f>VLOOKUP(A55,'Rate Calculation'!$A$4:$DK$210,20,FALSE)</f>
        <v>-1.1499999999999999</v>
      </c>
      <c r="V55" s="113">
        <f t="shared" si="9"/>
        <v>-0.82</v>
      </c>
      <c r="W55" s="105">
        <f t="shared" si="10"/>
        <v>-1.1200000000000001</v>
      </c>
      <c r="X55" s="111">
        <f t="shared" si="11"/>
        <v>0</v>
      </c>
      <c r="Y55" s="105">
        <f t="shared" si="12"/>
        <v>-1.1200000000000001</v>
      </c>
      <c r="Z55" s="105">
        <f t="shared" si="13"/>
        <v>215.51</v>
      </c>
      <c r="AA55" s="105">
        <f t="shared" si="14"/>
        <v>-1.06</v>
      </c>
      <c r="AB55" s="111">
        <f t="shared" si="15"/>
        <v>-216.57</v>
      </c>
      <c r="AC55" s="105" t="e">
        <f t="shared" si="16"/>
        <v>#VALUE!</v>
      </c>
      <c r="AD55" s="105" t="e">
        <f t="shared" si="3"/>
        <v>#VALUE!</v>
      </c>
      <c r="AE55" s="105" t="e">
        <f t="shared" si="4"/>
        <v>#DIV/0!</v>
      </c>
      <c r="AF55" s="105" t="e">
        <f t="shared" si="17"/>
        <v>#VALUE!</v>
      </c>
      <c r="AG55" s="105" t="e">
        <f t="shared" si="5"/>
        <v>#VALUE!</v>
      </c>
      <c r="AH55" s="111"/>
      <c r="AI55" s="105"/>
      <c r="AJ55" s="105"/>
      <c r="AK55" s="109"/>
      <c r="AL55" s="109"/>
      <c r="AM55" s="109"/>
      <c r="AN55" s="109"/>
      <c r="AO55" s="105"/>
      <c r="AP55" s="105"/>
      <c r="AQ55" s="109"/>
      <c r="AR55" s="110"/>
      <c r="AS55" s="110"/>
      <c r="AT55" s="110"/>
      <c r="AU55" s="110"/>
      <c r="AV55" s="110"/>
      <c r="AW55" s="112"/>
      <c r="AX55" s="112"/>
      <c r="AY55" s="110"/>
      <c r="AZ55" s="105"/>
      <c r="BA55" s="105"/>
      <c r="BB55" s="105"/>
      <c r="BC55" s="105"/>
      <c r="BD55" s="105"/>
      <c r="BE55" s="105"/>
    </row>
    <row r="56" spans="1:57" x14ac:dyDescent="0.15">
      <c r="A56" s="101">
        <v>84</v>
      </c>
      <c r="B56" s="98" t="e">
        <f>VLOOKUP($A56,'Rate Calculation'!$A$4:$CS$210,68,FALSE)</f>
        <v>#REF!</v>
      </c>
      <c r="C56" s="98" t="str">
        <f>UPPER(VLOOKUP($A56,'Rate Calculation'!$A$4:$CL$210,69,FALSE))</f>
        <v>0</v>
      </c>
      <c r="D56" s="104" t="str">
        <f>VLOOKUP($A56,'Rate Calculation'!$A$4:$AJ$210,5,FALSE)</f>
        <v>BALTIMORE METRO</v>
      </c>
      <c r="E56" s="104" t="str">
        <f>VLOOKUP($A56,'Rate Calculation'!$A$4:$AJ$210,6,FALSE)</f>
        <v>BALTIMORE METRO</v>
      </c>
      <c r="F56" s="105">
        <f>VLOOKUP(A56,'Rate Calculation'!$A$3:$AT$210,35,FALSE)</f>
        <v>0</v>
      </c>
      <c r="G56" s="105">
        <f>VLOOKUP(A56,'Rate Calculation'!$A$3:$AT$210,30,FALSE)</f>
        <v>33578</v>
      </c>
      <c r="H56" s="105">
        <f>VLOOKUP(A56,'Rate Calculation'!$A$3:$AW$210,36,FALSE)+VLOOKUP(A56,'Rate Calculation'!$A$3:$CC$210,42,FALSE)</f>
        <v>63417400</v>
      </c>
      <c r="I56" s="105">
        <f t="shared" si="6"/>
        <v>0</v>
      </c>
      <c r="J56" s="105" t="str">
        <f>VLOOKUP(A56,'Rate Calculation'!$A$3:$BL$210,43,FALSE)</f>
        <v>Carroll Lutheran Village, Inc.</v>
      </c>
      <c r="K56" s="105">
        <f t="shared" si="7"/>
        <v>63450978</v>
      </c>
      <c r="L56" s="164">
        <f t="shared" si="1"/>
        <v>0.98772000000000004</v>
      </c>
      <c r="M56" s="105">
        <f t="shared" si="8"/>
        <v>62671799.990000002</v>
      </c>
      <c r="N56" s="105" t="e">
        <f>VLOOKUP(A56,'Rate Calculation'!$A$4:$DK$210,47,FALSE)</f>
        <v>#DIV/0!</v>
      </c>
      <c r="O56" s="106">
        <f>VLOOKUP(A56,'Rate Calculation'!$A$4:$DK$210,10,FALSE)</f>
        <v>1.0309999999999999</v>
      </c>
      <c r="P56" s="114">
        <f t="shared" si="2"/>
        <v>1.4432</v>
      </c>
      <c r="Q56" s="114">
        <f>VLOOKUP(A56,'CMI Data'!$A$3:$Z$209,7,FALSE)</f>
        <v>0</v>
      </c>
      <c r="R56" s="120" t="e">
        <f>+'CMI Data'!$I$214</f>
        <v>#DIV/0!</v>
      </c>
      <c r="S56" s="106">
        <f>IF(Q56=0,'CMI Data'!$I$213,ROUND(Q56*R56,4))</f>
        <v>1.4061999999999999</v>
      </c>
      <c r="T56" s="105">
        <f>VLOOKUP(A56,'Rate Calculation'!$A$4:$DK$210,16,FALSE)</f>
        <v>168.25</v>
      </c>
      <c r="U56" s="105">
        <f>VLOOKUP(A56,'Rate Calculation'!$A$4:$DK$210,20,FALSE)</f>
        <v>0</v>
      </c>
      <c r="V56" s="113">
        <f t="shared" si="9"/>
        <v>0</v>
      </c>
      <c r="W56" s="105">
        <f t="shared" si="10"/>
        <v>0</v>
      </c>
      <c r="X56" s="111">
        <f t="shared" si="11"/>
        <v>0</v>
      </c>
      <c r="Y56" s="105">
        <f t="shared" si="12"/>
        <v>0</v>
      </c>
      <c r="Z56" s="105">
        <f t="shared" si="13"/>
        <v>229.48</v>
      </c>
      <c r="AA56" s="105">
        <f t="shared" si="14"/>
        <v>0</v>
      </c>
      <c r="AB56" s="111">
        <f t="shared" si="15"/>
        <v>-229.48</v>
      </c>
      <c r="AC56" s="105" t="e">
        <f t="shared" si="16"/>
        <v>#VALUE!</v>
      </c>
      <c r="AD56" s="105" t="e">
        <f t="shared" si="3"/>
        <v>#VALUE!</v>
      </c>
      <c r="AE56" s="105" t="e">
        <f t="shared" si="4"/>
        <v>#DIV/0!</v>
      </c>
      <c r="AF56" s="105" t="e">
        <f t="shared" si="17"/>
        <v>#VALUE!</v>
      </c>
      <c r="AG56" s="105" t="e">
        <f t="shared" si="5"/>
        <v>#VALUE!</v>
      </c>
      <c r="AH56" s="111"/>
      <c r="AI56" s="105"/>
      <c r="AJ56" s="105"/>
      <c r="AK56" s="109"/>
      <c r="AL56" s="109"/>
      <c r="AM56" s="109"/>
      <c r="AN56" s="109"/>
      <c r="AO56" s="105"/>
      <c r="AP56" s="105"/>
      <c r="AQ56" s="109"/>
      <c r="AR56" s="110"/>
      <c r="AS56" s="110"/>
      <c r="AT56" s="110"/>
      <c r="AU56" s="110"/>
      <c r="AV56" s="110"/>
      <c r="AW56" s="112"/>
      <c r="AX56" s="112"/>
      <c r="AY56" s="110"/>
      <c r="AZ56" s="105"/>
      <c r="BA56" s="105"/>
      <c r="BB56" s="105"/>
      <c r="BC56" s="105"/>
      <c r="BD56" s="105"/>
      <c r="BE56" s="105"/>
    </row>
    <row r="57" spans="1:57" x14ac:dyDescent="0.15">
      <c r="A57" s="101">
        <v>86</v>
      </c>
      <c r="B57" s="98" t="e">
        <f>VLOOKUP($A57,'Rate Calculation'!$A$4:$CS$210,68,FALSE)</f>
        <v>#REF!</v>
      </c>
      <c r="C57" s="98" t="str">
        <f>UPPER(VLOOKUP($A57,'Rate Calculation'!$A$4:$CL$210,69,FALSE))</f>
        <v>422356</v>
      </c>
      <c r="D57" s="104" t="str">
        <f>VLOOKUP($A57,'Rate Calculation'!$A$4:$AJ$210,5,FALSE)</f>
        <v>BALTIMORE METRO</v>
      </c>
      <c r="E57" s="104" t="str">
        <f>VLOOKUP($A57,'Rate Calculation'!$A$4:$AJ$210,6,FALSE)</f>
        <v>BALTIMORE CITY</v>
      </c>
      <c r="F57" s="105">
        <f>VLOOKUP(A57,'Rate Calculation'!$A$3:$AT$210,35,FALSE)</f>
        <v>30045</v>
      </c>
      <c r="G57" s="105">
        <f>VLOOKUP(A57,'Rate Calculation'!$A$3:$AT$210,30,FALSE)</f>
        <v>51240</v>
      </c>
      <c r="H57" s="105">
        <f>VLOOKUP(A57,'Rate Calculation'!$A$3:$AW$210,36,FALSE)+VLOOKUP(A57,'Rate Calculation'!$A$3:$CC$210,42,FALSE)</f>
        <v>855073383</v>
      </c>
      <c r="I57" s="105">
        <f t="shared" si="6"/>
        <v>-34.6</v>
      </c>
      <c r="J57" s="105" t="str">
        <f>VLOOKUP(A57,'Rate Calculation'!$A$3:$BL$210,43,FALSE)</f>
        <v>Carroll Park Healthcare</v>
      </c>
      <c r="K57" s="105">
        <f t="shared" si="7"/>
        <v>855154633.39999998</v>
      </c>
      <c r="L57" s="164">
        <f t="shared" si="1"/>
        <v>0.98772000000000004</v>
      </c>
      <c r="M57" s="105">
        <f t="shared" si="8"/>
        <v>844653334.5</v>
      </c>
      <c r="N57" s="105" t="e">
        <f>VLOOKUP(A57,'Rate Calculation'!$A$4:$DK$210,47,FALSE)</f>
        <v>#DIV/0!</v>
      </c>
      <c r="O57" s="106">
        <f>VLOOKUP(A57,'Rate Calculation'!$A$4:$DK$210,10,FALSE)</f>
        <v>1.0309999999999999</v>
      </c>
      <c r="P57" s="114">
        <f t="shared" si="2"/>
        <v>1.4432</v>
      </c>
      <c r="Q57" s="114">
        <f>VLOOKUP(A57,'CMI Data'!$A$3:$Z$209,7,FALSE)</f>
        <v>0</v>
      </c>
      <c r="R57" s="120" t="e">
        <f>+'CMI Data'!$I$214</f>
        <v>#DIV/0!</v>
      </c>
      <c r="S57" s="106">
        <f>IF(Q57=0,'CMI Data'!$I$213,ROUND(Q57*R57,4))</f>
        <v>1.4061999999999999</v>
      </c>
      <c r="T57" s="105">
        <f>VLOOKUP(A57,'Rate Calculation'!$A$4:$DK$210,16,FALSE)</f>
        <v>175.73</v>
      </c>
      <c r="U57" s="105">
        <f>VLOOKUP(A57,'Rate Calculation'!$A$4:$DK$210,20,FALSE)</f>
        <v>-35.51</v>
      </c>
      <c r="V57" s="113">
        <f t="shared" si="9"/>
        <v>-25.37</v>
      </c>
      <c r="W57" s="105">
        <f t="shared" si="10"/>
        <v>-34.6</v>
      </c>
      <c r="X57" s="111">
        <f t="shared" si="11"/>
        <v>0</v>
      </c>
      <c r="Y57" s="105">
        <f t="shared" si="12"/>
        <v>-34.6</v>
      </c>
      <c r="Z57" s="105">
        <f t="shared" si="13"/>
        <v>239.68</v>
      </c>
      <c r="AA57" s="105">
        <f t="shared" si="14"/>
        <v>-32.869999999999997</v>
      </c>
      <c r="AB57" s="111">
        <f t="shared" si="15"/>
        <v>-272.55</v>
      </c>
      <c r="AC57" s="105" t="e">
        <f t="shared" si="16"/>
        <v>#VALUE!</v>
      </c>
      <c r="AD57" s="105" t="e">
        <f t="shared" si="3"/>
        <v>#VALUE!</v>
      </c>
      <c r="AE57" s="105" t="e">
        <f t="shared" si="4"/>
        <v>#DIV/0!</v>
      </c>
      <c r="AF57" s="105" t="e">
        <f t="shared" si="17"/>
        <v>#VALUE!</v>
      </c>
      <c r="AG57" s="105" t="e">
        <f t="shared" si="5"/>
        <v>#VALUE!</v>
      </c>
      <c r="AH57" s="111"/>
      <c r="AI57" s="105"/>
      <c r="AJ57" s="105"/>
      <c r="AK57" s="109"/>
      <c r="AL57" s="109"/>
      <c r="AM57" s="109"/>
      <c r="AN57" s="109"/>
      <c r="AO57" s="105"/>
      <c r="AP57" s="105"/>
      <c r="AQ57" s="109"/>
      <c r="AR57" s="110"/>
      <c r="AS57" s="110"/>
      <c r="AT57" s="110"/>
      <c r="AU57" s="110"/>
      <c r="AV57" s="110"/>
      <c r="AW57" s="112"/>
      <c r="AX57" s="112"/>
      <c r="AY57" s="110"/>
      <c r="AZ57" s="105"/>
      <c r="BA57" s="105"/>
      <c r="BB57" s="105"/>
      <c r="BC57" s="105"/>
      <c r="BD57" s="105"/>
      <c r="BE57" s="105"/>
    </row>
    <row r="58" spans="1:57" x14ac:dyDescent="0.15">
      <c r="A58" s="101">
        <v>90</v>
      </c>
      <c r="B58" s="98" t="e">
        <f>VLOOKUP($A58,'Rate Calculation'!$A$4:$CS$210,68,FALSE)</f>
        <v>#REF!</v>
      </c>
      <c r="C58" s="98" t="str">
        <f>UPPER(VLOOKUP($A58,'Rate Calculation'!$A$4:$CL$210,69,FALSE))</f>
        <v>54407</v>
      </c>
      <c r="D58" s="104" t="str">
        <f>VLOOKUP($A58,'Rate Calculation'!$A$4:$AJ$210,5,FALSE)</f>
        <v>BALTIMORE METRO</v>
      </c>
      <c r="E58" s="104" t="str">
        <f>VLOOKUP($A58,'Rate Calculation'!$A$4:$AJ$210,6,FALSE)</f>
        <v>BALTIMORE METRO</v>
      </c>
      <c r="F58" s="105">
        <f>VLOOKUP(A58,'Rate Calculation'!$A$3:$AT$210,35,FALSE)</f>
        <v>17410</v>
      </c>
      <c r="G58" s="105">
        <f>VLOOKUP(A58,'Rate Calculation'!$A$3:$AT$210,30,FALSE)</f>
        <v>23058</v>
      </c>
      <c r="H58" s="105">
        <f>VLOOKUP(A58,'Rate Calculation'!$A$3:$AW$210,36,FALSE)+VLOOKUP(A58,'Rate Calculation'!$A$3:$CC$210,42,FALSE)</f>
        <v>256031091</v>
      </c>
      <c r="I58" s="105">
        <f t="shared" si="6"/>
        <v>-13.8</v>
      </c>
      <c r="J58" s="105" t="str">
        <f>VLOOKUP(A58,'Rate Calculation'!$A$3:$BL$210,43,FALSE)</f>
        <v>Chapel Hill Nursing Center</v>
      </c>
      <c r="K58" s="105">
        <f t="shared" si="7"/>
        <v>256071545.19999999</v>
      </c>
      <c r="L58" s="164">
        <f t="shared" si="1"/>
        <v>0.98772000000000004</v>
      </c>
      <c r="M58" s="105">
        <f t="shared" si="8"/>
        <v>252926986.62</v>
      </c>
      <c r="N58" s="105" t="e">
        <f>VLOOKUP(A58,'Rate Calculation'!$A$4:$DK$210,47,FALSE)</f>
        <v>#DIV/0!</v>
      </c>
      <c r="O58" s="106">
        <f>VLOOKUP(A58,'Rate Calculation'!$A$4:$DK$210,10,FALSE)</f>
        <v>1.0309999999999999</v>
      </c>
      <c r="P58" s="114">
        <f t="shared" si="2"/>
        <v>1.4432</v>
      </c>
      <c r="Q58" s="114">
        <f>VLOOKUP(A58,'CMI Data'!$A$3:$Z$209,7,FALSE)</f>
        <v>0</v>
      </c>
      <c r="R58" s="120" t="e">
        <f>+'CMI Data'!$I$214</f>
        <v>#DIV/0!</v>
      </c>
      <c r="S58" s="106">
        <f>IF(Q58=0,'CMI Data'!$I$213,ROUND(Q58*R58,4))</f>
        <v>1.4061999999999999</v>
      </c>
      <c r="T58" s="105">
        <f>VLOOKUP(A58,'Rate Calculation'!$A$4:$DK$210,16,FALSE)</f>
        <v>170.63</v>
      </c>
      <c r="U58" s="105">
        <f>VLOOKUP(A58,'Rate Calculation'!$A$4:$DK$210,20,FALSE)</f>
        <v>-14.16</v>
      </c>
      <c r="V58" s="113">
        <f t="shared" si="9"/>
        <v>-10.119999999999999</v>
      </c>
      <c r="W58" s="105">
        <f t="shared" si="10"/>
        <v>-13.8</v>
      </c>
      <c r="X58" s="111">
        <f t="shared" si="11"/>
        <v>0</v>
      </c>
      <c r="Y58" s="105">
        <f t="shared" si="12"/>
        <v>-13.8</v>
      </c>
      <c r="Z58" s="105">
        <f t="shared" si="13"/>
        <v>232.73</v>
      </c>
      <c r="AA58" s="105">
        <f t="shared" si="14"/>
        <v>-13.11</v>
      </c>
      <c r="AB58" s="111">
        <f t="shared" si="15"/>
        <v>-245.84</v>
      </c>
      <c r="AC58" s="105" t="e">
        <f t="shared" si="16"/>
        <v>#VALUE!</v>
      </c>
      <c r="AD58" s="105" t="e">
        <f t="shared" si="3"/>
        <v>#VALUE!</v>
      </c>
      <c r="AE58" s="105" t="e">
        <f t="shared" si="4"/>
        <v>#DIV/0!</v>
      </c>
      <c r="AF58" s="105" t="e">
        <f t="shared" si="17"/>
        <v>#VALUE!</v>
      </c>
      <c r="AG58" s="105" t="e">
        <f t="shared" si="5"/>
        <v>#VALUE!</v>
      </c>
      <c r="AH58" s="111"/>
      <c r="AI58" s="105"/>
      <c r="AJ58" s="105"/>
      <c r="AK58" s="109"/>
      <c r="AL58" s="109"/>
      <c r="AM58" s="109"/>
      <c r="AN58" s="109"/>
      <c r="AO58" s="105"/>
      <c r="AP58" s="105"/>
      <c r="AQ58" s="109"/>
      <c r="AR58" s="110"/>
      <c r="AS58" s="110"/>
      <c r="AT58" s="110"/>
      <c r="AU58" s="110"/>
      <c r="AV58" s="110"/>
      <c r="AW58" s="112"/>
      <c r="AX58" s="112"/>
      <c r="AY58" s="110"/>
      <c r="AZ58" s="105"/>
      <c r="BA58" s="105"/>
      <c r="BB58" s="105"/>
      <c r="BC58" s="105"/>
      <c r="BD58" s="105"/>
      <c r="BE58" s="105"/>
    </row>
    <row r="59" spans="1:57" x14ac:dyDescent="0.15">
      <c r="A59" s="101">
        <v>94</v>
      </c>
      <c r="B59" s="98" t="e">
        <f>VLOOKUP($A59,'Rate Calculation'!$A$4:$CS$210,68,FALSE)</f>
        <v>#REF!</v>
      </c>
      <c r="C59" s="98" t="str">
        <f>UPPER(VLOOKUP($A59,'Rate Calculation'!$A$4:$CL$210,69,FALSE))</f>
        <v>12595</v>
      </c>
      <c r="D59" s="104" t="str">
        <f>VLOOKUP($A59,'Rate Calculation'!$A$4:$AJ$210,5,FALSE)</f>
        <v>BALTIMORE METRO</v>
      </c>
      <c r="E59" s="104" t="str">
        <f>VLOOKUP($A59,'Rate Calculation'!$A$4:$AJ$210,6,FALSE)</f>
        <v>BALTIMORE METRO</v>
      </c>
      <c r="F59" s="105">
        <f>VLOOKUP(A59,'Rate Calculation'!$A$3:$AT$210,35,FALSE)</f>
        <v>0</v>
      </c>
      <c r="G59" s="105">
        <f>VLOOKUP(A59,'Rate Calculation'!$A$3:$AT$210,30,FALSE)</f>
        <v>37698</v>
      </c>
      <c r="H59" s="105">
        <f>VLOOKUP(A59,'Rate Calculation'!$A$3:$AW$210,36,FALSE)+VLOOKUP(A59,'Rate Calculation'!$A$3:$CC$210,42,FALSE)</f>
        <v>34397800</v>
      </c>
      <c r="I59" s="105">
        <f t="shared" si="6"/>
        <v>0</v>
      </c>
      <c r="J59" s="105" t="str">
        <f>VLOOKUP(A59,'Rate Calculation'!$A$3:$BL$210,43,FALSE)</f>
        <v>Charlestown Care Center</v>
      </c>
      <c r="K59" s="105">
        <f t="shared" si="7"/>
        <v>34435498</v>
      </c>
      <c r="L59" s="164">
        <f t="shared" si="1"/>
        <v>0.98772000000000004</v>
      </c>
      <c r="M59" s="105">
        <f t="shared" si="8"/>
        <v>34012630.079999998</v>
      </c>
      <c r="N59" s="105" t="e">
        <f>VLOOKUP(A59,'Rate Calculation'!$A$4:$DK$210,47,FALSE)</f>
        <v>#DIV/0!</v>
      </c>
      <c r="O59" s="106">
        <f>VLOOKUP(A59,'Rate Calculation'!$A$4:$DK$210,10,FALSE)</f>
        <v>1.0309999999999999</v>
      </c>
      <c r="P59" s="114">
        <f t="shared" si="2"/>
        <v>1.4432</v>
      </c>
      <c r="Q59" s="114">
        <f>VLOOKUP(A59,'CMI Data'!$A$3:$Z$209,7,FALSE)</f>
        <v>0</v>
      </c>
      <c r="R59" s="120" t="e">
        <f>+'CMI Data'!$I$214</f>
        <v>#DIV/0!</v>
      </c>
      <c r="S59" s="106">
        <f>IF(Q59=0,'CMI Data'!$I$213,ROUND(Q59*R59,4))</f>
        <v>1.4061999999999999</v>
      </c>
      <c r="T59" s="105">
        <f>VLOOKUP(A59,'Rate Calculation'!$A$4:$DK$210,16,FALSE)</f>
        <v>165.57</v>
      </c>
      <c r="U59" s="105">
        <f>VLOOKUP(A59,'Rate Calculation'!$A$4:$DK$210,20,FALSE)</f>
        <v>0</v>
      </c>
      <c r="V59" s="113">
        <f t="shared" si="9"/>
        <v>0</v>
      </c>
      <c r="W59" s="105">
        <f t="shared" si="10"/>
        <v>0</v>
      </c>
      <c r="X59" s="111">
        <f t="shared" si="11"/>
        <v>0</v>
      </c>
      <c r="Y59" s="105">
        <f t="shared" si="12"/>
        <v>0</v>
      </c>
      <c r="Z59" s="105">
        <f t="shared" si="13"/>
        <v>225.82</v>
      </c>
      <c r="AA59" s="105">
        <f t="shared" si="14"/>
        <v>0</v>
      </c>
      <c r="AB59" s="111">
        <f t="shared" si="15"/>
        <v>-225.82</v>
      </c>
      <c r="AC59" s="105" t="e">
        <f t="shared" si="16"/>
        <v>#VALUE!</v>
      </c>
      <c r="AD59" s="105" t="e">
        <f t="shared" si="3"/>
        <v>#VALUE!</v>
      </c>
      <c r="AE59" s="105" t="e">
        <f t="shared" si="4"/>
        <v>#DIV/0!</v>
      </c>
      <c r="AF59" s="105" t="e">
        <f t="shared" si="17"/>
        <v>#VALUE!</v>
      </c>
      <c r="AG59" s="105" t="e">
        <f t="shared" si="5"/>
        <v>#VALUE!</v>
      </c>
      <c r="AH59" s="111"/>
      <c r="AI59" s="105"/>
      <c r="AJ59" s="105"/>
      <c r="AK59" s="109"/>
      <c r="AL59" s="109"/>
      <c r="AM59" s="109"/>
      <c r="AN59" s="109"/>
      <c r="AO59" s="105"/>
      <c r="AP59" s="105"/>
      <c r="AQ59" s="109"/>
      <c r="AR59" s="110"/>
      <c r="AS59" s="110"/>
      <c r="AT59" s="110"/>
      <c r="AU59" s="110"/>
      <c r="AV59" s="110"/>
      <c r="AW59" s="112"/>
      <c r="AX59" s="112"/>
      <c r="AY59" s="110"/>
      <c r="AZ59" s="105"/>
      <c r="BA59" s="105"/>
      <c r="BB59" s="105"/>
      <c r="BC59" s="105"/>
      <c r="BD59" s="105"/>
      <c r="BE59" s="105"/>
    </row>
    <row r="60" spans="1:57" x14ac:dyDescent="0.15">
      <c r="A60" s="101">
        <v>677</v>
      </c>
      <c r="B60" s="98" t="e">
        <f>VLOOKUP($A60,'Rate Calculation'!$A$4:$CS$210,68,FALSE)</f>
        <v>#REF!</v>
      </c>
      <c r="C60" s="98" t="str">
        <f>UPPER(VLOOKUP($A60,'Rate Calculation'!$A$4:$CL$210,69,FALSE))</f>
        <v>72892</v>
      </c>
      <c r="D60" s="104" t="str">
        <f>VLOOKUP($A60,'Rate Calculation'!$A$4:$AJ$210,5,FALSE)</f>
        <v>WASHINGTON METRO</v>
      </c>
      <c r="E60" s="104" t="str">
        <f>VLOOKUP($A60,'Rate Calculation'!$A$4:$AJ$210,6,FALSE)</f>
        <v>NON METRO</v>
      </c>
      <c r="F60" s="105">
        <f>VLOOKUP(A60,'Rate Calculation'!$A$3:$AT$210,35,FALSE)</f>
        <v>28589</v>
      </c>
      <c r="G60" s="105">
        <f>VLOOKUP(A60,'Rate Calculation'!$A$3:$AT$210,30,FALSE)</f>
        <v>45750</v>
      </c>
      <c r="H60" s="105">
        <f>VLOOKUP(A60,'Rate Calculation'!$A$3:$AW$210,36,FALSE)+VLOOKUP(A60,'Rate Calculation'!$A$3:$CC$210,42,FALSE)</f>
        <v>425113122</v>
      </c>
      <c r="I60" s="105">
        <f t="shared" si="6"/>
        <v>0</v>
      </c>
      <c r="J60" s="105" t="str">
        <f>VLOOKUP(A60,'Rate Calculation'!$A$3:$BL$210,43,FALSE)</f>
        <v>Chesapeake Shores Nursing Center</v>
      </c>
      <c r="K60" s="105">
        <f t="shared" si="7"/>
        <v>425187461</v>
      </c>
      <c r="L60" s="164">
        <f t="shared" si="1"/>
        <v>0.98772000000000004</v>
      </c>
      <c r="M60" s="105">
        <f t="shared" si="8"/>
        <v>419966158.98000002</v>
      </c>
      <c r="N60" s="105" t="e">
        <f>VLOOKUP(A60,'Rate Calculation'!$A$4:$DK$210,47,FALSE)</f>
        <v>#DIV/0!</v>
      </c>
      <c r="O60" s="106">
        <f>VLOOKUP(A60,'Rate Calculation'!$A$4:$DK$210,10,FALSE)</f>
        <v>1.0309999999999999</v>
      </c>
      <c r="P60" s="114">
        <f t="shared" si="2"/>
        <v>1.4432</v>
      </c>
      <c r="Q60" s="114">
        <f>VLOOKUP(A60,'CMI Data'!$A$3:$Z$209,7,FALSE)</f>
        <v>0</v>
      </c>
      <c r="R60" s="120" t="e">
        <f>+'CMI Data'!$I$214</f>
        <v>#DIV/0!</v>
      </c>
      <c r="S60" s="106">
        <f>IF(Q60=0,'CMI Data'!$I$213,ROUND(Q60*R60,4))</f>
        <v>1.4061999999999999</v>
      </c>
      <c r="T60" s="105">
        <f>VLOOKUP(A60,'Rate Calculation'!$A$4:$DK$210,16,FALSE)</f>
        <v>173.03</v>
      </c>
      <c r="U60" s="105">
        <f>VLOOKUP(A60,'Rate Calculation'!$A$4:$DK$210,20,FALSE)</f>
        <v>0</v>
      </c>
      <c r="V60" s="113">
        <f t="shared" si="9"/>
        <v>0</v>
      </c>
      <c r="W60" s="105">
        <f t="shared" si="10"/>
        <v>0</v>
      </c>
      <c r="X60" s="111">
        <f t="shared" si="11"/>
        <v>0</v>
      </c>
      <c r="Y60" s="105">
        <f t="shared" si="12"/>
        <v>0</v>
      </c>
      <c r="Z60" s="105">
        <f t="shared" si="13"/>
        <v>236</v>
      </c>
      <c r="AA60" s="105">
        <f t="shared" si="14"/>
        <v>0</v>
      </c>
      <c r="AB60" s="111">
        <f t="shared" si="15"/>
        <v>-236</v>
      </c>
      <c r="AC60" s="105" t="e">
        <f t="shared" si="16"/>
        <v>#VALUE!</v>
      </c>
      <c r="AD60" s="105" t="e">
        <f t="shared" si="3"/>
        <v>#VALUE!</v>
      </c>
      <c r="AE60" s="105" t="e">
        <f t="shared" si="4"/>
        <v>#DIV/0!</v>
      </c>
      <c r="AF60" s="105" t="e">
        <f t="shared" si="17"/>
        <v>#VALUE!</v>
      </c>
      <c r="AG60" s="105" t="e">
        <f t="shared" si="5"/>
        <v>#VALUE!</v>
      </c>
      <c r="AH60" s="111"/>
      <c r="AI60" s="105"/>
      <c r="AJ60" s="105"/>
      <c r="AK60" s="109"/>
      <c r="AL60" s="109"/>
      <c r="AM60" s="109"/>
      <c r="AN60" s="109"/>
      <c r="AO60" s="105"/>
      <c r="AP60" s="105"/>
      <c r="AQ60" s="109"/>
      <c r="AR60" s="110"/>
      <c r="AS60" s="110"/>
      <c r="AT60" s="110"/>
      <c r="AU60" s="110"/>
      <c r="AV60" s="110"/>
      <c r="AW60" s="112"/>
      <c r="AX60" s="112"/>
      <c r="AY60" s="110"/>
      <c r="AZ60" s="105"/>
      <c r="BA60" s="105"/>
      <c r="BB60" s="105"/>
      <c r="BC60" s="105"/>
      <c r="BD60" s="105"/>
      <c r="BE60" s="105"/>
    </row>
    <row r="61" spans="1:57" x14ac:dyDescent="0.15">
      <c r="A61" s="101">
        <v>104</v>
      </c>
      <c r="B61" s="98" t="e">
        <f>VLOOKUP($A61,'Rate Calculation'!$A$4:$CS$210,68,FALSE)</f>
        <v>#REF!</v>
      </c>
      <c r="C61" s="98" t="str">
        <f>UPPER(VLOOKUP($A61,'Rate Calculation'!$A$4:$CL$210,69,FALSE))</f>
        <v>71837</v>
      </c>
      <c r="D61" s="104" t="str">
        <f>VLOOKUP($A61,'Rate Calculation'!$A$4:$AJ$210,5,FALSE)</f>
        <v>EASTERN REGION</v>
      </c>
      <c r="E61" s="104" t="str">
        <f>VLOOKUP($A61,'Rate Calculation'!$A$4:$AJ$210,6,FALSE)</f>
        <v>NON METRO</v>
      </c>
      <c r="F61" s="105">
        <f>VLOOKUP(A61,'Rate Calculation'!$A$3:$AT$210,35,FALSE)</f>
        <v>24384</v>
      </c>
      <c r="G61" s="105">
        <f>VLOOKUP(A61,'Rate Calculation'!$A$3:$AT$210,30,FALSE)</f>
        <v>33672</v>
      </c>
      <c r="H61" s="105">
        <f>VLOOKUP(A61,'Rate Calculation'!$A$3:$AW$210,36,FALSE)+VLOOKUP(A61,'Rate Calculation'!$A$3:$CC$210,42,FALSE)</f>
        <v>667136211</v>
      </c>
      <c r="I61" s="105">
        <f t="shared" si="6"/>
        <v>-49.26</v>
      </c>
      <c r="J61" s="105" t="str">
        <f>VLOOKUP(A61,'Rate Calculation'!$A$3:$BL$210,43,FALSE)</f>
        <v>Chestertown Nursing and Rehab</v>
      </c>
      <c r="K61" s="105">
        <f t="shared" si="7"/>
        <v>667194217.74000001</v>
      </c>
      <c r="L61" s="164">
        <f t="shared" si="1"/>
        <v>0.98772000000000004</v>
      </c>
      <c r="M61" s="105">
        <f t="shared" si="8"/>
        <v>659001072.75</v>
      </c>
      <c r="N61" s="105" t="e">
        <f>VLOOKUP(A61,'Rate Calculation'!$A$4:$DK$210,47,FALSE)</f>
        <v>#DIV/0!</v>
      </c>
      <c r="O61" s="106">
        <f>VLOOKUP(A61,'Rate Calculation'!$A$4:$DK$210,10,FALSE)</f>
        <v>1.0309999999999999</v>
      </c>
      <c r="P61" s="114">
        <f t="shared" si="2"/>
        <v>1.4432</v>
      </c>
      <c r="Q61" s="114">
        <f>VLOOKUP(A61,'CMI Data'!$A$3:$Z$209,7,FALSE)</f>
        <v>0</v>
      </c>
      <c r="R61" s="120" t="e">
        <f>+'CMI Data'!$I$214</f>
        <v>#DIV/0!</v>
      </c>
      <c r="S61" s="106">
        <f>IF(Q61=0,'CMI Data'!$I$213,ROUND(Q61*R61,4))</f>
        <v>1.4061999999999999</v>
      </c>
      <c r="T61" s="105">
        <f>VLOOKUP(A61,'Rate Calculation'!$A$4:$DK$210,16,FALSE)</f>
        <v>214.2</v>
      </c>
      <c r="U61" s="105">
        <f>VLOOKUP(A61,'Rate Calculation'!$A$4:$DK$210,20,FALSE)</f>
        <v>-50.56</v>
      </c>
      <c r="V61" s="113">
        <f t="shared" si="9"/>
        <v>-36.119999999999997</v>
      </c>
      <c r="W61" s="105">
        <f t="shared" si="10"/>
        <v>-49.26</v>
      </c>
      <c r="X61" s="111">
        <f t="shared" si="11"/>
        <v>0</v>
      </c>
      <c r="Y61" s="105">
        <f t="shared" si="12"/>
        <v>-49.26</v>
      </c>
      <c r="Z61" s="105">
        <f t="shared" si="13"/>
        <v>292.14999999999998</v>
      </c>
      <c r="AA61" s="105">
        <f t="shared" si="14"/>
        <v>-46.8</v>
      </c>
      <c r="AB61" s="111">
        <f t="shared" si="15"/>
        <v>-338.95</v>
      </c>
      <c r="AC61" s="105" t="e">
        <f t="shared" si="16"/>
        <v>#VALUE!</v>
      </c>
      <c r="AD61" s="105" t="e">
        <f t="shared" si="3"/>
        <v>#VALUE!</v>
      </c>
      <c r="AE61" s="105" t="e">
        <f t="shared" si="4"/>
        <v>#DIV/0!</v>
      </c>
      <c r="AF61" s="105" t="e">
        <f t="shared" si="17"/>
        <v>#VALUE!</v>
      </c>
      <c r="AG61" s="105" t="e">
        <f t="shared" si="5"/>
        <v>#VALUE!</v>
      </c>
      <c r="AH61" s="111"/>
      <c r="AI61" s="105"/>
      <c r="AJ61" s="105"/>
      <c r="AK61" s="109"/>
      <c r="AL61" s="109"/>
      <c r="AM61" s="109"/>
      <c r="AN61" s="109"/>
      <c r="AO61" s="105"/>
      <c r="AP61" s="105"/>
      <c r="AQ61" s="109"/>
      <c r="AR61" s="110"/>
      <c r="AS61" s="110"/>
      <c r="AT61" s="110"/>
      <c r="AU61" s="110"/>
      <c r="AV61" s="110"/>
      <c r="AW61" s="112"/>
      <c r="AX61" s="112"/>
      <c r="AY61" s="110"/>
      <c r="AZ61" s="105"/>
      <c r="BA61" s="105"/>
      <c r="BB61" s="105"/>
      <c r="BC61" s="105"/>
      <c r="BD61" s="105"/>
      <c r="BE61" s="105"/>
    </row>
    <row r="62" spans="1:57" x14ac:dyDescent="0.15">
      <c r="A62" s="101">
        <v>108</v>
      </c>
      <c r="B62" s="98" t="e">
        <f>VLOOKUP($A62,'Rate Calculation'!$A$4:$CS$210,68,FALSE)</f>
        <v>#REF!</v>
      </c>
      <c r="C62" s="98" t="str">
        <f>UPPER(VLOOKUP($A62,'Rate Calculation'!$A$4:$CL$210,69,FALSE))</f>
        <v>0</v>
      </c>
      <c r="D62" s="104" t="str">
        <f>VLOOKUP($A62,'Rate Calculation'!$A$4:$AJ$210,5,FALSE)</f>
        <v>WASHINGTON METRO</v>
      </c>
      <c r="E62" s="104" t="str">
        <f>VLOOKUP($A62,'Rate Calculation'!$A$4:$AJ$210,6,FALSE)</f>
        <v>NON METRO</v>
      </c>
      <c r="F62" s="105">
        <f>VLOOKUP(A62,'Rate Calculation'!$A$3:$AT$210,35,FALSE)</f>
        <v>47755</v>
      </c>
      <c r="G62" s="105">
        <f>VLOOKUP(A62,'Rate Calculation'!$A$3:$AT$210,30,FALSE)</f>
        <v>62952</v>
      </c>
      <c r="H62" s="105">
        <f>VLOOKUP(A62,'Rate Calculation'!$A$3:$AW$210,36,FALSE)+VLOOKUP(A62,'Rate Calculation'!$A$3:$CC$210,42,FALSE)</f>
        <v>104015982</v>
      </c>
      <c r="I62" s="105">
        <f t="shared" si="6"/>
        <v>0</v>
      </c>
      <c r="J62" s="105" t="str">
        <f>VLOOKUP(A62,'Rate Calculation'!$A$3:$BL$210,43,FALSE)</f>
        <v>Citizens Care and Rehab. Center of Frederick</v>
      </c>
      <c r="K62" s="105">
        <f t="shared" si="7"/>
        <v>104126689</v>
      </c>
      <c r="L62" s="164">
        <f t="shared" si="1"/>
        <v>0.98772000000000004</v>
      </c>
      <c r="M62" s="105">
        <f t="shared" si="8"/>
        <v>102848013.26000001</v>
      </c>
      <c r="N62" s="105" t="e">
        <f>VLOOKUP(A62,'Rate Calculation'!$A$4:$DK$210,47,FALSE)</f>
        <v>#DIV/0!</v>
      </c>
      <c r="O62" s="106">
        <f>VLOOKUP(A62,'Rate Calculation'!$A$4:$DK$210,10,FALSE)</f>
        <v>1.0309999999999999</v>
      </c>
      <c r="P62" s="114">
        <f t="shared" si="2"/>
        <v>1.4432</v>
      </c>
      <c r="Q62" s="114">
        <f>VLOOKUP(A62,'CMI Data'!$A$3:$Z$209,7,FALSE)</f>
        <v>0</v>
      </c>
      <c r="R62" s="120" t="e">
        <f>+'CMI Data'!$I$214</f>
        <v>#DIV/0!</v>
      </c>
      <c r="S62" s="106">
        <f>IF(Q62=0,'CMI Data'!$I$213,ROUND(Q62*R62,4))</f>
        <v>1.4061999999999999</v>
      </c>
      <c r="T62" s="105">
        <f>VLOOKUP(A62,'Rate Calculation'!$A$4:$DK$210,16,FALSE)</f>
        <v>151.65</v>
      </c>
      <c r="U62" s="105">
        <f>VLOOKUP(A62,'Rate Calculation'!$A$4:$DK$210,20,FALSE)</f>
        <v>0</v>
      </c>
      <c r="V62" s="113">
        <f t="shared" si="9"/>
        <v>0</v>
      </c>
      <c r="W62" s="105">
        <f t="shared" si="10"/>
        <v>0</v>
      </c>
      <c r="X62" s="111">
        <f t="shared" si="11"/>
        <v>0</v>
      </c>
      <c r="Y62" s="105">
        <f t="shared" si="12"/>
        <v>0</v>
      </c>
      <c r="Z62" s="105">
        <f t="shared" si="13"/>
        <v>206.84</v>
      </c>
      <c r="AA62" s="105">
        <f t="shared" si="14"/>
        <v>0</v>
      </c>
      <c r="AB62" s="111">
        <f t="shared" si="15"/>
        <v>-206.84</v>
      </c>
      <c r="AC62" s="105" t="e">
        <f t="shared" si="16"/>
        <v>#VALUE!</v>
      </c>
      <c r="AD62" s="105" t="e">
        <f t="shared" si="3"/>
        <v>#VALUE!</v>
      </c>
      <c r="AE62" s="105" t="e">
        <f t="shared" si="4"/>
        <v>#DIV/0!</v>
      </c>
      <c r="AF62" s="105" t="e">
        <f t="shared" si="17"/>
        <v>#VALUE!</v>
      </c>
      <c r="AG62" s="105" t="e">
        <f t="shared" si="5"/>
        <v>#VALUE!</v>
      </c>
      <c r="AH62" s="111"/>
      <c r="AI62" s="105"/>
      <c r="AJ62" s="105"/>
      <c r="AK62" s="109"/>
      <c r="AL62" s="109"/>
      <c r="AM62" s="109"/>
      <c r="AN62" s="109"/>
      <c r="AO62" s="105"/>
      <c r="AP62" s="105"/>
      <c r="AQ62" s="109"/>
      <c r="AR62" s="110"/>
      <c r="AS62" s="110"/>
      <c r="AT62" s="110"/>
      <c r="AU62" s="110"/>
      <c r="AV62" s="110"/>
      <c r="AW62" s="112"/>
      <c r="AX62" s="112"/>
      <c r="AY62" s="110"/>
      <c r="AZ62" s="105"/>
      <c r="BA62" s="105"/>
      <c r="BB62" s="105"/>
      <c r="BC62" s="105"/>
      <c r="BD62" s="105"/>
      <c r="BE62" s="105"/>
    </row>
    <row r="63" spans="1:57" x14ac:dyDescent="0.15">
      <c r="A63" s="101">
        <v>106</v>
      </c>
      <c r="B63" s="98" t="e">
        <f>VLOOKUP($A63,'Rate Calculation'!$A$4:$CS$210,68,FALSE)</f>
        <v>#REF!</v>
      </c>
      <c r="C63" s="98" t="str">
        <f>UPPER(VLOOKUP($A63,'Rate Calculation'!$A$4:$CL$210,69,FALSE))</f>
        <v>0</v>
      </c>
      <c r="D63" s="104" t="str">
        <f>VLOOKUP($A63,'Rate Calculation'!$A$4:$AJ$210,5,FALSE)</f>
        <v>BALTIMORE METRO</v>
      </c>
      <c r="E63" s="104" t="str">
        <f>VLOOKUP($A63,'Rate Calculation'!$A$4:$AJ$210,6,FALSE)</f>
        <v>BALTIMORE METRO</v>
      </c>
      <c r="F63" s="105">
        <f>VLOOKUP(A63,'Rate Calculation'!$A$3:$AT$210,35,FALSE)</f>
        <v>36872</v>
      </c>
      <c r="G63" s="105">
        <f>VLOOKUP(A63,'Rate Calculation'!$A$3:$AT$210,30,FALSE)</f>
        <v>67344</v>
      </c>
      <c r="H63" s="105">
        <f>VLOOKUP(A63,'Rate Calculation'!$A$3:$AW$210,36,FALSE)+VLOOKUP(A63,'Rate Calculation'!$A$3:$CC$210,42,FALSE)</f>
        <v>124549201</v>
      </c>
      <c r="I63" s="105">
        <f t="shared" si="6"/>
        <v>0</v>
      </c>
      <c r="J63" s="105" t="str">
        <f>VLOOKUP(A63,'Rate Calculation'!$A$3:$BL$210,43,FALSE)</f>
        <v>Citizens Nursing Home of Harford County</v>
      </c>
      <c r="K63" s="105">
        <f t="shared" si="7"/>
        <v>124653417</v>
      </c>
      <c r="L63" s="164">
        <f t="shared" si="1"/>
        <v>0.98772000000000004</v>
      </c>
      <c r="M63" s="105">
        <f t="shared" si="8"/>
        <v>123122673.04000001</v>
      </c>
      <c r="N63" s="105" t="e">
        <f>VLOOKUP(A63,'Rate Calculation'!$A$4:$DK$210,47,FALSE)</f>
        <v>#DIV/0!</v>
      </c>
      <c r="O63" s="106">
        <f>VLOOKUP(A63,'Rate Calculation'!$A$4:$DK$210,10,FALSE)</f>
        <v>1.0309999999999999</v>
      </c>
      <c r="P63" s="114">
        <f t="shared" si="2"/>
        <v>1.4432</v>
      </c>
      <c r="Q63" s="114">
        <f>VLOOKUP(A63,'CMI Data'!$A$3:$Z$209,7,FALSE)</f>
        <v>0</v>
      </c>
      <c r="R63" s="120" t="e">
        <f>+'CMI Data'!$I$214</f>
        <v>#DIV/0!</v>
      </c>
      <c r="S63" s="106">
        <f>IF(Q63=0,'CMI Data'!$I$213,ROUND(Q63*R63,4))</f>
        <v>1.4061999999999999</v>
      </c>
      <c r="T63" s="105">
        <f>VLOOKUP(A63,'Rate Calculation'!$A$4:$DK$210,16,FALSE)</f>
        <v>168.63</v>
      </c>
      <c r="U63" s="105">
        <f>VLOOKUP(A63,'Rate Calculation'!$A$4:$DK$210,20,FALSE)</f>
        <v>0</v>
      </c>
      <c r="V63" s="113">
        <f t="shared" si="9"/>
        <v>0</v>
      </c>
      <c r="W63" s="105">
        <f t="shared" si="10"/>
        <v>0</v>
      </c>
      <c r="X63" s="111">
        <f t="shared" si="11"/>
        <v>0</v>
      </c>
      <c r="Y63" s="105">
        <f t="shared" si="12"/>
        <v>0</v>
      </c>
      <c r="Z63" s="105">
        <f t="shared" si="13"/>
        <v>230</v>
      </c>
      <c r="AA63" s="105">
        <f t="shared" si="14"/>
        <v>0</v>
      </c>
      <c r="AB63" s="111">
        <f t="shared" si="15"/>
        <v>-230</v>
      </c>
      <c r="AC63" s="105" t="e">
        <f t="shared" si="16"/>
        <v>#VALUE!</v>
      </c>
      <c r="AD63" s="105" t="e">
        <f t="shared" si="3"/>
        <v>#VALUE!</v>
      </c>
      <c r="AE63" s="105" t="e">
        <f t="shared" si="4"/>
        <v>#DIV/0!</v>
      </c>
      <c r="AF63" s="105" t="e">
        <f t="shared" si="17"/>
        <v>#VALUE!</v>
      </c>
      <c r="AG63" s="105" t="e">
        <f t="shared" si="5"/>
        <v>#VALUE!</v>
      </c>
      <c r="AH63" s="111"/>
      <c r="AI63" s="105"/>
      <c r="AJ63" s="105"/>
      <c r="AK63" s="109"/>
      <c r="AL63" s="109"/>
      <c r="AM63" s="109"/>
      <c r="AN63" s="109"/>
      <c r="AO63" s="105"/>
      <c r="AP63" s="105"/>
      <c r="AQ63" s="109"/>
      <c r="AR63" s="110"/>
      <c r="AS63" s="110"/>
      <c r="AT63" s="110"/>
      <c r="AU63" s="110"/>
      <c r="AV63" s="110"/>
      <c r="AW63" s="112"/>
      <c r="AX63" s="112"/>
      <c r="AY63" s="110"/>
      <c r="AZ63" s="105"/>
      <c r="BA63" s="105"/>
      <c r="BB63" s="105"/>
      <c r="BC63" s="105"/>
      <c r="BD63" s="105"/>
      <c r="BE63" s="105"/>
    </row>
    <row r="64" spans="1:57" x14ac:dyDescent="0.15">
      <c r="A64" s="101">
        <v>112</v>
      </c>
      <c r="B64" s="98" t="e">
        <f>VLOOKUP($A64,'Rate Calculation'!$A$4:$CS$210,68,FALSE)</f>
        <v>#REF!</v>
      </c>
      <c r="C64" s="98" t="str">
        <f>UPPER(VLOOKUP($A64,'Rate Calculation'!$A$4:$CL$210,69,FALSE))</f>
        <v>284737</v>
      </c>
      <c r="D64" s="104" t="str">
        <f>VLOOKUP($A64,'Rate Calculation'!$A$4:$AJ$210,5,FALSE)</f>
        <v>WASHINGTON METRO</v>
      </c>
      <c r="E64" s="104" t="str">
        <f>VLOOKUP($A64,'Rate Calculation'!$A$4:$AJ$210,6,FALSE)</f>
        <v>WASHINGTON METRO</v>
      </c>
      <c r="F64" s="105">
        <f>VLOOKUP(A64,'Rate Calculation'!$A$3:$AT$210,35,FALSE)</f>
        <v>79013</v>
      </c>
      <c r="G64" s="105">
        <f>VLOOKUP(A64,'Rate Calculation'!$A$3:$AT$210,30,FALSE)</f>
        <v>97722</v>
      </c>
      <c r="H64" s="105">
        <f>VLOOKUP(A64,'Rate Calculation'!$A$3:$AW$210,36,FALSE)+VLOOKUP(A64,'Rate Calculation'!$A$3:$CC$210,42,FALSE)</f>
        <v>411196239</v>
      </c>
      <c r="I64" s="105">
        <f t="shared" si="6"/>
        <v>-25.46</v>
      </c>
      <c r="J64" s="105" t="str">
        <f>VLOOKUP(A64,'Rate Calculation'!$A$3:$BL$210,43,FALSE)</f>
        <v>Clinton Nursing and Rehabilitation Center</v>
      </c>
      <c r="K64" s="105">
        <f t="shared" si="7"/>
        <v>411372948.54000002</v>
      </c>
      <c r="L64" s="164">
        <f t="shared" si="1"/>
        <v>0.98772000000000004</v>
      </c>
      <c r="M64" s="105">
        <f t="shared" si="8"/>
        <v>406321288.73000002</v>
      </c>
      <c r="N64" s="105" t="e">
        <f>VLOOKUP(A64,'Rate Calculation'!$A$4:$DK$210,47,FALSE)</f>
        <v>#DIV/0!</v>
      </c>
      <c r="O64" s="106">
        <f>VLOOKUP(A64,'Rate Calculation'!$A$4:$DK$210,10,FALSE)</f>
        <v>1.0309999999999999</v>
      </c>
      <c r="P64" s="114">
        <f t="shared" si="2"/>
        <v>1.4432</v>
      </c>
      <c r="Q64" s="114">
        <f>VLOOKUP(A64,'CMI Data'!$A$3:$Z$209,7,FALSE)</f>
        <v>0</v>
      </c>
      <c r="R64" s="120" t="e">
        <f>+'CMI Data'!$I$214</f>
        <v>#DIV/0!</v>
      </c>
      <c r="S64" s="106">
        <f>IF(Q64=0,'CMI Data'!$I$213,ROUND(Q64*R64,4))</f>
        <v>1.4061999999999999</v>
      </c>
      <c r="T64" s="105">
        <f>VLOOKUP(A64,'Rate Calculation'!$A$4:$DK$210,16,FALSE)</f>
        <v>156.13999999999999</v>
      </c>
      <c r="U64" s="105">
        <f>VLOOKUP(A64,'Rate Calculation'!$A$4:$DK$210,20,FALSE)</f>
        <v>-26.14</v>
      </c>
      <c r="V64" s="113">
        <f t="shared" si="9"/>
        <v>-18.670000000000002</v>
      </c>
      <c r="W64" s="105">
        <f t="shared" si="10"/>
        <v>-25.46</v>
      </c>
      <c r="X64" s="111">
        <f t="shared" si="11"/>
        <v>0</v>
      </c>
      <c r="Y64" s="105">
        <f t="shared" si="12"/>
        <v>-25.46</v>
      </c>
      <c r="Z64" s="105">
        <f t="shared" si="13"/>
        <v>212.96</v>
      </c>
      <c r="AA64" s="105">
        <f t="shared" si="14"/>
        <v>-24.19</v>
      </c>
      <c r="AB64" s="111">
        <f t="shared" si="15"/>
        <v>-237.15</v>
      </c>
      <c r="AC64" s="105" t="e">
        <f t="shared" si="16"/>
        <v>#VALUE!</v>
      </c>
      <c r="AD64" s="105" t="e">
        <f t="shared" si="3"/>
        <v>#VALUE!</v>
      </c>
      <c r="AE64" s="105" t="e">
        <f t="shared" si="4"/>
        <v>#DIV/0!</v>
      </c>
      <c r="AF64" s="105" t="e">
        <f t="shared" si="17"/>
        <v>#VALUE!</v>
      </c>
      <c r="AG64" s="105" t="e">
        <f t="shared" si="5"/>
        <v>#VALUE!</v>
      </c>
      <c r="AH64" s="111"/>
      <c r="AI64" s="105"/>
      <c r="AJ64" s="105"/>
      <c r="AK64" s="109"/>
      <c r="AL64" s="109"/>
      <c r="AM64" s="109"/>
      <c r="AN64" s="109"/>
      <c r="AO64" s="105"/>
      <c r="AP64" s="105"/>
      <c r="AQ64" s="109"/>
      <c r="AR64" s="110"/>
      <c r="AS64" s="110"/>
      <c r="AT64" s="110"/>
      <c r="AU64" s="110"/>
      <c r="AV64" s="110"/>
      <c r="AW64" s="112"/>
      <c r="AX64" s="112"/>
      <c r="AY64" s="110"/>
      <c r="AZ64" s="105"/>
      <c r="BA64" s="105"/>
      <c r="BB64" s="105"/>
      <c r="BC64" s="105"/>
      <c r="BD64" s="105"/>
      <c r="BE64" s="105"/>
    </row>
    <row r="65" spans="1:57" x14ac:dyDescent="0.15">
      <c r="A65" s="101">
        <v>114</v>
      </c>
      <c r="B65" s="98" t="e">
        <f>VLOOKUP($A65,'Rate Calculation'!$A$4:$CS$210,68,FALSE)</f>
        <v>#REF!</v>
      </c>
      <c r="C65" s="98" t="str">
        <f>UPPER(VLOOKUP($A65,'Rate Calculation'!$A$4:$CL$210,69,FALSE))</f>
        <v>0</v>
      </c>
      <c r="D65" s="104" t="str">
        <f>VLOOKUP($A65,'Rate Calculation'!$A$4:$AJ$210,5,FALSE)</f>
        <v>WESTERN REGION</v>
      </c>
      <c r="E65" s="104" t="str">
        <f>VLOOKUP($A65,'Rate Calculation'!$A$4:$AJ$210,6,FALSE)</f>
        <v>NON METRO</v>
      </c>
      <c r="F65" s="105">
        <f>VLOOKUP(A65,'Rate Calculation'!$A$3:$AT$210,35,FALSE)</f>
        <v>12623</v>
      </c>
      <c r="G65" s="105">
        <f>VLOOKUP(A65,'Rate Calculation'!$A$3:$AT$210,30,FALSE)</f>
        <v>21803</v>
      </c>
      <c r="H65" s="105">
        <f>VLOOKUP(A65,'Rate Calculation'!$A$3:$AW$210,36,FALSE)+VLOOKUP(A65,'Rate Calculation'!$A$3:$CC$210,42,FALSE)</f>
        <v>235424698</v>
      </c>
      <c r="I65" s="105">
        <f t="shared" si="6"/>
        <v>0</v>
      </c>
      <c r="J65" s="105" t="str">
        <f>VLOOKUP(A65,'Rate Calculation'!$A$3:$BL$210,43,FALSE)</f>
        <v>Coffman Nursing Home</v>
      </c>
      <c r="K65" s="105">
        <f t="shared" si="7"/>
        <v>235459124</v>
      </c>
      <c r="L65" s="164">
        <f t="shared" si="1"/>
        <v>0.98772000000000004</v>
      </c>
      <c r="M65" s="105">
        <f t="shared" si="8"/>
        <v>232567685.96000001</v>
      </c>
      <c r="N65" s="105" t="e">
        <f>VLOOKUP(A65,'Rate Calculation'!$A$4:$DK$210,47,FALSE)</f>
        <v>#DIV/0!</v>
      </c>
      <c r="O65" s="106">
        <f>VLOOKUP(A65,'Rate Calculation'!$A$4:$DK$210,10,FALSE)</f>
        <v>1.0309999999999999</v>
      </c>
      <c r="P65" s="114">
        <f t="shared" si="2"/>
        <v>1.4432</v>
      </c>
      <c r="Q65" s="114">
        <f>VLOOKUP(A65,'CMI Data'!$A$3:$Z$209,7,FALSE)</f>
        <v>0</v>
      </c>
      <c r="R65" s="120" t="e">
        <f>+'CMI Data'!$I$214</f>
        <v>#DIV/0!</v>
      </c>
      <c r="S65" s="106">
        <f>IF(Q65=0,'CMI Data'!$I$213,ROUND(Q65*R65,4))</f>
        <v>1.4061999999999999</v>
      </c>
      <c r="T65" s="105">
        <f>VLOOKUP(A65,'Rate Calculation'!$A$4:$DK$210,16,FALSE)</f>
        <v>143.6</v>
      </c>
      <c r="U65" s="105">
        <f>VLOOKUP(A65,'Rate Calculation'!$A$4:$DK$210,20,FALSE)</f>
        <v>0</v>
      </c>
      <c r="V65" s="113">
        <f t="shared" si="9"/>
        <v>0</v>
      </c>
      <c r="W65" s="105">
        <f t="shared" si="10"/>
        <v>0</v>
      </c>
      <c r="X65" s="111">
        <f t="shared" si="11"/>
        <v>0</v>
      </c>
      <c r="Y65" s="105">
        <f t="shared" si="12"/>
        <v>0</v>
      </c>
      <c r="Z65" s="105">
        <f t="shared" si="13"/>
        <v>195.86</v>
      </c>
      <c r="AA65" s="105">
        <f t="shared" si="14"/>
        <v>0</v>
      </c>
      <c r="AB65" s="111">
        <f t="shared" si="15"/>
        <v>-195.86</v>
      </c>
      <c r="AC65" s="105" t="e">
        <f t="shared" si="16"/>
        <v>#VALUE!</v>
      </c>
      <c r="AD65" s="105" t="e">
        <f t="shared" si="3"/>
        <v>#VALUE!</v>
      </c>
      <c r="AE65" s="105" t="e">
        <f t="shared" si="4"/>
        <v>#DIV/0!</v>
      </c>
      <c r="AF65" s="105" t="e">
        <f t="shared" si="17"/>
        <v>#VALUE!</v>
      </c>
      <c r="AG65" s="105" t="e">
        <f t="shared" si="5"/>
        <v>#VALUE!</v>
      </c>
      <c r="AH65" s="111"/>
      <c r="AI65" s="105"/>
      <c r="AJ65" s="105"/>
      <c r="AK65" s="109"/>
      <c r="AL65" s="109"/>
      <c r="AM65" s="109"/>
      <c r="AN65" s="109"/>
      <c r="AO65" s="105"/>
      <c r="AP65" s="105"/>
      <c r="AQ65" s="109"/>
      <c r="AR65" s="110"/>
      <c r="AS65" s="110"/>
      <c r="AT65" s="110"/>
      <c r="AU65" s="110"/>
      <c r="AV65" s="110"/>
      <c r="AW65" s="112"/>
      <c r="AX65" s="112"/>
      <c r="AY65" s="110"/>
      <c r="AZ65" s="105"/>
      <c r="BA65" s="105"/>
      <c r="BB65" s="105"/>
      <c r="BC65" s="105"/>
      <c r="BD65" s="105"/>
      <c r="BE65" s="105"/>
    </row>
    <row r="66" spans="1:57" x14ac:dyDescent="0.15">
      <c r="A66" s="101">
        <v>118</v>
      </c>
      <c r="B66" s="98" t="e">
        <f>VLOOKUP($A66,'Rate Calculation'!$A$4:$CS$210,68,FALSE)</f>
        <v>#REF!</v>
      </c>
      <c r="C66" s="98" t="str">
        <f>UPPER(VLOOKUP($A66,'Rate Calculation'!$A$4:$CL$210,69,FALSE))</f>
        <v>212928</v>
      </c>
      <c r="D66" s="104" t="str">
        <f>VLOOKUP($A66,'Rate Calculation'!$A$4:$AJ$210,5,FALSE)</f>
        <v>WASHINGTON METRO</v>
      </c>
      <c r="E66" s="104" t="str">
        <f>VLOOKUP($A66,'Rate Calculation'!$A$4:$AJ$210,6,FALSE)</f>
        <v>WASHINGTON METRO</v>
      </c>
      <c r="F66" s="105">
        <f>VLOOKUP(A66,'Rate Calculation'!$A$3:$AT$210,35,FALSE)</f>
        <v>42078</v>
      </c>
      <c r="G66" s="105">
        <f>VLOOKUP(A66,'Rate Calculation'!$A$3:$AT$210,30,FALSE)</f>
        <v>58560</v>
      </c>
      <c r="H66" s="105">
        <f>VLOOKUP(A66,'Rate Calculation'!$A$3:$AW$210,36,FALSE)+VLOOKUP(A66,'Rate Calculation'!$A$3:$CC$210,42,FALSE)</f>
        <v>729065351</v>
      </c>
      <c r="I66" s="105">
        <f t="shared" si="6"/>
        <v>-33.89</v>
      </c>
      <c r="J66" s="105" t="str">
        <f>VLOOKUP(A66,'Rate Calculation'!$A$3:$BL$210,43,FALSE)</f>
        <v>Collingswood Rehabilitation and Healthcare Center</v>
      </c>
      <c r="K66" s="105">
        <f t="shared" si="7"/>
        <v>729165955.11000001</v>
      </c>
      <c r="L66" s="164">
        <f t="shared" si="1"/>
        <v>0.98772000000000004</v>
      </c>
      <c r="M66" s="105">
        <f t="shared" si="8"/>
        <v>720211797.17999995</v>
      </c>
      <c r="N66" s="105" t="e">
        <f>VLOOKUP(A66,'Rate Calculation'!$A$4:$DK$210,47,FALSE)</f>
        <v>#DIV/0!</v>
      </c>
      <c r="O66" s="106">
        <f>VLOOKUP(A66,'Rate Calculation'!$A$4:$DK$210,10,FALSE)</f>
        <v>1.0309999999999999</v>
      </c>
      <c r="P66" s="114">
        <f t="shared" si="2"/>
        <v>1.4432</v>
      </c>
      <c r="Q66" s="114">
        <f>VLOOKUP(A66,'CMI Data'!$A$3:$Z$209,7,FALSE)</f>
        <v>0</v>
      </c>
      <c r="R66" s="120" t="e">
        <f>+'CMI Data'!$I$214</f>
        <v>#DIV/0!</v>
      </c>
      <c r="S66" s="106">
        <f>IF(Q66=0,'CMI Data'!$I$213,ROUND(Q66*R66,4))</f>
        <v>1.4061999999999999</v>
      </c>
      <c r="T66" s="105">
        <f>VLOOKUP(A66,'Rate Calculation'!$A$4:$DK$210,16,FALSE)</f>
        <v>209.02</v>
      </c>
      <c r="U66" s="105">
        <f>VLOOKUP(A66,'Rate Calculation'!$A$4:$DK$210,20,FALSE)</f>
        <v>-34.79</v>
      </c>
      <c r="V66" s="113">
        <f t="shared" si="9"/>
        <v>-24.85</v>
      </c>
      <c r="W66" s="105">
        <f t="shared" si="10"/>
        <v>-33.89</v>
      </c>
      <c r="X66" s="111">
        <f t="shared" si="11"/>
        <v>0</v>
      </c>
      <c r="Y66" s="105">
        <f t="shared" si="12"/>
        <v>-33.89</v>
      </c>
      <c r="Z66" s="105">
        <f t="shared" si="13"/>
        <v>285.08999999999997</v>
      </c>
      <c r="AA66" s="105">
        <f t="shared" si="14"/>
        <v>-32.200000000000003</v>
      </c>
      <c r="AB66" s="111">
        <f t="shared" si="15"/>
        <v>-317.29000000000002</v>
      </c>
      <c r="AC66" s="105" t="e">
        <f t="shared" si="16"/>
        <v>#VALUE!</v>
      </c>
      <c r="AD66" s="105" t="e">
        <f t="shared" si="3"/>
        <v>#VALUE!</v>
      </c>
      <c r="AE66" s="105" t="e">
        <f t="shared" si="4"/>
        <v>#DIV/0!</v>
      </c>
      <c r="AF66" s="105" t="e">
        <f t="shared" si="17"/>
        <v>#VALUE!</v>
      </c>
      <c r="AG66" s="105" t="e">
        <f t="shared" si="5"/>
        <v>#VALUE!</v>
      </c>
      <c r="AH66" s="111"/>
      <c r="AI66" s="105"/>
      <c r="AJ66" s="105"/>
      <c r="AK66" s="109"/>
      <c r="AL66" s="109"/>
      <c r="AM66" s="109"/>
      <c r="AN66" s="109"/>
      <c r="AO66" s="105"/>
      <c r="AP66" s="105"/>
      <c r="AQ66" s="109"/>
      <c r="AR66" s="110"/>
      <c r="AS66" s="110"/>
      <c r="AT66" s="110"/>
      <c r="AU66" s="110"/>
      <c r="AV66" s="110"/>
      <c r="AW66" s="112"/>
      <c r="AX66" s="112"/>
      <c r="AY66" s="110"/>
      <c r="AZ66" s="105"/>
      <c r="BA66" s="105"/>
      <c r="BB66" s="105"/>
      <c r="BC66" s="105"/>
      <c r="BD66" s="105"/>
      <c r="BE66" s="105"/>
    </row>
    <row r="67" spans="1:57" x14ac:dyDescent="0.15">
      <c r="A67" s="101">
        <v>665</v>
      </c>
      <c r="B67" s="98" t="e">
        <f>VLOOKUP($A67,'Rate Calculation'!$A$4:$CS$210,68,FALSE)</f>
        <v>#REF!</v>
      </c>
      <c r="C67" s="98" t="str">
        <f>UPPER(VLOOKUP($A67,'Rate Calculation'!$A$4:$CL$210,69,FALSE))</f>
        <v>101060</v>
      </c>
      <c r="D67" s="104" t="str">
        <f>VLOOKUP($A67,'Rate Calculation'!$A$4:$AJ$210,5,FALSE)</f>
        <v>BALTIMORE METRO</v>
      </c>
      <c r="E67" s="104" t="str">
        <f>VLOOKUP($A67,'Rate Calculation'!$A$4:$AJ$210,6,FALSE)</f>
        <v>BALTIMORE METRO</v>
      </c>
      <c r="F67" s="105">
        <f>VLOOKUP(A67,'Rate Calculation'!$A$3:$AT$210,35,FALSE)</f>
        <v>23887</v>
      </c>
      <c r="G67" s="105">
        <f>VLOOKUP(A67,'Rate Calculation'!$A$3:$AT$210,30,FALSE)</f>
        <v>35502</v>
      </c>
      <c r="H67" s="105">
        <f>VLOOKUP(A67,'Rate Calculation'!$A$3:$AW$210,36,FALSE)+VLOOKUP(A67,'Rate Calculation'!$A$3:$CC$210,42,FALSE)</f>
        <v>882375064</v>
      </c>
      <c r="I67" s="105">
        <f t="shared" si="6"/>
        <v>0</v>
      </c>
      <c r="J67" s="105" t="str">
        <f>VLOOKUP(A67,'Rate Calculation'!$A$3:$BL$210,43,FALSE)</f>
        <v>Complete Care at Annapolis LLC</v>
      </c>
      <c r="K67" s="105">
        <f t="shared" si="7"/>
        <v>882434453</v>
      </c>
      <c r="L67" s="164">
        <f t="shared" ref="L67:L130" si="20">+_baf</f>
        <v>0.98772000000000004</v>
      </c>
      <c r="M67" s="105">
        <f t="shared" si="8"/>
        <v>871598157.91999996</v>
      </c>
      <c r="N67" s="105" t="e">
        <f>VLOOKUP(A67,'Rate Calculation'!$A$4:$DK$210,47,FALSE)</f>
        <v>#DIV/0!</v>
      </c>
      <c r="O67" s="106">
        <f>VLOOKUP(A67,'Rate Calculation'!$A$4:$DK$210,10,FALSE)</f>
        <v>1.0309999999999999</v>
      </c>
      <c r="P67" s="114">
        <f t="shared" ref="P67:P130" si="21">+SW_CR_CMI</f>
        <v>1.4432</v>
      </c>
      <c r="Q67" s="114">
        <f>VLOOKUP(A67,'CMI Data'!$A$3:$Z$209,7,FALSE)</f>
        <v>0</v>
      </c>
      <c r="R67" s="120" t="e">
        <f>+'CMI Data'!$I$214</f>
        <v>#DIV/0!</v>
      </c>
      <c r="S67" s="106">
        <f>IF(Q67=0,'CMI Data'!$I$213,ROUND(Q67*R67,4))</f>
        <v>1.4061999999999999</v>
      </c>
      <c r="T67" s="105">
        <f>VLOOKUP(A67,'Rate Calculation'!$A$4:$DK$210,16,FALSE)</f>
        <v>199.21</v>
      </c>
      <c r="U67" s="105">
        <f>VLOOKUP(A67,'Rate Calculation'!$A$4:$DK$210,20,FALSE)</f>
        <v>0</v>
      </c>
      <c r="V67" s="113">
        <f t="shared" si="9"/>
        <v>0</v>
      </c>
      <c r="W67" s="105">
        <f t="shared" si="10"/>
        <v>0</v>
      </c>
      <c r="X67" s="111">
        <f t="shared" ref="X67:X130" si="22">IF(O67="NA","NA",ROUND(MAX(0,AB67)*-1,2))</f>
        <v>0</v>
      </c>
      <c r="Y67" s="105">
        <f t="shared" si="12"/>
        <v>0</v>
      </c>
      <c r="Z67" s="105">
        <f t="shared" si="13"/>
        <v>271.70999999999998</v>
      </c>
      <c r="AA67" s="105">
        <f t="shared" si="14"/>
        <v>0</v>
      </c>
      <c r="AB67" s="111">
        <f t="shared" si="15"/>
        <v>-271.70999999999998</v>
      </c>
      <c r="AC67" s="105" t="e">
        <f t="shared" si="16"/>
        <v>#VALUE!</v>
      </c>
      <c r="AD67" s="105" t="e">
        <f t="shared" ref="AD67:AD130" si="23">+F67+G67+H67+J67</f>
        <v>#VALUE!</v>
      </c>
      <c r="AE67" s="105" t="e">
        <f t="shared" ref="AE67:AE130" si="24">+M67+N67</f>
        <v>#DIV/0!</v>
      </c>
      <c r="AF67" s="105" t="e">
        <f t="shared" ref="AF67:AF130" si="25">+AC67+N67</f>
        <v>#VALUE!</v>
      </c>
      <c r="AG67" s="105" t="e">
        <f t="shared" ref="AG67:AG130" si="26">+AD67+N67</f>
        <v>#VALUE!</v>
      </c>
      <c r="AH67" s="111"/>
      <c r="AI67" s="105"/>
      <c r="AJ67" s="105"/>
      <c r="AK67" s="109"/>
      <c r="AL67" s="109"/>
      <c r="AM67" s="109"/>
      <c r="AN67" s="109"/>
      <c r="AO67" s="105"/>
      <c r="AP67" s="105"/>
      <c r="AQ67" s="109"/>
      <c r="AR67" s="110"/>
      <c r="AS67" s="110"/>
      <c r="AT67" s="110"/>
      <c r="AU67" s="110"/>
      <c r="AV67" s="110"/>
      <c r="AW67" s="112"/>
      <c r="AX67" s="112"/>
      <c r="AY67" s="110"/>
      <c r="AZ67" s="105"/>
      <c r="BA67" s="105"/>
      <c r="BB67" s="105"/>
      <c r="BC67" s="105"/>
      <c r="BD67" s="105"/>
      <c r="BE67" s="105"/>
    </row>
    <row r="68" spans="1:57" x14ac:dyDescent="0.15">
      <c r="A68" s="101">
        <v>126</v>
      </c>
      <c r="B68" s="98" t="e">
        <f>VLOOKUP($A68,'Rate Calculation'!$A$4:$CS$210,68,FALSE)</f>
        <v>#REF!</v>
      </c>
      <c r="C68" s="98" t="str">
        <f>UPPER(VLOOKUP($A68,'Rate Calculation'!$A$4:$CL$210,69,FALSE))</f>
        <v>72879</v>
      </c>
      <c r="D68" s="104" t="str">
        <f>VLOOKUP($A68,'Rate Calculation'!$A$4:$AJ$210,5,FALSE)</f>
        <v>EASTERN REGION</v>
      </c>
      <c r="E68" s="104" t="str">
        <f>VLOOKUP($A68,'Rate Calculation'!$A$4:$AJ$210,6,FALSE)</f>
        <v>NON METRO</v>
      </c>
      <c r="F68" s="105">
        <f>VLOOKUP(A68,'Rate Calculation'!$A$3:$AT$210,35,FALSE)</f>
        <v>31375</v>
      </c>
      <c r="G68" s="105">
        <f>VLOOKUP(A68,'Rate Calculation'!$A$3:$AT$210,30,FALSE)</f>
        <v>43920</v>
      </c>
      <c r="H68" s="105">
        <f>VLOOKUP(A68,'Rate Calculation'!$A$3:$AW$210,36,FALSE)+VLOOKUP(A68,'Rate Calculation'!$A$3:$CC$210,42,FALSE)</f>
        <v>999388715</v>
      </c>
      <c r="I68" s="105">
        <f t="shared" ref="I68:I131" si="27">+Y68</f>
        <v>-4.8</v>
      </c>
      <c r="J68" s="105" t="str">
        <f>VLOOKUP(A68,'Rate Calculation'!$A$3:$BL$210,43,FALSE)</f>
        <v>Complete Care at Corsica Hills LLC</v>
      </c>
      <c r="K68" s="105">
        <f t="shared" si="7"/>
        <v>999464005.20000005</v>
      </c>
      <c r="L68" s="164">
        <f t="shared" si="20"/>
        <v>0.98772000000000004</v>
      </c>
      <c r="M68" s="105">
        <f t="shared" ref="M68:M131" si="28">ROUND(K68*L68,2)</f>
        <v>987190587.22000003</v>
      </c>
      <c r="N68" s="105" t="e">
        <f>VLOOKUP(A68,'Rate Calculation'!$A$4:$DK$210,47,FALSE)</f>
        <v>#DIV/0!</v>
      </c>
      <c r="O68" s="106">
        <f>VLOOKUP(A68,'Rate Calculation'!$A$4:$DK$210,10,FALSE)</f>
        <v>1.0309999999999999</v>
      </c>
      <c r="P68" s="114">
        <f t="shared" si="21"/>
        <v>1.4432</v>
      </c>
      <c r="Q68" s="114">
        <f>VLOOKUP(A68,'CMI Data'!$A$3:$Z$209,7,FALSE)</f>
        <v>0</v>
      </c>
      <c r="R68" s="120" t="e">
        <f>+'CMI Data'!$I$214</f>
        <v>#DIV/0!</v>
      </c>
      <c r="S68" s="106">
        <f>IF(Q68=0,'CMI Data'!$I$213,ROUND(Q68*R68,4))</f>
        <v>1.4061999999999999</v>
      </c>
      <c r="T68" s="105">
        <f>VLOOKUP(A68,'Rate Calculation'!$A$4:$DK$210,16,FALSE)</f>
        <v>178.34</v>
      </c>
      <c r="U68" s="105">
        <f>VLOOKUP(A68,'Rate Calculation'!$A$4:$DK$210,20,FALSE)</f>
        <v>-4.93</v>
      </c>
      <c r="V68" s="113">
        <f t="shared" ref="V68:V131" si="29">IF($O68="NA","NA",ROUND(U68*(O68/P68),2))</f>
        <v>-3.52</v>
      </c>
      <c r="W68" s="105">
        <f t="shared" ref="W68:W131" si="30">IF(O68="NA",ROUND(U68*S68,2),ROUND(V68*(S68/O68),2))</f>
        <v>-4.8</v>
      </c>
      <c r="X68" s="111">
        <f t="shared" si="22"/>
        <v>0</v>
      </c>
      <c r="Y68" s="105">
        <f t="shared" ref="Y68:Y131" si="31">IF(O68="NA", W68,W68+X68)</f>
        <v>-4.8</v>
      </c>
      <c r="Z68" s="105">
        <f t="shared" ref="Z68:Z131" si="32">IF(O68="NA","NA",ROUND(T68*(S68/O68),2))</f>
        <v>243.24</v>
      </c>
      <c r="AA68" s="105">
        <f t="shared" ref="AA68:AA131" si="33">IF(O68="NA","NA",ROUND(W68*0.95,2))</f>
        <v>-4.5599999999999996</v>
      </c>
      <c r="AB68" s="111">
        <f t="shared" ref="AB68:AB131" si="34">IF(O68="NA","NA",AA68-Z68)</f>
        <v>-247.8</v>
      </c>
      <c r="AC68" s="105" t="e">
        <f t="shared" ref="AC68:AC131" si="35">+F68+G68+H68+ROUND((I68*0.5),2)+J68</f>
        <v>#VALUE!</v>
      </c>
      <c r="AD68" s="105" t="e">
        <f t="shared" si="23"/>
        <v>#VALUE!</v>
      </c>
      <c r="AE68" s="105" t="e">
        <f t="shared" si="24"/>
        <v>#DIV/0!</v>
      </c>
      <c r="AF68" s="105" t="e">
        <f t="shared" si="25"/>
        <v>#VALUE!</v>
      </c>
      <c r="AG68" s="105" t="e">
        <f t="shared" si="26"/>
        <v>#VALUE!</v>
      </c>
      <c r="AH68" s="111"/>
      <c r="AI68" s="105"/>
      <c r="AJ68" s="105"/>
      <c r="AK68" s="109"/>
      <c r="AL68" s="109"/>
      <c r="AM68" s="109"/>
      <c r="AN68" s="109"/>
      <c r="AO68" s="105"/>
      <c r="AP68" s="105"/>
      <c r="AQ68" s="109"/>
      <c r="AR68" s="110"/>
      <c r="AS68" s="110"/>
      <c r="AT68" s="110"/>
      <c r="AU68" s="110"/>
      <c r="AV68" s="110"/>
      <c r="AW68" s="112"/>
      <c r="AX68" s="112"/>
      <c r="AY68" s="110"/>
      <c r="AZ68" s="105"/>
      <c r="BA68" s="105"/>
      <c r="BB68" s="105"/>
      <c r="BC68" s="105"/>
      <c r="BD68" s="105"/>
      <c r="BE68" s="105"/>
    </row>
    <row r="69" spans="1:57" x14ac:dyDescent="0.15">
      <c r="A69" s="101">
        <v>48</v>
      </c>
      <c r="B69" s="98" t="e">
        <f>VLOOKUP($A69,'Rate Calculation'!$A$4:$CS$210,68,FALSE)</f>
        <v>#REF!</v>
      </c>
      <c r="C69" s="98" t="str">
        <f>UPPER(VLOOKUP($A69,'Rate Calculation'!$A$4:$CL$210,69,FALSE))</f>
        <v>91423</v>
      </c>
      <c r="D69" s="104" t="str">
        <f>VLOOKUP($A69,'Rate Calculation'!$A$4:$AJ$210,5,FALSE)</f>
        <v>WESTERN REGION</v>
      </c>
      <c r="E69" s="104" t="str">
        <f>VLOOKUP($A69,'Rate Calculation'!$A$4:$AJ$210,6,FALSE)</f>
        <v>NON METRO</v>
      </c>
      <c r="F69" s="105">
        <f>VLOOKUP(A69,'Rate Calculation'!$A$3:$AT$210,35,FALSE)</f>
        <v>22255</v>
      </c>
      <c r="G69" s="105">
        <f>VLOOKUP(A69,'Rate Calculation'!$A$3:$AT$210,30,FALSE)</f>
        <v>62952</v>
      </c>
      <c r="H69" s="105">
        <f>VLOOKUP(A69,'Rate Calculation'!$A$3:$AW$210,36,FALSE)+VLOOKUP(A69,'Rate Calculation'!$A$3:$CC$210,42,FALSE)</f>
        <v>882378648</v>
      </c>
      <c r="I69" s="105">
        <f t="shared" si="27"/>
        <v>0</v>
      </c>
      <c r="J69" s="105" t="str">
        <f>VLOOKUP(A69,'Rate Calculation'!$A$3:$BL$210,43,FALSE)</f>
        <v>Complete Care at Hagerstown LLC</v>
      </c>
      <c r="K69" s="105">
        <f t="shared" ref="K69:K132" si="36">SUM(F69:J69)</f>
        <v>882463855</v>
      </c>
      <c r="L69" s="164">
        <f t="shared" si="20"/>
        <v>0.98772000000000004</v>
      </c>
      <c r="M69" s="105">
        <f t="shared" si="28"/>
        <v>871627198.86000001</v>
      </c>
      <c r="N69" s="105" t="e">
        <f>VLOOKUP(A69,'Rate Calculation'!$A$4:$DK$210,47,FALSE)</f>
        <v>#DIV/0!</v>
      </c>
      <c r="O69" s="106">
        <f>VLOOKUP(A69,'Rate Calculation'!$A$4:$DK$210,10,FALSE)</f>
        <v>1.0309999999999999</v>
      </c>
      <c r="P69" s="114">
        <f t="shared" si="21"/>
        <v>1.4432</v>
      </c>
      <c r="Q69" s="114">
        <f>VLOOKUP(A69,'CMI Data'!$A$3:$Z$209,7,FALSE)</f>
        <v>0</v>
      </c>
      <c r="R69" s="120" t="e">
        <f>+'CMI Data'!$I$214</f>
        <v>#DIV/0!</v>
      </c>
      <c r="S69" s="106">
        <f>IF(Q69=0,'CMI Data'!$I$213,ROUND(Q69*R69,4))</f>
        <v>1.4061999999999999</v>
      </c>
      <c r="T69" s="105">
        <f>VLOOKUP(A69,'Rate Calculation'!$A$4:$DK$210,16,FALSE)</f>
        <v>186.02</v>
      </c>
      <c r="U69" s="105">
        <f>VLOOKUP(A69,'Rate Calculation'!$A$4:$DK$210,20,FALSE)</f>
        <v>0</v>
      </c>
      <c r="V69" s="113">
        <f t="shared" si="29"/>
        <v>0</v>
      </c>
      <c r="W69" s="105">
        <f t="shared" si="30"/>
        <v>0</v>
      </c>
      <c r="X69" s="111">
        <f t="shared" si="22"/>
        <v>0</v>
      </c>
      <c r="Y69" s="105">
        <f t="shared" si="31"/>
        <v>0</v>
      </c>
      <c r="Z69" s="105">
        <f t="shared" si="32"/>
        <v>253.72</v>
      </c>
      <c r="AA69" s="105">
        <f t="shared" si="33"/>
        <v>0</v>
      </c>
      <c r="AB69" s="111">
        <f t="shared" si="34"/>
        <v>-253.72</v>
      </c>
      <c r="AC69" s="105" t="e">
        <f t="shared" si="35"/>
        <v>#VALUE!</v>
      </c>
      <c r="AD69" s="105" t="e">
        <f t="shared" si="23"/>
        <v>#VALUE!</v>
      </c>
      <c r="AE69" s="105" t="e">
        <f t="shared" si="24"/>
        <v>#DIV/0!</v>
      </c>
      <c r="AF69" s="105" t="e">
        <f t="shared" si="25"/>
        <v>#VALUE!</v>
      </c>
      <c r="AG69" s="105" t="e">
        <f t="shared" si="26"/>
        <v>#VALUE!</v>
      </c>
      <c r="AH69" s="111"/>
      <c r="AI69" s="105"/>
      <c r="AJ69" s="105"/>
      <c r="AK69" s="109"/>
      <c r="AL69" s="109"/>
      <c r="AM69" s="109"/>
      <c r="AN69" s="109"/>
      <c r="AO69" s="105"/>
      <c r="AP69" s="105"/>
      <c r="AQ69" s="109"/>
      <c r="AR69" s="110"/>
      <c r="AS69" s="110"/>
      <c r="AT69" s="110"/>
      <c r="AU69" s="110"/>
      <c r="AV69" s="110"/>
      <c r="AW69" s="112"/>
      <c r="AX69" s="112"/>
      <c r="AY69" s="110"/>
      <c r="AZ69" s="105"/>
      <c r="BA69" s="105"/>
      <c r="BB69" s="105"/>
      <c r="BC69" s="105"/>
      <c r="BD69" s="105"/>
      <c r="BE69" s="105"/>
    </row>
    <row r="70" spans="1:57" x14ac:dyDescent="0.15">
      <c r="A70" s="101">
        <v>232</v>
      </c>
      <c r="B70" s="98" t="e">
        <f>VLOOKUP($A70,'Rate Calculation'!$A$4:$CS$210,68,FALSE)</f>
        <v>#REF!</v>
      </c>
      <c r="C70" s="98" t="str">
        <f>UPPER(VLOOKUP($A70,'Rate Calculation'!$A$4:$CL$210,69,FALSE))</f>
        <v>56927</v>
      </c>
      <c r="D70" s="104" t="str">
        <f>VLOOKUP($A70,'Rate Calculation'!$A$4:$AJ$210,5,FALSE)</f>
        <v>BALTIMORE METRO</v>
      </c>
      <c r="E70" s="104" t="str">
        <f>VLOOKUP($A70,'Rate Calculation'!$A$4:$AJ$210,6,FALSE)</f>
        <v>BALTIMORE METRO</v>
      </c>
      <c r="F70" s="105">
        <f>VLOOKUP(A70,'Rate Calculation'!$A$3:$AT$210,35,FALSE)</f>
        <v>44324</v>
      </c>
      <c r="G70" s="105">
        <f>VLOOKUP(A70,'Rate Calculation'!$A$3:$AT$210,30,FALSE)</f>
        <v>64782</v>
      </c>
      <c r="H70" s="105">
        <f>VLOOKUP(A70,'Rate Calculation'!$A$3:$AW$210,36,FALSE)+VLOOKUP(A70,'Rate Calculation'!$A$3:$CC$210,42,FALSE)</f>
        <v>999418833</v>
      </c>
      <c r="I70" s="105">
        <f t="shared" si="27"/>
        <v>-28.51</v>
      </c>
      <c r="J70" s="105" t="str">
        <f>VLOOKUP(A70,'Rate Calculation'!$A$3:$BL$210,43,FALSE)</f>
        <v>Complete Care at Heritage, LLC</v>
      </c>
      <c r="K70" s="105">
        <f t="shared" si="36"/>
        <v>999527910.49000001</v>
      </c>
      <c r="L70" s="164">
        <f t="shared" si="20"/>
        <v>0.98772000000000004</v>
      </c>
      <c r="M70" s="105">
        <f t="shared" si="28"/>
        <v>987253707.75</v>
      </c>
      <c r="N70" s="105" t="e">
        <f>VLOOKUP(A70,'Rate Calculation'!$A$4:$DK$210,47,FALSE)</f>
        <v>#DIV/0!</v>
      </c>
      <c r="O70" s="106">
        <f>VLOOKUP(A70,'Rate Calculation'!$A$4:$DK$210,10,FALSE)</f>
        <v>1.0309999999999999</v>
      </c>
      <c r="P70" s="114">
        <f t="shared" si="21"/>
        <v>1.4432</v>
      </c>
      <c r="Q70" s="114">
        <f>VLOOKUP(A70,'CMI Data'!$A$3:$Z$209,7,FALSE)</f>
        <v>0</v>
      </c>
      <c r="R70" s="120" t="e">
        <f>+'CMI Data'!$I$214</f>
        <v>#DIV/0!</v>
      </c>
      <c r="S70" s="106">
        <f>IF(Q70=0,'CMI Data'!$I$213,ROUND(Q70*R70,4))</f>
        <v>1.4061999999999999</v>
      </c>
      <c r="T70" s="105">
        <f>VLOOKUP(A70,'Rate Calculation'!$A$4:$DK$210,16,FALSE)</f>
        <v>188.15</v>
      </c>
      <c r="U70" s="105">
        <f>VLOOKUP(A70,'Rate Calculation'!$A$4:$DK$210,20,FALSE)</f>
        <v>-29.26</v>
      </c>
      <c r="V70" s="113">
        <f t="shared" si="29"/>
        <v>-20.9</v>
      </c>
      <c r="W70" s="105">
        <f t="shared" si="30"/>
        <v>-28.51</v>
      </c>
      <c r="X70" s="111">
        <f t="shared" si="22"/>
        <v>0</v>
      </c>
      <c r="Y70" s="105">
        <f t="shared" si="31"/>
        <v>-28.51</v>
      </c>
      <c r="Z70" s="105">
        <f t="shared" si="32"/>
        <v>256.62</v>
      </c>
      <c r="AA70" s="105">
        <f t="shared" si="33"/>
        <v>-27.08</v>
      </c>
      <c r="AB70" s="111">
        <f t="shared" si="34"/>
        <v>-283.7</v>
      </c>
      <c r="AC70" s="105" t="e">
        <f t="shared" si="35"/>
        <v>#VALUE!</v>
      </c>
      <c r="AD70" s="105" t="e">
        <f t="shared" si="23"/>
        <v>#VALUE!</v>
      </c>
      <c r="AE70" s="105" t="e">
        <f t="shared" si="24"/>
        <v>#DIV/0!</v>
      </c>
      <c r="AF70" s="105" t="e">
        <f t="shared" si="25"/>
        <v>#VALUE!</v>
      </c>
      <c r="AG70" s="105" t="e">
        <f t="shared" si="26"/>
        <v>#VALUE!</v>
      </c>
      <c r="AH70" s="111"/>
      <c r="AI70" s="105"/>
      <c r="AJ70" s="105"/>
      <c r="AK70" s="109"/>
      <c r="AL70" s="109"/>
      <c r="AM70" s="109"/>
      <c r="AN70" s="109"/>
      <c r="AO70" s="105"/>
      <c r="AP70" s="105"/>
      <c r="AQ70" s="109"/>
      <c r="AR70" s="110"/>
      <c r="AS70" s="110"/>
      <c r="AT70" s="110"/>
      <c r="AU70" s="110"/>
      <c r="AV70" s="110"/>
      <c r="AW70" s="112"/>
      <c r="AX70" s="112"/>
      <c r="AY70" s="110"/>
      <c r="AZ70" s="105"/>
      <c r="BA70" s="105"/>
      <c r="BB70" s="105"/>
      <c r="BC70" s="105"/>
      <c r="BD70" s="105"/>
      <c r="BE70" s="105"/>
    </row>
    <row r="71" spans="1:57" x14ac:dyDescent="0.15">
      <c r="A71" s="101">
        <v>735</v>
      </c>
      <c r="B71" s="98" t="e">
        <f>VLOOKUP($A71,'Rate Calculation'!$A$4:$CS$210,68,FALSE)</f>
        <v>#REF!</v>
      </c>
      <c r="C71" s="98" t="str">
        <f>UPPER(VLOOKUP($A71,'Rate Calculation'!$A$4:$CL$210,69,FALSE))</f>
        <v>409948</v>
      </c>
      <c r="D71" s="104" t="str">
        <f>VLOOKUP($A71,'Rate Calculation'!$A$4:$AJ$210,5,FALSE)</f>
        <v>WASHINGTON METRO</v>
      </c>
      <c r="E71" s="104" t="str">
        <f>VLOOKUP($A71,'Rate Calculation'!$A$4:$AJ$210,6,FALSE)</f>
        <v>WASHINGTON METRO</v>
      </c>
      <c r="F71" s="105">
        <f>VLOOKUP(A71,'Rate Calculation'!$A$3:$AT$210,35,FALSE)</f>
        <v>82314</v>
      </c>
      <c r="G71" s="105">
        <f>VLOOKUP(A71,'Rate Calculation'!$A$3:$AT$210,30,FALSE)</f>
        <v>102480</v>
      </c>
      <c r="H71" s="105">
        <f>VLOOKUP(A71,'Rate Calculation'!$A$3:$AW$210,36,FALSE)+VLOOKUP(A71,'Rate Calculation'!$A$3:$CC$210,42,FALSE)</f>
        <v>882444392</v>
      </c>
      <c r="I71" s="105">
        <f t="shared" si="27"/>
        <v>-8.35</v>
      </c>
      <c r="J71" s="105" t="str">
        <f>VLOOKUP(A71,'Rate Calculation'!$A$3:$BL$210,43,FALSE)</f>
        <v>Complete Care at Hyattsville LLC</v>
      </c>
      <c r="K71" s="105">
        <f t="shared" si="36"/>
        <v>882629177.64999998</v>
      </c>
      <c r="L71" s="164">
        <f t="shared" si="20"/>
        <v>0.98772000000000004</v>
      </c>
      <c r="M71" s="105">
        <f t="shared" si="28"/>
        <v>871790491.35000002</v>
      </c>
      <c r="N71" s="105" t="e">
        <f>VLOOKUP(A71,'Rate Calculation'!$A$4:$DK$210,47,FALSE)</f>
        <v>#DIV/0!</v>
      </c>
      <c r="O71" s="106">
        <f>VLOOKUP(A71,'Rate Calculation'!$A$4:$DK$210,10,FALSE)</f>
        <v>1.0309999999999999</v>
      </c>
      <c r="P71" s="114">
        <f t="shared" si="21"/>
        <v>1.4432</v>
      </c>
      <c r="Q71" s="114">
        <f>VLOOKUP(A71,'CMI Data'!$A$3:$Z$209,7,FALSE)</f>
        <v>0</v>
      </c>
      <c r="R71" s="120" t="e">
        <f>+'CMI Data'!$I$214</f>
        <v>#DIV/0!</v>
      </c>
      <c r="S71" s="106">
        <f>IF(Q71=0,'CMI Data'!$I$213,ROUND(Q71*R71,4))</f>
        <v>1.4061999999999999</v>
      </c>
      <c r="T71" s="105">
        <f>VLOOKUP(A71,'Rate Calculation'!$A$4:$DK$210,16,FALSE)</f>
        <v>163.47999999999999</v>
      </c>
      <c r="U71" s="105">
        <f>VLOOKUP(A71,'Rate Calculation'!$A$4:$DK$210,20,FALSE)</f>
        <v>-8.56</v>
      </c>
      <c r="V71" s="113">
        <f t="shared" si="29"/>
        <v>-6.12</v>
      </c>
      <c r="W71" s="105">
        <f t="shared" si="30"/>
        <v>-8.35</v>
      </c>
      <c r="X71" s="111">
        <f t="shared" si="22"/>
        <v>0</v>
      </c>
      <c r="Y71" s="105">
        <f t="shared" si="31"/>
        <v>-8.35</v>
      </c>
      <c r="Z71" s="105">
        <f t="shared" si="32"/>
        <v>222.97</v>
      </c>
      <c r="AA71" s="105">
        <f t="shared" si="33"/>
        <v>-7.93</v>
      </c>
      <c r="AB71" s="111">
        <f t="shared" si="34"/>
        <v>-230.9</v>
      </c>
      <c r="AC71" s="105" t="e">
        <f t="shared" si="35"/>
        <v>#VALUE!</v>
      </c>
      <c r="AD71" s="105" t="e">
        <f t="shared" si="23"/>
        <v>#VALUE!</v>
      </c>
      <c r="AE71" s="105" t="e">
        <f t="shared" si="24"/>
        <v>#DIV/0!</v>
      </c>
      <c r="AF71" s="105" t="e">
        <f t="shared" si="25"/>
        <v>#VALUE!</v>
      </c>
      <c r="AG71" s="105" t="e">
        <f t="shared" si="26"/>
        <v>#VALUE!</v>
      </c>
      <c r="AH71" s="111"/>
      <c r="AI71" s="105"/>
      <c r="AJ71" s="105"/>
      <c r="AK71" s="109"/>
      <c r="AL71" s="109"/>
      <c r="AM71" s="109"/>
      <c r="AN71" s="109"/>
      <c r="AO71" s="105"/>
      <c r="AP71" s="105"/>
      <c r="AQ71" s="109"/>
      <c r="AR71" s="110"/>
      <c r="AS71" s="110"/>
      <c r="AT71" s="110"/>
      <c r="AU71" s="110"/>
      <c r="AV71" s="110"/>
      <c r="AW71" s="112"/>
      <c r="AX71" s="112"/>
      <c r="AY71" s="110"/>
      <c r="AZ71" s="105"/>
      <c r="BA71" s="105"/>
      <c r="BB71" s="105"/>
      <c r="BC71" s="105"/>
      <c r="BD71" s="105"/>
      <c r="BE71" s="105"/>
    </row>
    <row r="72" spans="1:57" x14ac:dyDescent="0.15">
      <c r="A72" s="101">
        <v>262</v>
      </c>
      <c r="B72" s="98" t="e">
        <f>VLOOKUP($A72,'Rate Calculation'!$A$4:$CS$210,68,FALSE)</f>
        <v>#REF!</v>
      </c>
      <c r="C72" s="98" t="str">
        <f>UPPER(VLOOKUP($A72,'Rate Calculation'!$A$4:$CL$210,69,FALSE))</f>
        <v>152491</v>
      </c>
      <c r="D72" s="104" t="str">
        <f>VLOOKUP($A72,'Rate Calculation'!$A$4:$AJ$210,5,FALSE)</f>
        <v>WASHINGTON METRO</v>
      </c>
      <c r="E72" s="104" t="str">
        <f>VLOOKUP($A72,'Rate Calculation'!$A$4:$AJ$210,6,FALSE)</f>
        <v>WASHINGTON METRO</v>
      </c>
      <c r="F72" s="105">
        <f>VLOOKUP(A72,'Rate Calculation'!$A$3:$AT$210,35,FALSE)</f>
        <v>41939</v>
      </c>
      <c r="G72" s="105">
        <f>VLOOKUP(A72,'Rate Calculation'!$A$3:$AT$210,30,FALSE)</f>
        <v>51972</v>
      </c>
      <c r="H72" s="105">
        <f>VLOOKUP(A72,'Rate Calculation'!$A$3:$AW$210,36,FALSE)+VLOOKUP(A72,'Rate Calculation'!$A$3:$CC$210,42,FALSE)</f>
        <v>999437154</v>
      </c>
      <c r="I72" s="105">
        <f t="shared" si="27"/>
        <v>-10.27</v>
      </c>
      <c r="J72" s="105" t="str">
        <f>VLOOKUP(A72,'Rate Calculation'!$A$3:$BL$210,43,FALSE)</f>
        <v>Complete Care at La Plata, LLC</v>
      </c>
      <c r="K72" s="105">
        <f t="shared" si="36"/>
        <v>999531054.73000002</v>
      </c>
      <c r="L72" s="164">
        <f t="shared" si="20"/>
        <v>0.98772000000000004</v>
      </c>
      <c r="M72" s="105">
        <f t="shared" si="28"/>
        <v>987256813.38</v>
      </c>
      <c r="N72" s="105" t="e">
        <f>VLOOKUP(A72,'Rate Calculation'!$A$4:$DK$210,47,FALSE)</f>
        <v>#DIV/0!</v>
      </c>
      <c r="O72" s="106">
        <f>VLOOKUP(A72,'Rate Calculation'!$A$4:$DK$210,10,FALSE)</f>
        <v>1.0309999999999999</v>
      </c>
      <c r="P72" s="114">
        <f t="shared" si="21"/>
        <v>1.4432</v>
      </c>
      <c r="Q72" s="114">
        <f>VLOOKUP(A72,'CMI Data'!$A$3:$Z$209,7,FALSE)</f>
        <v>0</v>
      </c>
      <c r="R72" s="120" t="e">
        <f>+'CMI Data'!$I$214</f>
        <v>#DIV/0!</v>
      </c>
      <c r="S72" s="106">
        <f>IF(Q72=0,'CMI Data'!$I$213,ROUND(Q72*R72,4))</f>
        <v>1.4061999999999999</v>
      </c>
      <c r="T72" s="105">
        <f>VLOOKUP(A72,'Rate Calculation'!$A$4:$DK$210,16,FALSE)</f>
        <v>164.26</v>
      </c>
      <c r="U72" s="105">
        <f>VLOOKUP(A72,'Rate Calculation'!$A$4:$DK$210,20,FALSE)</f>
        <v>-10.54</v>
      </c>
      <c r="V72" s="113">
        <f t="shared" si="29"/>
        <v>-7.53</v>
      </c>
      <c r="W72" s="105">
        <f t="shared" si="30"/>
        <v>-10.27</v>
      </c>
      <c r="X72" s="111">
        <f t="shared" si="22"/>
        <v>0</v>
      </c>
      <c r="Y72" s="105">
        <f t="shared" si="31"/>
        <v>-10.27</v>
      </c>
      <c r="Z72" s="105">
        <f t="shared" si="32"/>
        <v>224.04</v>
      </c>
      <c r="AA72" s="105">
        <f t="shared" si="33"/>
        <v>-9.76</v>
      </c>
      <c r="AB72" s="111">
        <f t="shared" si="34"/>
        <v>-233.8</v>
      </c>
      <c r="AC72" s="105" t="e">
        <f t="shared" si="35"/>
        <v>#VALUE!</v>
      </c>
      <c r="AD72" s="105" t="e">
        <f t="shared" si="23"/>
        <v>#VALUE!</v>
      </c>
      <c r="AE72" s="105" t="e">
        <f t="shared" si="24"/>
        <v>#DIV/0!</v>
      </c>
      <c r="AF72" s="105" t="e">
        <f t="shared" si="25"/>
        <v>#VALUE!</v>
      </c>
      <c r="AG72" s="105" t="e">
        <f t="shared" si="26"/>
        <v>#VALUE!</v>
      </c>
      <c r="AH72" s="111"/>
      <c r="AI72" s="105"/>
      <c r="AJ72" s="105"/>
      <c r="AK72" s="109"/>
      <c r="AL72" s="109"/>
      <c r="AM72" s="109"/>
      <c r="AN72" s="109"/>
      <c r="AO72" s="105"/>
      <c r="AP72" s="105"/>
      <c r="AQ72" s="109"/>
      <c r="AR72" s="110"/>
      <c r="AS72" s="110"/>
      <c r="AT72" s="110"/>
      <c r="AU72" s="110"/>
      <c r="AV72" s="110"/>
      <c r="AW72" s="112"/>
      <c r="AX72" s="112"/>
      <c r="AY72" s="110"/>
      <c r="AZ72" s="105"/>
      <c r="BA72" s="105"/>
      <c r="BB72" s="105"/>
      <c r="BC72" s="105"/>
      <c r="BD72" s="105"/>
      <c r="BE72" s="105"/>
    </row>
    <row r="73" spans="1:57" x14ac:dyDescent="0.15">
      <c r="A73" s="101">
        <v>342</v>
      </c>
      <c r="B73" s="98" t="e">
        <f>VLOOKUP($A73,'Rate Calculation'!$A$4:$CS$210,68,FALSE)</f>
        <v>#REF!</v>
      </c>
      <c r="C73" s="98" t="str">
        <f>UPPER(VLOOKUP($A73,'Rate Calculation'!$A$4:$CL$210,69,FALSE))</f>
        <v>69654</v>
      </c>
      <c r="D73" s="104" t="str">
        <f>VLOOKUP($A73,'Rate Calculation'!$A$4:$AJ$210,5,FALSE)</f>
        <v>BALTIMORE METRO</v>
      </c>
      <c r="E73" s="104" t="str">
        <f>VLOOKUP($A73,'Rate Calculation'!$A$4:$AJ$210,6,FALSE)</f>
        <v>BALTIMORE METRO</v>
      </c>
      <c r="F73" s="105">
        <f>VLOOKUP(A73,'Rate Calculation'!$A$3:$AT$210,35,FALSE)</f>
        <v>23965</v>
      </c>
      <c r="G73" s="105">
        <f>VLOOKUP(A73,'Rate Calculation'!$A$3:$AT$210,30,FALSE)</f>
        <v>43188</v>
      </c>
      <c r="H73" s="105">
        <f>VLOOKUP(A73,'Rate Calculation'!$A$3:$AW$210,36,FALSE)+VLOOKUP(A73,'Rate Calculation'!$A$3:$CC$210,42,FALSE)</f>
        <v>999715404</v>
      </c>
      <c r="I73" s="105">
        <f t="shared" si="27"/>
        <v>0</v>
      </c>
      <c r="J73" s="105" t="str">
        <f>VLOOKUP(A73,'Rate Calculation'!$A$3:$BL$210,43,FALSE)</f>
        <v>Complete Care at Multi Medical Center, LLC</v>
      </c>
      <c r="K73" s="105">
        <f t="shared" si="36"/>
        <v>999782557</v>
      </c>
      <c r="L73" s="164">
        <f t="shared" si="20"/>
        <v>0.98772000000000004</v>
      </c>
      <c r="M73" s="105">
        <f t="shared" si="28"/>
        <v>987505227.20000005</v>
      </c>
      <c r="N73" s="105" t="e">
        <f>VLOOKUP(A73,'Rate Calculation'!$A$4:$DK$210,47,FALSE)</f>
        <v>#DIV/0!</v>
      </c>
      <c r="O73" s="106">
        <f>VLOOKUP(A73,'Rate Calculation'!$A$4:$DK$210,10,FALSE)</f>
        <v>1.0309999999999999</v>
      </c>
      <c r="P73" s="114">
        <f t="shared" si="21"/>
        <v>1.4432</v>
      </c>
      <c r="Q73" s="114">
        <f>VLOOKUP(A73,'CMI Data'!$A$3:$Z$209,7,FALSE)</f>
        <v>0</v>
      </c>
      <c r="R73" s="120" t="e">
        <f>+'CMI Data'!$I$214</f>
        <v>#DIV/0!</v>
      </c>
      <c r="S73" s="106">
        <f>IF(Q73=0,'CMI Data'!$I$213,ROUND(Q73*R73,4))</f>
        <v>1.4061999999999999</v>
      </c>
      <c r="T73" s="105">
        <f>VLOOKUP(A73,'Rate Calculation'!$A$4:$DK$210,16,FALSE)</f>
        <v>189.53</v>
      </c>
      <c r="U73" s="105">
        <f>VLOOKUP(A73,'Rate Calculation'!$A$4:$DK$210,20,FALSE)</f>
        <v>0</v>
      </c>
      <c r="V73" s="113">
        <f t="shared" si="29"/>
        <v>0</v>
      </c>
      <c r="W73" s="105">
        <f t="shared" si="30"/>
        <v>0</v>
      </c>
      <c r="X73" s="111">
        <f t="shared" si="22"/>
        <v>0</v>
      </c>
      <c r="Y73" s="105">
        <f t="shared" si="31"/>
        <v>0</v>
      </c>
      <c r="Z73" s="105">
        <f t="shared" si="32"/>
        <v>258.5</v>
      </c>
      <c r="AA73" s="105">
        <f t="shared" si="33"/>
        <v>0</v>
      </c>
      <c r="AB73" s="111">
        <f t="shared" si="34"/>
        <v>-258.5</v>
      </c>
      <c r="AC73" s="105" t="e">
        <f t="shared" si="35"/>
        <v>#VALUE!</v>
      </c>
      <c r="AD73" s="105" t="e">
        <f t="shared" si="23"/>
        <v>#VALUE!</v>
      </c>
      <c r="AE73" s="105" t="e">
        <f t="shared" si="24"/>
        <v>#DIV/0!</v>
      </c>
      <c r="AF73" s="105" t="e">
        <f t="shared" si="25"/>
        <v>#VALUE!</v>
      </c>
      <c r="AG73" s="105" t="e">
        <f t="shared" si="26"/>
        <v>#VALUE!</v>
      </c>
      <c r="AH73" s="111"/>
      <c r="AI73" s="105"/>
      <c r="AJ73" s="105"/>
      <c r="AK73" s="109"/>
      <c r="AL73" s="109"/>
      <c r="AM73" s="109"/>
      <c r="AN73" s="109"/>
      <c r="AO73" s="105"/>
      <c r="AP73" s="105"/>
      <c r="AQ73" s="109"/>
      <c r="AR73" s="110"/>
      <c r="AS73" s="110"/>
      <c r="AT73" s="110"/>
      <c r="AU73" s="110"/>
      <c r="AV73" s="110"/>
      <c r="AW73" s="112"/>
      <c r="AX73" s="112"/>
      <c r="AY73" s="110"/>
      <c r="AZ73" s="105"/>
      <c r="BA73" s="105"/>
      <c r="BB73" s="105"/>
      <c r="BC73" s="105"/>
      <c r="BD73" s="105"/>
      <c r="BE73" s="105"/>
    </row>
    <row r="74" spans="1:57" x14ac:dyDescent="0.15">
      <c r="A74" s="101">
        <v>400</v>
      </c>
      <c r="B74" s="98" t="e">
        <f>VLOOKUP($A74,'Rate Calculation'!$A$4:$CS$210,68,FALSE)</f>
        <v>#REF!</v>
      </c>
      <c r="C74" s="98" t="str">
        <f>UPPER(VLOOKUP($A74,'Rate Calculation'!$A$4:$CL$210,69,FALSE))</f>
        <v>67874</v>
      </c>
      <c r="D74" s="104" t="str">
        <f>VLOOKUP($A74,'Rate Calculation'!$A$4:$AJ$210,5,FALSE)</f>
        <v>BALTIMORE METRO</v>
      </c>
      <c r="E74" s="104" t="str">
        <f>VLOOKUP($A74,'Rate Calculation'!$A$4:$AJ$210,6,FALSE)</f>
        <v>BALTIMORE METRO</v>
      </c>
      <c r="F74" s="105">
        <f>VLOOKUP(A74,'Rate Calculation'!$A$3:$AT$210,35,FALSE)</f>
        <v>37555</v>
      </c>
      <c r="G74" s="105">
        <f>VLOOKUP(A74,'Rate Calculation'!$A$3:$AT$210,30,FALSE)</f>
        <v>50508</v>
      </c>
      <c r="H74" s="105">
        <f>VLOOKUP(A74,'Rate Calculation'!$A$3:$AW$210,36,FALSE)+VLOOKUP(A74,'Rate Calculation'!$A$3:$CC$210,42,FALSE)</f>
        <v>502638906</v>
      </c>
      <c r="I74" s="105">
        <f t="shared" si="27"/>
        <v>-5.31</v>
      </c>
      <c r="J74" s="105" t="str">
        <f>VLOOKUP(A74,'Rate Calculation'!$A$3:$BL$210,43,FALSE)</f>
        <v>Complete Care at Severna Park, LLC</v>
      </c>
      <c r="K74" s="105">
        <f t="shared" si="36"/>
        <v>502726963.69</v>
      </c>
      <c r="L74" s="164">
        <f t="shared" si="20"/>
        <v>0.98772000000000004</v>
      </c>
      <c r="M74" s="105">
        <f t="shared" si="28"/>
        <v>496553476.57999998</v>
      </c>
      <c r="N74" s="105" t="e">
        <f>VLOOKUP(A74,'Rate Calculation'!$A$4:$DK$210,47,FALSE)</f>
        <v>#DIV/0!</v>
      </c>
      <c r="O74" s="106">
        <f>VLOOKUP(A74,'Rate Calculation'!$A$4:$DK$210,10,FALSE)</f>
        <v>1.0309999999999999</v>
      </c>
      <c r="P74" s="114">
        <f t="shared" si="21"/>
        <v>1.4432</v>
      </c>
      <c r="Q74" s="114">
        <f>VLOOKUP(A74,'CMI Data'!$A$3:$Z$209,7,FALSE)</f>
        <v>0</v>
      </c>
      <c r="R74" s="120" t="e">
        <f>+'CMI Data'!$I$214</f>
        <v>#DIV/0!</v>
      </c>
      <c r="S74" s="106">
        <f>IF(Q74=0,'CMI Data'!$I$213,ROUND(Q74*R74,4))</f>
        <v>1.4061999999999999</v>
      </c>
      <c r="T74" s="105">
        <f>VLOOKUP(A74,'Rate Calculation'!$A$4:$DK$210,16,FALSE)</f>
        <v>188.96</v>
      </c>
      <c r="U74" s="105">
        <f>VLOOKUP(A74,'Rate Calculation'!$A$4:$DK$210,20,FALSE)</f>
        <v>-5.44</v>
      </c>
      <c r="V74" s="113">
        <f t="shared" si="29"/>
        <v>-3.89</v>
      </c>
      <c r="W74" s="105">
        <f t="shared" si="30"/>
        <v>-5.31</v>
      </c>
      <c r="X74" s="111">
        <f t="shared" si="22"/>
        <v>0</v>
      </c>
      <c r="Y74" s="105">
        <f t="shared" si="31"/>
        <v>-5.31</v>
      </c>
      <c r="Z74" s="105">
        <f t="shared" si="32"/>
        <v>257.73</v>
      </c>
      <c r="AA74" s="105">
        <f t="shared" si="33"/>
        <v>-5.04</v>
      </c>
      <c r="AB74" s="111">
        <f t="shared" si="34"/>
        <v>-262.77</v>
      </c>
      <c r="AC74" s="105" t="e">
        <f t="shared" si="35"/>
        <v>#VALUE!</v>
      </c>
      <c r="AD74" s="105" t="e">
        <f t="shared" si="23"/>
        <v>#VALUE!</v>
      </c>
      <c r="AE74" s="105" t="e">
        <f t="shared" si="24"/>
        <v>#DIV/0!</v>
      </c>
      <c r="AF74" s="105" t="e">
        <f t="shared" si="25"/>
        <v>#VALUE!</v>
      </c>
      <c r="AG74" s="105" t="e">
        <f t="shared" si="26"/>
        <v>#VALUE!</v>
      </c>
      <c r="AH74" s="111"/>
      <c r="AI74" s="105"/>
      <c r="AJ74" s="105"/>
      <c r="AK74" s="109"/>
      <c r="AL74" s="109"/>
      <c r="AM74" s="109"/>
      <c r="AN74" s="109"/>
      <c r="AO74" s="105"/>
      <c r="AP74" s="105"/>
      <c r="AQ74" s="109"/>
      <c r="AR74" s="110"/>
      <c r="AS74" s="110"/>
      <c r="AT74" s="110"/>
      <c r="AU74" s="110"/>
      <c r="AV74" s="110"/>
      <c r="AW74" s="112"/>
      <c r="AX74" s="112"/>
      <c r="AY74" s="110"/>
      <c r="AZ74" s="105"/>
      <c r="BA74" s="105"/>
      <c r="BB74" s="105"/>
      <c r="BC74" s="105"/>
      <c r="BD74" s="105"/>
      <c r="BE74" s="105"/>
    </row>
    <row r="75" spans="1:57" x14ac:dyDescent="0.15">
      <c r="A75" s="101">
        <v>412</v>
      </c>
      <c r="B75" s="98" t="e">
        <f>VLOOKUP($A75,'Rate Calculation'!$A$4:$CS$210,68,FALSE)</f>
        <v>#REF!</v>
      </c>
      <c r="C75" s="98" t="str">
        <f>UPPER(VLOOKUP($A75,'Rate Calculation'!$A$4:$CL$210,69,FALSE))</f>
        <v>177881</v>
      </c>
      <c r="D75" s="104" t="str">
        <f>VLOOKUP($A75,'Rate Calculation'!$A$4:$AJ$210,5,FALSE)</f>
        <v>WASHINGTON METRO</v>
      </c>
      <c r="E75" s="104" t="str">
        <f>VLOOKUP($A75,'Rate Calculation'!$A$4:$AJ$210,6,FALSE)</f>
        <v>WASHINGTON METRO</v>
      </c>
      <c r="F75" s="105">
        <f>VLOOKUP(A75,'Rate Calculation'!$A$3:$AT$210,35,FALSE)</f>
        <v>23649</v>
      </c>
      <c r="G75" s="105">
        <f>VLOOKUP(A75,'Rate Calculation'!$A$3:$AT$210,30,FALSE)</f>
        <v>34038</v>
      </c>
      <c r="H75" s="105">
        <f>VLOOKUP(A75,'Rate Calculation'!$A$3:$AW$210,36,FALSE)+VLOOKUP(A75,'Rate Calculation'!$A$3:$CC$210,42,FALSE)</f>
        <v>882381452</v>
      </c>
      <c r="I75" s="105">
        <f t="shared" si="27"/>
        <v>-26.04</v>
      </c>
      <c r="J75" s="105" t="str">
        <f>VLOOKUP(A75,'Rate Calculation'!$A$3:$BL$210,43,FALSE)</f>
        <v>Complete Care at Springbrook LLC</v>
      </c>
      <c r="K75" s="105">
        <f t="shared" si="36"/>
        <v>882439112.96000004</v>
      </c>
      <c r="L75" s="164">
        <f t="shared" si="20"/>
        <v>0.98772000000000004</v>
      </c>
      <c r="M75" s="105">
        <f t="shared" si="28"/>
        <v>871602760.64999998</v>
      </c>
      <c r="N75" s="105" t="e">
        <f>VLOOKUP(A75,'Rate Calculation'!$A$4:$DK$210,47,FALSE)</f>
        <v>#DIV/0!</v>
      </c>
      <c r="O75" s="106">
        <f>VLOOKUP(A75,'Rate Calculation'!$A$4:$DK$210,10,FALSE)</f>
        <v>1.0309999999999999</v>
      </c>
      <c r="P75" s="114">
        <f t="shared" si="21"/>
        <v>1.4432</v>
      </c>
      <c r="Q75" s="114">
        <f>VLOOKUP(A75,'CMI Data'!$A$3:$Z$209,7,FALSE)</f>
        <v>0</v>
      </c>
      <c r="R75" s="120" t="e">
        <f>+'CMI Data'!$I$214</f>
        <v>#DIV/0!</v>
      </c>
      <c r="S75" s="106">
        <f>IF(Q75=0,'CMI Data'!$I$213,ROUND(Q75*R75,4))</f>
        <v>1.4061999999999999</v>
      </c>
      <c r="T75" s="105">
        <f>VLOOKUP(A75,'Rate Calculation'!$A$4:$DK$210,16,FALSE)</f>
        <v>178.07</v>
      </c>
      <c r="U75" s="105">
        <f>VLOOKUP(A75,'Rate Calculation'!$A$4:$DK$210,20,FALSE)</f>
        <v>-26.72</v>
      </c>
      <c r="V75" s="113">
        <f t="shared" si="29"/>
        <v>-19.09</v>
      </c>
      <c r="W75" s="105">
        <f t="shared" si="30"/>
        <v>-26.04</v>
      </c>
      <c r="X75" s="111">
        <f t="shared" si="22"/>
        <v>0</v>
      </c>
      <c r="Y75" s="105">
        <f t="shared" si="31"/>
        <v>-26.04</v>
      </c>
      <c r="Z75" s="105">
        <f t="shared" si="32"/>
        <v>242.87</v>
      </c>
      <c r="AA75" s="105">
        <f t="shared" si="33"/>
        <v>-24.74</v>
      </c>
      <c r="AB75" s="111">
        <f t="shared" si="34"/>
        <v>-267.61</v>
      </c>
      <c r="AC75" s="105" t="e">
        <f t="shared" si="35"/>
        <v>#VALUE!</v>
      </c>
      <c r="AD75" s="105" t="e">
        <f t="shared" si="23"/>
        <v>#VALUE!</v>
      </c>
      <c r="AE75" s="105" t="e">
        <f t="shared" si="24"/>
        <v>#DIV/0!</v>
      </c>
      <c r="AF75" s="105" t="e">
        <f t="shared" si="25"/>
        <v>#VALUE!</v>
      </c>
      <c r="AG75" s="105" t="e">
        <f t="shared" si="26"/>
        <v>#VALUE!</v>
      </c>
      <c r="AH75" s="111"/>
      <c r="AI75" s="105"/>
      <c r="AJ75" s="105"/>
      <c r="AK75" s="109"/>
      <c r="AL75" s="109"/>
      <c r="AM75" s="109"/>
      <c r="AN75" s="109"/>
      <c r="AO75" s="105"/>
      <c r="AP75" s="105"/>
      <c r="AQ75" s="109"/>
      <c r="AR75" s="110"/>
      <c r="AS75" s="110"/>
      <c r="AT75" s="110"/>
      <c r="AU75" s="110"/>
      <c r="AV75" s="110"/>
      <c r="AW75" s="112"/>
      <c r="AX75" s="112"/>
      <c r="AY75" s="110"/>
      <c r="AZ75" s="105"/>
      <c r="BA75" s="105"/>
      <c r="BB75" s="105"/>
      <c r="BC75" s="105"/>
      <c r="BD75" s="105"/>
      <c r="BE75" s="105"/>
    </row>
    <row r="76" spans="1:57" x14ac:dyDescent="0.15">
      <c r="A76" s="101">
        <v>372</v>
      </c>
      <c r="B76" s="98" t="e">
        <f>VLOOKUP($A76,'Rate Calculation'!$A$4:$CS$210,68,FALSE)</f>
        <v>#REF!</v>
      </c>
      <c r="C76" s="98" t="str">
        <f>UPPER(VLOOKUP($A76,'Rate Calculation'!$A$4:$CL$210,69,FALSE))</f>
        <v>143545</v>
      </c>
      <c r="D76" s="104" t="str">
        <f>VLOOKUP($A76,'Rate Calculation'!$A$4:$AJ$210,5,FALSE)</f>
        <v>WASHINGTON METRO</v>
      </c>
      <c r="E76" s="104" t="str">
        <f>VLOOKUP($A76,'Rate Calculation'!$A$4:$AJ$210,6,FALSE)</f>
        <v>WASHINGTON METRO</v>
      </c>
      <c r="F76" s="105">
        <f>VLOOKUP(A76,'Rate Calculation'!$A$3:$AT$210,35,FALSE)</f>
        <v>34912</v>
      </c>
      <c r="G76" s="105">
        <f>VLOOKUP(A76,'Rate Calculation'!$A$3:$AT$210,30,FALSE)</f>
        <v>42456</v>
      </c>
      <c r="H76" s="105">
        <f>VLOOKUP(A76,'Rate Calculation'!$A$3:$AW$210,36,FALSE)+VLOOKUP(A76,'Rate Calculation'!$A$3:$CC$210,42,FALSE)</f>
        <v>882399109</v>
      </c>
      <c r="I76" s="105">
        <f t="shared" si="27"/>
        <v>-7.98</v>
      </c>
      <c r="J76" s="105" t="str">
        <f>VLOOKUP(A76,'Rate Calculation'!$A$3:$BL$210,43,FALSE)</f>
        <v>Complete Care at Wheaton LLC</v>
      </c>
      <c r="K76" s="105">
        <f t="shared" si="36"/>
        <v>882476469.01999998</v>
      </c>
      <c r="L76" s="164">
        <f t="shared" si="20"/>
        <v>0.98772000000000004</v>
      </c>
      <c r="M76" s="105">
        <f t="shared" si="28"/>
        <v>871639657.98000002</v>
      </c>
      <c r="N76" s="105" t="e">
        <f>VLOOKUP(A76,'Rate Calculation'!$A$4:$DK$210,47,FALSE)</f>
        <v>#DIV/0!</v>
      </c>
      <c r="O76" s="106">
        <f>VLOOKUP(A76,'Rate Calculation'!$A$4:$DK$210,10,FALSE)</f>
        <v>1.0309999999999999</v>
      </c>
      <c r="P76" s="114">
        <f t="shared" si="21"/>
        <v>1.4432</v>
      </c>
      <c r="Q76" s="114">
        <f>VLOOKUP(A76,'CMI Data'!$A$3:$Z$209,7,FALSE)</f>
        <v>0</v>
      </c>
      <c r="R76" s="120" t="e">
        <f>+'CMI Data'!$I$214</f>
        <v>#DIV/0!</v>
      </c>
      <c r="S76" s="106">
        <f>IF(Q76=0,'CMI Data'!$I$213,ROUND(Q76*R76,4))</f>
        <v>1.4061999999999999</v>
      </c>
      <c r="T76" s="105">
        <f>VLOOKUP(A76,'Rate Calculation'!$A$4:$DK$210,16,FALSE)</f>
        <v>159.88</v>
      </c>
      <c r="U76" s="105">
        <f>VLOOKUP(A76,'Rate Calculation'!$A$4:$DK$210,20,FALSE)</f>
        <v>-8.19</v>
      </c>
      <c r="V76" s="113">
        <f t="shared" si="29"/>
        <v>-5.85</v>
      </c>
      <c r="W76" s="105">
        <f t="shared" si="30"/>
        <v>-7.98</v>
      </c>
      <c r="X76" s="111">
        <f t="shared" si="22"/>
        <v>0</v>
      </c>
      <c r="Y76" s="105">
        <f t="shared" si="31"/>
        <v>-7.98</v>
      </c>
      <c r="Z76" s="105">
        <f t="shared" si="32"/>
        <v>218.06</v>
      </c>
      <c r="AA76" s="105">
        <f t="shared" si="33"/>
        <v>-7.58</v>
      </c>
      <c r="AB76" s="111">
        <f t="shared" si="34"/>
        <v>-225.64</v>
      </c>
      <c r="AC76" s="105" t="e">
        <f t="shared" si="35"/>
        <v>#VALUE!</v>
      </c>
      <c r="AD76" s="105" t="e">
        <f t="shared" si="23"/>
        <v>#VALUE!</v>
      </c>
      <c r="AE76" s="105" t="e">
        <f t="shared" si="24"/>
        <v>#DIV/0!</v>
      </c>
      <c r="AF76" s="105" t="e">
        <f t="shared" si="25"/>
        <v>#VALUE!</v>
      </c>
      <c r="AG76" s="105" t="e">
        <f t="shared" si="26"/>
        <v>#VALUE!</v>
      </c>
      <c r="AH76" s="111"/>
      <c r="AI76" s="105"/>
      <c r="AJ76" s="105"/>
      <c r="AK76" s="109"/>
      <c r="AL76" s="109"/>
      <c r="AM76" s="109"/>
      <c r="AN76" s="109"/>
      <c r="AO76" s="105"/>
      <c r="AP76" s="105"/>
      <c r="AQ76" s="109"/>
      <c r="AR76" s="110"/>
      <c r="AS76" s="110"/>
      <c r="AT76" s="110"/>
      <c r="AU76" s="110"/>
      <c r="AV76" s="110"/>
      <c r="AW76" s="112"/>
      <c r="AX76" s="112"/>
      <c r="AY76" s="110"/>
      <c r="AZ76" s="105"/>
      <c r="BA76" s="105"/>
      <c r="BB76" s="105"/>
      <c r="BC76" s="105"/>
      <c r="BD76" s="105"/>
      <c r="BE76" s="105"/>
    </row>
    <row r="77" spans="1:57" x14ac:dyDescent="0.15">
      <c r="A77" s="101">
        <v>374</v>
      </c>
      <c r="B77" s="98" t="e">
        <f>VLOOKUP($A77,'Rate Calculation'!$A$4:$CS$210,68,FALSE)</f>
        <v>#REF!</v>
      </c>
      <c r="C77" s="98" t="str">
        <f>UPPER(VLOOKUP($A77,'Rate Calculation'!$A$4:$CL$210,69,FALSE))</f>
        <v>120762</v>
      </c>
      <c r="D77" s="104" t="str">
        <f>VLOOKUP($A77,'Rate Calculation'!$A$4:$AJ$210,5,FALSE)</f>
        <v>WESTERN REGION</v>
      </c>
      <c r="E77" s="104" t="str">
        <f>VLOOKUP($A77,'Rate Calculation'!$A$4:$AJ$210,6,FALSE)</f>
        <v>NON METRO</v>
      </c>
      <c r="F77" s="105">
        <f>VLOOKUP(A77,'Rate Calculation'!$A$3:$AT$210,35,FALSE)</f>
        <v>0</v>
      </c>
      <c r="G77" s="105">
        <f>VLOOKUP(A77,'Rate Calculation'!$A$3:$AT$210,30,FALSE)</f>
        <v>29280</v>
      </c>
      <c r="H77" s="105">
        <f>VLOOKUP(A77,'Rate Calculation'!$A$3:$AW$210,36,FALSE)+VLOOKUP(A77,'Rate Calculation'!$A$3:$CC$210,42,FALSE)</f>
        <v>918284500</v>
      </c>
      <c r="I77" s="105">
        <f t="shared" si="27"/>
        <v>-35.42</v>
      </c>
      <c r="J77" s="105" t="str">
        <f>VLOOKUP(A77,'Rate Calculation'!$A$3:$BL$210,43,FALSE)</f>
        <v>Creekside Center for Rehabilitation and Nursing</v>
      </c>
      <c r="K77" s="105">
        <f t="shared" si="36"/>
        <v>918313744.58000004</v>
      </c>
      <c r="L77" s="164">
        <f t="shared" si="20"/>
        <v>0.98772000000000004</v>
      </c>
      <c r="M77" s="105">
        <f t="shared" si="28"/>
        <v>907036851.79999995</v>
      </c>
      <c r="N77" s="105" t="e">
        <f>VLOOKUP(A77,'Rate Calculation'!$A$4:$DK$210,47,FALSE)</f>
        <v>#DIV/0!</v>
      </c>
      <c r="O77" s="106">
        <f>VLOOKUP(A77,'Rate Calculation'!$A$4:$DK$210,10,FALSE)</f>
        <v>1.0309999999999999</v>
      </c>
      <c r="P77" s="114">
        <f t="shared" si="21"/>
        <v>1.4432</v>
      </c>
      <c r="Q77" s="114">
        <f>VLOOKUP(A77,'CMI Data'!$A$3:$Z$209,7,FALSE)</f>
        <v>0</v>
      </c>
      <c r="R77" s="120" t="e">
        <f>+'CMI Data'!$I$214</f>
        <v>#DIV/0!</v>
      </c>
      <c r="S77" s="106">
        <f>IF(Q77=0,'CMI Data'!$I$213,ROUND(Q77*R77,4))</f>
        <v>1.4061999999999999</v>
      </c>
      <c r="T77" s="105">
        <f>VLOOKUP(A77,'Rate Calculation'!$A$4:$DK$210,16,FALSE)</f>
        <v>176.86</v>
      </c>
      <c r="U77" s="105">
        <f>VLOOKUP(A77,'Rate Calculation'!$A$4:$DK$210,20,FALSE)</f>
        <v>-36.35</v>
      </c>
      <c r="V77" s="113">
        <f t="shared" si="29"/>
        <v>-25.97</v>
      </c>
      <c r="W77" s="105">
        <f t="shared" si="30"/>
        <v>-35.42</v>
      </c>
      <c r="X77" s="111">
        <f t="shared" si="22"/>
        <v>0</v>
      </c>
      <c r="Y77" s="105">
        <f t="shared" si="31"/>
        <v>-35.42</v>
      </c>
      <c r="Z77" s="105">
        <f t="shared" si="32"/>
        <v>241.22</v>
      </c>
      <c r="AA77" s="105">
        <f t="shared" si="33"/>
        <v>-33.65</v>
      </c>
      <c r="AB77" s="111">
        <f t="shared" si="34"/>
        <v>-274.87</v>
      </c>
      <c r="AC77" s="105" t="e">
        <f t="shared" si="35"/>
        <v>#VALUE!</v>
      </c>
      <c r="AD77" s="105" t="e">
        <f t="shared" si="23"/>
        <v>#VALUE!</v>
      </c>
      <c r="AE77" s="105" t="e">
        <f t="shared" si="24"/>
        <v>#DIV/0!</v>
      </c>
      <c r="AF77" s="105" t="e">
        <f t="shared" si="25"/>
        <v>#VALUE!</v>
      </c>
      <c r="AG77" s="105" t="e">
        <f t="shared" si="26"/>
        <v>#VALUE!</v>
      </c>
      <c r="AH77" s="111"/>
      <c r="AI77" s="105"/>
      <c r="AJ77" s="105"/>
      <c r="AK77" s="109"/>
      <c r="AL77" s="109"/>
      <c r="AM77" s="109"/>
      <c r="AN77" s="109"/>
      <c r="AO77" s="105"/>
      <c r="AP77" s="105"/>
      <c r="AQ77" s="109"/>
      <c r="AR77" s="110"/>
      <c r="AS77" s="110"/>
      <c r="AT77" s="110"/>
      <c r="AU77" s="110"/>
      <c r="AV77" s="110"/>
      <c r="AW77" s="112"/>
      <c r="AX77" s="112"/>
      <c r="AY77" s="110"/>
      <c r="AZ77" s="105"/>
      <c r="BA77" s="105"/>
      <c r="BB77" s="105"/>
      <c r="BC77" s="105"/>
      <c r="BD77" s="105"/>
      <c r="BE77" s="105"/>
    </row>
    <row r="78" spans="1:57" x14ac:dyDescent="0.15">
      <c r="A78" s="101">
        <v>130</v>
      </c>
      <c r="B78" s="98" t="e">
        <f>VLOOKUP($A78,'Rate Calculation'!$A$4:$CS$210,68,FALSE)</f>
        <v>#REF!</v>
      </c>
      <c r="C78" s="98" t="str">
        <f>UPPER(VLOOKUP($A78,'Rate Calculation'!$A$4:$CL$210,69,FALSE))</f>
        <v>281993</v>
      </c>
      <c r="D78" s="104" t="str">
        <f>VLOOKUP($A78,'Rate Calculation'!$A$4:$AJ$210,5,FALSE)</f>
        <v>WASHINGTON METRO</v>
      </c>
      <c r="E78" s="104" t="str">
        <f>VLOOKUP($A78,'Rate Calculation'!$A$4:$AJ$210,6,FALSE)</f>
        <v>WASHINGTON METRO</v>
      </c>
      <c r="F78" s="105">
        <f>VLOOKUP(A78,'Rate Calculation'!$A$3:$AT$210,35,FALSE)</f>
        <v>37981</v>
      </c>
      <c r="G78" s="105">
        <f>VLOOKUP(A78,'Rate Calculation'!$A$3:$AT$210,30,FALSE)</f>
        <v>57828</v>
      </c>
      <c r="H78" s="105">
        <f>VLOOKUP(A78,'Rate Calculation'!$A$3:$AW$210,36,FALSE)+VLOOKUP(A78,'Rate Calculation'!$A$3:$CC$210,42,FALSE)</f>
        <v>333236916</v>
      </c>
      <c r="I78" s="105">
        <f t="shared" si="27"/>
        <v>-27.65</v>
      </c>
      <c r="J78" s="105" t="str">
        <f>VLOOKUP(A78,'Rate Calculation'!$A$3:$BL$210,43,FALSE)</f>
        <v>Crescent Cities Nursing and Rehabilitation Center</v>
      </c>
      <c r="K78" s="105">
        <f t="shared" si="36"/>
        <v>333332697.35000002</v>
      </c>
      <c r="L78" s="164">
        <f t="shared" si="20"/>
        <v>0.98772000000000004</v>
      </c>
      <c r="M78" s="105">
        <f t="shared" si="28"/>
        <v>329239371.82999998</v>
      </c>
      <c r="N78" s="105" t="e">
        <f>VLOOKUP(A78,'Rate Calculation'!$A$4:$DK$210,47,FALSE)</f>
        <v>#DIV/0!</v>
      </c>
      <c r="O78" s="106">
        <f>VLOOKUP(A78,'Rate Calculation'!$A$4:$DK$210,10,FALSE)</f>
        <v>1.0309999999999999</v>
      </c>
      <c r="P78" s="114">
        <f t="shared" si="21"/>
        <v>1.4432</v>
      </c>
      <c r="Q78" s="114">
        <f>VLOOKUP(A78,'CMI Data'!$A$3:$Z$209,7,FALSE)</f>
        <v>0</v>
      </c>
      <c r="R78" s="120" t="e">
        <f>+'CMI Data'!$I$214</f>
        <v>#DIV/0!</v>
      </c>
      <c r="S78" s="106">
        <f>IF(Q78=0,'CMI Data'!$I$213,ROUND(Q78*R78,4))</f>
        <v>1.4061999999999999</v>
      </c>
      <c r="T78" s="105">
        <f>VLOOKUP(A78,'Rate Calculation'!$A$4:$DK$210,16,FALSE)</f>
        <v>172.05</v>
      </c>
      <c r="U78" s="105">
        <f>VLOOKUP(A78,'Rate Calculation'!$A$4:$DK$210,20,FALSE)</f>
        <v>-28.38</v>
      </c>
      <c r="V78" s="113">
        <f t="shared" si="29"/>
        <v>-20.27</v>
      </c>
      <c r="W78" s="105">
        <f t="shared" si="30"/>
        <v>-27.65</v>
      </c>
      <c r="X78" s="111">
        <f t="shared" si="22"/>
        <v>0</v>
      </c>
      <c r="Y78" s="105">
        <f t="shared" si="31"/>
        <v>-27.65</v>
      </c>
      <c r="Z78" s="105">
        <f t="shared" si="32"/>
        <v>234.66</v>
      </c>
      <c r="AA78" s="105">
        <f t="shared" si="33"/>
        <v>-26.27</v>
      </c>
      <c r="AB78" s="111">
        <f t="shared" si="34"/>
        <v>-260.93</v>
      </c>
      <c r="AC78" s="105" t="e">
        <f t="shared" si="35"/>
        <v>#VALUE!</v>
      </c>
      <c r="AD78" s="105" t="e">
        <f t="shared" si="23"/>
        <v>#VALUE!</v>
      </c>
      <c r="AE78" s="105" t="e">
        <f t="shared" si="24"/>
        <v>#DIV/0!</v>
      </c>
      <c r="AF78" s="105" t="e">
        <f t="shared" si="25"/>
        <v>#VALUE!</v>
      </c>
      <c r="AG78" s="105" t="e">
        <f t="shared" si="26"/>
        <v>#VALUE!</v>
      </c>
      <c r="AH78" s="111"/>
      <c r="AI78" s="105"/>
      <c r="AJ78" s="105"/>
      <c r="AK78" s="109"/>
      <c r="AL78" s="109"/>
      <c r="AM78" s="109"/>
      <c r="AN78" s="109"/>
      <c r="AO78" s="105"/>
      <c r="AP78" s="105"/>
      <c r="AQ78" s="109"/>
      <c r="AR78" s="110"/>
      <c r="AS78" s="110"/>
      <c r="AT78" s="110"/>
      <c r="AU78" s="110"/>
      <c r="AV78" s="110"/>
      <c r="AW78" s="112"/>
      <c r="AX78" s="112"/>
      <c r="AY78" s="110"/>
      <c r="AZ78" s="105"/>
      <c r="BA78" s="105"/>
      <c r="BB78" s="105"/>
      <c r="BC78" s="105"/>
      <c r="BD78" s="105"/>
      <c r="BE78" s="105"/>
    </row>
    <row r="79" spans="1:57" x14ac:dyDescent="0.15">
      <c r="A79" s="101">
        <v>136</v>
      </c>
      <c r="B79" s="98" t="e">
        <f>VLOOKUP($A79,'Rate Calculation'!$A$4:$CS$210,68,FALSE)</f>
        <v>#REF!</v>
      </c>
      <c r="C79" s="98" t="str">
        <f>UPPER(VLOOKUP($A79,'Rate Calculation'!$A$4:$CL$210,69,FALSE))</f>
        <v>64167</v>
      </c>
      <c r="D79" s="104" t="str">
        <f>VLOOKUP($A79,'Rate Calculation'!$A$4:$AJ$210,5,FALSE)</f>
        <v>WESTERN REGION</v>
      </c>
      <c r="E79" s="104" t="str">
        <f>VLOOKUP($A79,'Rate Calculation'!$A$4:$AJ$210,6,FALSE)</f>
        <v>NON METRO</v>
      </c>
      <c r="F79" s="105">
        <f>VLOOKUP(A79,'Rate Calculation'!$A$3:$AT$210,35,FALSE)</f>
        <v>32571</v>
      </c>
      <c r="G79" s="105">
        <f>VLOOKUP(A79,'Rate Calculation'!$A$3:$AT$210,30,FALSE)</f>
        <v>49044</v>
      </c>
      <c r="H79" s="105">
        <f>VLOOKUP(A79,'Rate Calculation'!$A$3:$AW$210,36,FALSE)+VLOOKUP(A79,'Rate Calculation'!$A$3:$CC$210,42,FALSE)</f>
        <v>424519993</v>
      </c>
      <c r="I79" s="105">
        <f t="shared" si="27"/>
        <v>-4.6500000000000004</v>
      </c>
      <c r="J79" s="105" t="str">
        <f>VLOOKUP(A79,'Rate Calculation'!$A$3:$BL$210,43,FALSE)</f>
        <v>Cumberland Healthcare Center</v>
      </c>
      <c r="K79" s="105">
        <f t="shared" si="36"/>
        <v>424601603.35000002</v>
      </c>
      <c r="L79" s="164">
        <f t="shared" si="20"/>
        <v>0.98772000000000004</v>
      </c>
      <c r="M79" s="105">
        <f t="shared" si="28"/>
        <v>419387495.66000003</v>
      </c>
      <c r="N79" s="105" t="e">
        <f>VLOOKUP(A79,'Rate Calculation'!$A$4:$DK$210,47,FALSE)</f>
        <v>#DIV/0!</v>
      </c>
      <c r="O79" s="106">
        <f>VLOOKUP(A79,'Rate Calculation'!$A$4:$DK$210,10,FALSE)</f>
        <v>1.0309999999999999</v>
      </c>
      <c r="P79" s="114">
        <f t="shared" si="21"/>
        <v>1.4432</v>
      </c>
      <c r="Q79" s="114">
        <f>VLOOKUP(A79,'CMI Data'!$A$3:$Z$209,7,FALSE)</f>
        <v>0</v>
      </c>
      <c r="R79" s="120" t="e">
        <f>+'CMI Data'!$I$214</f>
        <v>#DIV/0!</v>
      </c>
      <c r="S79" s="106">
        <f>IF(Q79=0,'CMI Data'!$I$213,ROUND(Q79*R79,4))</f>
        <v>1.4061999999999999</v>
      </c>
      <c r="T79" s="105">
        <f>VLOOKUP(A79,'Rate Calculation'!$A$4:$DK$210,16,FALSE)</f>
        <v>154.19</v>
      </c>
      <c r="U79" s="105">
        <f>VLOOKUP(A79,'Rate Calculation'!$A$4:$DK$210,20,FALSE)</f>
        <v>-4.78</v>
      </c>
      <c r="V79" s="113">
        <f t="shared" si="29"/>
        <v>-3.41</v>
      </c>
      <c r="W79" s="105">
        <f t="shared" si="30"/>
        <v>-4.6500000000000004</v>
      </c>
      <c r="X79" s="111">
        <f t="shared" si="22"/>
        <v>0</v>
      </c>
      <c r="Y79" s="105">
        <f t="shared" si="31"/>
        <v>-4.6500000000000004</v>
      </c>
      <c r="Z79" s="105">
        <f t="shared" si="32"/>
        <v>210.3</v>
      </c>
      <c r="AA79" s="105">
        <f t="shared" si="33"/>
        <v>-4.42</v>
      </c>
      <c r="AB79" s="111">
        <f t="shared" si="34"/>
        <v>-214.72</v>
      </c>
      <c r="AC79" s="105" t="e">
        <f t="shared" si="35"/>
        <v>#VALUE!</v>
      </c>
      <c r="AD79" s="105" t="e">
        <f t="shared" si="23"/>
        <v>#VALUE!</v>
      </c>
      <c r="AE79" s="105" t="e">
        <f t="shared" si="24"/>
        <v>#DIV/0!</v>
      </c>
      <c r="AF79" s="105" t="e">
        <f t="shared" si="25"/>
        <v>#VALUE!</v>
      </c>
      <c r="AG79" s="105" t="e">
        <f t="shared" si="26"/>
        <v>#VALUE!</v>
      </c>
      <c r="AH79" s="111"/>
      <c r="AI79" s="105"/>
      <c r="AJ79" s="105"/>
      <c r="AK79" s="109"/>
      <c r="AL79" s="109"/>
      <c r="AM79" s="109"/>
      <c r="AN79" s="109"/>
      <c r="AO79" s="105"/>
      <c r="AP79" s="105"/>
      <c r="AQ79" s="109"/>
      <c r="AR79" s="110"/>
      <c r="AS79" s="110"/>
      <c r="AT79" s="110"/>
      <c r="AU79" s="110"/>
      <c r="AV79" s="110"/>
      <c r="AW79" s="112"/>
      <c r="AX79" s="112"/>
      <c r="AY79" s="110"/>
      <c r="AZ79" s="105"/>
      <c r="BA79" s="105"/>
      <c r="BB79" s="105"/>
      <c r="BC79" s="105"/>
      <c r="BD79" s="105"/>
      <c r="BE79" s="105"/>
    </row>
    <row r="80" spans="1:57" x14ac:dyDescent="0.15">
      <c r="A80" s="101">
        <v>669</v>
      </c>
      <c r="B80" s="98" t="e">
        <f>VLOOKUP($A80,'Rate Calculation'!$A$4:$CS$210,68,FALSE)</f>
        <v>#REF!</v>
      </c>
      <c r="C80" s="98" t="str">
        <f>UPPER(VLOOKUP($A80,'Rate Calculation'!$A$4:$CL$210,69,FALSE))</f>
        <v>108166</v>
      </c>
      <c r="D80" s="104" t="str">
        <f>VLOOKUP($A80,'Rate Calculation'!$A$4:$AJ$210,5,FALSE)</f>
        <v>EASTERN REGION</v>
      </c>
      <c r="E80" s="104" t="str">
        <f>VLOOKUP($A80,'Rate Calculation'!$A$4:$AJ$210,6,FALSE)</f>
        <v>NON METRO</v>
      </c>
      <c r="F80" s="105">
        <f>VLOOKUP(A80,'Rate Calculation'!$A$3:$AT$210,35,FALSE)</f>
        <v>26466</v>
      </c>
      <c r="G80" s="105">
        <f>VLOOKUP(A80,'Rate Calculation'!$A$3:$AT$210,30,FALSE)</f>
        <v>36600</v>
      </c>
      <c r="H80" s="105">
        <f>VLOOKUP(A80,'Rate Calculation'!$A$3:$AW$210,36,FALSE)+VLOOKUP(A80,'Rate Calculation'!$A$3:$CC$210,42,FALSE)</f>
        <v>667136177</v>
      </c>
      <c r="I80" s="105">
        <f t="shared" si="27"/>
        <v>-11.78</v>
      </c>
      <c r="J80" s="105" t="str">
        <f>VLOOKUP(A80,'Rate Calculation'!$A$3:$BL$210,43,FALSE)</f>
        <v>Denton Nursing and Rehab</v>
      </c>
      <c r="K80" s="105">
        <f t="shared" si="36"/>
        <v>667199231.22000003</v>
      </c>
      <c r="L80" s="164">
        <f t="shared" si="20"/>
        <v>0.98772000000000004</v>
      </c>
      <c r="M80" s="105">
        <f t="shared" si="28"/>
        <v>659006024.65999997</v>
      </c>
      <c r="N80" s="105" t="e">
        <f>VLOOKUP(A80,'Rate Calculation'!$A$4:$DK$210,47,FALSE)</f>
        <v>#DIV/0!</v>
      </c>
      <c r="O80" s="106">
        <f>VLOOKUP(A80,'Rate Calculation'!$A$4:$DK$210,10,FALSE)</f>
        <v>1.0309999999999999</v>
      </c>
      <c r="P80" s="114">
        <f t="shared" si="21"/>
        <v>1.4432</v>
      </c>
      <c r="Q80" s="114">
        <f>VLOOKUP(A80,'CMI Data'!$A$3:$Z$209,7,FALSE)</f>
        <v>0</v>
      </c>
      <c r="R80" s="120" t="e">
        <f>+'CMI Data'!$I$214</f>
        <v>#DIV/0!</v>
      </c>
      <c r="S80" s="106">
        <f>IF(Q80=0,'CMI Data'!$I$213,ROUND(Q80*R80,4))</f>
        <v>1.4061999999999999</v>
      </c>
      <c r="T80" s="105">
        <f>VLOOKUP(A80,'Rate Calculation'!$A$4:$DK$210,16,FALSE)</f>
        <v>198.5</v>
      </c>
      <c r="U80" s="105">
        <f>VLOOKUP(A80,'Rate Calculation'!$A$4:$DK$210,20,FALSE)</f>
        <v>-12.09</v>
      </c>
      <c r="V80" s="113">
        <f t="shared" si="29"/>
        <v>-8.64</v>
      </c>
      <c r="W80" s="105">
        <f t="shared" si="30"/>
        <v>-11.78</v>
      </c>
      <c r="X80" s="111">
        <f t="shared" si="22"/>
        <v>0</v>
      </c>
      <c r="Y80" s="105">
        <f t="shared" si="31"/>
        <v>-11.78</v>
      </c>
      <c r="Z80" s="105">
        <f t="shared" si="32"/>
        <v>270.74</v>
      </c>
      <c r="AA80" s="105">
        <f t="shared" si="33"/>
        <v>-11.19</v>
      </c>
      <c r="AB80" s="111">
        <f t="shared" si="34"/>
        <v>-281.93</v>
      </c>
      <c r="AC80" s="105" t="e">
        <f t="shared" si="35"/>
        <v>#VALUE!</v>
      </c>
      <c r="AD80" s="105" t="e">
        <f t="shared" si="23"/>
        <v>#VALUE!</v>
      </c>
      <c r="AE80" s="105" t="e">
        <f t="shared" si="24"/>
        <v>#DIV/0!</v>
      </c>
      <c r="AF80" s="105" t="e">
        <f t="shared" si="25"/>
        <v>#VALUE!</v>
      </c>
      <c r="AG80" s="105" t="e">
        <f t="shared" si="26"/>
        <v>#VALUE!</v>
      </c>
      <c r="AH80" s="111"/>
      <c r="AI80" s="105"/>
      <c r="AJ80" s="105"/>
      <c r="AK80" s="109"/>
      <c r="AL80" s="109"/>
      <c r="AM80" s="109"/>
      <c r="AN80" s="109"/>
      <c r="AO80" s="105"/>
      <c r="AP80" s="105"/>
      <c r="AQ80" s="109"/>
      <c r="AR80" s="110"/>
      <c r="AS80" s="110"/>
      <c r="AT80" s="110"/>
      <c r="AU80" s="110"/>
      <c r="AV80" s="110"/>
      <c r="AW80" s="112"/>
      <c r="AX80" s="112"/>
      <c r="AY80" s="110"/>
      <c r="AZ80" s="105"/>
      <c r="BA80" s="105"/>
      <c r="BB80" s="105"/>
      <c r="BC80" s="105"/>
      <c r="BD80" s="105"/>
      <c r="BE80" s="105"/>
    </row>
    <row r="81" spans="1:57" x14ac:dyDescent="0.15">
      <c r="A81" s="101">
        <v>142</v>
      </c>
      <c r="B81" s="98" t="e">
        <f>VLOOKUP($A81,'Rate Calculation'!$A$4:$CS$210,68,FALSE)</f>
        <v>#REF!</v>
      </c>
      <c r="C81" s="98" t="str">
        <f>UPPER(VLOOKUP($A81,'Rate Calculation'!$A$4:$CL$210,69,FALSE))</f>
        <v>157856</v>
      </c>
      <c r="D81" s="104" t="str">
        <f>VLOOKUP($A81,'Rate Calculation'!$A$4:$AJ$210,5,FALSE)</f>
        <v>WESTERN REGION</v>
      </c>
      <c r="E81" s="104" t="str">
        <f>VLOOKUP($A81,'Rate Calculation'!$A$4:$AJ$210,6,FALSE)</f>
        <v>NON METRO</v>
      </c>
      <c r="F81" s="105">
        <f>VLOOKUP(A81,'Rate Calculation'!$A$3:$AT$210,35,FALSE)</f>
        <v>27256</v>
      </c>
      <c r="G81" s="105">
        <f>VLOOKUP(A81,'Rate Calculation'!$A$3:$AT$210,30,FALSE)</f>
        <v>45384</v>
      </c>
      <c r="H81" s="105">
        <f>VLOOKUP(A81,'Rate Calculation'!$A$3:$AW$210,36,FALSE)+VLOOKUP(A81,'Rate Calculation'!$A$3:$CC$210,42,FALSE)</f>
        <v>200160923</v>
      </c>
      <c r="I81" s="105">
        <f t="shared" si="27"/>
        <v>-23.69</v>
      </c>
      <c r="J81" s="105" t="str">
        <f>VLOOKUP(A81,'Rate Calculation'!$A$3:$BL$210,43,FALSE)</f>
        <v>Devlin Manor Nursing &amp; Rehabilitation Center</v>
      </c>
      <c r="K81" s="105">
        <f t="shared" si="36"/>
        <v>200233539.31</v>
      </c>
      <c r="L81" s="164">
        <f t="shared" si="20"/>
        <v>0.98772000000000004</v>
      </c>
      <c r="M81" s="105">
        <f t="shared" si="28"/>
        <v>197774671.44999999</v>
      </c>
      <c r="N81" s="105" t="e">
        <f>VLOOKUP(A81,'Rate Calculation'!$A$4:$DK$210,47,FALSE)</f>
        <v>#DIV/0!</v>
      </c>
      <c r="O81" s="106">
        <f>VLOOKUP(A81,'Rate Calculation'!$A$4:$DK$210,10,FALSE)</f>
        <v>1.0309999999999999</v>
      </c>
      <c r="P81" s="114">
        <f t="shared" si="21"/>
        <v>1.4432</v>
      </c>
      <c r="Q81" s="114">
        <f>VLOOKUP(A81,'CMI Data'!$A$3:$Z$209,7,FALSE)</f>
        <v>0</v>
      </c>
      <c r="R81" s="120" t="e">
        <f>+'CMI Data'!$I$214</f>
        <v>#DIV/0!</v>
      </c>
      <c r="S81" s="106">
        <f>IF(Q81=0,'CMI Data'!$I$213,ROUND(Q81*R81,4))</f>
        <v>1.4061999999999999</v>
      </c>
      <c r="T81" s="105">
        <f>VLOOKUP(A81,'Rate Calculation'!$A$4:$DK$210,16,FALSE)</f>
        <v>151.91</v>
      </c>
      <c r="U81" s="105">
        <f>VLOOKUP(A81,'Rate Calculation'!$A$4:$DK$210,20,FALSE)</f>
        <v>-24.31</v>
      </c>
      <c r="V81" s="113">
        <f t="shared" si="29"/>
        <v>-17.37</v>
      </c>
      <c r="W81" s="105">
        <f t="shared" si="30"/>
        <v>-23.69</v>
      </c>
      <c r="X81" s="111">
        <f t="shared" si="22"/>
        <v>0</v>
      </c>
      <c r="Y81" s="105">
        <f t="shared" si="31"/>
        <v>-23.69</v>
      </c>
      <c r="Z81" s="105">
        <f t="shared" si="32"/>
        <v>207.19</v>
      </c>
      <c r="AA81" s="105">
        <f t="shared" si="33"/>
        <v>-22.51</v>
      </c>
      <c r="AB81" s="111">
        <f t="shared" si="34"/>
        <v>-229.7</v>
      </c>
      <c r="AC81" s="105" t="e">
        <f t="shared" si="35"/>
        <v>#VALUE!</v>
      </c>
      <c r="AD81" s="105" t="e">
        <f t="shared" si="23"/>
        <v>#VALUE!</v>
      </c>
      <c r="AE81" s="105" t="e">
        <f t="shared" si="24"/>
        <v>#DIV/0!</v>
      </c>
      <c r="AF81" s="105" t="e">
        <f t="shared" si="25"/>
        <v>#VALUE!</v>
      </c>
      <c r="AG81" s="105" t="e">
        <f t="shared" si="26"/>
        <v>#VALUE!</v>
      </c>
      <c r="AH81" s="111"/>
      <c r="AI81" s="105"/>
      <c r="AJ81" s="105"/>
      <c r="AK81" s="109"/>
      <c r="AL81" s="109"/>
      <c r="AM81" s="109"/>
      <c r="AN81" s="109"/>
      <c r="AO81" s="105"/>
      <c r="AP81" s="105"/>
      <c r="AQ81" s="109"/>
      <c r="AR81" s="110"/>
      <c r="AS81" s="110"/>
      <c r="AT81" s="110"/>
      <c r="AU81" s="110"/>
      <c r="AV81" s="110"/>
      <c r="AW81" s="112"/>
      <c r="AX81" s="112"/>
      <c r="AY81" s="110"/>
      <c r="AZ81" s="105"/>
      <c r="BA81" s="105"/>
      <c r="BB81" s="105"/>
      <c r="BC81" s="105"/>
      <c r="BD81" s="105"/>
      <c r="BE81" s="105"/>
    </row>
    <row r="82" spans="1:57" x14ac:dyDescent="0.15">
      <c r="A82" s="101">
        <v>298</v>
      </c>
      <c r="B82" s="98" t="e">
        <f>VLOOKUP($A82,'Rate Calculation'!$A$4:$CS$210,68,FALSE)</f>
        <v>#REF!</v>
      </c>
      <c r="C82" s="98" t="str">
        <f>UPPER(VLOOKUP($A82,'Rate Calculation'!$A$4:$CL$210,69,FALSE))</f>
        <v>301161</v>
      </c>
      <c r="D82" s="104" t="str">
        <f>VLOOKUP($A82,'Rate Calculation'!$A$4:$AJ$210,5,FALSE)</f>
        <v>WASHINGTON METRO</v>
      </c>
      <c r="E82" s="104" t="str">
        <f>VLOOKUP($A82,'Rate Calculation'!$A$4:$AJ$210,6,FALSE)</f>
        <v>WASHINGTON METRO</v>
      </c>
      <c r="F82" s="105">
        <f>VLOOKUP(A82,'Rate Calculation'!$A$3:$AT$210,35,FALSE)</f>
        <v>29342</v>
      </c>
      <c r="G82" s="105">
        <f>VLOOKUP(A82,'Rate Calculation'!$A$3:$AT$210,30,FALSE)</f>
        <v>47580</v>
      </c>
      <c r="H82" s="105">
        <f>VLOOKUP(A82,'Rate Calculation'!$A$3:$AW$210,36,FALSE)+VLOOKUP(A82,'Rate Calculation'!$A$3:$CC$210,42,FALSE)</f>
        <v>819036090</v>
      </c>
      <c r="I82" s="105">
        <f t="shared" si="27"/>
        <v>0</v>
      </c>
      <c r="J82" s="105" t="str">
        <f>VLOOKUP(A82,'Rate Calculation'!$A$3:$BL$210,43,FALSE)</f>
        <v>Doctors Community Rehab. &amp; Patient Care Center</v>
      </c>
      <c r="K82" s="105">
        <f t="shared" si="36"/>
        <v>819113012</v>
      </c>
      <c r="L82" s="164">
        <f t="shared" si="20"/>
        <v>0.98772000000000004</v>
      </c>
      <c r="M82" s="105">
        <f t="shared" si="28"/>
        <v>809054304.21000004</v>
      </c>
      <c r="N82" s="105" t="e">
        <f>VLOOKUP(A82,'Rate Calculation'!$A$4:$DK$210,47,FALSE)</f>
        <v>#DIV/0!</v>
      </c>
      <c r="O82" s="106">
        <f>VLOOKUP(A82,'Rate Calculation'!$A$4:$DK$210,10,FALSE)</f>
        <v>1.0309999999999999</v>
      </c>
      <c r="P82" s="114">
        <f t="shared" si="21"/>
        <v>1.4432</v>
      </c>
      <c r="Q82" s="114">
        <f>VLOOKUP(A82,'CMI Data'!$A$3:$Z$209,7,FALSE)</f>
        <v>0</v>
      </c>
      <c r="R82" s="120" t="e">
        <f>+'CMI Data'!$I$214</f>
        <v>#DIV/0!</v>
      </c>
      <c r="S82" s="106">
        <f>IF(Q82=0,'CMI Data'!$I$213,ROUND(Q82*R82,4))</f>
        <v>1.4061999999999999</v>
      </c>
      <c r="T82" s="105">
        <f>VLOOKUP(A82,'Rate Calculation'!$A$4:$DK$210,16,FALSE)</f>
        <v>158.97</v>
      </c>
      <c r="U82" s="105">
        <f>VLOOKUP(A82,'Rate Calculation'!$A$4:$DK$210,20,FALSE)</f>
        <v>0</v>
      </c>
      <c r="V82" s="113">
        <f t="shared" si="29"/>
        <v>0</v>
      </c>
      <c r="W82" s="105">
        <f t="shared" si="30"/>
        <v>0</v>
      </c>
      <c r="X82" s="111">
        <f t="shared" si="22"/>
        <v>0</v>
      </c>
      <c r="Y82" s="105">
        <f t="shared" si="31"/>
        <v>0</v>
      </c>
      <c r="Z82" s="105">
        <f t="shared" si="32"/>
        <v>216.82</v>
      </c>
      <c r="AA82" s="105">
        <f t="shared" si="33"/>
        <v>0</v>
      </c>
      <c r="AB82" s="111">
        <f t="shared" si="34"/>
        <v>-216.82</v>
      </c>
      <c r="AC82" s="105" t="e">
        <f t="shared" si="35"/>
        <v>#VALUE!</v>
      </c>
      <c r="AD82" s="105" t="e">
        <f t="shared" si="23"/>
        <v>#VALUE!</v>
      </c>
      <c r="AE82" s="105" t="e">
        <f t="shared" si="24"/>
        <v>#DIV/0!</v>
      </c>
      <c r="AF82" s="105" t="e">
        <f t="shared" si="25"/>
        <v>#VALUE!</v>
      </c>
      <c r="AG82" s="105" t="e">
        <f t="shared" si="26"/>
        <v>#VALUE!</v>
      </c>
      <c r="AH82" s="111"/>
      <c r="AI82" s="105"/>
      <c r="AJ82" s="105"/>
      <c r="AK82" s="109"/>
      <c r="AL82" s="109"/>
      <c r="AM82" s="109"/>
      <c r="AN82" s="109"/>
      <c r="AO82" s="105"/>
      <c r="AP82" s="105"/>
      <c r="AQ82" s="109"/>
      <c r="AR82" s="110"/>
      <c r="AS82" s="110"/>
      <c r="AT82" s="110"/>
      <c r="AU82" s="110"/>
      <c r="AV82" s="110"/>
      <c r="AW82" s="112"/>
      <c r="AX82" s="112"/>
      <c r="AY82" s="110"/>
      <c r="AZ82" s="105"/>
      <c r="BA82" s="105"/>
      <c r="BB82" s="105"/>
      <c r="BC82" s="105"/>
      <c r="BD82" s="105"/>
      <c r="BE82" s="105"/>
    </row>
    <row r="83" spans="1:57" x14ac:dyDescent="0.15">
      <c r="A83" s="101">
        <v>146</v>
      </c>
      <c r="B83" s="98" t="e">
        <f>VLOOKUP($A83,'Rate Calculation'!$A$4:$CS$210,68,FALSE)</f>
        <v>#REF!</v>
      </c>
      <c r="C83" s="98" t="str">
        <f>UPPER(VLOOKUP($A83,'Rate Calculation'!$A$4:$CL$210,69,FALSE))</f>
        <v>37733</v>
      </c>
      <c r="D83" s="104" t="str">
        <f>VLOOKUP($A83,'Rate Calculation'!$A$4:$AJ$210,5,FALSE)</f>
        <v>WESTERN REGION</v>
      </c>
      <c r="E83" s="104" t="str">
        <f>VLOOKUP($A83,'Rate Calculation'!$A$4:$AJ$210,6,FALSE)</f>
        <v>NON METRO</v>
      </c>
      <c r="F83" s="105">
        <f>VLOOKUP(A83,'Rate Calculation'!$A$3:$AT$210,35,FALSE)</f>
        <v>20562</v>
      </c>
      <c r="G83" s="105">
        <f>VLOOKUP(A83,'Rate Calculation'!$A$3:$AT$210,30,FALSE)</f>
        <v>24156</v>
      </c>
      <c r="H83" s="105">
        <f>VLOOKUP(A83,'Rate Calculation'!$A$3:$AW$210,36,FALSE)+VLOOKUP(A83,'Rate Calculation'!$A$3:$CC$210,42,FALSE)</f>
        <v>28623591</v>
      </c>
      <c r="I83" s="105">
        <f t="shared" si="27"/>
        <v>0</v>
      </c>
      <c r="J83" s="105" t="str">
        <f>VLOOKUP(A83,'Rate Calculation'!$A$3:$BL$210,43,FALSE)</f>
        <v>Egle Nursing and Rehabilitation Center</v>
      </c>
      <c r="K83" s="105">
        <f t="shared" si="36"/>
        <v>28668309</v>
      </c>
      <c r="L83" s="164">
        <f t="shared" si="20"/>
        <v>0.98772000000000004</v>
      </c>
      <c r="M83" s="105">
        <f t="shared" si="28"/>
        <v>28316262.170000002</v>
      </c>
      <c r="N83" s="105" t="e">
        <f>VLOOKUP(A83,'Rate Calculation'!$A$4:$DK$210,47,FALSE)</f>
        <v>#DIV/0!</v>
      </c>
      <c r="O83" s="106">
        <f>VLOOKUP(A83,'Rate Calculation'!$A$4:$DK$210,10,FALSE)</f>
        <v>1.0309999999999999</v>
      </c>
      <c r="P83" s="114">
        <f t="shared" si="21"/>
        <v>1.4432</v>
      </c>
      <c r="Q83" s="114">
        <f>VLOOKUP(A83,'CMI Data'!$A$3:$Z$209,7,FALSE)</f>
        <v>0</v>
      </c>
      <c r="R83" s="120" t="e">
        <f>+'CMI Data'!$I$214</f>
        <v>#DIV/0!</v>
      </c>
      <c r="S83" s="106">
        <f>IF(Q83=0,'CMI Data'!$I$213,ROUND(Q83*R83,4))</f>
        <v>1.4061999999999999</v>
      </c>
      <c r="T83" s="105">
        <f>VLOOKUP(A83,'Rate Calculation'!$A$4:$DK$210,16,FALSE)</f>
        <v>144.25</v>
      </c>
      <c r="U83" s="105">
        <f>VLOOKUP(A83,'Rate Calculation'!$A$4:$DK$210,20,FALSE)</f>
        <v>0</v>
      </c>
      <c r="V83" s="113">
        <f t="shared" si="29"/>
        <v>0</v>
      </c>
      <c r="W83" s="105">
        <f t="shared" si="30"/>
        <v>0</v>
      </c>
      <c r="X83" s="111">
        <f t="shared" si="22"/>
        <v>0</v>
      </c>
      <c r="Y83" s="105">
        <f t="shared" si="31"/>
        <v>0</v>
      </c>
      <c r="Z83" s="105">
        <f t="shared" si="32"/>
        <v>196.75</v>
      </c>
      <c r="AA83" s="105">
        <f t="shared" si="33"/>
        <v>0</v>
      </c>
      <c r="AB83" s="111">
        <f t="shared" si="34"/>
        <v>-196.75</v>
      </c>
      <c r="AC83" s="105" t="e">
        <f t="shared" si="35"/>
        <v>#VALUE!</v>
      </c>
      <c r="AD83" s="105" t="e">
        <f t="shared" si="23"/>
        <v>#VALUE!</v>
      </c>
      <c r="AE83" s="105" t="e">
        <f t="shared" si="24"/>
        <v>#DIV/0!</v>
      </c>
      <c r="AF83" s="105" t="e">
        <f t="shared" si="25"/>
        <v>#VALUE!</v>
      </c>
      <c r="AG83" s="105" t="e">
        <f t="shared" si="26"/>
        <v>#VALUE!</v>
      </c>
      <c r="AH83" s="111"/>
      <c r="AI83" s="105"/>
      <c r="AJ83" s="105"/>
      <c r="AK83" s="109"/>
      <c r="AL83" s="109"/>
      <c r="AM83" s="109"/>
      <c r="AN83" s="109"/>
      <c r="AO83" s="105"/>
      <c r="AP83" s="105"/>
      <c r="AQ83" s="109"/>
      <c r="AR83" s="110"/>
      <c r="AS83" s="110"/>
      <c r="AT83" s="110"/>
      <c r="AU83" s="110"/>
      <c r="AV83" s="110"/>
      <c r="AW83" s="112"/>
      <c r="AX83" s="112"/>
      <c r="AY83" s="110"/>
      <c r="AZ83" s="105"/>
      <c r="BA83" s="105"/>
      <c r="BB83" s="105"/>
      <c r="BC83" s="105"/>
      <c r="BD83" s="105"/>
      <c r="BE83" s="105"/>
    </row>
    <row r="84" spans="1:57" x14ac:dyDescent="0.15">
      <c r="A84" s="101">
        <v>434</v>
      </c>
      <c r="B84" s="98" t="e">
        <f>VLOOKUP($A84,'Rate Calculation'!$A$4:$CS$210,68,FALSE)</f>
        <v>#REF!</v>
      </c>
      <c r="C84" s="98" t="str">
        <f>UPPER(VLOOKUP($A84,'Rate Calculation'!$A$4:$CL$210,69,FALSE))</f>
        <v>226970</v>
      </c>
      <c r="D84" s="104" t="str">
        <f>VLOOKUP($A84,'Rate Calculation'!$A$4:$AJ$210,5,FALSE)</f>
        <v>BALTIMORE METRO</v>
      </c>
      <c r="E84" s="104" t="str">
        <f>VLOOKUP($A84,'Rate Calculation'!$A$4:$AJ$210,6,FALSE)</f>
        <v>NON METRO</v>
      </c>
      <c r="F84" s="105">
        <f>VLOOKUP(A84,'Rate Calculation'!$A$3:$AT$210,35,FALSE)</f>
        <v>49379</v>
      </c>
      <c r="G84" s="105">
        <f>VLOOKUP(A84,'Rate Calculation'!$A$3:$AT$210,30,FALSE)</f>
        <v>64782</v>
      </c>
      <c r="H84" s="105">
        <f>VLOOKUP(A84,'Rate Calculation'!$A$3:$AW$210,36,FALSE)+VLOOKUP(A84,'Rate Calculation'!$A$3:$CC$210,42,FALSE)</f>
        <v>170094061</v>
      </c>
      <c r="I84" s="105">
        <f t="shared" si="27"/>
        <v>-23.38</v>
      </c>
      <c r="J84" s="105" t="str">
        <f>VLOOKUP(A84,'Rate Calculation'!$A$3:$BL$210,43,FALSE)</f>
        <v>Elkton Nursing and Rehabilitation Center</v>
      </c>
      <c r="K84" s="105">
        <f t="shared" si="36"/>
        <v>170208198.62</v>
      </c>
      <c r="L84" s="164">
        <f t="shared" si="20"/>
        <v>0.98772000000000004</v>
      </c>
      <c r="M84" s="105">
        <f t="shared" si="28"/>
        <v>168118041.94</v>
      </c>
      <c r="N84" s="105" t="e">
        <f>VLOOKUP(A84,'Rate Calculation'!$A$4:$DK$210,47,FALSE)</f>
        <v>#DIV/0!</v>
      </c>
      <c r="O84" s="106">
        <f>VLOOKUP(A84,'Rate Calculation'!$A$4:$DK$210,10,FALSE)</f>
        <v>1.0309999999999999</v>
      </c>
      <c r="P84" s="114">
        <f t="shared" si="21"/>
        <v>1.4432</v>
      </c>
      <c r="Q84" s="114">
        <f>VLOOKUP(A84,'CMI Data'!$A$3:$Z$209,7,FALSE)</f>
        <v>0</v>
      </c>
      <c r="R84" s="120" t="e">
        <f>+'CMI Data'!$I$214</f>
        <v>#DIV/0!</v>
      </c>
      <c r="S84" s="106">
        <f>IF(Q84=0,'CMI Data'!$I$213,ROUND(Q84*R84,4))</f>
        <v>1.4061999999999999</v>
      </c>
      <c r="T84" s="105">
        <f>VLOOKUP(A84,'Rate Calculation'!$A$4:$DK$210,16,FALSE)</f>
        <v>183.21</v>
      </c>
      <c r="U84" s="105">
        <f>VLOOKUP(A84,'Rate Calculation'!$A$4:$DK$210,20,FALSE)</f>
        <v>-23.99</v>
      </c>
      <c r="V84" s="113">
        <f t="shared" si="29"/>
        <v>-17.14</v>
      </c>
      <c r="W84" s="105">
        <f t="shared" si="30"/>
        <v>-23.38</v>
      </c>
      <c r="X84" s="111">
        <f t="shared" si="22"/>
        <v>0</v>
      </c>
      <c r="Y84" s="105">
        <f t="shared" si="31"/>
        <v>-23.38</v>
      </c>
      <c r="Z84" s="105">
        <f t="shared" si="32"/>
        <v>249.88</v>
      </c>
      <c r="AA84" s="105">
        <f t="shared" si="33"/>
        <v>-22.21</v>
      </c>
      <c r="AB84" s="111">
        <f t="shared" si="34"/>
        <v>-272.08999999999997</v>
      </c>
      <c r="AC84" s="105" t="e">
        <f t="shared" si="35"/>
        <v>#VALUE!</v>
      </c>
      <c r="AD84" s="105" t="e">
        <f t="shared" si="23"/>
        <v>#VALUE!</v>
      </c>
      <c r="AE84" s="105" t="e">
        <f t="shared" si="24"/>
        <v>#DIV/0!</v>
      </c>
      <c r="AF84" s="105" t="e">
        <f t="shared" si="25"/>
        <v>#VALUE!</v>
      </c>
      <c r="AG84" s="105" t="e">
        <f t="shared" si="26"/>
        <v>#VALUE!</v>
      </c>
      <c r="AH84" s="111"/>
      <c r="AI84" s="105"/>
      <c r="AJ84" s="105"/>
      <c r="AK84" s="109"/>
      <c r="AL84" s="109"/>
      <c r="AM84" s="109"/>
      <c r="AN84" s="109"/>
      <c r="AO84" s="105"/>
      <c r="AP84" s="105"/>
      <c r="AQ84" s="109"/>
      <c r="AR84" s="110"/>
      <c r="AS84" s="110"/>
      <c r="AT84" s="110"/>
      <c r="AU84" s="110"/>
      <c r="AV84" s="110"/>
      <c r="AW84" s="112"/>
      <c r="AX84" s="112"/>
      <c r="AY84" s="110"/>
      <c r="AZ84" s="105"/>
      <c r="BA84" s="105"/>
      <c r="BB84" s="105"/>
      <c r="BC84" s="105"/>
      <c r="BD84" s="105"/>
      <c r="BE84" s="105"/>
    </row>
    <row r="85" spans="1:57" x14ac:dyDescent="0.15">
      <c r="A85" s="101">
        <v>733</v>
      </c>
      <c r="B85" s="98" t="e">
        <f>VLOOKUP($A85,'Rate Calculation'!$A$4:$CS$210,68,FALSE)</f>
        <v>#REF!</v>
      </c>
      <c r="C85" s="98" t="str">
        <f>UPPER(VLOOKUP($A85,'Rate Calculation'!$A$4:$CL$210,69,FALSE))</f>
        <v>192711</v>
      </c>
      <c r="D85" s="104" t="str">
        <f>VLOOKUP($A85,'Rate Calculation'!$A$4:$AJ$210,5,FALSE)</f>
        <v>BALTIMORE METRO</v>
      </c>
      <c r="E85" s="104" t="str">
        <f>VLOOKUP($A85,'Rate Calculation'!$A$4:$AJ$210,6,FALSE)</f>
        <v>BALTIMORE METRO</v>
      </c>
      <c r="F85" s="105">
        <f>VLOOKUP(A85,'Rate Calculation'!$A$3:$AT$210,35,FALSE)</f>
        <v>56611</v>
      </c>
      <c r="G85" s="105">
        <f>VLOOKUP(A85,'Rate Calculation'!$A$3:$AT$210,30,FALSE)</f>
        <v>66612</v>
      </c>
      <c r="H85" s="105">
        <f>VLOOKUP(A85,'Rate Calculation'!$A$3:$AW$210,36,FALSE)+VLOOKUP(A85,'Rate Calculation'!$A$3:$CC$210,42,FALSE)</f>
        <v>414487339</v>
      </c>
      <c r="I85" s="105">
        <f t="shared" si="27"/>
        <v>-44.59</v>
      </c>
      <c r="J85" s="105" t="str">
        <f>VLOOKUP(A85,'Rate Calculation'!$A$3:$BL$210,43,FALSE)</f>
        <v>Ellicott City Health and Rehabilitation Center</v>
      </c>
      <c r="K85" s="105">
        <f t="shared" si="36"/>
        <v>414610517.41000003</v>
      </c>
      <c r="L85" s="164">
        <f t="shared" si="20"/>
        <v>0.98772000000000004</v>
      </c>
      <c r="M85" s="105">
        <f t="shared" si="28"/>
        <v>409519100.25999999</v>
      </c>
      <c r="N85" s="105" t="e">
        <f>VLOOKUP(A85,'Rate Calculation'!$A$4:$DK$210,47,FALSE)</f>
        <v>#DIV/0!</v>
      </c>
      <c r="O85" s="106">
        <f>VLOOKUP(A85,'Rate Calculation'!$A$4:$DK$210,10,FALSE)</f>
        <v>1.0309999999999999</v>
      </c>
      <c r="P85" s="114">
        <f t="shared" si="21"/>
        <v>1.4432</v>
      </c>
      <c r="Q85" s="114">
        <f>VLOOKUP(A85,'CMI Data'!$A$3:$Z$209,7,FALSE)</f>
        <v>0</v>
      </c>
      <c r="R85" s="120" t="e">
        <f>+'CMI Data'!$I$214</f>
        <v>#DIV/0!</v>
      </c>
      <c r="S85" s="106">
        <f>IF(Q85=0,'CMI Data'!$I$213,ROUND(Q85*R85,4))</f>
        <v>1.4061999999999999</v>
      </c>
      <c r="T85" s="105">
        <f>VLOOKUP(A85,'Rate Calculation'!$A$4:$DK$210,16,FALSE)</f>
        <v>173.71</v>
      </c>
      <c r="U85" s="105">
        <f>VLOOKUP(A85,'Rate Calculation'!$A$4:$DK$210,20,FALSE)</f>
        <v>-45.76</v>
      </c>
      <c r="V85" s="113">
        <f t="shared" si="29"/>
        <v>-32.69</v>
      </c>
      <c r="W85" s="105">
        <f t="shared" si="30"/>
        <v>-44.59</v>
      </c>
      <c r="X85" s="111">
        <f t="shared" si="22"/>
        <v>0</v>
      </c>
      <c r="Y85" s="105">
        <f t="shared" si="31"/>
        <v>-44.59</v>
      </c>
      <c r="Z85" s="105">
        <f t="shared" si="32"/>
        <v>236.93</v>
      </c>
      <c r="AA85" s="105">
        <f t="shared" si="33"/>
        <v>-42.36</v>
      </c>
      <c r="AB85" s="111">
        <f t="shared" si="34"/>
        <v>-279.29000000000002</v>
      </c>
      <c r="AC85" s="105" t="e">
        <f t="shared" si="35"/>
        <v>#VALUE!</v>
      </c>
      <c r="AD85" s="105" t="e">
        <f t="shared" si="23"/>
        <v>#VALUE!</v>
      </c>
      <c r="AE85" s="105" t="e">
        <f t="shared" si="24"/>
        <v>#DIV/0!</v>
      </c>
      <c r="AF85" s="105" t="e">
        <f t="shared" si="25"/>
        <v>#VALUE!</v>
      </c>
      <c r="AG85" s="105" t="e">
        <f t="shared" si="26"/>
        <v>#VALUE!</v>
      </c>
      <c r="AH85" s="111"/>
      <c r="AI85" s="105"/>
      <c r="AJ85" s="105"/>
      <c r="AK85" s="109"/>
      <c r="AL85" s="109"/>
      <c r="AM85" s="109"/>
      <c r="AN85" s="109"/>
      <c r="AO85" s="105"/>
      <c r="AP85" s="105"/>
      <c r="AQ85" s="109"/>
      <c r="AR85" s="110"/>
      <c r="AS85" s="110"/>
      <c r="AT85" s="110"/>
      <c r="AU85" s="110"/>
      <c r="AV85" s="110"/>
      <c r="AW85" s="112"/>
      <c r="AX85" s="112"/>
      <c r="AY85" s="110"/>
      <c r="AZ85" s="105"/>
      <c r="BA85" s="105"/>
      <c r="BB85" s="105"/>
      <c r="BC85" s="105"/>
      <c r="BD85" s="105"/>
      <c r="BE85" s="105"/>
    </row>
    <row r="86" spans="1:57" x14ac:dyDescent="0.15">
      <c r="A86" s="101">
        <v>1132</v>
      </c>
      <c r="B86" s="98" t="e">
        <f>VLOOKUP($A86,'Rate Calculation'!$A$4:$CS$210,68,FALSE)</f>
        <v>#REF!</v>
      </c>
      <c r="C86" s="98" t="str">
        <f>UPPER(VLOOKUP($A86,'Rate Calculation'!$A$4:$CL$210,69,FALSE))</f>
        <v>73583</v>
      </c>
      <c r="D86" s="104" t="str">
        <f>VLOOKUP($A86,'Rate Calculation'!$A$4:$AJ$210,5,FALSE)</f>
        <v>BALTIMORE METRO</v>
      </c>
      <c r="E86" s="104" t="str">
        <f>VLOOKUP($A86,'Rate Calculation'!$A$4:$AJ$210,6,FALSE)</f>
        <v>BALTIMORE METRO</v>
      </c>
      <c r="F86" s="105">
        <f>VLOOKUP(A86,'Rate Calculation'!$A$3:$AT$210,35,FALSE)</f>
        <v>21405</v>
      </c>
      <c r="G86" s="105">
        <f>VLOOKUP(A86,'Rate Calculation'!$A$3:$AT$210,30,FALSE)</f>
        <v>33306</v>
      </c>
      <c r="H86" s="105">
        <f>VLOOKUP(A86,'Rate Calculation'!$A$3:$AW$210,36,FALSE)+VLOOKUP(A86,'Rate Calculation'!$A$3:$CC$210,42,FALSE)</f>
        <v>418790037</v>
      </c>
      <c r="I86" s="105">
        <f t="shared" si="27"/>
        <v>0</v>
      </c>
      <c r="J86" s="105" t="str">
        <f>VLOOKUP(A86,'Rate Calculation'!$A$3:$BL$210,43,FALSE)</f>
        <v>Encore at Turf Valley</v>
      </c>
      <c r="K86" s="105">
        <f t="shared" si="36"/>
        <v>418844748</v>
      </c>
      <c r="L86" s="164">
        <f t="shared" si="20"/>
        <v>0.98772000000000004</v>
      </c>
      <c r="M86" s="105">
        <f t="shared" si="28"/>
        <v>413701334.49000001</v>
      </c>
      <c r="N86" s="105" t="e">
        <f>VLOOKUP(A86,'Rate Calculation'!$A$4:$DK$210,47,FALSE)</f>
        <v>#DIV/0!</v>
      </c>
      <c r="O86" s="106">
        <f>VLOOKUP(A86,'Rate Calculation'!$A$4:$DK$210,10,FALSE)</f>
        <v>1.0309999999999999</v>
      </c>
      <c r="P86" s="114">
        <f t="shared" si="21"/>
        <v>1.4432</v>
      </c>
      <c r="Q86" s="114">
        <f>VLOOKUP(A86,'CMI Data'!$A$3:$Z$209,7,FALSE)</f>
        <v>0</v>
      </c>
      <c r="R86" s="120" t="e">
        <f>+'CMI Data'!$I$214</f>
        <v>#DIV/0!</v>
      </c>
      <c r="S86" s="106">
        <f>IF(Q86=0,'CMI Data'!$I$213,ROUND(Q86*R86,4))</f>
        <v>1.4061999999999999</v>
      </c>
      <c r="T86" s="105">
        <f>VLOOKUP(A86,'Rate Calculation'!$A$4:$DK$210,16,FALSE)</f>
        <v>200.13</v>
      </c>
      <c r="U86" s="105">
        <f>VLOOKUP(A86,'Rate Calculation'!$A$4:$DK$210,20,FALSE)</f>
        <v>0</v>
      </c>
      <c r="V86" s="113">
        <f t="shared" si="29"/>
        <v>0</v>
      </c>
      <c r="W86" s="105">
        <f t="shared" si="30"/>
        <v>0</v>
      </c>
      <c r="X86" s="111">
        <f t="shared" si="22"/>
        <v>0</v>
      </c>
      <c r="Y86" s="105">
        <f t="shared" si="31"/>
        <v>0</v>
      </c>
      <c r="Z86" s="105">
        <f t="shared" si="32"/>
        <v>272.95999999999998</v>
      </c>
      <c r="AA86" s="105">
        <f t="shared" si="33"/>
        <v>0</v>
      </c>
      <c r="AB86" s="111">
        <f t="shared" si="34"/>
        <v>-272.95999999999998</v>
      </c>
      <c r="AC86" s="105" t="e">
        <f t="shared" si="35"/>
        <v>#VALUE!</v>
      </c>
      <c r="AD86" s="105" t="e">
        <f t="shared" si="23"/>
        <v>#VALUE!</v>
      </c>
      <c r="AE86" s="105" t="e">
        <f t="shared" si="24"/>
        <v>#DIV/0!</v>
      </c>
      <c r="AF86" s="105" t="e">
        <f t="shared" si="25"/>
        <v>#VALUE!</v>
      </c>
      <c r="AG86" s="105" t="e">
        <f t="shared" si="26"/>
        <v>#VALUE!</v>
      </c>
      <c r="AH86" s="111"/>
      <c r="AI86" s="105"/>
      <c r="AJ86" s="105"/>
      <c r="AK86" s="109"/>
      <c r="AL86" s="109"/>
      <c r="AM86" s="109"/>
      <c r="AN86" s="109"/>
      <c r="AO86" s="105"/>
      <c r="AP86" s="105"/>
      <c r="AQ86" s="109"/>
      <c r="AR86" s="110"/>
      <c r="AS86" s="110"/>
      <c r="AT86" s="110"/>
      <c r="AU86" s="110"/>
      <c r="AV86" s="110"/>
      <c r="AW86" s="112"/>
      <c r="AX86" s="112"/>
      <c r="AY86" s="110"/>
      <c r="AZ86" s="105"/>
      <c r="BA86" s="105"/>
      <c r="BB86" s="105"/>
      <c r="BC86" s="105"/>
      <c r="BD86" s="105"/>
      <c r="BE86" s="105"/>
    </row>
    <row r="87" spans="1:57" x14ac:dyDescent="0.15">
      <c r="A87" s="101">
        <v>150</v>
      </c>
      <c r="B87" s="98" t="e">
        <f>VLOOKUP($A87,'Rate Calculation'!$A$4:$CS$210,68,FALSE)</f>
        <v>#REF!</v>
      </c>
      <c r="C87" s="98" t="str">
        <f>UPPER(VLOOKUP($A87,'Rate Calculation'!$A$4:$CL$210,69,FALSE))</f>
        <v>0</v>
      </c>
      <c r="D87" s="104" t="str">
        <f>VLOOKUP($A87,'Rate Calculation'!$A$4:$AJ$210,5,FALSE)</f>
        <v>WESTERN REGION</v>
      </c>
      <c r="E87" s="104" t="str">
        <f>VLOOKUP($A87,'Rate Calculation'!$A$4:$AJ$210,6,FALSE)</f>
        <v>NON METRO</v>
      </c>
      <c r="F87" s="105">
        <f>VLOOKUP(A87,'Rate Calculation'!$A$3:$AT$210,35,FALSE)</f>
        <v>0</v>
      </c>
      <c r="G87" s="105">
        <f>VLOOKUP(A87,'Rate Calculation'!$A$3:$AT$210,30,FALSE)</f>
        <v>36966</v>
      </c>
      <c r="H87" s="105">
        <f>VLOOKUP(A87,'Rate Calculation'!$A$3:$AW$210,36,FALSE)+VLOOKUP(A87,'Rate Calculation'!$A$3:$CC$210,42,FALSE)</f>
        <v>217287900</v>
      </c>
      <c r="I87" s="105">
        <f t="shared" si="27"/>
        <v>0</v>
      </c>
      <c r="J87" s="105" t="str">
        <f>VLOOKUP(A87,'Rate Calculation'!$A$3:$BL$210,43,FALSE)</f>
        <v>Fahrney-Keedy Memorial Home for the Aged, Inc.</v>
      </c>
      <c r="K87" s="105">
        <f t="shared" si="36"/>
        <v>217324866</v>
      </c>
      <c r="L87" s="164">
        <f t="shared" si="20"/>
        <v>0.98772000000000004</v>
      </c>
      <c r="M87" s="105">
        <f t="shared" si="28"/>
        <v>214656116.65000001</v>
      </c>
      <c r="N87" s="105" t="e">
        <f>VLOOKUP(A87,'Rate Calculation'!$A$4:$DK$210,47,FALSE)</f>
        <v>#DIV/0!</v>
      </c>
      <c r="O87" s="106">
        <f>VLOOKUP(A87,'Rate Calculation'!$A$4:$DK$210,10,FALSE)</f>
        <v>1.0309999999999999</v>
      </c>
      <c r="P87" s="114">
        <f t="shared" si="21"/>
        <v>1.4432</v>
      </c>
      <c r="Q87" s="114">
        <f>VLOOKUP(A87,'CMI Data'!$A$3:$Z$209,7,FALSE)</f>
        <v>0</v>
      </c>
      <c r="R87" s="120" t="e">
        <f>+'CMI Data'!$I$214</f>
        <v>#DIV/0!</v>
      </c>
      <c r="S87" s="106">
        <f>IF(Q87=0,'CMI Data'!$I$213,ROUND(Q87*R87,4))</f>
        <v>1.4061999999999999</v>
      </c>
      <c r="T87" s="105">
        <f>VLOOKUP(A87,'Rate Calculation'!$A$4:$DK$210,16,FALSE)</f>
        <v>153.47999999999999</v>
      </c>
      <c r="U87" s="105">
        <f>VLOOKUP(A87,'Rate Calculation'!$A$4:$DK$210,20,FALSE)</f>
        <v>0</v>
      </c>
      <c r="V87" s="113">
        <f t="shared" si="29"/>
        <v>0</v>
      </c>
      <c r="W87" s="105">
        <f t="shared" si="30"/>
        <v>0</v>
      </c>
      <c r="X87" s="111">
        <f t="shared" si="22"/>
        <v>0</v>
      </c>
      <c r="Y87" s="105">
        <f t="shared" si="31"/>
        <v>0</v>
      </c>
      <c r="Z87" s="105">
        <f t="shared" si="32"/>
        <v>209.33</v>
      </c>
      <c r="AA87" s="105">
        <f t="shared" si="33"/>
        <v>0</v>
      </c>
      <c r="AB87" s="111">
        <f t="shared" si="34"/>
        <v>-209.33</v>
      </c>
      <c r="AC87" s="105" t="e">
        <f t="shared" si="35"/>
        <v>#VALUE!</v>
      </c>
      <c r="AD87" s="105" t="e">
        <f t="shared" si="23"/>
        <v>#VALUE!</v>
      </c>
      <c r="AE87" s="105" t="e">
        <f t="shared" si="24"/>
        <v>#DIV/0!</v>
      </c>
      <c r="AF87" s="105" t="e">
        <f t="shared" si="25"/>
        <v>#VALUE!</v>
      </c>
      <c r="AG87" s="105" t="e">
        <f t="shared" si="26"/>
        <v>#VALUE!</v>
      </c>
      <c r="AH87" s="111"/>
      <c r="AI87" s="105"/>
      <c r="AJ87" s="105"/>
      <c r="AK87" s="109"/>
      <c r="AL87" s="109"/>
      <c r="AM87" s="109"/>
      <c r="AN87" s="109"/>
      <c r="AO87" s="105"/>
      <c r="AP87" s="105"/>
      <c r="AQ87" s="109"/>
      <c r="AR87" s="110"/>
      <c r="AS87" s="110"/>
      <c r="AT87" s="110"/>
      <c r="AU87" s="110"/>
      <c r="AV87" s="110"/>
      <c r="AW87" s="112"/>
      <c r="AX87" s="112"/>
      <c r="AY87" s="110"/>
      <c r="AZ87" s="105"/>
      <c r="BA87" s="105"/>
      <c r="BB87" s="105"/>
      <c r="BC87" s="105"/>
      <c r="BD87" s="105"/>
      <c r="BE87" s="105"/>
    </row>
    <row r="88" spans="1:57" x14ac:dyDescent="0.15">
      <c r="A88" s="101">
        <v>152</v>
      </c>
      <c r="B88" s="98" t="e">
        <f>VLOOKUP($A88,'Rate Calculation'!$A$4:$CS$210,68,FALSE)</f>
        <v>#REF!</v>
      </c>
      <c r="C88" s="98" t="str">
        <f>UPPER(VLOOKUP($A88,'Rate Calculation'!$A$4:$CL$210,69,FALSE))</f>
        <v>88005</v>
      </c>
      <c r="D88" s="104" t="str">
        <f>VLOOKUP($A88,'Rate Calculation'!$A$4:$AJ$210,5,FALSE)</f>
        <v>BALTIMORE METRO</v>
      </c>
      <c r="E88" s="104" t="str">
        <f>VLOOKUP($A88,'Rate Calculation'!$A$4:$AJ$210,6,FALSE)</f>
        <v>BALTIMORE METRO</v>
      </c>
      <c r="F88" s="105">
        <f>VLOOKUP(A88,'Rate Calculation'!$A$3:$AT$210,35,FALSE)</f>
        <v>20410</v>
      </c>
      <c r="G88" s="105">
        <f>VLOOKUP(A88,'Rate Calculation'!$A$3:$AT$210,30,FALSE)</f>
        <v>35136</v>
      </c>
      <c r="H88" s="105">
        <f>VLOOKUP(A88,'Rate Calculation'!$A$3:$AW$210,36,FALSE)+VLOOKUP(A88,'Rate Calculation'!$A$3:$CC$210,42,FALSE)</f>
        <v>300183882</v>
      </c>
      <c r="I88" s="105">
        <f t="shared" si="27"/>
        <v>-14.57</v>
      </c>
      <c r="J88" s="105" t="str">
        <f>VLOOKUP(A88,'Rate Calculation'!$A$3:$BL$210,43,FALSE)</f>
        <v>Fairfield Nursing and Rehabilitation Center</v>
      </c>
      <c r="K88" s="105">
        <f t="shared" si="36"/>
        <v>300239413.43000001</v>
      </c>
      <c r="L88" s="164">
        <f t="shared" si="20"/>
        <v>0.98772000000000004</v>
      </c>
      <c r="M88" s="105">
        <f t="shared" si="28"/>
        <v>296552473.43000001</v>
      </c>
      <c r="N88" s="105" t="e">
        <f>VLOOKUP(A88,'Rate Calculation'!$A$4:$DK$210,47,FALSE)</f>
        <v>#DIV/0!</v>
      </c>
      <c r="O88" s="106">
        <f>VLOOKUP(A88,'Rate Calculation'!$A$4:$DK$210,10,FALSE)</f>
        <v>1.0309999999999999</v>
      </c>
      <c r="P88" s="114">
        <f t="shared" si="21"/>
        <v>1.4432</v>
      </c>
      <c r="Q88" s="114">
        <f>VLOOKUP(A88,'CMI Data'!$A$3:$Z$209,7,FALSE)</f>
        <v>0</v>
      </c>
      <c r="R88" s="120" t="e">
        <f>+'CMI Data'!$I$214</f>
        <v>#DIV/0!</v>
      </c>
      <c r="S88" s="106">
        <f>IF(Q88=0,'CMI Data'!$I$213,ROUND(Q88*R88,4))</f>
        <v>1.4061999999999999</v>
      </c>
      <c r="T88" s="105">
        <f>VLOOKUP(A88,'Rate Calculation'!$A$4:$DK$210,16,FALSE)</f>
        <v>162.16999999999999</v>
      </c>
      <c r="U88" s="105">
        <f>VLOOKUP(A88,'Rate Calculation'!$A$4:$DK$210,20,FALSE)</f>
        <v>-14.95</v>
      </c>
      <c r="V88" s="113">
        <f t="shared" si="29"/>
        <v>-10.68</v>
      </c>
      <c r="W88" s="105">
        <f t="shared" si="30"/>
        <v>-14.57</v>
      </c>
      <c r="X88" s="111">
        <f t="shared" si="22"/>
        <v>0</v>
      </c>
      <c r="Y88" s="105">
        <f t="shared" si="31"/>
        <v>-14.57</v>
      </c>
      <c r="Z88" s="105">
        <f t="shared" si="32"/>
        <v>221.19</v>
      </c>
      <c r="AA88" s="105">
        <f t="shared" si="33"/>
        <v>-13.84</v>
      </c>
      <c r="AB88" s="111">
        <f t="shared" si="34"/>
        <v>-235.03</v>
      </c>
      <c r="AC88" s="105" t="e">
        <f t="shared" si="35"/>
        <v>#VALUE!</v>
      </c>
      <c r="AD88" s="105" t="e">
        <f t="shared" si="23"/>
        <v>#VALUE!</v>
      </c>
      <c r="AE88" s="105" t="e">
        <f t="shared" si="24"/>
        <v>#DIV/0!</v>
      </c>
      <c r="AF88" s="105" t="e">
        <f t="shared" si="25"/>
        <v>#VALUE!</v>
      </c>
      <c r="AG88" s="105" t="e">
        <f t="shared" si="26"/>
        <v>#VALUE!</v>
      </c>
      <c r="AH88" s="111"/>
      <c r="AI88" s="105"/>
      <c r="AJ88" s="105"/>
      <c r="AK88" s="109"/>
      <c r="AL88" s="109"/>
      <c r="AM88" s="109"/>
      <c r="AN88" s="109"/>
      <c r="AO88" s="105"/>
      <c r="AP88" s="105"/>
      <c r="AQ88" s="109"/>
      <c r="AR88" s="110"/>
      <c r="AS88" s="110"/>
      <c r="AT88" s="110"/>
      <c r="AU88" s="110"/>
      <c r="AV88" s="110"/>
      <c r="AW88" s="112"/>
      <c r="AX88" s="112"/>
      <c r="AY88" s="110"/>
      <c r="AZ88" s="105"/>
      <c r="BA88" s="105"/>
      <c r="BB88" s="105"/>
      <c r="BC88" s="105"/>
      <c r="BD88" s="105"/>
      <c r="BE88" s="105"/>
    </row>
    <row r="89" spans="1:57" x14ac:dyDescent="0.15">
      <c r="A89" s="101">
        <v>1324</v>
      </c>
      <c r="B89" s="98" t="e">
        <f>VLOOKUP($A89,'Rate Calculation'!$A$4:$CS$210,68,FALSE)</f>
        <v>#REF!</v>
      </c>
      <c r="C89" s="98" t="str">
        <f>UPPER(VLOOKUP($A89,'Rate Calculation'!$A$4:$CL$210,69,FALSE))</f>
        <v>22982</v>
      </c>
      <c r="D89" s="104" t="str">
        <f>VLOOKUP($A89,'Rate Calculation'!$A$4:$AJ$210,5,FALSE)</f>
        <v>BALTIMORE METRO</v>
      </c>
      <c r="E89" s="104" t="str">
        <f>VLOOKUP($A89,'Rate Calculation'!$A$4:$AJ$210,6,FALSE)</f>
        <v>BALTIMORE METRO</v>
      </c>
      <c r="F89" s="105">
        <f>VLOOKUP(A89,'Rate Calculation'!$A$3:$AT$210,35,FALSE)</f>
        <v>0</v>
      </c>
      <c r="G89" s="105">
        <f>VLOOKUP(A89,'Rate Calculation'!$A$3:$AT$210,30,FALSE)</f>
        <v>28914</v>
      </c>
      <c r="H89" s="105">
        <f>VLOOKUP(A89,'Rate Calculation'!$A$3:$AW$210,36,FALSE)+VLOOKUP(A89,'Rate Calculation'!$A$3:$CC$210,42,FALSE)</f>
        <v>424902000</v>
      </c>
      <c r="I89" s="105">
        <f t="shared" si="27"/>
        <v>0</v>
      </c>
      <c r="J89" s="105" t="str">
        <f>VLOOKUP(A89,'Rate Calculation'!$A$3:$BL$210,43,FALSE)</f>
        <v>Fairhaven</v>
      </c>
      <c r="K89" s="105">
        <f t="shared" si="36"/>
        <v>424930914</v>
      </c>
      <c r="L89" s="164">
        <f t="shared" si="20"/>
        <v>0.98772000000000004</v>
      </c>
      <c r="M89" s="105">
        <f t="shared" si="28"/>
        <v>419712762.38</v>
      </c>
      <c r="N89" s="105" t="e">
        <f>VLOOKUP(A89,'Rate Calculation'!$A$4:$DK$210,47,FALSE)</f>
        <v>#DIV/0!</v>
      </c>
      <c r="O89" s="106">
        <f>VLOOKUP(A89,'Rate Calculation'!$A$4:$DK$210,10,FALSE)</f>
        <v>1.0309999999999999</v>
      </c>
      <c r="P89" s="114">
        <f t="shared" si="21"/>
        <v>1.4432</v>
      </c>
      <c r="Q89" s="114">
        <f>VLOOKUP(A89,'CMI Data'!$A$3:$Z$209,7,FALSE)</f>
        <v>0</v>
      </c>
      <c r="R89" s="120" t="e">
        <f>+'CMI Data'!$I$214</f>
        <v>#DIV/0!</v>
      </c>
      <c r="S89" s="106">
        <f>IF(Q89=0,'CMI Data'!$I$213,ROUND(Q89*R89,4))</f>
        <v>1.4061999999999999</v>
      </c>
      <c r="T89" s="105">
        <f>VLOOKUP(A89,'Rate Calculation'!$A$4:$DK$210,16,FALSE)</f>
        <v>123.49</v>
      </c>
      <c r="U89" s="105">
        <f>VLOOKUP(A89,'Rate Calculation'!$A$4:$DK$210,20,FALSE)</f>
        <v>0</v>
      </c>
      <c r="V89" s="113">
        <f t="shared" si="29"/>
        <v>0</v>
      </c>
      <c r="W89" s="105">
        <f t="shared" si="30"/>
        <v>0</v>
      </c>
      <c r="X89" s="111">
        <f t="shared" si="22"/>
        <v>0</v>
      </c>
      <c r="Y89" s="105">
        <f t="shared" si="31"/>
        <v>0</v>
      </c>
      <c r="Z89" s="105">
        <f t="shared" si="32"/>
        <v>168.43</v>
      </c>
      <c r="AA89" s="105">
        <f t="shared" si="33"/>
        <v>0</v>
      </c>
      <c r="AB89" s="111">
        <f t="shared" si="34"/>
        <v>-168.43</v>
      </c>
      <c r="AC89" s="105" t="e">
        <f t="shared" si="35"/>
        <v>#VALUE!</v>
      </c>
      <c r="AD89" s="105" t="e">
        <f t="shared" si="23"/>
        <v>#VALUE!</v>
      </c>
      <c r="AE89" s="105" t="e">
        <f t="shared" si="24"/>
        <v>#DIV/0!</v>
      </c>
      <c r="AF89" s="105" t="e">
        <f t="shared" si="25"/>
        <v>#VALUE!</v>
      </c>
      <c r="AG89" s="105" t="e">
        <f t="shared" si="26"/>
        <v>#VALUE!</v>
      </c>
      <c r="AH89" s="111"/>
      <c r="AI89" s="105"/>
      <c r="AJ89" s="105"/>
      <c r="AK89" s="109"/>
      <c r="AL89" s="109"/>
      <c r="AM89" s="109"/>
      <c r="AN89" s="109"/>
      <c r="AO89" s="105"/>
      <c r="AP89" s="105"/>
      <c r="AQ89" s="109"/>
      <c r="AR89" s="110"/>
      <c r="AS89" s="110"/>
      <c r="AT89" s="110"/>
      <c r="AU89" s="110"/>
      <c r="AV89" s="110"/>
      <c r="AW89" s="112"/>
      <c r="AX89" s="112"/>
      <c r="AY89" s="110"/>
      <c r="AZ89" s="105"/>
      <c r="BA89" s="105"/>
      <c r="BB89" s="105"/>
      <c r="BC89" s="105"/>
      <c r="BD89" s="105"/>
      <c r="BE89" s="105"/>
    </row>
    <row r="90" spans="1:57" x14ac:dyDescent="0.15">
      <c r="A90" s="101">
        <v>26</v>
      </c>
      <c r="B90" s="98" t="e">
        <f>VLOOKUP($A90,'Rate Calculation'!$A$4:$CS$210,68,FALSE)</f>
        <v>#REF!</v>
      </c>
      <c r="C90" s="98" t="str">
        <f>UPPER(VLOOKUP($A90,'Rate Calculation'!$A$4:$CL$210,69,FALSE))</f>
        <v>102106</v>
      </c>
      <c r="D90" s="104" t="str">
        <f>VLOOKUP($A90,'Rate Calculation'!$A$4:$AJ$210,5,FALSE)</f>
        <v>WASHINGTON METRO</v>
      </c>
      <c r="E90" s="104" t="str">
        <f>VLOOKUP($A90,'Rate Calculation'!$A$4:$AJ$210,6,FALSE)</f>
        <v>WASHINGTON METRO</v>
      </c>
      <c r="F90" s="105">
        <f>VLOOKUP(A90,'Rate Calculation'!$A$3:$AT$210,35,FALSE)</f>
        <v>26860</v>
      </c>
      <c r="G90" s="105">
        <f>VLOOKUP(A90,'Rate Calculation'!$A$3:$AT$210,30,FALSE)</f>
        <v>33672</v>
      </c>
      <c r="H90" s="105">
        <f>VLOOKUP(A90,'Rate Calculation'!$A$3:$AW$210,36,FALSE)+VLOOKUP(A90,'Rate Calculation'!$A$3:$CC$210,42,FALSE)</f>
        <v>553236574</v>
      </c>
      <c r="I90" s="105">
        <f t="shared" si="27"/>
        <v>0</v>
      </c>
      <c r="J90" s="105" t="str">
        <f>VLOOKUP(A90,'Rate Calculation'!$A$3:$BL$210,43,FALSE)</f>
        <v>Fairland Center</v>
      </c>
      <c r="K90" s="105">
        <f t="shared" si="36"/>
        <v>553297106</v>
      </c>
      <c r="L90" s="164">
        <f t="shared" si="20"/>
        <v>0.98772000000000004</v>
      </c>
      <c r="M90" s="105">
        <f t="shared" si="28"/>
        <v>546502617.53999996</v>
      </c>
      <c r="N90" s="105" t="e">
        <f>VLOOKUP(A90,'Rate Calculation'!$A$4:$DK$210,47,FALSE)</f>
        <v>#DIV/0!</v>
      </c>
      <c r="O90" s="106">
        <f>VLOOKUP(A90,'Rate Calculation'!$A$4:$DK$210,10,FALSE)</f>
        <v>1.0309999999999999</v>
      </c>
      <c r="P90" s="114">
        <f t="shared" si="21"/>
        <v>1.4432</v>
      </c>
      <c r="Q90" s="114">
        <f>VLOOKUP(A90,'CMI Data'!$A$3:$Z$209,7,FALSE)</f>
        <v>0</v>
      </c>
      <c r="R90" s="120" t="e">
        <f>+'CMI Data'!$I$214</f>
        <v>#DIV/0!</v>
      </c>
      <c r="S90" s="106">
        <f>IF(Q90=0,'CMI Data'!$I$213,ROUND(Q90*R90,4))</f>
        <v>1.4061999999999999</v>
      </c>
      <c r="T90" s="105">
        <f>VLOOKUP(A90,'Rate Calculation'!$A$4:$DK$210,16,FALSE)</f>
        <v>180.98</v>
      </c>
      <c r="U90" s="105">
        <f>VLOOKUP(A90,'Rate Calculation'!$A$4:$DK$210,20,FALSE)</f>
        <v>0</v>
      </c>
      <c r="V90" s="113">
        <f t="shared" si="29"/>
        <v>0</v>
      </c>
      <c r="W90" s="105">
        <f t="shared" si="30"/>
        <v>0</v>
      </c>
      <c r="X90" s="111">
        <f t="shared" si="22"/>
        <v>0</v>
      </c>
      <c r="Y90" s="105">
        <f t="shared" si="31"/>
        <v>0</v>
      </c>
      <c r="Z90" s="105">
        <f t="shared" si="32"/>
        <v>246.84</v>
      </c>
      <c r="AA90" s="105">
        <f t="shared" si="33"/>
        <v>0</v>
      </c>
      <c r="AB90" s="111">
        <f t="shared" si="34"/>
        <v>-246.84</v>
      </c>
      <c r="AC90" s="105" t="e">
        <f t="shared" si="35"/>
        <v>#VALUE!</v>
      </c>
      <c r="AD90" s="105" t="e">
        <f t="shared" si="23"/>
        <v>#VALUE!</v>
      </c>
      <c r="AE90" s="105" t="e">
        <f t="shared" si="24"/>
        <v>#DIV/0!</v>
      </c>
      <c r="AF90" s="105" t="e">
        <f t="shared" si="25"/>
        <v>#VALUE!</v>
      </c>
      <c r="AG90" s="105" t="e">
        <f t="shared" si="26"/>
        <v>#VALUE!</v>
      </c>
      <c r="AH90" s="111"/>
      <c r="AI90" s="105"/>
      <c r="AJ90" s="105"/>
      <c r="AK90" s="109"/>
      <c r="AL90" s="109"/>
      <c r="AM90" s="109"/>
      <c r="AN90" s="109"/>
      <c r="AO90" s="105"/>
      <c r="AP90" s="105"/>
      <c r="AQ90" s="109"/>
      <c r="AR90" s="110"/>
      <c r="AS90" s="110"/>
      <c r="AT90" s="110"/>
      <c r="AU90" s="110"/>
      <c r="AV90" s="110"/>
      <c r="AW90" s="112"/>
      <c r="AX90" s="112"/>
      <c r="AY90" s="110"/>
      <c r="AZ90" s="105"/>
      <c r="BA90" s="105"/>
      <c r="BB90" s="105"/>
      <c r="BC90" s="105"/>
      <c r="BD90" s="105"/>
      <c r="BE90" s="105"/>
    </row>
    <row r="91" spans="1:57" x14ac:dyDescent="0.15">
      <c r="A91" s="101">
        <v>729</v>
      </c>
      <c r="B91" s="98" t="e">
        <f>VLOOKUP($A91,'Rate Calculation'!$A$4:$CS$210,68,FALSE)</f>
        <v>#REF!</v>
      </c>
      <c r="C91" s="98" t="str">
        <f>UPPER(VLOOKUP($A91,'Rate Calculation'!$A$4:$CL$210,69,FALSE))</f>
        <v>89086</v>
      </c>
      <c r="D91" s="104" t="str">
        <f>VLOOKUP($A91,'Rate Calculation'!$A$4:$AJ$210,5,FALSE)</f>
        <v>BALTIMORE METRO</v>
      </c>
      <c r="E91" s="104" t="str">
        <f>VLOOKUP($A91,'Rate Calculation'!$A$4:$AJ$210,6,FALSE)</f>
        <v>BALTIMORE CITY</v>
      </c>
      <c r="F91" s="105">
        <f>VLOOKUP(A91,'Rate Calculation'!$A$3:$AT$210,35,FALSE)</f>
        <v>46148</v>
      </c>
      <c r="G91" s="105">
        <f>VLOOKUP(A91,'Rate Calculation'!$A$3:$AT$210,30,FALSE)</f>
        <v>57096</v>
      </c>
      <c r="H91" s="105">
        <f>VLOOKUP(A91,'Rate Calculation'!$A$3:$AW$210,36,FALSE)+VLOOKUP(A91,'Rate Calculation'!$A$3:$CC$210,42,FALSE)</f>
        <v>414471908</v>
      </c>
      <c r="I91" s="105">
        <f t="shared" si="27"/>
        <v>-40.44</v>
      </c>
      <c r="J91" s="105" t="str">
        <f>VLOOKUP(A91,'Rate Calculation'!$A$3:$BL$210,43,FALSE)</f>
        <v>Fayette Health and Rehabilitation Center</v>
      </c>
      <c r="K91" s="105">
        <f t="shared" si="36"/>
        <v>414575111.56</v>
      </c>
      <c r="L91" s="164">
        <f t="shared" si="20"/>
        <v>0.98772000000000004</v>
      </c>
      <c r="M91" s="105">
        <f t="shared" si="28"/>
        <v>409484129.19</v>
      </c>
      <c r="N91" s="105" t="e">
        <f>VLOOKUP(A91,'Rate Calculation'!$A$4:$DK$210,47,FALSE)</f>
        <v>#DIV/0!</v>
      </c>
      <c r="O91" s="106">
        <f>VLOOKUP(A91,'Rate Calculation'!$A$4:$DK$210,10,FALSE)</f>
        <v>1.0309999999999999</v>
      </c>
      <c r="P91" s="114">
        <f t="shared" si="21"/>
        <v>1.4432</v>
      </c>
      <c r="Q91" s="114">
        <f>VLOOKUP(A91,'CMI Data'!$A$3:$Z$209,7,FALSE)</f>
        <v>0</v>
      </c>
      <c r="R91" s="120" t="e">
        <f>+'CMI Data'!$I$214</f>
        <v>#DIV/0!</v>
      </c>
      <c r="S91" s="106">
        <f>IF(Q91=0,'CMI Data'!$I$213,ROUND(Q91*R91,4))</f>
        <v>1.4061999999999999</v>
      </c>
      <c r="T91" s="105">
        <f>VLOOKUP(A91,'Rate Calculation'!$A$4:$DK$210,16,FALSE)</f>
        <v>172.17</v>
      </c>
      <c r="U91" s="105">
        <f>VLOOKUP(A91,'Rate Calculation'!$A$4:$DK$210,20,FALSE)</f>
        <v>-41.5</v>
      </c>
      <c r="V91" s="113">
        <f t="shared" si="29"/>
        <v>-29.65</v>
      </c>
      <c r="W91" s="105">
        <f t="shared" si="30"/>
        <v>-40.44</v>
      </c>
      <c r="X91" s="111">
        <f t="shared" si="22"/>
        <v>0</v>
      </c>
      <c r="Y91" s="105">
        <f t="shared" si="31"/>
        <v>-40.44</v>
      </c>
      <c r="Z91" s="105">
        <f t="shared" si="32"/>
        <v>234.83</v>
      </c>
      <c r="AA91" s="105">
        <f t="shared" si="33"/>
        <v>-38.42</v>
      </c>
      <c r="AB91" s="111">
        <f t="shared" si="34"/>
        <v>-273.25</v>
      </c>
      <c r="AC91" s="105" t="e">
        <f t="shared" si="35"/>
        <v>#VALUE!</v>
      </c>
      <c r="AD91" s="105" t="e">
        <f t="shared" si="23"/>
        <v>#VALUE!</v>
      </c>
      <c r="AE91" s="105" t="e">
        <f t="shared" si="24"/>
        <v>#DIV/0!</v>
      </c>
      <c r="AF91" s="105" t="e">
        <f t="shared" si="25"/>
        <v>#VALUE!</v>
      </c>
      <c r="AG91" s="105" t="e">
        <f t="shared" si="26"/>
        <v>#VALUE!</v>
      </c>
      <c r="AH91" s="111"/>
      <c r="AI91" s="105"/>
      <c r="AJ91" s="105"/>
      <c r="AK91" s="109"/>
      <c r="AL91" s="109"/>
      <c r="AM91" s="109"/>
      <c r="AN91" s="109"/>
      <c r="AO91" s="105"/>
      <c r="AP91" s="105"/>
      <c r="AQ91" s="109"/>
      <c r="AR91" s="110"/>
      <c r="AS91" s="110"/>
      <c r="AT91" s="110"/>
      <c r="AU91" s="110"/>
      <c r="AV91" s="110"/>
      <c r="AW91" s="112"/>
      <c r="AX91" s="112"/>
      <c r="AY91" s="110"/>
      <c r="AZ91" s="105"/>
      <c r="BA91" s="105"/>
      <c r="BB91" s="105"/>
      <c r="BC91" s="105"/>
      <c r="BD91" s="105"/>
      <c r="BE91" s="105"/>
    </row>
    <row r="92" spans="1:57" x14ac:dyDescent="0.15">
      <c r="A92" s="101">
        <v>156</v>
      </c>
      <c r="B92" s="98" t="e">
        <f>VLOOKUP($A92,'Rate Calculation'!$A$4:$CS$210,68,FALSE)</f>
        <v>#REF!</v>
      </c>
      <c r="C92" s="98" t="str">
        <f>UPPER(VLOOKUP($A92,'Rate Calculation'!$A$4:$CL$210,69,FALSE))</f>
        <v>43134</v>
      </c>
      <c r="D92" s="104" t="str">
        <f>VLOOKUP($A92,'Rate Calculation'!$A$4:$AJ$210,5,FALSE)</f>
        <v>BALTIMORE METRO</v>
      </c>
      <c r="E92" s="104" t="str">
        <f>VLOOKUP($A92,'Rate Calculation'!$A$4:$AJ$210,6,FALSE)</f>
        <v>BALTIMORE METRO</v>
      </c>
      <c r="F92" s="105">
        <f>VLOOKUP(A92,'Rate Calculation'!$A$3:$AT$210,35,FALSE)</f>
        <v>47239</v>
      </c>
      <c r="G92" s="105">
        <f>VLOOKUP(A92,'Rate Calculation'!$A$3:$AT$210,30,FALSE)</f>
        <v>61122</v>
      </c>
      <c r="H92" s="105">
        <f>VLOOKUP(A92,'Rate Calculation'!$A$3:$AW$210,36,FALSE)+VLOOKUP(A92,'Rate Calculation'!$A$3:$CC$210,42,FALSE)</f>
        <v>424468748</v>
      </c>
      <c r="I92" s="105">
        <f t="shared" si="27"/>
        <v>0</v>
      </c>
      <c r="J92" s="105" t="str">
        <f>VLOOKUP(A92,'Rate Calculation'!$A$3:$BL$210,43,FALSE)</f>
        <v>Forest Haven Nursing and Rehabilitation Center</v>
      </c>
      <c r="K92" s="105">
        <f t="shared" si="36"/>
        <v>424577109</v>
      </c>
      <c r="L92" s="164">
        <f t="shared" si="20"/>
        <v>0.98772000000000004</v>
      </c>
      <c r="M92" s="105">
        <f t="shared" si="28"/>
        <v>419363302.10000002</v>
      </c>
      <c r="N92" s="105" t="e">
        <f>VLOOKUP(A92,'Rate Calculation'!$A$4:$DK$210,47,FALSE)</f>
        <v>#DIV/0!</v>
      </c>
      <c r="O92" s="106">
        <f>VLOOKUP(A92,'Rate Calculation'!$A$4:$DK$210,10,FALSE)</f>
        <v>1.0309999999999999</v>
      </c>
      <c r="P92" s="114">
        <f t="shared" si="21"/>
        <v>1.4432</v>
      </c>
      <c r="Q92" s="114">
        <f>VLOOKUP(A92,'CMI Data'!$A$3:$Z$209,7,FALSE)</f>
        <v>0</v>
      </c>
      <c r="R92" s="120" t="e">
        <f>+'CMI Data'!$I$214</f>
        <v>#DIV/0!</v>
      </c>
      <c r="S92" s="106">
        <f>IF(Q92=0,'CMI Data'!$I$213,ROUND(Q92*R92,4))</f>
        <v>1.4061999999999999</v>
      </c>
      <c r="T92" s="105">
        <f>VLOOKUP(A92,'Rate Calculation'!$A$4:$DK$210,16,FALSE)</f>
        <v>149.88</v>
      </c>
      <c r="U92" s="105">
        <f>VLOOKUP(A92,'Rate Calculation'!$A$4:$DK$210,20,FALSE)</f>
        <v>0</v>
      </c>
      <c r="V92" s="113">
        <f t="shared" si="29"/>
        <v>0</v>
      </c>
      <c r="W92" s="105">
        <f t="shared" si="30"/>
        <v>0</v>
      </c>
      <c r="X92" s="111">
        <f t="shared" si="22"/>
        <v>0</v>
      </c>
      <c r="Y92" s="105">
        <f t="shared" si="31"/>
        <v>0</v>
      </c>
      <c r="Z92" s="105">
        <f t="shared" si="32"/>
        <v>204.42</v>
      </c>
      <c r="AA92" s="105">
        <f t="shared" si="33"/>
        <v>0</v>
      </c>
      <c r="AB92" s="111">
        <f t="shared" si="34"/>
        <v>-204.42</v>
      </c>
      <c r="AC92" s="105" t="e">
        <f t="shared" si="35"/>
        <v>#VALUE!</v>
      </c>
      <c r="AD92" s="105" t="e">
        <f t="shared" si="23"/>
        <v>#VALUE!</v>
      </c>
      <c r="AE92" s="105" t="e">
        <f t="shared" si="24"/>
        <v>#DIV/0!</v>
      </c>
      <c r="AF92" s="105" t="e">
        <f t="shared" si="25"/>
        <v>#VALUE!</v>
      </c>
      <c r="AG92" s="105" t="e">
        <f t="shared" si="26"/>
        <v>#VALUE!</v>
      </c>
      <c r="AH92" s="111"/>
      <c r="AI92" s="105"/>
      <c r="AJ92" s="105"/>
      <c r="AK92" s="109"/>
      <c r="AL92" s="109"/>
      <c r="AM92" s="109"/>
      <c r="AN92" s="109"/>
      <c r="AO92" s="105"/>
      <c r="AP92" s="105"/>
      <c r="AQ92" s="109"/>
      <c r="AR92" s="110"/>
      <c r="AS92" s="110"/>
      <c r="AT92" s="110"/>
      <c r="AU92" s="110"/>
      <c r="AV92" s="110"/>
      <c r="AW92" s="112"/>
      <c r="AX92" s="112"/>
      <c r="AY92" s="110"/>
      <c r="AZ92" s="105"/>
      <c r="BA92" s="105"/>
      <c r="BB92" s="105"/>
      <c r="BC92" s="105"/>
      <c r="BD92" s="105"/>
      <c r="BE92" s="105"/>
    </row>
    <row r="93" spans="1:57" x14ac:dyDescent="0.15">
      <c r="A93" s="101">
        <v>697</v>
      </c>
      <c r="B93" s="98" t="e">
        <f>VLOOKUP($A93,'Rate Calculation'!$A$4:$CS$210,68,FALSE)</f>
        <v>#REF!</v>
      </c>
      <c r="C93" s="98" t="str">
        <f>UPPER(VLOOKUP($A93,'Rate Calculation'!$A$4:$CL$210,69,FALSE))</f>
        <v>153152</v>
      </c>
      <c r="D93" s="104" t="str">
        <f>VLOOKUP($A93,'Rate Calculation'!$A$4:$AJ$210,5,FALSE)</f>
        <v>WASHINGTON METRO</v>
      </c>
      <c r="E93" s="104" t="str">
        <f>VLOOKUP($A93,'Rate Calculation'!$A$4:$AJ$210,6,FALSE)</f>
        <v>WASHINGTON METRO</v>
      </c>
      <c r="F93" s="105">
        <f>VLOOKUP(A93,'Rate Calculation'!$A$3:$AT$210,35,FALSE)</f>
        <v>54349</v>
      </c>
      <c r="G93" s="105">
        <f>VLOOKUP(A93,'Rate Calculation'!$A$3:$AT$210,30,FALSE)</f>
        <v>59292</v>
      </c>
      <c r="H93" s="105">
        <f>VLOOKUP(A93,'Rate Calculation'!$A$3:$AW$210,36,FALSE)+VLOOKUP(A93,'Rate Calculation'!$A$3:$CC$210,42,FALSE)</f>
        <v>414488812</v>
      </c>
      <c r="I93" s="105">
        <f t="shared" si="27"/>
        <v>-22.83</v>
      </c>
      <c r="J93" s="105" t="str">
        <f>VLOOKUP(A93,'Rate Calculation'!$A$3:$BL$210,43,FALSE)</f>
        <v>Forestville Health and Rehabilitation Center</v>
      </c>
      <c r="K93" s="105">
        <f t="shared" si="36"/>
        <v>414602430.17000002</v>
      </c>
      <c r="L93" s="164">
        <f t="shared" si="20"/>
        <v>0.98772000000000004</v>
      </c>
      <c r="M93" s="105">
        <f t="shared" si="28"/>
        <v>409511112.32999998</v>
      </c>
      <c r="N93" s="105" t="e">
        <f>VLOOKUP(A93,'Rate Calculation'!$A$4:$DK$210,47,FALSE)</f>
        <v>#DIV/0!</v>
      </c>
      <c r="O93" s="106">
        <f>VLOOKUP(A93,'Rate Calculation'!$A$4:$DK$210,10,FALSE)</f>
        <v>1.0309999999999999</v>
      </c>
      <c r="P93" s="114">
        <f t="shared" si="21"/>
        <v>1.4432</v>
      </c>
      <c r="Q93" s="114">
        <f>VLOOKUP(A93,'CMI Data'!$A$3:$Z$209,7,FALSE)</f>
        <v>0</v>
      </c>
      <c r="R93" s="120" t="e">
        <f>+'CMI Data'!$I$214</f>
        <v>#DIV/0!</v>
      </c>
      <c r="S93" s="106">
        <f>IF(Q93=0,'CMI Data'!$I$213,ROUND(Q93*R93,4))</f>
        <v>1.4061999999999999</v>
      </c>
      <c r="T93" s="105">
        <f>VLOOKUP(A93,'Rate Calculation'!$A$4:$DK$210,16,FALSE)</f>
        <v>151.1</v>
      </c>
      <c r="U93" s="105">
        <f>VLOOKUP(A93,'Rate Calculation'!$A$4:$DK$210,20,FALSE)</f>
        <v>-23.43</v>
      </c>
      <c r="V93" s="113">
        <f t="shared" si="29"/>
        <v>-16.739999999999998</v>
      </c>
      <c r="W93" s="105">
        <f t="shared" si="30"/>
        <v>-22.83</v>
      </c>
      <c r="X93" s="111">
        <f t="shared" si="22"/>
        <v>0</v>
      </c>
      <c r="Y93" s="105">
        <f t="shared" si="31"/>
        <v>-22.83</v>
      </c>
      <c r="Z93" s="105">
        <f t="shared" si="32"/>
        <v>206.09</v>
      </c>
      <c r="AA93" s="105">
        <f t="shared" si="33"/>
        <v>-21.69</v>
      </c>
      <c r="AB93" s="111">
        <f t="shared" si="34"/>
        <v>-227.78</v>
      </c>
      <c r="AC93" s="105" t="e">
        <f t="shared" si="35"/>
        <v>#VALUE!</v>
      </c>
      <c r="AD93" s="105" t="e">
        <f t="shared" si="23"/>
        <v>#VALUE!</v>
      </c>
      <c r="AE93" s="105" t="e">
        <f t="shared" si="24"/>
        <v>#DIV/0!</v>
      </c>
      <c r="AF93" s="105" t="e">
        <f t="shared" si="25"/>
        <v>#VALUE!</v>
      </c>
      <c r="AG93" s="105" t="e">
        <f t="shared" si="26"/>
        <v>#VALUE!</v>
      </c>
      <c r="AH93" s="111"/>
      <c r="AI93" s="105"/>
      <c r="AJ93" s="105"/>
      <c r="AK93" s="109"/>
      <c r="AL93" s="109"/>
      <c r="AM93" s="109"/>
      <c r="AN93" s="109"/>
      <c r="AO93" s="105"/>
      <c r="AP93" s="105"/>
      <c r="AQ93" s="109"/>
      <c r="AR93" s="110"/>
      <c r="AS93" s="110"/>
      <c r="AT93" s="110"/>
      <c r="AU93" s="110"/>
      <c r="AV93" s="110"/>
      <c r="AW93" s="112"/>
      <c r="AX93" s="112"/>
      <c r="AY93" s="110"/>
      <c r="AZ93" s="105"/>
      <c r="BA93" s="105"/>
      <c r="BB93" s="105"/>
      <c r="BC93" s="105"/>
      <c r="BD93" s="105"/>
      <c r="BE93" s="105"/>
    </row>
    <row r="94" spans="1:57" x14ac:dyDescent="0.15">
      <c r="A94" s="101">
        <v>727</v>
      </c>
      <c r="B94" s="98" t="e">
        <f>VLOOKUP($A94,'Rate Calculation'!$A$4:$CS$210,68,FALSE)</f>
        <v>#REF!</v>
      </c>
      <c r="C94" s="98" t="str">
        <f>UPPER(VLOOKUP($A94,'Rate Calculation'!$A$4:$CL$210,69,FALSE))</f>
        <v>184464</v>
      </c>
      <c r="D94" s="104" t="str">
        <f>VLOOKUP($A94,'Rate Calculation'!$A$4:$AJ$210,5,FALSE)</f>
        <v>WASHINGTON METRO</v>
      </c>
      <c r="E94" s="104" t="str">
        <f>VLOOKUP($A94,'Rate Calculation'!$A$4:$AJ$210,6,FALSE)</f>
        <v>WASHINGTON METRO</v>
      </c>
      <c r="F94" s="105">
        <f>VLOOKUP(A94,'Rate Calculation'!$A$3:$AT$210,35,FALSE)</f>
        <v>47524</v>
      </c>
      <c r="G94" s="105">
        <f>VLOOKUP(A94,'Rate Calculation'!$A$3:$AT$210,30,FALSE)</f>
        <v>54900</v>
      </c>
      <c r="H94" s="105">
        <f>VLOOKUP(A94,'Rate Calculation'!$A$3:$AW$210,36,FALSE)+VLOOKUP(A94,'Rate Calculation'!$A$3:$CC$210,42,FALSE)</f>
        <v>414481029</v>
      </c>
      <c r="I94" s="105">
        <f t="shared" si="27"/>
        <v>0</v>
      </c>
      <c r="J94" s="105" t="str">
        <f>VLOOKUP(A94,'Rate Calculation'!$A$3:$BL$210,43,FALSE)</f>
        <v>Fort Washington Health and Rehabilitation Center</v>
      </c>
      <c r="K94" s="105">
        <f t="shared" si="36"/>
        <v>414583453</v>
      </c>
      <c r="L94" s="164">
        <f t="shared" si="20"/>
        <v>0.98772000000000004</v>
      </c>
      <c r="M94" s="105">
        <f t="shared" si="28"/>
        <v>409492368.19999999</v>
      </c>
      <c r="N94" s="105" t="e">
        <f>VLOOKUP(A94,'Rate Calculation'!$A$4:$DK$210,47,FALSE)</f>
        <v>#DIV/0!</v>
      </c>
      <c r="O94" s="106">
        <f>VLOOKUP(A94,'Rate Calculation'!$A$4:$DK$210,10,FALSE)</f>
        <v>1.0309999999999999</v>
      </c>
      <c r="P94" s="114">
        <f t="shared" si="21"/>
        <v>1.4432</v>
      </c>
      <c r="Q94" s="114">
        <f>VLOOKUP(A94,'CMI Data'!$A$3:$Z$209,7,FALSE)</f>
        <v>0</v>
      </c>
      <c r="R94" s="120" t="e">
        <f>+'CMI Data'!$I$214</f>
        <v>#DIV/0!</v>
      </c>
      <c r="S94" s="106">
        <f>IF(Q94=0,'CMI Data'!$I$213,ROUND(Q94*R94,4))</f>
        <v>1.4061999999999999</v>
      </c>
      <c r="T94" s="105">
        <f>VLOOKUP(A94,'Rate Calculation'!$A$4:$DK$210,16,FALSE)</f>
        <v>157.68</v>
      </c>
      <c r="U94" s="105">
        <f>VLOOKUP(A94,'Rate Calculation'!$A$4:$DK$210,20,FALSE)</f>
        <v>0</v>
      </c>
      <c r="V94" s="113">
        <f t="shared" si="29"/>
        <v>0</v>
      </c>
      <c r="W94" s="105">
        <f t="shared" si="30"/>
        <v>0</v>
      </c>
      <c r="X94" s="111">
        <f t="shared" si="22"/>
        <v>0</v>
      </c>
      <c r="Y94" s="105">
        <f t="shared" si="31"/>
        <v>0</v>
      </c>
      <c r="Z94" s="105">
        <f t="shared" si="32"/>
        <v>215.06</v>
      </c>
      <c r="AA94" s="105">
        <f t="shared" si="33"/>
        <v>0</v>
      </c>
      <c r="AB94" s="111">
        <f t="shared" si="34"/>
        <v>-215.06</v>
      </c>
      <c r="AC94" s="105" t="e">
        <f t="shared" si="35"/>
        <v>#VALUE!</v>
      </c>
      <c r="AD94" s="105" t="e">
        <f t="shared" si="23"/>
        <v>#VALUE!</v>
      </c>
      <c r="AE94" s="105" t="e">
        <f t="shared" si="24"/>
        <v>#DIV/0!</v>
      </c>
      <c r="AF94" s="105" t="e">
        <f t="shared" si="25"/>
        <v>#VALUE!</v>
      </c>
      <c r="AG94" s="105" t="e">
        <f t="shared" si="26"/>
        <v>#VALUE!</v>
      </c>
      <c r="AH94" s="111"/>
      <c r="AI94" s="105"/>
      <c r="AJ94" s="105"/>
      <c r="AK94" s="109"/>
      <c r="AL94" s="109"/>
      <c r="AM94" s="109"/>
      <c r="AN94" s="109"/>
      <c r="AO94" s="105"/>
      <c r="AP94" s="105"/>
      <c r="AQ94" s="109"/>
      <c r="AR94" s="110"/>
      <c r="AS94" s="110"/>
      <c r="AT94" s="110"/>
      <c r="AU94" s="110"/>
      <c r="AV94" s="110"/>
      <c r="AW94" s="112"/>
      <c r="AX94" s="112"/>
      <c r="AY94" s="110"/>
      <c r="AZ94" s="105"/>
      <c r="BA94" s="105"/>
      <c r="BB94" s="105"/>
      <c r="BC94" s="105"/>
      <c r="BD94" s="105"/>
      <c r="BE94" s="105"/>
    </row>
    <row r="95" spans="1:57" x14ac:dyDescent="0.15">
      <c r="A95" s="101">
        <v>164</v>
      </c>
      <c r="B95" s="98" t="e">
        <f>VLOOKUP($A95,'Rate Calculation'!$A$4:$CS$210,68,FALSE)</f>
        <v>#REF!</v>
      </c>
      <c r="C95" s="98" t="str">
        <f>UPPER(VLOOKUP($A95,'Rate Calculation'!$A$4:$CL$210,69,FALSE))</f>
        <v>71799</v>
      </c>
      <c r="D95" s="104" t="str">
        <f>VLOOKUP($A95,'Rate Calculation'!$A$4:$AJ$210,5,FALSE)</f>
        <v>WASHINGTON METRO</v>
      </c>
      <c r="E95" s="104" t="str">
        <f>VLOOKUP($A95,'Rate Calculation'!$A$4:$AJ$210,6,FALSE)</f>
        <v>WASHINGTON METRO</v>
      </c>
      <c r="F95" s="105">
        <f>VLOOKUP(A95,'Rate Calculation'!$A$3:$AT$210,35,FALSE)</f>
        <v>21912</v>
      </c>
      <c r="G95" s="105">
        <f>VLOOKUP(A95,'Rate Calculation'!$A$3:$AT$210,30,FALSE)</f>
        <v>27084</v>
      </c>
      <c r="H95" s="105">
        <f>VLOOKUP(A95,'Rate Calculation'!$A$3:$AW$210,36,FALSE)+VLOOKUP(A95,'Rate Calculation'!$A$3:$CC$210,42,FALSE)</f>
        <v>883484607</v>
      </c>
      <c r="I95" s="105">
        <f t="shared" si="27"/>
        <v>-26.36</v>
      </c>
      <c r="J95" s="105" t="str">
        <f>VLOOKUP(A95,'Rate Calculation'!$A$3:$BL$210,43,FALSE)</f>
        <v>Fox Chase Healthcare</v>
      </c>
      <c r="K95" s="105">
        <f t="shared" si="36"/>
        <v>883533576.63999999</v>
      </c>
      <c r="L95" s="164">
        <f t="shared" si="20"/>
        <v>0.98772000000000004</v>
      </c>
      <c r="M95" s="105">
        <f t="shared" si="28"/>
        <v>872683784.32000005</v>
      </c>
      <c r="N95" s="105" t="e">
        <f>VLOOKUP(A95,'Rate Calculation'!$A$4:$DK$210,47,FALSE)</f>
        <v>#DIV/0!</v>
      </c>
      <c r="O95" s="106">
        <f>VLOOKUP(A95,'Rate Calculation'!$A$4:$DK$210,10,FALSE)</f>
        <v>1.0309999999999999</v>
      </c>
      <c r="P95" s="114">
        <f t="shared" si="21"/>
        <v>1.4432</v>
      </c>
      <c r="Q95" s="114">
        <f>VLOOKUP(A95,'CMI Data'!$A$3:$Z$209,7,FALSE)</f>
        <v>0</v>
      </c>
      <c r="R95" s="120" t="e">
        <f>+'CMI Data'!$I$214</f>
        <v>#DIV/0!</v>
      </c>
      <c r="S95" s="106">
        <f>IF(Q95=0,'CMI Data'!$I$213,ROUND(Q95*R95,4))</f>
        <v>1.4061999999999999</v>
      </c>
      <c r="T95" s="105">
        <f>VLOOKUP(A95,'Rate Calculation'!$A$4:$DK$210,16,FALSE)</f>
        <v>127.92</v>
      </c>
      <c r="U95" s="105">
        <f>VLOOKUP(A95,'Rate Calculation'!$A$4:$DK$210,20,FALSE)</f>
        <v>-27.06</v>
      </c>
      <c r="V95" s="113">
        <f t="shared" si="29"/>
        <v>-19.329999999999998</v>
      </c>
      <c r="W95" s="105">
        <f t="shared" si="30"/>
        <v>-26.36</v>
      </c>
      <c r="X95" s="111">
        <f t="shared" si="22"/>
        <v>0</v>
      </c>
      <c r="Y95" s="105">
        <f t="shared" si="31"/>
        <v>-26.36</v>
      </c>
      <c r="Z95" s="105">
        <f t="shared" si="32"/>
        <v>174.47</v>
      </c>
      <c r="AA95" s="105">
        <f t="shared" si="33"/>
        <v>-25.04</v>
      </c>
      <c r="AB95" s="111">
        <f t="shared" si="34"/>
        <v>-199.51</v>
      </c>
      <c r="AC95" s="105" t="e">
        <f t="shared" si="35"/>
        <v>#VALUE!</v>
      </c>
      <c r="AD95" s="105" t="e">
        <f t="shared" si="23"/>
        <v>#VALUE!</v>
      </c>
      <c r="AE95" s="105" t="e">
        <f t="shared" si="24"/>
        <v>#DIV/0!</v>
      </c>
      <c r="AF95" s="105" t="e">
        <f t="shared" si="25"/>
        <v>#VALUE!</v>
      </c>
      <c r="AG95" s="105" t="e">
        <f t="shared" si="26"/>
        <v>#VALUE!</v>
      </c>
      <c r="AH95" s="111"/>
      <c r="AI95" s="105"/>
      <c r="AJ95" s="105"/>
      <c r="AK95" s="109"/>
      <c r="AL95" s="109"/>
      <c r="AM95" s="109"/>
      <c r="AN95" s="109"/>
      <c r="AO95" s="105"/>
      <c r="AP95" s="105"/>
      <c r="AQ95" s="109"/>
      <c r="AR95" s="110"/>
      <c r="AS95" s="110"/>
      <c r="AT95" s="110"/>
      <c r="AU95" s="110"/>
      <c r="AV95" s="110"/>
      <c r="AW95" s="112"/>
      <c r="AX95" s="112"/>
      <c r="AY95" s="110"/>
      <c r="AZ95" s="105"/>
      <c r="BA95" s="105"/>
      <c r="BB95" s="105"/>
      <c r="BC95" s="105"/>
      <c r="BD95" s="105"/>
      <c r="BE95" s="105"/>
    </row>
    <row r="96" spans="1:57" x14ac:dyDescent="0.15">
      <c r="A96" s="101">
        <v>168</v>
      </c>
      <c r="B96" s="98" t="e">
        <f>VLOOKUP($A96,'Rate Calculation'!$A$4:$CS$210,68,FALSE)</f>
        <v>#REF!</v>
      </c>
      <c r="C96" s="98" t="str">
        <f>UPPER(VLOOKUP($A96,'Rate Calculation'!$A$4:$CL$210,69,FALSE))</f>
        <v>73457</v>
      </c>
      <c r="D96" s="104" t="str">
        <f>VLOOKUP($A96,'Rate Calculation'!$A$4:$AJ$210,5,FALSE)</f>
        <v>BALTIMORE METRO</v>
      </c>
      <c r="E96" s="104" t="str">
        <f>VLOOKUP($A96,'Rate Calculation'!$A$4:$AJ$210,6,FALSE)</f>
        <v>BALTIMORE METRO</v>
      </c>
      <c r="F96" s="105">
        <f>VLOOKUP(A96,'Rate Calculation'!$A$3:$AT$210,35,FALSE)</f>
        <v>19347</v>
      </c>
      <c r="G96" s="105">
        <f>VLOOKUP(A96,'Rate Calculation'!$A$3:$AT$210,30,FALSE)</f>
        <v>42822</v>
      </c>
      <c r="H96" s="105">
        <f>VLOOKUP(A96,'Rate Calculation'!$A$3:$AW$210,36,FALSE)+VLOOKUP(A96,'Rate Calculation'!$A$3:$CC$210,42,FALSE)</f>
        <v>30217213</v>
      </c>
      <c r="I96" s="105">
        <f t="shared" si="27"/>
        <v>0</v>
      </c>
      <c r="J96" s="105" t="str">
        <f>VLOOKUP(A96,'Rate Calculation'!$A$3:$BL$210,43,FALSE)</f>
        <v>Franklin Woods Center - Genesis HealthCare, Inc.</v>
      </c>
      <c r="K96" s="105">
        <f t="shared" si="36"/>
        <v>30279382</v>
      </c>
      <c r="L96" s="164">
        <f t="shared" si="20"/>
        <v>0.98772000000000004</v>
      </c>
      <c r="M96" s="105">
        <f t="shared" si="28"/>
        <v>29907551.190000001</v>
      </c>
      <c r="N96" s="105" t="e">
        <f>VLOOKUP(A96,'Rate Calculation'!$A$4:$DK$210,47,FALSE)</f>
        <v>#DIV/0!</v>
      </c>
      <c r="O96" s="106">
        <f>VLOOKUP(A96,'Rate Calculation'!$A$4:$DK$210,10,FALSE)</f>
        <v>1.0309999999999999</v>
      </c>
      <c r="P96" s="114">
        <f t="shared" si="21"/>
        <v>1.4432</v>
      </c>
      <c r="Q96" s="114">
        <f>VLOOKUP(A96,'CMI Data'!$A$3:$Z$209,7,FALSE)</f>
        <v>0</v>
      </c>
      <c r="R96" s="120" t="e">
        <f>+'CMI Data'!$I$214</f>
        <v>#DIV/0!</v>
      </c>
      <c r="S96" s="106">
        <f>IF(Q96=0,'CMI Data'!$I$213,ROUND(Q96*R96,4))</f>
        <v>1.4061999999999999</v>
      </c>
      <c r="T96" s="105">
        <f>VLOOKUP(A96,'Rate Calculation'!$A$4:$DK$210,16,FALSE)</f>
        <v>195.9</v>
      </c>
      <c r="U96" s="105">
        <f>VLOOKUP(A96,'Rate Calculation'!$A$4:$DK$210,20,FALSE)</f>
        <v>0</v>
      </c>
      <c r="V96" s="113">
        <f t="shared" si="29"/>
        <v>0</v>
      </c>
      <c r="W96" s="105">
        <f t="shared" si="30"/>
        <v>0</v>
      </c>
      <c r="X96" s="111">
        <f t="shared" si="22"/>
        <v>0</v>
      </c>
      <c r="Y96" s="105">
        <f t="shared" si="31"/>
        <v>0</v>
      </c>
      <c r="Z96" s="105">
        <f t="shared" si="32"/>
        <v>267.19</v>
      </c>
      <c r="AA96" s="105">
        <f t="shared" si="33"/>
        <v>0</v>
      </c>
      <c r="AB96" s="111">
        <f t="shared" si="34"/>
        <v>-267.19</v>
      </c>
      <c r="AC96" s="105" t="e">
        <f t="shared" si="35"/>
        <v>#VALUE!</v>
      </c>
      <c r="AD96" s="105" t="e">
        <f t="shared" si="23"/>
        <v>#VALUE!</v>
      </c>
      <c r="AE96" s="105" t="e">
        <f t="shared" si="24"/>
        <v>#DIV/0!</v>
      </c>
      <c r="AF96" s="105" t="e">
        <f t="shared" si="25"/>
        <v>#VALUE!</v>
      </c>
      <c r="AG96" s="105" t="e">
        <f t="shared" si="26"/>
        <v>#VALUE!</v>
      </c>
      <c r="AH96" s="111"/>
      <c r="AI96" s="105"/>
      <c r="AJ96" s="105"/>
      <c r="AK96" s="109"/>
      <c r="AL96" s="109"/>
      <c r="AM96" s="109"/>
      <c r="AN96" s="109"/>
      <c r="AO96" s="105"/>
      <c r="AP96" s="105"/>
      <c r="AQ96" s="109"/>
      <c r="AR96" s="110"/>
      <c r="AS96" s="110"/>
      <c r="AT96" s="110"/>
      <c r="AU96" s="110"/>
      <c r="AV96" s="110"/>
      <c r="AW96" s="112"/>
      <c r="AX96" s="112"/>
      <c r="AY96" s="110"/>
      <c r="AZ96" s="105"/>
      <c r="BA96" s="105"/>
      <c r="BB96" s="105"/>
      <c r="BC96" s="105"/>
      <c r="BD96" s="105"/>
      <c r="BE96" s="105"/>
    </row>
    <row r="97" spans="1:57" x14ac:dyDescent="0.15">
      <c r="A97" s="101">
        <v>62</v>
      </c>
      <c r="B97" s="98" t="e">
        <f>VLOOKUP($A97,'Rate Calculation'!$A$4:$CS$210,68,FALSE)</f>
        <v>#REF!</v>
      </c>
      <c r="C97" s="98" t="str">
        <f>UPPER(VLOOKUP($A97,'Rate Calculation'!$A$4:$CL$210,69,FALSE))</f>
        <v>29818</v>
      </c>
      <c r="D97" s="104" t="str">
        <f>VLOOKUP($A97,'Rate Calculation'!$A$4:$AJ$210,5,FALSE)</f>
        <v>WASHINGTON METRO</v>
      </c>
      <c r="E97" s="104" t="str">
        <f>VLOOKUP($A97,'Rate Calculation'!$A$4:$AJ$210,6,FALSE)</f>
        <v>NON METRO</v>
      </c>
      <c r="F97" s="105">
        <f>VLOOKUP(A97,'Rate Calculation'!$A$3:$AT$210,35,FALSE)</f>
        <v>31761</v>
      </c>
      <c r="G97" s="105">
        <f>VLOOKUP(A97,'Rate Calculation'!$A$3:$AT$210,30,FALSE)</f>
        <v>14640</v>
      </c>
      <c r="H97" s="105">
        <f>VLOOKUP(A97,'Rate Calculation'!$A$3:$AW$210,36,FALSE)+VLOOKUP(A97,'Rate Calculation'!$A$3:$CC$210,42,FALSE)</f>
        <v>226417270</v>
      </c>
      <c r="I97" s="105">
        <f t="shared" si="27"/>
        <v>0</v>
      </c>
      <c r="J97" s="105" t="str">
        <f>VLOOKUP(A97,'Rate Calculation'!$A$3:$BL$210,43,FALSE)</f>
        <v>Frederick Crossing of Journey</v>
      </c>
      <c r="K97" s="105">
        <f t="shared" si="36"/>
        <v>226463671</v>
      </c>
      <c r="L97" s="164">
        <f t="shared" si="20"/>
        <v>0.98772000000000004</v>
      </c>
      <c r="M97" s="105">
        <f t="shared" si="28"/>
        <v>223682697.12</v>
      </c>
      <c r="N97" s="105" t="e">
        <f>VLOOKUP(A97,'Rate Calculation'!$A$4:$DK$210,47,FALSE)</f>
        <v>#DIV/0!</v>
      </c>
      <c r="O97" s="106">
        <f>VLOOKUP(A97,'Rate Calculation'!$A$4:$DK$210,10,FALSE)</f>
        <v>1.0309999999999999</v>
      </c>
      <c r="P97" s="114">
        <f t="shared" si="21"/>
        <v>1.4432</v>
      </c>
      <c r="Q97" s="114">
        <f>VLOOKUP(A97,'CMI Data'!$A$3:$Z$209,7,FALSE)</f>
        <v>0</v>
      </c>
      <c r="R97" s="120" t="e">
        <f>+'CMI Data'!$I$214</f>
        <v>#DIV/0!</v>
      </c>
      <c r="S97" s="106">
        <f>IF(Q97=0,'CMI Data'!$I$213,ROUND(Q97*R97,4))</f>
        <v>1.4061999999999999</v>
      </c>
      <c r="T97" s="105">
        <f>VLOOKUP(A97,'Rate Calculation'!$A$4:$DK$210,16,FALSE)</f>
        <v>155.01</v>
      </c>
      <c r="U97" s="105">
        <f>VLOOKUP(A97,'Rate Calculation'!$A$4:$DK$210,20,FALSE)</f>
        <v>0</v>
      </c>
      <c r="V97" s="113">
        <f t="shared" si="29"/>
        <v>0</v>
      </c>
      <c r="W97" s="105">
        <f t="shared" si="30"/>
        <v>0</v>
      </c>
      <c r="X97" s="111">
        <f t="shared" si="22"/>
        <v>0</v>
      </c>
      <c r="Y97" s="105">
        <f t="shared" si="31"/>
        <v>0</v>
      </c>
      <c r="Z97" s="105">
        <f t="shared" si="32"/>
        <v>211.42</v>
      </c>
      <c r="AA97" s="105">
        <f t="shared" si="33"/>
        <v>0</v>
      </c>
      <c r="AB97" s="111">
        <f t="shared" si="34"/>
        <v>-211.42</v>
      </c>
      <c r="AC97" s="105" t="e">
        <f t="shared" si="35"/>
        <v>#VALUE!</v>
      </c>
      <c r="AD97" s="105" t="e">
        <f t="shared" si="23"/>
        <v>#VALUE!</v>
      </c>
      <c r="AE97" s="105" t="e">
        <f t="shared" si="24"/>
        <v>#DIV/0!</v>
      </c>
      <c r="AF97" s="105" t="e">
        <f t="shared" si="25"/>
        <v>#VALUE!</v>
      </c>
      <c r="AG97" s="105" t="e">
        <f t="shared" si="26"/>
        <v>#VALUE!</v>
      </c>
      <c r="AH97" s="111"/>
      <c r="AI97" s="105"/>
      <c r="AJ97" s="105"/>
      <c r="AK97" s="109"/>
      <c r="AL97" s="109"/>
      <c r="AM97" s="109"/>
      <c r="AN97" s="109"/>
      <c r="AO97" s="105"/>
      <c r="AP97" s="105"/>
      <c r="AQ97" s="109"/>
      <c r="AR97" s="110"/>
      <c r="AS97" s="110"/>
      <c r="AT97" s="110"/>
      <c r="AU97" s="110"/>
      <c r="AV97" s="110"/>
      <c r="AW97" s="112"/>
      <c r="AX97" s="112"/>
      <c r="AY97" s="110"/>
      <c r="AZ97" s="105"/>
      <c r="BA97" s="105"/>
      <c r="BB97" s="105"/>
      <c r="BC97" s="105"/>
      <c r="BD97" s="105"/>
      <c r="BE97" s="105"/>
    </row>
    <row r="98" spans="1:57" x14ac:dyDescent="0.15">
      <c r="A98" s="101">
        <v>172</v>
      </c>
      <c r="B98" s="98" t="e">
        <f>VLOOKUP($A98,'Rate Calculation'!$A$4:$CS$210,68,FALSE)</f>
        <v>#REF!</v>
      </c>
      <c r="C98" s="98" t="str">
        <f>UPPER(VLOOKUP($A98,'Rate Calculation'!$A$4:$CL$210,69,FALSE))</f>
        <v>51552</v>
      </c>
      <c r="D98" s="104" t="str">
        <f>VLOOKUP($A98,'Rate Calculation'!$A$4:$AJ$210,5,FALSE)</f>
        <v>BALTIMORE METRO</v>
      </c>
      <c r="E98" s="104" t="str">
        <f>VLOOKUP($A98,'Rate Calculation'!$A$4:$AJ$210,6,FALSE)</f>
        <v>BALTIMORE METRO</v>
      </c>
      <c r="F98" s="105">
        <f>VLOOKUP(A98,'Rate Calculation'!$A$3:$AT$210,35,FALSE)</f>
        <v>36264</v>
      </c>
      <c r="G98" s="105">
        <f>VLOOKUP(A98,'Rate Calculation'!$A$3:$AT$210,30,FALSE)</f>
        <v>45750</v>
      </c>
      <c r="H98" s="105">
        <f>VLOOKUP(A98,'Rate Calculation'!$A$3:$AW$210,36,FALSE)+VLOOKUP(A98,'Rate Calculation'!$A$3:$CC$210,42,FALSE)</f>
        <v>267497763</v>
      </c>
      <c r="I98" s="105">
        <f t="shared" si="27"/>
        <v>-36.119999999999997</v>
      </c>
      <c r="J98" s="105" t="str">
        <f>VLOOKUP(A98,'Rate Calculation'!$A$3:$BL$210,43,FALSE)</f>
        <v>Frederick Villa Healthcare</v>
      </c>
      <c r="K98" s="105">
        <f t="shared" si="36"/>
        <v>267579740.88</v>
      </c>
      <c r="L98" s="164">
        <f t="shared" si="20"/>
        <v>0.98772000000000004</v>
      </c>
      <c r="M98" s="105">
        <f t="shared" si="28"/>
        <v>264293861.66</v>
      </c>
      <c r="N98" s="105" t="e">
        <f>VLOOKUP(A98,'Rate Calculation'!$A$4:$DK$210,47,FALSE)</f>
        <v>#DIV/0!</v>
      </c>
      <c r="O98" s="106">
        <f>VLOOKUP(A98,'Rate Calculation'!$A$4:$DK$210,10,FALSE)</f>
        <v>1.0309999999999999</v>
      </c>
      <c r="P98" s="114">
        <f t="shared" si="21"/>
        <v>1.4432</v>
      </c>
      <c r="Q98" s="114">
        <f>VLOOKUP(A98,'CMI Data'!$A$3:$Z$209,7,FALSE)</f>
        <v>0</v>
      </c>
      <c r="R98" s="120" t="e">
        <f>+'CMI Data'!$I$214</f>
        <v>#DIV/0!</v>
      </c>
      <c r="S98" s="106">
        <f>IF(Q98=0,'CMI Data'!$I$213,ROUND(Q98*R98,4))</f>
        <v>1.4061999999999999</v>
      </c>
      <c r="T98" s="105">
        <f>VLOOKUP(A98,'Rate Calculation'!$A$4:$DK$210,16,FALSE)</f>
        <v>163.19</v>
      </c>
      <c r="U98" s="105">
        <f>VLOOKUP(A98,'Rate Calculation'!$A$4:$DK$210,20,FALSE)</f>
        <v>-37.07</v>
      </c>
      <c r="V98" s="113">
        <f t="shared" si="29"/>
        <v>-26.48</v>
      </c>
      <c r="W98" s="105">
        <f t="shared" si="30"/>
        <v>-36.119999999999997</v>
      </c>
      <c r="X98" s="111">
        <f t="shared" si="22"/>
        <v>0</v>
      </c>
      <c r="Y98" s="105">
        <f t="shared" si="31"/>
        <v>-36.119999999999997</v>
      </c>
      <c r="Z98" s="105">
        <f t="shared" si="32"/>
        <v>222.58</v>
      </c>
      <c r="AA98" s="105">
        <f t="shared" si="33"/>
        <v>-34.31</v>
      </c>
      <c r="AB98" s="111">
        <f t="shared" si="34"/>
        <v>-256.89</v>
      </c>
      <c r="AC98" s="105" t="e">
        <f t="shared" si="35"/>
        <v>#VALUE!</v>
      </c>
      <c r="AD98" s="105" t="e">
        <f t="shared" si="23"/>
        <v>#VALUE!</v>
      </c>
      <c r="AE98" s="105" t="e">
        <f t="shared" si="24"/>
        <v>#DIV/0!</v>
      </c>
      <c r="AF98" s="105" t="e">
        <f t="shared" si="25"/>
        <v>#VALUE!</v>
      </c>
      <c r="AG98" s="105" t="e">
        <f t="shared" si="26"/>
        <v>#VALUE!</v>
      </c>
      <c r="AH98" s="111"/>
      <c r="AI98" s="105"/>
      <c r="AJ98" s="105"/>
      <c r="AK98" s="109"/>
      <c r="AL98" s="109"/>
      <c r="AM98" s="109"/>
      <c r="AN98" s="109"/>
      <c r="AO98" s="105"/>
      <c r="AP98" s="105"/>
      <c r="AQ98" s="109"/>
      <c r="AR98" s="110"/>
      <c r="AS98" s="110"/>
      <c r="AT98" s="110"/>
      <c r="AU98" s="110"/>
      <c r="AV98" s="110"/>
      <c r="AW98" s="112"/>
      <c r="AX98" s="112"/>
      <c r="AY98" s="110"/>
      <c r="AZ98" s="105"/>
      <c r="BA98" s="105"/>
      <c r="BB98" s="105"/>
      <c r="BC98" s="105"/>
      <c r="BD98" s="105"/>
      <c r="BE98" s="105"/>
    </row>
    <row r="99" spans="1:57" x14ac:dyDescent="0.15">
      <c r="A99" s="101">
        <v>174</v>
      </c>
      <c r="B99" s="98" t="e">
        <f>VLOOKUP($A99,'Rate Calculation'!$A$4:$CS$210,68,FALSE)</f>
        <v>#REF!</v>
      </c>
      <c r="C99" s="98" t="str">
        <f>UPPER(VLOOKUP($A99,'Rate Calculation'!$A$4:$CL$210,69,FALSE))</f>
        <v>20750</v>
      </c>
      <c r="D99" s="104" t="str">
        <f>VLOOKUP($A99,'Rate Calculation'!$A$4:$AJ$210,5,FALSE)</f>
        <v>WASHINGTON METRO</v>
      </c>
      <c r="E99" s="104" t="str">
        <f>VLOOKUP($A99,'Rate Calculation'!$A$4:$AJ$210,6,FALSE)</f>
        <v>WASHINGTON METRO</v>
      </c>
      <c r="F99" s="105">
        <f>VLOOKUP(A99,'Rate Calculation'!$A$3:$AT$210,35,FALSE)</f>
        <v>0</v>
      </c>
      <c r="G99" s="105">
        <f>VLOOKUP(A99,'Rate Calculation'!$A$3:$AT$210,30,FALSE)</f>
        <v>30012</v>
      </c>
      <c r="H99" s="105">
        <f>VLOOKUP(A99,'Rate Calculation'!$A$3:$AW$210,36,FALSE)+VLOOKUP(A99,'Rate Calculation'!$A$3:$CC$210,42,FALSE)</f>
        <v>155517100</v>
      </c>
      <c r="I99" s="105">
        <f t="shared" si="27"/>
        <v>0</v>
      </c>
      <c r="J99" s="105" t="str">
        <f>VLOOKUP(A99,'Rate Calculation'!$A$3:$BL$210,43,FALSE)</f>
        <v>Friends Nursing Home, Inc.</v>
      </c>
      <c r="K99" s="105">
        <f t="shared" si="36"/>
        <v>155547112</v>
      </c>
      <c r="L99" s="164">
        <f t="shared" si="20"/>
        <v>0.98772000000000004</v>
      </c>
      <c r="M99" s="105">
        <f t="shared" si="28"/>
        <v>153636993.46000001</v>
      </c>
      <c r="N99" s="105" t="e">
        <f>VLOOKUP(A99,'Rate Calculation'!$A$4:$DK$210,47,FALSE)</f>
        <v>#DIV/0!</v>
      </c>
      <c r="O99" s="106">
        <f>VLOOKUP(A99,'Rate Calculation'!$A$4:$DK$210,10,FALSE)</f>
        <v>1.0309999999999999</v>
      </c>
      <c r="P99" s="114">
        <f t="shared" si="21"/>
        <v>1.4432</v>
      </c>
      <c r="Q99" s="114">
        <f>VLOOKUP(A99,'CMI Data'!$A$3:$Z$209,7,FALSE)</f>
        <v>0</v>
      </c>
      <c r="R99" s="120" t="e">
        <f>+'CMI Data'!$I$214</f>
        <v>#DIV/0!</v>
      </c>
      <c r="S99" s="106">
        <f>IF(Q99=0,'CMI Data'!$I$213,ROUND(Q99*R99,4))</f>
        <v>1.4061999999999999</v>
      </c>
      <c r="T99" s="105">
        <f>VLOOKUP(A99,'Rate Calculation'!$A$4:$DK$210,16,FALSE)</f>
        <v>134.47999999999999</v>
      </c>
      <c r="U99" s="105">
        <f>VLOOKUP(A99,'Rate Calculation'!$A$4:$DK$210,20,FALSE)</f>
        <v>0</v>
      </c>
      <c r="V99" s="113">
        <f t="shared" si="29"/>
        <v>0</v>
      </c>
      <c r="W99" s="105">
        <f t="shared" si="30"/>
        <v>0</v>
      </c>
      <c r="X99" s="111">
        <f t="shared" si="22"/>
        <v>0</v>
      </c>
      <c r="Y99" s="105">
        <f t="shared" si="31"/>
        <v>0</v>
      </c>
      <c r="Z99" s="105">
        <f t="shared" si="32"/>
        <v>183.42</v>
      </c>
      <c r="AA99" s="105">
        <f t="shared" si="33"/>
        <v>0</v>
      </c>
      <c r="AB99" s="111">
        <f t="shared" si="34"/>
        <v>-183.42</v>
      </c>
      <c r="AC99" s="105" t="e">
        <f t="shared" si="35"/>
        <v>#VALUE!</v>
      </c>
      <c r="AD99" s="105" t="e">
        <f t="shared" si="23"/>
        <v>#VALUE!</v>
      </c>
      <c r="AE99" s="105" t="e">
        <f t="shared" si="24"/>
        <v>#DIV/0!</v>
      </c>
      <c r="AF99" s="105" t="e">
        <f t="shared" si="25"/>
        <v>#VALUE!</v>
      </c>
      <c r="AG99" s="105" t="e">
        <f t="shared" si="26"/>
        <v>#VALUE!</v>
      </c>
      <c r="AH99" s="111"/>
      <c r="AI99" s="105"/>
      <c r="AJ99" s="105"/>
      <c r="AK99" s="109"/>
      <c r="AL99" s="109"/>
      <c r="AM99" s="109"/>
      <c r="AN99" s="109"/>
      <c r="AO99" s="105"/>
      <c r="AP99" s="105"/>
      <c r="AQ99" s="109"/>
      <c r="AR99" s="110"/>
      <c r="AS99" s="110"/>
      <c r="AT99" s="110"/>
      <c r="AU99" s="110"/>
      <c r="AV99" s="110"/>
      <c r="AW99" s="112"/>
      <c r="AX99" s="112"/>
      <c r="AY99" s="110"/>
      <c r="AZ99" s="105"/>
      <c r="BA99" s="105"/>
      <c r="BB99" s="105"/>
      <c r="BC99" s="105"/>
      <c r="BD99" s="105"/>
      <c r="BE99" s="105"/>
    </row>
    <row r="100" spans="1:57" x14ac:dyDescent="0.15">
      <c r="A100" s="101">
        <v>178</v>
      </c>
      <c r="B100" s="98" t="e">
        <f>VLOOKUP($A100,'Rate Calculation'!$A$4:$CS$210,68,FALSE)</f>
        <v>#REF!</v>
      </c>
      <c r="C100" s="98" t="str">
        <f>UPPER(VLOOKUP($A100,'Rate Calculation'!$A$4:$CL$210,69,FALSE))</f>
        <v>185154</v>
      </c>
      <c r="D100" s="104" t="str">
        <f>VLOOKUP($A100,'Rate Calculation'!$A$4:$AJ$210,5,FALSE)</f>
        <v>BALTIMORE METRO</v>
      </c>
      <c r="E100" s="104" t="str">
        <f>VLOOKUP($A100,'Rate Calculation'!$A$4:$AJ$210,6,FALSE)</f>
        <v>BALTIMORE CITY</v>
      </c>
      <c r="F100" s="105">
        <f>VLOOKUP(A100,'Rate Calculation'!$A$3:$AT$210,35,FALSE)</f>
        <v>48753</v>
      </c>
      <c r="G100" s="105">
        <f>VLOOKUP(A100,'Rate Calculation'!$A$3:$AT$210,30,FALSE)</f>
        <v>58560</v>
      </c>
      <c r="H100" s="105">
        <f>VLOOKUP(A100,'Rate Calculation'!$A$3:$AW$210,36,FALSE)+VLOOKUP(A100,'Rate Calculation'!$A$3:$CC$210,42,FALSE)</f>
        <v>197055752</v>
      </c>
      <c r="I100" s="105">
        <f t="shared" si="27"/>
        <v>0</v>
      </c>
      <c r="J100" s="105" t="str">
        <f>VLOOKUP(A100,'Rate Calculation'!$A$3:$BL$210,43,FALSE)</f>
        <v>FutureCare - Canton Harbor</v>
      </c>
      <c r="K100" s="105">
        <f t="shared" si="36"/>
        <v>197163065</v>
      </c>
      <c r="L100" s="164">
        <f t="shared" si="20"/>
        <v>0.98772000000000004</v>
      </c>
      <c r="M100" s="105">
        <f t="shared" si="28"/>
        <v>194741902.56</v>
      </c>
      <c r="N100" s="105" t="e">
        <f>VLOOKUP(A100,'Rate Calculation'!$A$4:$DK$210,47,FALSE)</f>
        <v>#DIV/0!</v>
      </c>
      <c r="O100" s="106">
        <f>VLOOKUP(A100,'Rate Calculation'!$A$4:$DK$210,10,FALSE)</f>
        <v>1.0309999999999999</v>
      </c>
      <c r="P100" s="114">
        <f t="shared" si="21"/>
        <v>1.4432</v>
      </c>
      <c r="Q100" s="114">
        <f>VLOOKUP(A100,'CMI Data'!$A$3:$Z$209,7,FALSE)</f>
        <v>0</v>
      </c>
      <c r="R100" s="120" t="e">
        <f>+'CMI Data'!$I$214</f>
        <v>#DIV/0!</v>
      </c>
      <c r="S100" s="106">
        <f>IF(Q100=0,'CMI Data'!$I$213,ROUND(Q100*R100,4))</f>
        <v>1.4061999999999999</v>
      </c>
      <c r="T100" s="105">
        <f>VLOOKUP(A100,'Rate Calculation'!$A$4:$DK$210,16,FALSE)</f>
        <v>193.94</v>
      </c>
      <c r="U100" s="105">
        <f>VLOOKUP(A100,'Rate Calculation'!$A$4:$DK$210,20,FALSE)</f>
        <v>0</v>
      </c>
      <c r="V100" s="113">
        <f t="shared" si="29"/>
        <v>0</v>
      </c>
      <c r="W100" s="105">
        <f t="shared" si="30"/>
        <v>0</v>
      </c>
      <c r="X100" s="111">
        <f t="shared" si="22"/>
        <v>0</v>
      </c>
      <c r="Y100" s="105">
        <f t="shared" si="31"/>
        <v>0</v>
      </c>
      <c r="Z100" s="105">
        <f t="shared" si="32"/>
        <v>264.52</v>
      </c>
      <c r="AA100" s="105">
        <f t="shared" si="33"/>
        <v>0</v>
      </c>
      <c r="AB100" s="111">
        <f t="shared" si="34"/>
        <v>-264.52</v>
      </c>
      <c r="AC100" s="105" t="e">
        <f t="shared" si="35"/>
        <v>#VALUE!</v>
      </c>
      <c r="AD100" s="105" t="e">
        <f t="shared" si="23"/>
        <v>#VALUE!</v>
      </c>
      <c r="AE100" s="105" t="e">
        <f t="shared" si="24"/>
        <v>#DIV/0!</v>
      </c>
      <c r="AF100" s="105" t="e">
        <f t="shared" si="25"/>
        <v>#VALUE!</v>
      </c>
      <c r="AG100" s="105" t="e">
        <f t="shared" si="26"/>
        <v>#VALUE!</v>
      </c>
      <c r="AH100" s="111"/>
      <c r="AI100" s="105"/>
      <c r="AJ100" s="105"/>
      <c r="AK100" s="109"/>
      <c r="AL100" s="109"/>
      <c r="AM100" s="109"/>
      <c r="AN100" s="109"/>
      <c r="AO100" s="105"/>
      <c r="AP100" s="105"/>
      <c r="AQ100" s="109"/>
      <c r="AR100" s="110"/>
      <c r="AS100" s="110"/>
      <c r="AT100" s="110"/>
      <c r="AU100" s="110"/>
      <c r="AV100" s="110"/>
      <c r="AW100" s="112"/>
      <c r="AX100" s="112"/>
      <c r="AY100" s="110"/>
      <c r="AZ100" s="105"/>
      <c r="BA100" s="105"/>
      <c r="BB100" s="105"/>
      <c r="BC100" s="105"/>
      <c r="BD100" s="105"/>
      <c r="BE100" s="105"/>
    </row>
    <row r="101" spans="1:57" x14ac:dyDescent="0.15">
      <c r="A101" s="101">
        <v>1366</v>
      </c>
      <c r="B101" s="98" t="e">
        <f>VLOOKUP($A101,'Rate Calculation'!$A$4:$CS$210,68,FALSE)</f>
        <v>#REF!</v>
      </c>
      <c r="C101" s="98" t="str">
        <f>UPPER(VLOOKUP($A101,'Rate Calculation'!$A$4:$CL$210,69,FALSE))</f>
        <v>291027</v>
      </c>
      <c r="D101" s="104" t="str">
        <f>VLOOKUP($A101,'Rate Calculation'!$A$4:$AJ$210,5,FALSE)</f>
        <v>WASHINGTON METRO</v>
      </c>
      <c r="E101" s="104" t="str">
        <f>VLOOKUP($A101,'Rate Calculation'!$A$4:$AJ$210,6,FALSE)</f>
        <v>WASHINGTON METRO</v>
      </c>
      <c r="F101" s="105">
        <f>VLOOKUP(A101,'Rate Calculation'!$A$3:$AT$210,35,FALSE)</f>
        <v>27327</v>
      </c>
      <c r="G101" s="105">
        <f>VLOOKUP(A101,'Rate Calculation'!$A$3:$AT$210,30,FALSE)</f>
        <v>54900</v>
      </c>
      <c r="H101" s="105">
        <f>VLOOKUP(A101,'Rate Calculation'!$A$3:$AW$210,36,FALSE)+VLOOKUP(A101,'Rate Calculation'!$A$3:$CC$210,42,FALSE)</f>
        <v>280075857</v>
      </c>
      <c r="I101" s="105">
        <f t="shared" si="27"/>
        <v>0</v>
      </c>
      <c r="J101" s="105" t="str">
        <f>VLOOKUP(A101,'Rate Calculation'!$A$3:$BL$210,43,FALSE)</f>
        <v>FutureCare - Capital Region</v>
      </c>
      <c r="K101" s="105">
        <f t="shared" si="36"/>
        <v>280158084</v>
      </c>
      <c r="L101" s="164">
        <f t="shared" si="20"/>
        <v>0.98772000000000004</v>
      </c>
      <c r="M101" s="105">
        <f t="shared" si="28"/>
        <v>276717742.73000002</v>
      </c>
      <c r="N101" s="105" t="e">
        <f>VLOOKUP(A101,'Rate Calculation'!$A$4:$DK$210,47,FALSE)</f>
        <v>#DIV/0!</v>
      </c>
      <c r="O101" s="106">
        <f>VLOOKUP(A101,'Rate Calculation'!$A$4:$DK$210,10,FALSE)</f>
        <v>1.0309999999999999</v>
      </c>
      <c r="P101" s="114">
        <f t="shared" si="21"/>
        <v>1.4432</v>
      </c>
      <c r="Q101" s="114">
        <f>VLOOKUP(A101,'CMI Data'!$A$3:$Z$209,7,FALSE)</f>
        <v>0</v>
      </c>
      <c r="R101" s="120" t="e">
        <f>+'CMI Data'!$I$214</f>
        <v>#DIV/0!</v>
      </c>
      <c r="S101" s="106">
        <f>IF(Q101=0,'CMI Data'!$I$213,ROUND(Q101*R101,4))</f>
        <v>1.4061999999999999</v>
      </c>
      <c r="T101" s="105">
        <f>VLOOKUP(A101,'Rate Calculation'!$A$4:$DK$210,16,FALSE)</f>
        <v>191.4</v>
      </c>
      <c r="U101" s="105">
        <f>VLOOKUP(A101,'Rate Calculation'!$A$4:$DK$210,20,FALSE)</f>
        <v>0</v>
      </c>
      <c r="V101" s="113">
        <f t="shared" si="29"/>
        <v>0</v>
      </c>
      <c r="W101" s="105">
        <f t="shared" si="30"/>
        <v>0</v>
      </c>
      <c r="X101" s="111">
        <f t="shared" si="22"/>
        <v>0</v>
      </c>
      <c r="Y101" s="105">
        <f t="shared" si="31"/>
        <v>0</v>
      </c>
      <c r="Z101" s="105">
        <f t="shared" si="32"/>
        <v>261.05</v>
      </c>
      <c r="AA101" s="105">
        <f t="shared" si="33"/>
        <v>0</v>
      </c>
      <c r="AB101" s="111">
        <f t="shared" si="34"/>
        <v>-261.05</v>
      </c>
      <c r="AC101" s="105" t="e">
        <f t="shared" si="35"/>
        <v>#VALUE!</v>
      </c>
      <c r="AD101" s="105" t="e">
        <f t="shared" si="23"/>
        <v>#VALUE!</v>
      </c>
      <c r="AE101" s="105" t="e">
        <f t="shared" si="24"/>
        <v>#DIV/0!</v>
      </c>
      <c r="AF101" s="105" t="e">
        <f t="shared" si="25"/>
        <v>#VALUE!</v>
      </c>
      <c r="AG101" s="105" t="e">
        <f t="shared" si="26"/>
        <v>#VALUE!</v>
      </c>
      <c r="AH101" s="111"/>
      <c r="AI101" s="105"/>
      <c r="AJ101" s="105"/>
      <c r="AK101" s="109"/>
      <c r="AL101" s="109"/>
      <c r="AM101" s="109"/>
      <c r="AN101" s="109"/>
      <c r="AO101" s="105"/>
      <c r="AP101" s="105"/>
      <c r="AQ101" s="109"/>
      <c r="AR101" s="110"/>
      <c r="AS101" s="110"/>
      <c r="AT101" s="110"/>
      <c r="AU101" s="110"/>
      <c r="AV101" s="110"/>
      <c r="AW101" s="112"/>
      <c r="AX101" s="112"/>
      <c r="AY101" s="110"/>
      <c r="AZ101" s="105"/>
      <c r="BA101" s="105"/>
      <c r="BB101" s="105"/>
      <c r="BC101" s="105"/>
      <c r="BD101" s="105"/>
      <c r="BE101" s="105"/>
    </row>
    <row r="102" spans="1:57" x14ac:dyDescent="0.15">
      <c r="A102" s="101">
        <v>723</v>
      </c>
      <c r="B102" s="98" t="e">
        <f>VLOOKUP($A102,'Rate Calculation'!$A$4:$CS$210,68,FALSE)</f>
        <v>#REF!</v>
      </c>
      <c r="C102" s="98" t="str">
        <f>UPPER(VLOOKUP($A102,'Rate Calculation'!$A$4:$CL$210,69,FALSE))</f>
        <v>124733</v>
      </c>
      <c r="D102" s="104" t="str">
        <f>VLOOKUP($A102,'Rate Calculation'!$A$4:$AJ$210,5,FALSE)</f>
        <v>BALTIMORE METRO</v>
      </c>
      <c r="E102" s="104" t="str">
        <f>VLOOKUP($A102,'Rate Calculation'!$A$4:$AJ$210,6,FALSE)</f>
        <v>BALTIMORE CITY</v>
      </c>
      <c r="F102" s="105">
        <f>VLOOKUP(A102,'Rate Calculation'!$A$3:$AT$210,35,FALSE)</f>
        <v>30314</v>
      </c>
      <c r="G102" s="105">
        <f>VLOOKUP(A102,'Rate Calculation'!$A$3:$AT$210,30,FALSE)</f>
        <v>39894</v>
      </c>
      <c r="H102" s="105">
        <f>VLOOKUP(A102,'Rate Calculation'!$A$3:$AW$210,36,FALSE)+VLOOKUP(A102,'Rate Calculation'!$A$3:$CC$210,42,FALSE)</f>
        <v>400721866</v>
      </c>
      <c r="I102" s="105">
        <f t="shared" si="27"/>
        <v>-8.7200000000000006</v>
      </c>
      <c r="J102" s="105" t="str">
        <f>VLOOKUP(A102,'Rate Calculation'!$A$3:$BL$210,43,FALSE)</f>
        <v>FutureCare - Charles Village, LLC</v>
      </c>
      <c r="K102" s="105">
        <f t="shared" si="36"/>
        <v>400792065.27999997</v>
      </c>
      <c r="L102" s="164">
        <f t="shared" si="20"/>
        <v>0.98772000000000004</v>
      </c>
      <c r="M102" s="105">
        <f t="shared" si="28"/>
        <v>395870338.72000003</v>
      </c>
      <c r="N102" s="105" t="e">
        <f>VLOOKUP(A102,'Rate Calculation'!$A$4:$DK$210,47,FALSE)</f>
        <v>#DIV/0!</v>
      </c>
      <c r="O102" s="106">
        <f>VLOOKUP(A102,'Rate Calculation'!$A$4:$DK$210,10,FALSE)</f>
        <v>1.0309999999999999</v>
      </c>
      <c r="P102" s="114">
        <f t="shared" si="21"/>
        <v>1.4432</v>
      </c>
      <c r="Q102" s="114">
        <f>VLOOKUP(A102,'CMI Data'!$A$3:$Z$209,7,FALSE)</f>
        <v>0</v>
      </c>
      <c r="R102" s="120" t="e">
        <f>+'CMI Data'!$I$214</f>
        <v>#DIV/0!</v>
      </c>
      <c r="S102" s="106">
        <f>IF(Q102=0,'CMI Data'!$I$213,ROUND(Q102*R102,4))</f>
        <v>1.4061999999999999</v>
      </c>
      <c r="T102" s="105">
        <f>VLOOKUP(A102,'Rate Calculation'!$A$4:$DK$210,16,FALSE)</f>
        <v>173.76</v>
      </c>
      <c r="U102" s="105">
        <f>VLOOKUP(A102,'Rate Calculation'!$A$4:$DK$210,20,FALSE)</f>
        <v>-8.94</v>
      </c>
      <c r="V102" s="113">
        <f t="shared" si="29"/>
        <v>-6.39</v>
      </c>
      <c r="W102" s="105">
        <f t="shared" si="30"/>
        <v>-8.7200000000000006</v>
      </c>
      <c r="X102" s="111">
        <f t="shared" si="22"/>
        <v>0</v>
      </c>
      <c r="Y102" s="105">
        <f t="shared" si="31"/>
        <v>-8.7200000000000006</v>
      </c>
      <c r="Z102" s="105">
        <f t="shared" si="32"/>
        <v>236.99</v>
      </c>
      <c r="AA102" s="105">
        <f t="shared" si="33"/>
        <v>-8.2799999999999994</v>
      </c>
      <c r="AB102" s="111">
        <f t="shared" si="34"/>
        <v>-245.27</v>
      </c>
      <c r="AC102" s="105" t="e">
        <f t="shared" si="35"/>
        <v>#VALUE!</v>
      </c>
      <c r="AD102" s="105" t="e">
        <f t="shared" si="23"/>
        <v>#VALUE!</v>
      </c>
      <c r="AE102" s="105" t="e">
        <f t="shared" si="24"/>
        <v>#DIV/0!</v>
      </c>
      <c r="AF102" s="105" t="e">
        <f t="shared" si="25"/>
        <v>#VALUE!</v>
      </c>
      <c r="AG102" s="105" t="e">
        <f t="shared" si="26"/>
        <v>#VALUE!</v>
      </c>
      <c r="AH102" s="111"/>
      <c r="AI102" s="105"/>
      <c r="AJ102" s="105"/>
      <c r="AK102" s="109"/>
      <c r="AL102" s="109"/>
      <c r="AM102" s="109"/>
      <c r="AN102" s="109"/>
      <c r="AO102" s="105"/>
      <c r="AP102" s="105"/>
      <c r="AQ102" s="109"/>
      <c r="AR102" s="110"/>
      <c r="AS102" s="110"/>
      <c r="AT102" s="110"/>
      <c r="AU102" s="110"/>
      <c r="AV102" s="110"/>
      <c r="AW102" s="112"/>
      <c r="AX102" s="112"/>
      <c r="AY102" s="110"/>
      <c r="AZ102" s="105"/>
      <c r="BA102" s="105"/>
      <c r="BB102" s="105"/>
      <c r="BC102" s="105"/>
      <c r="BD102" s="105"/>
      <c r="BE102" s="105"/>
    </row>
    <row r="103" spans="1:57" x14ac:dyDescent="0.15">
      <c r="A103" s="101">
        <v>182</v>
      </c>
      <c r="B103" s="98" t="e">
        <f>VLOOKUP($A103,'Rate Calculation'!$A$4:$CS$210,68,FALSE)</f>
        <v>#REF!</v>
      </c>
      <c r="C103" s="98" t="str">
        <f>UPPER(VLOOKUP($A103,'Rate Calculation'!$A$4:$CL$210,69,FALSE))</f>
        <v>76413</v>
      </c>
      <c r="D103" s="104" t="str">
        <f>VLOOKUP($A103,'Rate Calculation'!$A$4:$AJ$210,5,FALSE)</f>
        <v>BALTIMORE METRO</v>
      </c>
      <c r="E103" s="104" t="str">
        <f>VLOOKUP($A103,'Rate Calculation'!$A$4:$AJ$210,6,FALSE)</f>
        <v>BALTIMORE METRO</v>
      </c>
      <c r="F103" s="105">
        <f>VLOOKUP(A103,'Rate Calculation'!$A$3:$AT$210,35,FALSE)</f>
        <v>47589</v>
      </c>
      <c r="G103" s="105">
        <f>VLOOKUP(A103,'Rate Calculation'!$A$3:$AT$210,30,FALSE)</f>
        <v>61122</v>
      </c>
      <c r="H103" s="105">
        <f>VLOOKUP(A103,'Rate Calculation'!$A$3:$AW$210,36,FALSE)+VLOOKUP(A103,'Rate Calculation'!$A$3:$CC$210,42,FALSE)</f>
        <v>32223351</v>
      </c>
      <c r="I103" s="105">
        <f t="shared" si="27"/>
        <v>-14.92</v>
      </c>
      <c r="J103" s="105" t="str">
        <f>VLOOKUP(A103,'Rate Calculation'!$A$3:$BL$210,43,FALSE)</f>
        <v>FutureCare - Cherrywood</v>
      </c>
      <c r="K103" s="105">
        <f t="shared" si="36"/>
        <v>32332047.079999998</v>
      </c>
      <c r="L103" s="164">
        <f t="shared" si="20"/>
        <v>0.98772000000000004</v>
      </c>
      <c r="M103" s="105">
        <f t="shared" si="28"/>
        <v>31935009.539999999</v>
      </c>
      <c r="N103" s="105" t="e">
        <f>VLOOKUP(A103,'Rate Calculation'!$A$4:$DK$210,47,FALSE)</f>
        <v>#DIV/0!</v>
      </c>
      <c r="O103" s="106">
        <f>VLOOKUP(A103,'Rate Calculation'!$A$4:$DK$210,10,FALSE)</f>
        <v>1.0309999999999999</v>
      </c>
      <c r="P103" s="114">
        <f t="shared" si="21"/>
        <v>1.4432</v>
      </c>
      <c r="Q103" s="114">
        <f>VLOOKUP(A103,'CMI Data'!$A$3:$Z$209,7,FALSE)</f>
        <v>0</v>
      </c>
      <c r="R103" s="120" t="e">
        <f>+'CMI Data'!$I$214</f>
        <v>#DIV/0!</v>
      </c>
      <c r="S103" s="106">
        <f>IF(Q103=0,'CMI Data'!$I$213,ROUND(Q103*R103,4))</f>
        <v>1.4061999999999999</v>
      </c>
      <c r="T103" s="105">
        <f>VLOOKUP(A103,'Rate Calculation'!$A$4:$DK$210,16,FALSE)</f>
        <v>182</v>
      </c>
      <c r="U103" s="105">
        <f>VLOOKUP(A103,'Rate Calculation'!$A$4:$DK$210,20,FALSE)</f>
        <v>-15.32</v>
      </c>
      <c r="V103" s="113">
        <f t="shared" si="29"/>
        <v>-10.94</v>
      </c>
      <c r="W103" s="105">
        <f t="shared" si="30"/>
        <v>-14.92</v>
      </c>
      <c r="X103" s="111">
        <f t="shared" si="22"/>
        <v>0</v>
      </c>
      <c r="Y103" s="105">
        <f t="shared" si="31"/>
        <v>-14.92</v>
      </c>
      <c r="Z103" s="105">
        <f t="shared" si="32"/>
        <v>248.23</v>
      </c>
      <c r="AA103" s="105">
        <f t="shared" si="33"/>
        <v>-14.17</v>
      </c>
      <c r="AB103" s="111">
        <f t="shared" si="34"/>
        <v>-262.39999999999998</v>
      </c>
      <c r="AC103" s="105" t="e">
        <f t="shared" si="35"/>
        <v>#VALUE!</v>
      </c>
      <c r="AD103" s="105" t="e">
        <f t="shared" si="23"/>
        <v>#VALUE!</v>
      </c>
      <c r="AE103" s="105" t="e">
        <f t="shared" si="24"/>
        <v>#DIV/0!</v>
      </c>
      <c r="AF103" s="105" t="e">
        <f t="shared" si="25"/>
        <v>#VALUE!</v>
      </c>
      <c r="AG103" s="105" t="e">
        <f t="shared" si="26"/>
        <v>#VALUE!</v>
      </c>
      <c r="AH103" s="111"/>
      <c r="AI103" s="105"/>
      <c r="AJ103" s="105"/>
      <c r="AK103" s="109"/>
      <c r="AL103" s="109"/>
      <c r="AM103" s="109"/>
      <c r="AN103" s="109"/>
      <c r="AO103" s="105"/>
      <c r="AP103" s="105"/>
      <c r="AQ103" s="109"/>
      <c r="AR103" s="110"/>
      <c r="AS103" s="110"/>
      <c r="AT103" s="110"/>
      <c r="AU103" s="110"/>
      <c r="AV103" s="110"/>
      <c r="AW103" s="112"/>
      <c r="AX103" s="112"/>
      <c r="AY103" s="110"/>
      <c r="AZ103" s="105"/>
      <c r="BA103" s="105"/>
      <c r="BB103" s="105"/>
      <c r="BC103" s="105"/>
      <c r="BD103" s="105"/>
      <c r="BE103" s="105"/>
    </row>
    <row r="104" spans="1:57" x14ac:dyDescent="0.15">
      <c r="A104" s="101">
        <v>184</v>
      </c>
      <c r="B104" s="98" t="e">
        <f>VLOOKUP($A104,'Rate Calculation'!$A$4:$CS$210,68,FALSE)</f>
        <v>#REF!</v>
      </c>
      <c r="C104" s="98" t="str">
        <f>UPPER(VLOOKUP($A104,'Rate Calculation'!$A$4:$CL$210,69,FALSE))</f>
        <v>94475</v>
      </c>
      <c r="D104" s="104" t="str">
        <f>VLOOKUP($A104,'Rate Calculation'!$A$4:$AJ$210,5,FALSE)</f>
        <v>BALTIMORE METRO</v>
      </c>
      <c r="E104" s="104" t="str">
        <f>VLOOKUP($A104,'Rate Calculation'!$A$4:$AJ$210,6,FALSE)</f>
        <v>BALTIMORE METRO</v>
      </c>
      <c r="F104" s="105">
        <f>VLOOKUP(A104,'Rate Calculation'!$A$3:$AT$210,35,FALSE)</f>
        <v>30801</v>
      </c>
      <c r="G104" s="105">
        <f>VLOOKUP(A104,'Rate Calculation'!$A$3:$AT$210,30,FALSE)</f>
        <v>55632</v>
      </c>
      <c r="H104" s="105">
        <f>VLOOKUP(A104,'Rate Calculation'!$A$3:$AW$210,36,FALSE)+VLOOKUP(A104,'Rate Calculation'!$A$3:$CC$210,42,FALSE)</f>
        <v>21806611</v>
      </c>
      <c r="I104" s="105">
        <f t="shared" si="27"/>
        <v>0</v>
      </c>
      <c r="J104" s="105" t="str">
        <f>VLOOKUP(A104,'Rate Calculation'!$A$3:$BL$210,43,FALSE)</f>
        <v>FutureCare - Chesapeake</v>
      </c>
      <c r="K104" s="105">
        <f t="shared" si="36"/>
        <v>21893044</v>
      </c>
      <c r="L104" s="164">
        <f t="shared" si="20"/>
        <v>0.98772000000000004</v>
      </c>
      <c r="M104" s="105">
        <f t="shared" si="28"/>
        <v>21624197.420000002</v>
      </c>
      <c r="N104" s="105" t="e">
        <f>VLOOKUP(A104,'Rate Calculation'!$A$4:$DK$210,47,FALSE)</f>
        <v>#DIV/0!</v>
      </c>
      <c r="O104" s="106">
        <f>VLOOKUP(A104,'Rate Calculation'!$A$4:$DK$210,10,FALSE)</f>
        <v>1.0309999999999999</v>
      </c>
      <c r="P104" s="114">
        <f t="shared" si="21"/>
        <v>1.4432</v>
      </c>
      <c r="Q104" s="114">
        <f>VLOOKUP(A104,'CMI Data'!$A$3:$Z$209,7,FALSE)</f>
        <v>0</v>
      </c>
      <c r="R104" s="120" t="e">
        <f>+'CMI Data'!$I$214</f>
        <v>#DIV/0!</v>
      </c>
      <c r="S104" s="106">
        <f>IF(Q104=0,'CMI Data'!$I$213,ROUND(Q104*R104,4))</f>
        <v>1.4061999999999999</v>
      </c>
      <c r="T104" s="105">
        <f>VLOOKUP(A104,'Rate Calculation'!$A$4:$DK$210,16,FALSE)</f>
        <v>178.27</v>
      </c>
      <c r="U104" s="105">
        <f>VLOOKUP(A104,'Rate Calculation'!$A$4:$DK$210,20,FALSE)</f>
        <v>0</v>
      </c>
      <c r="V104" s="113">
        <f t="shared" si="29"/>
        <v>0</v>
      </c>
      <c r="W104" s="105">
        <f t="shared" si="30"/>
        <v>0</v>
      </c>
      <c r="X104" s="111">
        <f t="shared" si="22"/>
        <v>0</v>
      </c>
      <c r="Y104" s="105">
        <f t="shared" si="31"/>
        <v>0</v>
      </c>
      <c r="Z104" s="105">
        <f t="shared" si="32"/>
        <v>243.15</v>
      </c>
      <c r="AA104" s="105">
        <f t="shared" si="33"/>
        <v>0</v>
      </c>
      <c r="AB104" s="111">
        <f t="shared" si="34"/>
        <v>-243.15</v>
      </c>
      <c r="AC104" s="105" t="e">
        <f t="shared" si="35"/>
        <v>#VALUE!</v>
      </c>
      <c r="AD104" s="105" t="e">
        <f t="shared" si="23"/>
        <v>#VALUE!</v>
      </c>
      <c r="AE104" s="105" t="e">
        <f t="shared" si="24"/>
        <v>#DIV/0!</v>
      </c>
      <c r="AF104" s="105" t="e">
        <f t="shared" si="25"/>
        <v>#VALUE!</v>
      </c>
      <c r="AG104" s="105" t="e">
        <f t="shared" si="26"/>
        <v>#VALUE!</v>
      </c>
      <c r="AH104" s="111"/>
      <c r="AI104" s="105"/>
      <c r="AJ104" s="105"/>
      <c r="AK104" s="109"/>
      <c r="AL104" s="109"/>
      <c r="AM104" s="109"/>
      <c r="AN104" s="109"/>
      <c r="AO104" s="105"/>
      <c r="AP104" s="105"/>
      <c r="AQ104" s="109"/>
      <c r="AR104" s="110"/>
      <c r="AS104" s="110"/>
      <c r="AT104" s="110"/>
      <c r="AU104" s="110"/>
      <c r="AV104" s="110"/>
      <c r="AW104" s="112"/>
      <c r="AX104" s="112"/>
      <c r="AY104" s="110"/>
      <c r="AZ104" s="105"/>
      <c r="BA104" s="105"/>
      <c r="BB104" s="105"/>
      <c r="BC104" s="105"/>
      <c r="BD104" s="105"/>
      <c r="BE104" s="105"/>
    </row>
    <row r="105" spans="1:57" x14ac:dyDescent="0.15">
      <c r="A105" s="101">
        <v>220</v>
      </c>
      <c r="B105" s="98" t="e">
        <f>VLOOKUP($A105,'Rate Calculation'!$A$4:$CS$210,68,FALSE)</f>
        <v>#REF!</v>
      </c>
      <c r="C105" s="98" t="str">
        <f>UPPER(VLOOKUP($A105,'Rate Calculation'!$A$4:$CL$210,69,FALSE))</f>
        <v>143394</v>
      </c>
      <c r="D105" s="104" t="str">
        <f>VLOOKUP($A105,'Rate Calculation'!$A$4:$AJ$210,5,FALSE)</f>
        <v>BALTIMORE METRO</v>
      </c>
      <c r="E105" s="104" t="str">
        <f>VLOOKUP($A105,'Rate Calculation'!$A$4:$AJ$210,6,FALSE)</f>
        <v>BALTIMORE CITY</v>
      </c>
      <c r="F105" s="105">
        <f>VLOOKUP(A105,'Rate Calculation'!$A$3:$AT$210,35,FALSE)</f>
        <v>36118</v>
      </c>
      <c r="G105" s="105">
        <f>VLOOKUP(A105,'Rate Calculation'!$A$3:$AT$210,30,FALSE)</f>
        <v>50142</v>
      </c>
      <c r="H105" s="105">
        <f>VLOOKUP(A105,'Rate Calculation'!$A$3:$AW$210,36,FALSE)+VLOOKUP(A105,'Rate Calculation'!$A$3:$CC$210,42,FALSE)</f>
        <v>420664801</v>
      </c>
      <c r="I105" s="105">
        <f t="shared" si="27"/>
        <v>-4.6900000000000004</v>
      </c>
      <c r="J105" s="105" t="str">
        <f>VLOOKUP(A105,'Rate Calculation'!$A$3:$BL$210,43,FALSE)</f>
        <v>FutureCare - Cold Spring</v>
      </c>
      <c r="K105" s="105">
        <f t="shared" si="36"/>
        <v>420751056.31</v>
      </c>
      <c r="L105" s="164">
        <f t="shared" si="20"/>
        <v>0.98772000000000004</v>
      </c>
      <c r="M105" s="105">
        <f t="shared" si="28"/>
        <v>415584233.33999997</v>
      </c>
      <c r="N105" s="105" t="e">
        <f>VLOOKUP(A105,'Rate Calculation'!$A$4:$DK$210,47,FALSE)</f>
        <v>#DIV/0!</v>
      </c>
      <c r="O105" s="106">
        <f>VLOOKUP(A105,'Rate Calculation'!$A$4:$DK$210,10,FALSE)</f>
        <v>1.0309999999999999</v>
      </c>
      <c r="P105" s="114">
        <f t="shared" si="21"/>
        <v>1.4432</v>
      </c>
      <c r="Q105" s="114">
        <f>VLOOKUP(A105,'CMI Data'!$A$3:$Z$209,7,FALSE)</f>
        <v>0</v>
      </c>
      <c r="R105" s="120" t="e">
        <f>+'CMI Data'!$I$214</f>
        <v>#DIV/0!</v>
      </c>
      <c r="S105" s="106">
        <f>IF(Q105=0,'CMI Data'!$I$213,ROUND(Q105*R105,4))</f>
        <v>1.4061999999999999</v>
      </c>
      <c r="T105" s="105">
        <f>VLOOKUP(A105,'Rate Calculation'!$A$4:$DK$210,16,FALSE)</f>
        <v>186.83</v>
      </c>
      <c r="U105" s="105">
        <f>VLOOKUP(A105,'Rate Calculation'!$A$4:$DK$210,20,FALSE)</f>
        <v>-4.8099999999999996</v>
      </c>
      <c r="V105" s="113">
        <f t="shared" si="29"/>
        <v>-3.44</v>
      </c>
      <c r="W105" s="105">
        <f t="shared" si="30"/>
        <v>-4.6900000000000004</v>
      </c>
      <c r="X105" s="111">
        <f t="shared" si="22"/>
        <v>0</v>
      </c>
      <c r="Y105" s="105">
        <f t="shared" si="31"/>
        <v>-4.6900000000000004</v>
      </c>
      <c r="Z105" s="105">
        <f t="shared" si="32"/>
        <v>254.82</v>
      </c>
      <c r="AA105" s="105">
        <f t="shared" si="33"/>
        <v>-4.46</v>
      </c>
      <c r="AB105" s="111">
        <f t="shared" si="34"/>
        <v>-259.27999999999997</v>
      </c>
      <c r="AC105" s="105" t="e">
        <f t="shared" si="35"/>
        <v>#VALUE!</v>
      </c>
      <c r="AD105" s="105" t="e">
        <f t="shared" si="23"/>
        <v>#VALUE!</v>
      </c>
      <c r="AE105" s="105" t="e">
        <f t="shared" si="24"/>
        <v>#DIV/0!</v>
      </c>
      <c r="AF105" s="105" t="e">
        <f t="shared" si="25"/>
        <v>#VALUE!</v>
      </c>
      <c r="AG105" s="105" t="e">
        <f t="shared" si="26"/>
        <v>#VALUE!</v>
      </c>
      <c r="AH105" s="111"/>
      <c r="AI105" s="105"/>
      <c r="AJ105" s="105"/>
      <c r="AK105" s="109"/>
      <c r="AL105" s="109"/>
      <c r="AM105" s="109"/>
      <c r="AN105" s="109"/>
      <c r="AO105" s="105"/>
      <c r="AP105" s="105"/>
      <c r="AQ105" s="109"/>
      <c r="AR105" s="110"/>
      <c r="AS105" s="110"/>
      <c r="AT105" s="110"/>
      <c r="AU105" s="110"/>
      <c r="AV105" s="110"/>
      <c r="AW105" s="112"/>
      <c r="AX105" s="112"/>
      <c r="AY105" s="110"/>
      <c r="AZ105" s="105"/>
      <c r="BA105" s="105"/>
      <c r="BB105" s="105"/>
      <c r="BC105" s="105"/>
      <c r="BD105" s="105"/>
      <c r="BE105" s="105"/>
    </row>
    <row r="106" spans="1:57" x14ac:dyDescent="0.15">
      <c r="A106" s="101">
        <v>250</v>
      </c>
      <c r="B106" s="98" t="e">
        <f>VLOOKUP($A106,'Rate Calculation'!$A$4:$CS$210,68,FALSE)</f>
        <v>#REF!</v>
      </c>
      <c r="C106" s="98" t="str">
        <f>UPPER(VLOOKUP($A106,'Rate Calculation'!$A$4:$CL$210,69,FALSE))</f>
        <v>87326</v>
      </c>
      <c r="D106" s="104" t="str">
        <f>VLOOKUP($A106,'Rate Calculation'!$A$4:$AJ$210,5,FALSE)</f>
        <v>BALTIMORE METRO</v>
      </c>
      <c r="E106" s="104" t="str">
        <f>VLOOKUP($A106,'Rate Calculation'!$A$4:$AJ$210,6,FALSE)</f>
        <v>BALTIMORE METRO</v>
      </c>
      <c r="F106" s="105">
        <f>VLOOKUP(A106,'Rate Calculation'!$A$3:$AT$210,35,FALSE)</f>
        <v>46185</v>
      </c>
      <c r="G106" s="105">
        <f>VLOOKUP(A106,'Rate Calculation'!$A$3:$AT$210,30,FALSE)</f>
        <v>55266</v>
      </c>
      <c r="H106" s="105">
        <f>VLOOKUP(A106,'Rate Calculation'!$A$3:$AW$210,36,FALSE)+VLOOKUP(A106,'Rate Calculation'!$A$3:$CC$210,42,FALSE)</f>
        <v>422834194</v>
      </c>
      <c r="I106" s="105">
        <f t="shared" si="27"/>
        <v>-4.43</v>
      </c>
      <c r="J106" s="105" t="str">
        <f>VLOOKUP(A106,'Rate Calculation'!$A$3:$BL$210,43,FALSE)</f>
        <v>FutureCare - Courtland</v>
      </c>
      <c r="K106" s="105">
        <f t="shared" si="36"/>
        <v>422935640.56999999</v>
      </c>
      <c r="L106" s="164">
        <f t="shared" si="20"/>
        <v>0.98772000000000004</v>
      </c>
      <c r="M106" s="105">
        <f t="shared" si="28"/>
        <v>417741990.89999998</v>
      </c>
      <c r="N106" s="105" t="e">
        <f>VLOOKUP(A106,'Rate Calculation'!$A$4:$DK$210,47,FALSE)</f>
        <v>#DIV/0!</v>
      </c>
      <c r="O106" s="106">
        <f>VLOOKUP(A106,'Rate Calculation'!$A$4:$DK$210,10,FALSE)</f>
        <v>1.0309999999999999</v>
      </c>
      <c r="P106" s="114">
        <f t="shared" si="21"/>
        <v>1.4432</v>
      </c>
      <c r="Q106" s="114">
        <f>VLOOKUP(A106,'CMI Data'!$A$3:$Z$209,7,FALSE)</f>
        <v>0</v>
      </c>
      <c r="R106" s="120" t="e">
        <f>+'CMI Data'!$I$214</f>
        <v>#DIV/0!</v>
      </c>
      <c r="S106" s="106">
        <f>IF(Q106=0,'CMI Data'!$I$213,ROUND(Q106*R106,4))</f>
        <v>1.4061999999999999</v>
      </c>
      <c r="T106" s="105">
        <f>VLOOKUP(A106,'Rate Calculation'!$A$4:$DK$210,16,FALSE)</f>
        <v>189.94</v>
      </c>
      <c r="U106" s="105">
        <f>VLOOKUP(A106,'Rate Calculation'!$A$4:$DK$210,20,FALSE)</f>
        <v>-4.55</v>
      </c>
      <c r="V106" s="113">
        <f t="shared" si="29"/>
        <v>-3.25</v>
      </c>
      <c r="W106" s="105">
        <f t="shared" si="30"/>
        <v>-4.43</v>
      </c>
      <c r="X106" s="111">
        <f t="shared" si="22"/>
        <v>0</v>
      </c>
      <c r="Y106" s="105">
        <f t="shared" si="31"/>
        <v>-4.43</v>
      </c>
      <c r="Z106" s="105">
        <f t="shared" si="32"/>
        <v>259.06</v>
      </c>
      <c r="AA106" s="105">
        <f t="shared" si="33"/>
        <v>-4.21</v>
      </c>
      <c r="AB106" s="111">
        <f t="shared" si="34"/>
        <v>-263.27</v>
      </c>
      <c r="AC106" s="105" t="e">
        <f t="shared" si="35"/>
        <v>#VALUE!</v>
      </c>
      <c r="AD106" s="105" t="e">
        <f t="shared" si="23"/>
        <v>#VALUE!</v>
      </c>
      <c r="AE106" s="105" t="e">
        <f t="shared" si="24"/>
        <v>#DIV/0!</v>
      </c>
      <c r="AF106" s="105" t="e">
        <f t="shared" si="25"/>
        <v>#VALUE!</v>
      </c>
      <c r="AG106" s="105" t="e">
        <f t="shared" si="26"/>
        <v>#VALUE!</v>
      </c>
      <c r="AH106" s="111"/>
      <c r="AI106" s="105"/>
      <c r="AJ106" s="105"/>
      <c r="AK106" s="109"/>
      <c r="AL106" s="109"/>
      <c r="AM106" s="109"/>
      <c r="AN106" s="109"/>
      <c r="AO106" s="105"/>
      <c r="AP106" s="105"/>
      <c r="AQ106" s="109"/>
      <c r="AR106" s="110"/>
      <c r="AS106" s="110"/>
      <c r="AT106" s="110"/>
      <c r="AU106" s="110"/>
      <c r="AV106" s="110"/>
      <c r="AW106" s="112"/>
      <c r="AX106" s="112"/>
      <c r="AY106" s="110"/>
      <c r="AZ106" s="105"/>
      <c r="BA106" s="105"/>
      <c r="BB106" s="105"/>
      <c r="BC106" s="105"/>
      <c r="BD106" s="105"/>
      <c r="BE106" s="105"/>
    </row>
    <row r="107" spans="1:57" x14ac:dyDescent="0.15">
      <c r="A107" s="101">
        <v>186</v>
      </c>
      <c r="B107" s="98" t="e">
        <f>VLOOKUP($A107,'Rate Calculation'!$A$4:$CS$210,68,FALSE)</f>
        <v>#REF!</v>
      </c>
      <c r="C107" s="98" t="str">
        <f>UPPER(VLOOKUP($A107,'Rate Calculation'!$A$4:$CL$210,69,FALSE))</f>
        <v>149998</v>
      </c>
      <c r="D107" s="104" t="str">
        <f>VLOOKUP($A107,'Rate Calculation'!$A$4:$AJ$210,5,FALSE)</f>
        <v>BALTIMORE METRO</v>
      </c>
      <c r="E107" s="104" t="str">
        <f>VLOOKUP($A107,'Rate Calculation'!$A$4:$AJ$210,6,FALSE)</f>
        <v>BALTIMORE CITY</v>
      </c>
      <c r="F107" s="105">
        <f>VLOOKUP(A107,'Rate Calculation'!$A$3:$AT$210,35,FALSE)</f>
        <v>38478</v>
      </c>
      <c r="G107" s="105">
        <f>VLOOKUP(A107,'Rate Calculation'!$A$3:$AT$210,30,FALSE)</f>
        <v>54168</v>
      </c>
      <c r="H107" s="105">
        <f>VLOOKUP(A107,'Rate Calculation'!$A$3:$AW$210,36,FALSE)+VLOOKUP(A107,'Rate Calculation'!$A$3:$CC$210,42,FALSE)</f>
        <v>842873728</v>
      </c>
      <c r="I107" s="105">
        <f t="shared" si="27"/>
        <v>0</v>
      </c>
      <c r="J107" s="105" t="str">
        <f>VLOOKUP(A107,'Rate Calculation'!$A$3:$BL$210,43,FALSE)</f>
        <v>FutureCare - Homewood</v>
      </c>
      <c r="K107" s="105">
        <f t="shared" si="36"/>
        <v>842966374</v>
      </c>
      <c r="L107" s="164">
        <f t="shared" si="20"/>
        <v>0.98772000000000004</v>
      </c>
      <c r="M107" s="105">
        <f t="shared" si="28"/>
        <v>832614746.92999995</v>
      </c>
      <c r="N107" s="105" t="e">
        <f>VLOOKUP(A107,'Rate Calculation'!$A$4:$DK$210,47,FALSE)</f>
        <v>#DIV/0!</v>
      </c>
      <c r="O107" s="106">
        <f>VLOOKUP(A107,'Rate Calculation'!$A$4:$DK$210,10,FALSE)</f>
        <v>1.0309999999999999</v>
      </c>
      <c r="P107" s="114">
        <f t="shared" si="21"/>
        <v>1.4432</v>
      </c>
      <c r="Q107" s="114">
        <f>VLOOKUP(A107,'CMI Data'!$A$3:$Z$209,7,FALSE)</f>
        <v>0</v>
      </c>
      <c r="R107" s="120" t="e">
        <f>+'CMI Data'!$I$214</f>
        <v>#DIV/0!</v>
      </c>
      <c r="S107" s="106">
        <f>IF(Q107=0,'CMI Data'!$I$213,ROUND(Q107*R107,4))</f>
        <v>1.4061999999999999</v>
      </c>
      <c r="T107" s="105">
        <f>VLOOKUP(A107,'Rate Calculation'!$A$4:$DK$210,16,FALSE)</f>
        <v>203.18</v>
      </c>
      <c r="U107" s="105">
        <f>VLOOKUP(A107,'Rate Calculation'!$A$4:$DK$210,20,FALSE)</f>
        <v>0</v>
      </c>
      <c r="V107" s="113">
        <f t="shared" si="29"/>
        <v>0</v>
      </c>
      <c r="W107" s="105">
        <f t="shared" si="30"/>
        <v>0</v>
      </c>
      <c r="X107" s="111">
        <f t="shared" si="22"/>
        <v>0</v>
      </c>
      <c r="Y107" s="105">
        <f t="shared" si="31"/>
        <v>0</v>
      </c>
      <c r="Z107" s="105">
        <f t="shared" si="32"/>
        <v>277.12</v>
      </c>
      <c r="AA107" s="105">
        <f t="shared" si="33"/>
        <v>0</v>
      </c>
      <c r="AB107" s="111">
        <f t="shared" si="34"/>
        <v>-277.12</v>
      </c>
      <c r="AC107" s="105" t="e">
        <f t="shared" si="35"/>
        <v>#VALUE!</v>
      </c>
      <c r="AD107" s="105" t="e">
        <f t="shared" si="23"/>
        <v>#VALUE!</v>
      </c>
      <c r="AE107" s="105" t="e">
        <f t="shared" si="24"/>
        <v>#DIV/0!</v>
      </c>
      <c r="AF107" s="105" t="e">
        <f t="shared" si="25"/>
        <v>#VALUE!</v>
      </c>
      <c r="AG107" s="105" t="e">
        <f t="shared" si="26"/>
        <v>#VALUE!</v>
      </c>
      <c r="AH107" s="111"/>
      <c r="AI107" s="105"/>
      <c r="AJ107" s="105"/>
      <c r="AK107" s="109"/>
      <c r="AL107" s="109"/>
      <c r="AM107" s="109"/>
      <c r="AN107" s="109"/>
      <c r="AO107" s="105"/>
      <c r="AP107" s="105"/>
      <c r="AQ107" s="109"/>
      <c r="AR107" s="110"/>
      <c r="AS107" s="110"/>
      <c r="AT107" s="110"/>
      <c r="AU107" s="110"/>
      <c r="AV107" s="110"/>
      <c r="AW107" s="112"/>
      <c r="AX107" s="112"/>
      <c r="AY107" s="110"/>
      <c r="AZ107" s="105"/>
      <c r="BA107" s="105"/>
      <c r="BB107" s="105"/>
      <c r="BC107" s="105"/>
      <c r="BD107" s="105"/>
      <c r="BE107" s="105"/>
    </row>
    <row r="108" spans="1:57" x14ac:dyDescent="0.15">
      <c r="A108" s="101">
        <v>713</v>
      </c>
      <c r="B108" s="98" t="e">
        <f>VLOOKUP($A108,'Rate Calculation'!$A$4:$CS$210,68,FALSE)</f>
        <v>#REF!</v>
      </c>
      <c r="C108" s="98" t="str">
        <f>UPPER(VLOOKUP($A108,'Rate Calculation'!$A$4:$CL$210,69,FALSE))</f>
        <v>72127</v>
      </c>
      <c r="D108" s="104" t="str">
        <f>VLOOKUP($A108,'Rate Calculation'!$A$4:$AJ$210,5,FALSE)</f>
        <v>BALTIMORE METRO</v>
      </c>
      <c r="E108" s="104" t="str">
        <f>VLOOKUP($A108,'Rate Calculation'!$A$4:$AJ$210,6,FALSE)</f>
        <v>BALTIMORE CITY</v>
      </c>
      <c r="F108" s="105">
        <f>VLOOKUP(A108,'Rate Calculation'!$A$3:$AT$210,35,FALSE)</f>
        <v>56395</v>
      </c>
      <c r="G108" s="105">
        <f>VLOOKUP(A108,'Rate Calculation'!$A$3:$AT$210,30,FALSE)</f>
        <v>73200</v>
      </c>
      <c r="H108" s="105">
        <f>VLOOKUP(A108,'Rate Calculation'!$A$3:$AW$210,36,FALSE)+VLOOKUP(A108,'Rate Calculation'!$A$3:$CC$210,42,FALSE)</f>
        <v>400515444</v>
      </c>
      <c r="I108" s="105">
        <f t="shared" si="27"/>
        <v>-5.71</v>
      </c>
      <c r="J108" s="105" t="str">
        <f>VLOOKUP(A108,'Rate Calculation'!$A$3:$BL$210,43,FALSE)</f>
        <v>FutureCare - Irvington, LLC</v>
      </c>
      <c r="K108" s="105">
        <f t="shared" si="36"/>
        <v>400645033.29000002</v>
      </c>
      <c r="L108" s="164">
        <f t="shared" si="20"/>
        <v>0.98772000000000004</v>
      </c>
      <c r="M108" s="105">
        <f t="shared" si="28"/>
        <v>395725112.27999997</v>
      </c>
      <c r="N108" s="105" t="e">
        <f>VLOOKUP(A108,'Rate Calculation'!$A$4:$DK$210,47,FALSE)</f>
        <v>#DIV/0!</v>
      </c>
      <c r="O108" s="106">
        <f>VLOOKUP(A108,'Rate Calculation'!$A$4:$DK$210,10,FALSE)</f>
        <v>1.0309999999999999</v>
      </c>
      <c r="P108" s="114">
        <f t="shared" si="21"/>
        <v>1.4432</v>
      </c>
      <c r="Q108" s="114">
        <f>VLOOKUP(A108,'CMI Data'!$A$3:$Z$209,7,FALSE)</f>
        <v>0</v>
      </c>
      <c r="R108" s="120" t="e">
        <f>+'CMI Data'!$I$214</f>
        <v>#DIV/0!</v>
      </c>
      <c r="S108" s="106">
        <f>IF(Q108=0,'CMI Data'!$I$213,ROUND(Q108*R108,4))</f>
        <v>1.4061999999999999</v>
      </c>
      <c r="T108" s="105">
        <f>VLOOKUP(A108,'Rate Calculation'!$A$4:$DK$210,16,FALSE)</f>
        <v>211.44</v>
      </c>
      <c r="U108" s="105">
        <f>VLOOKUP(A108,'Rate Calculation'!$A$4:$DK$210,20,FALSE)</f>
        <v>-5.86</v>
      </c>
      <c r="V108" s="113">
        <f t="shared" si="29"/>
        <v>-4.1900000000000004</v>
      </c>
      <c r="W108" s="105">
        <f t="shared" si="30"/>
        <v>-5.71</v>
      </c>
      <c r="X108" s="111">
        <f t="shared" si="22"/>
        <v>0</v>
      </c>
      <c r="Y108" s="105">
        <f t="shared" si="31"/>
        <v>-5.71</v>
      </c>
      <c r="Z108" s="105">
        <f t="shared" si="32"/>
        <v>288.39</v>
      </c>
      <c r="AA108" s="105">
        <f t="shared" si="33"/>
        <v>-5.42</v>
      </c>
      <c r="AB108" s="111">
        <f t="shared" si="34"/>
        <v>-293.81</v>
      </c>
      <c r="AC108" s="105" t="e">
        <f t="shared" si="35"/>
        <v>#VALUE!</v>
      </c>
      <c r="AD108" s="105" t="e">
        <f t="shared" si="23"/>
        <v>#VALUE!</v>
      </c>
      <c r="AE108" s="105" t="e">
        <f t="shared" si="24"/>
        <v>#DIV/0!</v>
      </c>
      <c r="AF108" s="105" t="e">
        <f t="shared" si="25"/>
        <v>#VALUE!</v>
      </c>
      <c r="AG108" s="105" t="e">
        <f t="shared" si="26"/>
        <v>#VALUE!</v>
      </c>
      <c r="AH108" s="111"/>
      <c r="AI108" s="105"/>
      <c r="AJ108" s="105"/>
      <c r="AK108" s="109"/>
      <c r="AL108" s="109"/>
      <c r="AM108" s="109"/>
      <c r="AN108" s="109"/>
      <c r="AO108" s="105"/>
      <c r="AP108" s="105"/>
      <c r="AQ108" s="109"/>
      <c r="AR108" s="110"/>
      <c r="AS108" s="110"/>
      <c r="AT108" s="110"/>
      <c r="AU108" s="110"/>
      <c r="AV108" s="110"/>
      <c r="AW108" s="112"/>
      <c r="AX108" s="112"/>
      <c r="AY108" s="110"/>
      <c r="AZ108" s="105"/>
      <c r="BA108" s="105"/>
      <c r="BB108" s="105"/>
      <c r="BC108" s="105"/>
      <c r="BD108" s="105"/>
      <c r="BE108" s="105"/>
    </row>
    <row r="109" spans="1:57" x14ac:dyDescent="0.15">
      <c r="A109" s="101">
        <v>717</v>
      </c>
      <c r="B109" s="98" t="e">
        <f>VLOOKUP($A109,'Rate Calculation'!$A$4:$CS$210,68,FALSE)</f>
        <v>#REF!</v>
      </c>
      <c r="C109" s="98" t="str">
        <f>UPPER(VLOOKUP($A109,'Rate Calculation'!$A$4:$CL$210,69,FALSE))</f>
        <v>98290</v>
      </c>
      <c r="D109" s="104" t="str">
        <f>VLOOKUP($A109,'Rate Calculation'!$A$4:$AJ$210,5,FALSE)</f>
        <v>BALTIMORE METRO</v>
      </c>
      <c r="E109" s="104" t="str">
        <f>VLOOKUP($A109,'Rate Calculation'!$A$4:$AJ$210,6,FALSE)</f>
        <v>BALTIMORE CITY</v>
      </c>
      <c r="F109" s="105">
        <f>VLOOKUP(A109,'Rate Calculation'!$A$3:$AT$210,35,FALSE)</f>
        <v>59179</v>
      </c>
      <c r="G109" s="105">
        <f>VLOOKUP(A109,'Rate Calculation'!$A$3:$AT$210,30,FALSE)</f>
        <v>73200</v>
      </c>
      <c r="H109" s="105">
        <f>VLOOKUP(A109,'Rate Calculation'!$A$3:$AW$210,36,FALSE)+VLOOKUP(A109,'Rate Calculation'!$A$3:$CC$210,42,FALSE)</f>
        <v>407669821</v>
      </c>
      <c r="I109" s="105">
        <f t="shared" si="27"/>
        <v>0</v>
      </c>
      <c r="J109" s="105" t="str">
        <f>VLOOKUP(A109,'Rate Calculation'!$A$3:$BL$210,43,FALSE)</f>
        <v>FutureCare - Lochearn</v>
      </c>
      <c r="K109" s="105">
        <f t="shared" si="36"/>
        <v>407802200</v>
      </c>
      <c r="L109" s="164">
        <f t="shared" si="20"/>
        <v>0.98772000000000004</v>
      </c>
      <c r="M109" s="105">
        <f t="shared" si="28"/>
        <v>402794388.98000002</v>
      </c>
      <c r="N109" s="105" t="e">
        <f>VLOOKUP(A109,'Rate Calculation'!$A$4:$DK$210,47,FALSE)</f>
        <v>#DIV/0!</v>
      </c>
      <c r="O109" s="106">
        <f>VLOOKUP(A109,'Rate Calculation'!$A$4:$DK$210,10,FALSE)</f>
        <v>1.0309999999999999</v>
      </c>
      <c r="P109" s="114">
        <f t="shared" si="21"/>
        <v>1.4432</v>
      </c>
      <c r="Q109" s="114">
        <f>VLOOKUP(A109,'CMI Data'!$A$3:$Z$209,7,FALSE)</f>
        <v>0</v>
      </c>
      <c r="R109" s="120" t="e">
        <f>+'CMI Data'!$I$214</f>
        <v>#DIV/0!</v>
      </c>
      <c r="S109" s="106">
        <f>IF(Q109=0,'CMI Data'!$I$213,ROUND(Q109*R109,4))</f>
        <v>1.4061999999999999</v>
      </c>
      <c r="T109" s="105">
        <f>VLOOKUP(A109,'Rate Calculation'!$A$4:$DK$210,16,FALSE)</f>
        <v>188.12</v>
      </c>
      <c r="U109" s="105">
        <f>VLOOKUP(A109,'Rate Calculation'!$A$4:$DK$210,20,FALSE)</f>
        <v>0</v>
      </c>
      <c r="V109" s="113">
        <f t="shared" si="29"/>
        <v>0</v>
      </c>
      <c r="W109" s="105">
        <f t="shared" si="30"/>
        <v>0</v>
      </c>
      <c r="X109" s="111">
        <f t="shared" si="22"/>
        <v>0</v>
      </c>
      <c r="Y109" s="105">
        <f t="shared" si="31"/>
        <v>0</v>
      </c>
      <c r="Z109" s="105">
        <f t="shared" si="32"/>
        <v>256.58</v>
      </c>
      <c r="AA109" s="105">
        <f t="shared" si="33"/>
        <v>0</v>
      </c>
      <c r="AB109" s="111">
        <f t="shared" si="34"/>
        <v>-256.58</v>
      </c>
      <c r="AC109" s="105" t="e">
        <f t="shared" si="35"/>
        <v>#VALUE!</v>
      </c>
      <c r="AD109" s="105" t="e">
        <f t="shared" si="23"/>
        <v>#VALUE!</v>
      </c>
      <c r="AE109" s="105" t="e">
        <f t="shared" si="24"/>
        <v>#DIV/0!</v>
      </c>
      <c r="AF109" s="105" t="e">
        <f t="shared" si="25"/>
        <v>#VALUE!</v>
      </c>
      <c r="AG109" s="105" t="e">
        <f t="shared" si="26"/>
        <v>#VALUE!</v>
      </c>
      <c r="AH109" s="111"/>
      <c r="AI109" s="105"/>
      <c r="AJ109" s="105"/>
      <c r="AK109" s="109"/>
      <c r="AL109" s="109"/>
      <c r="AM109" s="109"/>
      <c r="AN109" s="109"/>
      <c r="AO109" s="105"/>
      <c r="AP109" s="105"/>
      <c r="AQ109" s="109"/>
      <c r="AR109" s="110"/>
      <c r="AS109" s="110"/>
      <c r="AT109" s="110"/>
      <c r="AU109" s="110"/>
      <c r="AV109" s="110"/>
      <c r="AW109" s="112"/>
      <c r="AX109" s="112"/>
      <c r="AY109" s="110"/>
      <c r="AZ109" s="105"/>
      <c r="BA109" s="105"/>
      <c r="BB109" s="105"/>
      <c r="BC109" s="105"/>
      <c r="BD109" s="105"/>
      <c r="BE109" s="105"/>
    </row>
    <row r="110" spans="1:57" x14ac:dyDescent="0.15">
      <c r="A110" s="101">
        <v>144</v>
      </c>
      <c r="B110" s="98" t="e">
        <f>VLOOKUP($A110,'Rate Calculation'!$A$4:$CS$210,68,FALSE)</f>
        <v>#REF!</v>
      </c>
      <c r="C110" s="98" t="str">
        <f>UPPER(VLOOKUP($A110,'Rate Calculation'!$A$4:$CL$210,69,FALSE))</f>
        <v>50395</v>
      </c>
      <c r="D110" s="104" t="str">
        <f>VLOOKUP($A110,'Rate Calculation'!$A$4:$AJ$210,5,FALSE)</f>
        <v>BALTIMORE METRO</v>
      </c>
      <c r="E110" s="104" t="str">
        <f>VLOOKUP($A110,'Rate Calculation'!$A$4:$AJ$210,6,FALSE)</f>
        <v>BALTIMORE METRO</v>
      </c>
      <c r="F110" s="105">
        <f>VLOOKUP(A110,'Rate Calculation'!$A$3:$AT$210,35,FALSE)</f>
        <v>38698</v>
      </c>
      <c r="G110" s="105">
        <f>VLOOKUP(A110,'Rate Calculation'!$A$3:$AT$210,30,FALSE)</f>
        <v>56730</v>
      </c>
      <c r="H110" s="105">
        <f>VLOOKUP(A110,'Rate Calculation'!$A$3:$AW$210,36,FALSE)+VLOOKUP(A110,'Rate Calculation'!$A$3:$CC$210,42,FALSE)</f>
        <v>413728212</v>
      </c>
      <c r="I110" s="105">
        <f t="shared" si="27"/>
        <v>-15.17</v>
      </c>
      <c r="J110" s="105" t="str">
        <f>VLOOKUP(A110,'Rate Calculation'!$A$3:$BL$210,43,FALSE)</f>
        <v>FutureCare - Northpoint</v>
      </c>
      <c r="K110" s="105">
        <f t="shared" si="36"/>
        <v>413823624.82999998</v>
      </c>
      <c r="L110" s="164">
        <f t="shared" si="20"/>
        <v>0.98772000000000004</v>
      </c>
      <c r="M110" s="105">
        <f t="shared" si="28"/>
        <v>408741870.72000003</v>
      </c>
      <c r="N110" s="105" t="e">
        <f>VLOOKUP(A110,'Rate Calculation'!$A$4:$DK$210,47,FALSE)</f>
        <v>#DIV/0!</v>
      </c>
      <c r="O110" s="106">
        <f>VLOOKUP(A110,'Rate Calculation'!$A$4:$DK$210,10,FALSE)</f>
        <v>1.0309999999999999</v>
      </c>
      <c r="P110" s="114">
        <f t="shared" si="21"/>
        <v>1.4432</v>
      </c>
      <c r="Q110" s="114">
        <f>VLOOKUP(A110,'CMI Data'!$A$3:$Z$209,7,FALSE)</f>
        <v>0</v>
      </c>
      <c r="R110" s="120" t="e">
        <f>+'CMI Data'!$I$214</f>
        <v>#DIV/0!</v>
      </c>
      <c r="S110" s="106">
        <f>IF(Q110=0,'CMI Data'!$I$213,ROUND(Q110*R110,4))</f>
        <v>1.4061999999999999</v>
      </c>
      <c r="T110" s="105">
        <f>VLOOKUP(A110,'Rate Calculation'!$A$4:$DK$210,16,FALSE)</f>
        <v>201.81</v>
      </c>
      <c r="U110" s="105">
        <f>VLOOKUP(A110,'Rate Calculation'!$A$4:$DK$210,20,FALSE)</f>
        <v>-15.57</v>
      </c>
      <c r="V110" s="113">
        <f t="shared" si="29"/>
        <v>-11.12</v>
      </c>
      <c r="W110" s="105">
        <f t="shared" si="30"/>
        <v>-15.17</v>
      </c>
      <c r="X110" s="111">
        <f t="shared" si="22"/>
        <v>0</v>
      </c>
      <c r="Y110" s="105">
        <f t="shared" si="31"/>
        <v>-15.17</v>
      </c>
      <c r="Z110" s="105">
        <f t="shared" si="32"/>
        <v>275.25</v>
      </c>
      <c r="AA110" s="105">
        <f t="shared" si="33"/>
        <v>-14.41</v>
      </c>
      <c r="AB110" s="111">
        <f t="shared" si="34"/>
        <v>-289.66000000000003</v>
      </c>
      <c r="AC110" s="105" t="e">
        <f t="shared" si="35"/>
        <v>#VALUE!</v>
      </c>
      <c r="AD110" s="105" t="e">
        <f t="shared" si="23"/>
        <v>#VALUE!</v>
      </c>
      <c r="AE110" s="105" t="e">
        <f t="shared" si="24"/>
        <v>#DIV/0!</v>
      </c>
      <c r="AF110" s="105" t="e">
        <f t="shared" si="25"/>
        <v>#VALUE!</v>
      </c>
      <c r="AG110" s="105" t="e">
        <f t="shared" si="26"/>
        <v>#VALUE!</v>
      </c>
      <c r="AH110" s="111"/>
      <c r="AI110" s="105"/>
      <c r="AJ110" s="105"/>
      <c r="AK110" s="109"/>
      <c r="AL110" s="109"/>
      <c r="AM110" s="109"/>
      <c r="AN110" s="109"/>
      <c r="AO110" s="105"/>
      <c r="AP110" s="105"/>
      <c r="AQ110" s="109"/>
      <c r="AR110" s="110"/>
      <c r="AS110" s="110"/>
      <c r="AT110" s="110"/>
      <c r="AU110" s="110"/>
      <c r="AV110" s="110"/>
      <c r="AW110" s="112"/>
      <c r="AX110" s="112"/>
      <c r="AY110" s="110"/>
      <c r="AZ110" s="105"/>
      <c r="BA110" s="105"/>
      <c r="BB110" s="105"/>
      <c r="BC110" s="105"/>
      <c r="BD110" s="105"/>
      <c r="BE110" s="105"/>
    </row>
    <row r="111" spans="1:57" x14ac:dyDescent="0.15">
      <c r="A111" s="101">
        <v>190</v>
      </c>
      <c r="B111" s="98" t="e">
        <f>VLOOKUP($A111,'Rate Calculation'!$A$4:$CS$210,68,FALSE)</f>
        <v>#REF!</v>
      </c>
      <c r="C111" s="98" t="str">
        <f>UPPER(VLOOKUP($A111,'Rate Calculation'!$A$4:$CL$210,69,FALSE))</f>
        <v>78959</v>
      </c>
      <c r="D111" s="104" t="str">
        <f>VLOOKUP($A111,'Rate Calculation'!$A$4:$AJ$210,5,FALSE)</f>
        <v>BALTIMORE METRO</v>
      </c>
      <c r="E111" s="104" t="str">
        <f>VLOOKUP($A111,'Rate Calculation'!$A$4:$AJ$210,6,FALSE)</f>
        <v>BALTIMORE METRO</v>
      </c>
      <c r="F111" s="105">
        <f>VLOOKUP(A111,'Rate Calculation'!$A$3:$AT$210,35,FALSE)</f>
        <v>40426</v>
      </c>
      <c r="G111" s="105">
        <f>VLOOKUP(A111,'Rate Calculation'!$A$3:$AT$210,30,FALSE)</f>
        <v>51606</v>
      </c>
      <c r="H111" s="105">
        <f>VLOOKUP(A111,'Rate Calculation'!$A$3:$AW$210,36,FALSE)+VLOOKUP(A111,'Rate Calculation'!$A$3:$CC$210,42,FALSE)</f>
        <v>424395603</v>
      </c>
      <c r="I111" s="105">
        <f t="shared" si="27"/>
        <v>-4.08</v>
      </c>
      <c r="J111" s="105" t="str">
        <f>VLOOKUP(A111,'Rate Calculation'!$A$3:$BL$210,43,FALSE)</f>
        <v>FutureCare - Old Court</v>
      </c>
      <c r="K111" s="105">
        <f t="shared" si="36"/>
        <v>424487630.92000002</v>
      </c>
      <c r="L111" s="164">
        <f t="shared" si="20"/>
        <v>0.98772000000000004</v>
      </c>
      <c r="M111" s="105">
        <f t="shared" si="28"/>
        <v>419274922.81</v>
      </c>
      <c r="N111" s="105" t="e">
        <f>VLOOKUP(A111,'Rate Calculation'!$A$4:$DK$210,47,FALSE)</f>
        <v>#DIV/0!</v>
      </c>
      <c r="O111" s="106">
        <f>VLOOKUP(A111,'Rate Calculation'!$A$4:$DK$210,10,FALSE)</f>
        <v>1.0309999999999999</v>
      </c>
      <c r="P111" s="114">
        <f t="shared" si="21"/>
        <v>1.4432</v>
      </c>
      <c r="Q111" s="114">
        <f>VLOOKUP(A111,'CMI Data'!$A$3:$Z$209,7,FALSE)</f>
        <v>0</v>
      </c>
      <c r="R111" s="120" t="e">
        <f>+'CMI Data'!$I$214</f>
        <v>#DIV/0!</v>
      </c>
      <c r="S111" s="106">
        <f>IF(Q111=0,'CMI Data'!$I$213,ROUND(Q111*R111,4))</f>
        <v>1.4061999999999999</v>
      </c>
      <c r="T111" s="105">
        <f>VLOOKUP(A111,'Rate Calculation'!$A$4:$DK$210,16,FALSE)</f>
        <v>177.54</v>
      </c>
      <c r="U111" s="105">
        <f>VLOOKUP(A111,'Rate Calculation'!$A$4:$DK$210,20,FALSE)</f>
        <v>-4.18</v>
      </c>
      <c r="V111" s="113">
        <f t="shared" si="29"/>
        <v>-2.99</v>
      </c>
      <c r="W111" s="105">
        <f t="shared" si="30"/>
        <v>-4.08</v>
      </c>
      <c r="X111" s="111">
        <f t="shared" si="22"/>
        <v>0</v>
      </c>
      <c r="Y111" s="105">
        <f t="shared" si="31"/>
        <v>-4.08</v>
      </c>
      <c r="Z111" s="105">
        <f t="shared" si="32"/>
        <v>242.15</v>
      </c>
      <c r="AA111" s="105">
        <f t="shared" si="33"/>
        <v>-3.88</v>
      </c>
      <c r="AB111" s="111">
        <f t="shared" si="34"/>
        <v>-246.03</v>
      </c>
      <c r="AC111" s="105" t="e">
        <f t="shared" si="35"/>
        <v>#VALUE!</v>
      </c>
      <c r="AD111" s="105" t="e">
        <f t="shared" si="23"/>
        <v>#VALUE!</v>
      </c>
      <c r="AE111" s="105" t="e">
        <f t="shared" si="24"/>
        <v>#DIV/0!</v>
      </c>
      <c r="AF111" s="105" t="e">
        <f t="shared" si="25"/>
        <v>#VALUE!</v>
      </c>
      <c r="AG111" s="105" t="e">
        <f t="shared" si="26"/>
        <v>#VALUE!</v>
      </c>
      <c r="AH111" s="111"/>
      <c r="AI111" s="105"/>
      <c r="AJ111" s="105"/>
      <c r="AK111" s="109"/>
      <c r="AL111" s="109"/>
      <c r="AM111" s="109"/>
      <c r="AN111" s="109"/>
      <c r="AO111" s="105"/>
      <c r="AP111" s="105"/>
      <c r="AQ111" s="109"/>
      <c r="AR111" s="110"/>
      <c r="AS111" s="110"/>
      <c r="AT111" s="110"/>
      <c r="AU111" s="110"/>
      <c r="AV111" s="110"/>
      <c r="AW111" s="112"/>
      <c r="AX111" s="112"/>
      <c r="AY111" s="110"/>
      <c r="AZ111" s="105"/>
      <c r="BA111" s="105"/>
      <c r="BB111" s="105"/>
      <c r="BC111" s="105"/>
      <c r="BD111" s="105"/>
      <c r="BE111" s="105"/>
    </row>
    <row r="112" spans="1:57" x14ac:dyDescent="0.15">
      <c r="A112" s="101">
        <v>192</v>
      </c>
      <c r="B112" s="98" t="e">
        <f>VLOOKUP($A112,'Rate Calculation'!$A$4:$CS$210,68,FALSE)</f>
        <v>#REF!</v>
      </c>
      <c r="C112" s="98" t="str">
        <f>UPPER(VLOOKUP($A112,'Rate Calculation'!$A$4:$CL$210,69,FALSE))</f>
        <v>235454</v>
      </c>
      <c r="D112" s="104" t="str">
        <f>VLOOKUP($A112,'Rate Calculation'!$A$4:$AJ$210,5,FALSE)</f>
        <v>WASHINGTON METRO</v>
      </c>
      <c r="E112" s="104" t="str">
        <f>VLOOKUP($A112,'Rate Calculation'!$A$4:$AJ$210,6,FALSE)</f>
        <v>WASHINGTON METRO</v>
      </c>
      <c r="F112" s="105">
        <f>VLOOKUP(A112,'Rate Calculation'!$A$3:$AT$210,35,FALSE)</f>
        <v>50894</v>
      </c>
      <c r="G112" s="105">
        <f>VLOOKUP(A112,'Rate Calculation'!$A$3:$AT$210,30,FALSE)</f>
        <v>65880</v>
      </c>
      <c r="H112" s="105">
        <f>VLOOKUP(A112,'Rate Calculation'!$A$3:$AW$210,36,FALSE)+VLOOKUP(A112,'Rate Calculation'!$A$3:$CC$210,42,FALSE)</f>
        <v>160138713</v>
      </c>
      <c r="I112" s="105">
        <f t="shared" si="27"/>
        <v>0</v>
      </c>
      <c r="J112" s="105" t="str">
        <f>VLOOKUP(A112,'Rate Calculation'!$A$3:$BL$210,43,FALSE)</f>
        <v>FutureCare - Pineview</v>
      </c>
      <c r="K112" s="105">
        <f t="shared" si="36"/>
        <v>160255487</v>
      </c>
      <c r="L112" s="164">
        <f t="shared" si="20"/>
        <v>0.98772000000000004</v>
      </c>
      <c r="M112" s="105">
        <f t="shared" si="28"/>
        <v>158287549.62</v>
      </c>
      <c r="N112" s="105" t="e">
        <f>VLOOKUP(A112,'Rate Calculation'!$A$4:$DK$210,47,FALSE)</f>
        <v>#DIV/0!</v>
      </c>
      <c r="O112" s="106">
        <f>VLOOKUP(A112,'Rate Calculation'!$A$4:$DK$210,10,FALSE)</f>
        <v>1.0309999999999999</v>
      </c>
      <c r="P112" s="114">
        <f t="shared" si="21"/>
        <v>1.4432</v>
      </c>
      <c r="Q112" s="114">
        <f>VLOOKUP(A112,'CMI Data'!$A$3:$Z$209,7,FALSE)</f>
        <v>0</v>
      </c>
      <c r="R112" s="120" t="e">
        <f>+'CMI Data'!$I$214</f>
        <v>#DIV/0!</v>
      </c>
      <c r="S112" s="106">
        <f>IF(Q112=0,'CMI Data'!$I$213,ROUND(Q112*R112,4))</f>
        <v>1.4061999999999999</v>
      </c>
      <c r="T112" s="105">
        <f>VLOOKUP(A112,'Rate Calculation'!$A$4:$DK$210,16,FALSE)</f>
        <v>186.4</v>
      </c>
      <c r="U112" s="105">
        <f>VLOOKUP(A112,'Rate Calculation'!$A$4:$DK$210,20,FALSE)</f>
        <v>0</v>
      </c>
      <c r="V112" s="113">
        <f t="shared" si="29"/>
        <v>0</v>
      </c>
      <c r="W112" s="105">
        <f t="shared" si="30"/>
        <v>0</v>
      </c>
      <c r="X112" s="111">
        <f t="shared" si="22"/>
        <v>0</v>
      </c>
      <c r="Y112" s="105">
        <f t="shared" si="31"/>
        <v>0</v>
      </c>
      <c r="Z112" s="105">
        <f t="shared" si="32"/>
        <v>254.23</v>
      </c>
      <c r="AA112" s="105">
        <f t="shared" si="33"/>
        <v>0</v>
      </c>
      <c r="AB112" s="111">
        <f t="shared" si="34"/>
        <v>-254.23</v>
      </c>
      <c r="AC112" s="105" t="e">
        <f t="shared" si="35"/>
        <v>#VALUE!</v>
      </c>
      <c r="AD112" s="105" t="e">
        <f t="shared" si="23"/>
        <v>#VALUE!</v>
      </c>
      <c r="AE112" s="105" t="e">
        <f t="shared" si="24"/>
        <v>#DIV/0!</v>
      </c>
      <c r="AF112" s="105" t="e">
        <f t="shared" si="25"/>
        <v>#VALUE!</v>
      </c>
      <c r="AG112" s="105" t="e">
        <f t="shared" si="26"/>
        <v>#VALUE!</v>
      </c>
      <c r="AH112" s="111"/>
      <c r="AI112" s="105"/>
      <c r="AJ112" s="105"/>
      <c r="AK112" s="109"/>
      <c r="AL112" s="109"/>
      <c r="AM112" s="109"/>
      <c r="AN112" s="109"/>
      <c r="AO112" s="105"/>
      <c r="AP112" s="105"/>
      <c r="AQ112" s="109"/>
      <c r="AR112" s="110"/>
      <c r="AS112" s="110"/>
      <c r="AT112" s="110"/>
      <c r="AU112" s="110"/>
      <c r="AV112" s="110"/>
      <c r="AW112" s="112"/>
      <c r="AX112" s="112"/>
      <c r="AY112" s="110"/>
      <c r="AZ112" s="105"/>
      <c r="BA112" s="105"/>
      <c r="BB112" s="105"/>
      <c r="BC112" s="105"/>
      <c r="BD112" s="105"/>
      <c r="BE112" s="105"/>
    </row>
    <row r="113" spans="1:57" x14ac:dyDescent="0.15">
      <c r="A113" s="101">
        <v>194</v>
      </c>
      <c r="B113" s="98" t="e">
        <f>VLOOKUP($A113,'Rate Calculation'!$A$4:$CS$210,68,FALSE)</f>
        <v>#REF!</v>
      </c>
      <c r="C113" s="98" t="str">
        <f>UPPER(VLOOKUP($A113,'Rate Calculation'!$A$4:$CL$210,69,FALSE))</f>
        <v>50882</v>
      </c>
      <c r="D113" s="104" t="str">
        <f>VLOOKUP($A113,'Rate Calculation'!$A$4:$AJ$210,5,FALSE)</f>
        <v>BALTIMORE METRO</v>
      </c>
      <c r="E113" s="104" t="str">
        <f>VLOOKUP($A113,'Rate Calculation'!$A$4:$AJ$210,6,FALSE)</f>
        <v>BALTIMORE CITY</v>
      </c>
      <c r="F113" s="105">
        <f>VLOOKUP(A113,'Rate Calculation'!$A$3:$AT$210,35,FALSE)</f>
        <v>43212</v>
      </c>
      <c r="G113" s="105">
        <f>VLOOKUP(A113,'Rate Calculation'!$A$3:$AT$210,30,FALSE)</f>
        <v>54168</v>
      </c>
      <c r="H113" s="105">
        <f>VLOOKUP(A113,'Rate Calculation'!$A$3:$AW$210,36,FALSE)+VLOOKUP(A113,'Rate Calculation'!$A$3:$CC$210,42,FALSE)</f>
        <v>300745421</v>
      </c>
      <c r="I113" s="105">
        <f t="shared" si="27"/>
        <v>-18.84</v>
      </c>
      <c r="J113" s="105" t="str">
        <f>VLOOKUP(A113,'Rate Calculation'!$A$3:$BL$210,43,FALSE)</f>
        <v>FutureCare - Sandtown Winchester</v>
      </c>
      <c r="K113" s="105">
        <f t="shared" si="36"/>
        <v>300842782.16000003</v>
      </c>
      <c r="L113" s="164">
        <f t="shared" si="20"/>
        <v>0.98772000000000004</v>
      </c>
      <c r="M113" s="105">
        <f t="shared" si="28"/>
        <v>297148432.80000001</v>
      </c>
      <c r="N113" s="105" t="e">
        <f>VLOOKUP(A113,'Rate Calculation'!$A$4:$DK$210,47,FALSE)</f>
        <v>#DIV/0!</v>
      </c>
      <c r="O113" s="106">
        <f>VLOOKUP(A113,'Rate Calculation'!$A$4:$DK$210,10,FALSE)</f>
        <v>1.0309999999999999</v>
      </c>
      <c r="P113" s="114">
        <f t="shared" si="21"/>
        <v>1.4432</v>
      </c>
      <c r="Q113" s="114">
        <f>VLOOKUP(A113,'CMI Data'!$A$3:$Z$209,7,FALSE)</f>
        <v>0</v>
      </c>
      <c r="R113" s="120" t="e">
        <f>+'CMI Data'!$I$214</f>
        <v>#DIV/0!</v>
      </c>
      <c r="S113" s="106">
        <f>IF(Q113=0,'CMI Data'!$I$213,ROUND(Q113*R113,4))</f>
        <v>1.4061999999999999</v>
      </c>
      <c r="T113" s="105">
        <f>VLOOKUP(A113,'Rate Calculation'!$A$4:$DK$210,16,FALSE)</f>
        <v>182.5</v>
      </c>
      <c r="U113" s="105">
        <f>VLOOKUP(A113,'Rate Calculation'!$A$4:$DK$210,20,FALSE)</f>
        <v>-19.329999999999998</v>
      </c>
      <c r="V113" s="113">
        <f t="shared" si="29"/>
        <v>-13.81</v>
      </c>
      <c r="W113" s="105">
        <f t="shared" si="30"/>
        <v>-18.84</v>
      </c>
      <c r="X113" s="111">
        <f t="shared" si="22"/>
        <v>0</v>
      </c>
      <c r="Y113" s="105">
        <f t="shared" si="31"/>
        <v>-18.84</v>
      </c>
      <c r="Z113" s="105">
        <f t="shared" si="32"/>
        <v>248.92</v>
      </c>
      <c r="AA113" s="105">
        <f t="shared" si="33"/>
        <v>-17.899999999999999</v>
      </c>
      <c r="AB113" s="111">
        <f t="shared" si="34"/>
        <v>-266.82</v>
      </c>
      <c r="AC113" s="105" t="e">
        <f t="shared" si="35"/>
        <v>#VALUE!</v>
      </c>
      <c r="AD113" s="105" t="e">
        <f t="shared" si="23"/>
        <v>#VALUE!</v>
      </c>
      <c r="AE113" s="105" t="e">
        <f t="shared" si="24"/>
        <v>#DIV/0!</v>
      </c>
      <c r="AF113" s="105" t="e">
        <f t="shared" si="25"/>
        <v>#VALUE!</v>
      </c>
      <c r="AG113" s="105" t="e">
        <f t="shared" si="26"/>
        <v>#VALUE!</v>
      </c>
      <c r="AH113" s="111"/>
      <c r="AI113" s="105"/>
      <c r="AJ113" s="105"/>
      <c r="AK113" s="109"/>
      <c r="AL113" s="109"/>
      <c r="AM113" s="109"/>
      <c r="AN113" s="109"/>
      <c r="AO113" s="105"/>
      <c r="AP113" s="105"/>
      <c r="AQ113" s="109"/>
      <c r="AR113" s="110"/>
      <c r="AS113" s="110"/>
      <c r="AT113" s="110"/>
      <c r="AU113" s="110"/>
      <c r="AV113" s="110"/>
      <c r="AW113" s="112"/>
      <c r="AX113" s="112"/>
      <c r="AY113" s="110"/>
      <c r="AZ113" s="105"/>
      <c r="BA113" s="105"/>
      <c r="BB113" s="105"/>
      <c r="BC113" s="105"/>
      <c r="BD113" s="105"/>
      <c r="BE113" s="105"/>
    </row>
    <row r="114" spans="1:57" x14ac:dyDescent="0.15">
      <c r="A114" s="101">
        <v>208</v>
      </c>
      <c r="B114" s="98" t="e">
        <f>VLOOKUP($A114,'Rate Calculation'!$A$4:$CS$210,68,FALSE)</f>
        <v>#REF!</v>
      </c>
      <c r="C114" s="98" t="str">
        <f>UPPER(VLOOKUP($A114,'Rate Calculation'!$A$4:$CL$210,69,FALSE))</f>
        <v>222666</v>
      </c>
      <c r="D114" s="104" t="str">
        <f>VLOOKUP($A114,'Rate Calculation'!$A$4:$AJ$210,5,FALSE)</f>
        <v>BALTIMORE METRO</v>
      </c>
      <c r="E114" s="104" t="str">
        <f>VLOOKUP($A114,'Rate Calculation'!$A$4:$AJ$210,6,FALSE)</f>
        <v>BALTIMORE CITY</v>
      </c>
      <c r="F114" s="105">
        <f>VLOOKUP(A114,'Rate Calculation'!$A$3:$AT$210,35,FALSE)</f>
        <v>36721</v>
      </c>
      <c r="G114" s="105">
        <f>VLOOKUP(A114,'Rate Calculation'!$A$3:$AT$210,30,FALSE)</f>
        <v>53436</v>
      </c>
      <c r="H114" s="105">
        <f>VLOOKUP(A114,'Rate Calculation'!$A$3:$AW$210,36,FALSE)+VLOOKUP(A114,'Rate Calculation'!$A$3:$CC$210,42,FALSE)</f>
        <v>424345643</v>
      </c>
      <c r="I114" s="105">
        <f t="shared" si="27"/>
        <v>0</v>
      </c>
      <c r="J114" s="105" t="str">
        <f>VLOOKUP(A114,'Rate Calculation'!$A$3:$BL$210,43,FALSE)</f>
        <v>FutureCare at Good Samaritan</v>
      </c>
      <c r="K114" s="105">
        <f t="shared" si="36"/>
        <v>424435800</v>
      </c>
      <c r="L114" s="164">
        <f t="shared" si="20"/>
        <v>0.98772000000000004</v>
      </c>
      <c r="M114" s="105">
        <f t="shared" si="28"/>
        <v>419223728.38</v>
      </c>
      <c r="N114" s="105" t="e">
        <f>VLOOKUP(A114,'Rate Calculation'!$A$4:$DK$210,47,FALSE)</f>
        <v>#DIV/0!</v>
      </c>
      <c r="O114" s="106">
        <f>VLOOKUP(A114,'Rate Calculation'!$A$4:$DK$210,10,FALSE)</f>
        <v>1.0309999999999999</v>
      </c>
      <c r="P114" s="114">
        <f t="shared" si="21"/>
        <v>1.4432</v>
      </c>
      <c r="Q114" s="114">
        <f>VLOOKUP(A114,'CMI Data'!$A$3:$Z$209,7,FALSE)</f>
        <v>0</v>
      </c>
      <c r="R114" s="120" t="e">
        <f>+'CMI Data'!$I$214</f>
        <v>#DIV/0!</v>
      </c>
      <c r="S114" s="106">
        <f>IF(Q114=0,'CMI Data'!$I$213,ROUND(Q114*R114,4))</f>
        <v>1.4061999999999999</v>
      </c>
      <c r="T114" s="105">
        <f>VLOOKUP(A114,'Rate Calculation'!$A$4:$DK$210,16,FALSE)</f>
        <v>184.35</v>
      </c>
      <c r="U114" s="105">
        <f>VLOOKUP(A114,'Rate Calculation'!$A$4:$DK$210,20,FALSE)</f>
        <v>0</v>
      </c>
      <c r="V114" s="113">
        <f t="shared" si="29"/>
        <v>0</v>
      </c>
      <c r="W114" s="105">
        <f t="shared" si="30"/>
        <v>0</v>
      </c>
      <c r="X114" s="111">
        <f t="shared" si="22"/>
        <v>0</v>
      </c>
      <c r="Y114" s="105">
        <f t="shared" si="31"/>
        <v>0</v>
      </c>
      <c r="Z114" s="105">
        <f t="shared" si="32"/>
        <v>251.44</v>
      </c>
      <c r="AA114" s="105">
        <f t="shared" si="33"/>
        <v>0</v>
      </c>
      <c r="AB114" s="111">
        <f t="shared" si="34"/>
        <v>-251.44</v>
      </c>
      <c r="AC114" s="105" t="e">
        <f t="shared" si="35"/>
        <v>#VALUE!</v>
      </c>
      <c r="AD114" s="105" t="e">
        <f t="shared" si="23"/>
        <v>#VALUE!</v>
      </c>
      <c r="AE114" s="105" t="e">
        <f t="shared" si="24"/>
        <v>#DIV/0!</v>
      </c>
      <c r="AF114" s="105" t="e">
        <f t="shared" si="25"/>
        <v>#VALUE!</v>
      </c>
      <c r="AG114" s="105" t="e">
        <f t="shared" si="26"/>
        <v>#VALUE!</v>
      </c>
      <c r="AH114" s="111"/>
      <c r="AI114" s="105"/>
      <c r="AJ114" s="105"/>
      <c r="AK114" s="109"/>
      <c r="AL114" s="109"/>
      <c r="AM114" s="109"/>
      <c r="AN114" s="109"/>
      <c r="AO114" s="105"/>
      <c r="AP114" s="105"/>
      <c r="AQ114" s="109"/>
      <c r="AR114" s="110"/>
      <c r="AS114" s="110"/>
      <c r="AT114" s="110"/>
      <c r="AU114" s="110"/>
      <c r="AV114" s="110"/>
      <c r="AW114" s="112"/>
      <c r="AX114" s="112"/>
      <c r="AY114" s="110"/>
      <c r="AZ114" s="105"/>
      <c r="BA114" s="105"/>
      <c r="BB114" s="105"/>
      <c r="BC114" s="105"/>
      <c r="BD114" s="105"/>
      <c r="BE114" s="105"/>
    </row>
    <row r="115" spans="1:57" x14ac:dyDescent="0.15">
      <c r="A115" s="101">
        <v>204</v>
      </c>
      <c r="B115" s="98" t="e">
        <f>VLOOKUP($A115,'Rate Calculation'!$A$4:$CS$210,68,FALSE)</f>
        <v>#REF!</v>
      </c>
      <c r="C115" s="98" t="str">
        <f>UPPER(VLOOKUP($A115,'Rate Calculation'!$A$4:$CL$210,69,FALSE))</f>
        <v>0</v>
      </c>
      <c r="D115" s="104" t="str">
        <f>VLOOKUP($A115,'Rate Calculation'!$A$4:$AJ$210,5,FALSE)</f>
        <v>BALTIMORE METRO</v>
      </c>
      <c r="E115" s="104" t="str">
        <f>VLOOKUP($A115,'Rate Calculation'!$A$4:$AJ$210,6,FALSE)</f>
        <v>BALTIMORE METRO</v>
      </c>
      <c r="F115" s="105">
        <f>VLOOKUP(A115,'Rate Calculation'!$A$3:$AT$210,35,FALSE)</f>
        <v>0</v>
      </c>
      <c r="G115" s="105">
        <f>VLOOKUP(A115,'Rate Calculation'!$A$3:$AT$210,30,FALSE)</f>
        <v>11346</v>
      </c>
      <c r="H115" s="105">
        <f>VLOOKUP(A115,'Rate Calculation'!$A$3:$AW$210,36,FALSE)+VLOOKUP(A115,'Rate Calculation'!$A$3:$CC$210,42,FALSE)</f>
        <v>105700600</v>
      </c>
      <c r="I115" s="105">
        <f t="shared" si="27"/>
        <v>0</v>
      </c>
      <c r="J115" s="105" t="str">
        <f>VLOOKUP(A115,'Rate Calculation'!$A$3:$BL$210,43,FALSE)</f>
        <v>Glen Meadows Retirement Community</v>
      </c>
      <c r="K115" s="105">
        <f t="shared" si="36"/>
        <v>105711946</v>
      </c>
      <c r="L115" s="164">
        <f t="shared" si="20"/>
        <v>0.98772000000000004</v>
      </c>
      <c r="M115" s="105">
        <f t="shared" si="28"/>
        <v>104413803.3</v>
      </c>
      <c r="N115" s="105" t="e">
        <f>VLOOKUP(A115,'Rate Calculation'!$A$4:$DK$210,47,FALSE)</f>
        <v>#DIV/0!</v>
      </c>
      <c r="O115" s="106">
        <f>VLOOKUP(A115,'Rate Calculation'!$A$4:$DK$210,10,FALSE)</f>
        <v>1.0309999999999999</v>
      </c>
      <c r="P115" s="114">
        <f t="shared" si="21"/>
        <v>1.4432</v>
      </c>
      <c r="Q115" s="114">
        <f>VLOOKUP(A115,'CMI Data'!$A$3:$Z$209,7,FALSE)</f>
        <v>0</v>
      </c>
      <c r="R115" s="120" t="e">
        <f>+'CMI Data'!$I$214</f>
        <v>#DIV/0!</v>
      </c>
      <c r="S115" s="106">
        <f>IF(Q115=0,'CMI Data'!$I$213,ROUND(Q115*R115,4))</f>
        <v>1.4061999999999999</v>
      </c>
      <c r="T115" s="105">
        <f>VLOOKUP(A115,'Rate Calculation'!$A$4:$DK$210,16,FALSE)</f>
        <v>150.62</v>
      </c>
      <c r="U115" s="105">
        <f>VLOOKUP(A115,'Rate Calculation'!$A$4:$DK$210,20,FALSE)</f>
        <v>0</v>
      </c>
      <c r="V115" s="113">
        <f t="shared" si="29"/>
        <v>0</v>
      </c>
      <c r="W115" s="105">
        <f t="shared" si="30"/>
        <v>0</v>
      </c>
      <c r="X115" s="111">
        <f t="shared" si="22"/>
        <v>0</v>
      </c>
      <c r="Y115" s="105">
        <f t="shared" si="31"/>
        <v>0</v>
      </c>
      <c r="Z115" s="105">
        <f t="shared" si="32"/>
        <v>205.43</v>
      </c>
      <c r="AA115" s="105">
        <f t="shared" si="33"/>
        <v>0</v>
      </c>
      <c r="AB115" s="111">
        <f t="shared" si="34"/>
        <v>-205.43</v>
      </c>
      <c r="AC115" s="105" t="e">
        <f t="shared" si="35"/>
        <v>#VALUE!</v>
      </c>
      <c r="AD115" s="105" t="e">
        <f t="shared" si="23"/>
        <v>#VALUE!</v>
      </c>
      <c r="AE115" s="105" t="e">
        <f t="shared" si="24"/>
        <v>#DIV/0!</v>
      </c>
      <c r="AF115" s="105" t="e">
        <f t="shared" si="25"/>
        <v>#VALUE!</v>
      </c>
      <c r="AG115" s="105" t="e">
        <f t="shared" si="26"/>
        <v>#VALUE!</v>
      </c>
      <c r="AH115" s="111"/>
      <c r="AI115" s="105"/>
      <c r="AJ115" s="105"/>
      <c r="AK115" s="109"/>
      <c r="AL115" s="109"/>
      <c r="AM115" s="109"/>
      <c r="AN115" s="109"/>
      <c r="AO115" s="105"/>
      <c r="AP115" s="105"/>
      <c r="AQ115" s="109"/>
      <c r="AR115" s="110"/>
      <c r="AS115" s="110"/>
      <c r="AT115" s="110"/>
      <c r="AU115" s="110"/>
      <c r="AV115" s="110"/>
      <c r="AW115" s="112"/>
      <c r="AX115" s="112"/>
      <c r="AY115" s="110"/>
      <c r="AZ115" s="105"/>
      <c r="BA115" s="105"/>
      <c r="BB115" s="105"/>
      <c r="BC115" s="105"/>
      <c r="BD115" s="105"/>
      <c r="BE115" s="105"/>
    </row>
    <row r="116" spans="1:57" x14ac:dyDescent="0.15">
      <c r="A116" s="101">
        <v>210</v>
      </c>
      <c r="B116" s="98" t="e">
        <f>VLOOKUP($A116,'Rate Calculation'!$A$4:$CS$210,68,FALSE)</f>
        <v>#REF!</v>
      </c>
      <c r="C116" s="98" t="str">
        <f>UPPER(VLOOKUP($A116,'Rate Calculation'!$A$4:$CL$210,69,FALSE))</f>
        <v>0</v>
      </c>
      <c r="D116" s="104" t="str">
        <f>VLOOKUP($A116,'Rate Calculation'!$A$4:$AJ$210,5,FALSE)</f>
        <v>WESTERN REGION</v>
      </c>
      <c r="E116" s="104" t="str">
        <f>VLOOKUP($A116,'Rate Calculation'!$A$4:$AJ$210,6,FALSE)</f>
        <v>NON METRO</v>
      </c>
      <c r="F116" s="105">
        <f>VLOOKUP(A116,'Rate Calculation'!$A$3:$AT$210,35,FALSE)</f>
        <v>0</v>
      </c>
      <c r="G116" s="105">
        <f>VLOOKUP(A116,'Rate Calculation'!$A$3:$AT$210,30,FALSE)</f>
        <v>39528</v>
      </c>
      <c r="H116" s="105">
        <f>VLOOKUP(A116,'Rate Calculation'!$A$3:$AW$210,36,FALSE)+VLOOKUP(A116,'Rate Calculation'!$A$3:$CC$210,42,FALSE)</f>
        <v>114367100</v>
      </c>
      <c r="I116" s="105">
        <f t="shared" si="27"/>
        <v>0</v>
      </c>
      <c r="J116" s="105" t="str">
        <f>VLOOKUP(A116,'Rate Calculation'!$A$3:$BL$210,43,FALSE)</f>
        <v>Goodwill Mennonite Home, Inc.</v>
      </c>
      <c r="K116" s="105">
        <f t="shared" si="36"/>
        <v>114406628</v>
      </c>
      <c r="L116" s="164">
        <f t="shared" si="20"/>
        <v>0.98772000000000004</v>
      </c>
      <c r="M116" s="105">
        <f t="shared" si="28"/>
        <v>113001714.61</v>
      </c>
      <c r="N116" s="105" t="e">
        <f>VLOOKUP(A116,'Rate Calculation'!$A$4:$DK$210,47,FALSE)</f>
        <v>#DIV/0!</v>
      </c>
      <c r="O116" s="106">
        <f>VLOOKUP(A116,'Rate Calculation'!$A$4:$DK$210,10,FALSE)</f>
        <v>1.0309999999999999</v>
      </c>
      <c r="P116" s="114">
        <f t="shared" si="21"/>
        <v>1.4432</v>
      </c>
      <c r="Q116" s="114">
        <f>VLOOKUP(A116,'CMI Data'!$A$3:$Z$209,7,FALSE)</f>
        <v>0</v>
      </c>
      <c r="R116" s="120" t="e">
        <f>+'CMI Data'!$I$214</f>
        <v>#DIV/0!</v>
      </c>
      <c r="S116" s="106">
        <f>IF(Q116=0,'CMI Data'!$I$213,ROUND(Q116*R116,4))</f>
        <v>1.4061999999999999</v>
      </c>
      <c r="T116" s="105">
        <f>VLOOKUP(A116,'Rate Calculation'!$A$4:$DK$210,16,FALSE)</f>
        <v>142.19</v>
      </c>
      <c r="U116" s="105">
        <f>VLOOKUP(A116,'Rate Calculation'!$A$4:$DK$210,20,FALSE)</f>
        <v>0</v>
      </c>
      <c r="V116" s="113">
        <f t="shared" si="29"/>
        <v>0</v>
      </c>
      <c r="W116" s="105">
        <f t="shared" si="30"/>
        <v>0</v>
      </c>
      <c r="X116" s="111">
        <f t="shared" si="22"/>
        <v>0</v>
      </c>
      <c r="Y116" s="105">
        <f t="shared" si="31"/>
        <v>0</v>
      </c>
      <c r="Z116" s="105">
        <f t="shared" si="32"/>
        <v>193.94</v>
      </c>
      <c r="AA116" s="105">
        <f t="shared" si="33"/>
        <v>0</v>
      </c>
      <c r="AB116" s="111">
        <f t="shared" si="34"/>
        <v>-193.94</v>
      </c>
      <c r="AC116" s="105" t="e">
        <f t="shared" si="35"/>
        <v>#VALUE!</v>
      </c>
      <c r="AD116" s="105" t="e">
        <f t="shared" si="23"/>
        <v>#VALUE!</v>
      </c>
      <c r="AE116" s="105" t="e">
        <f t="shared" si="24"/>
        <v>#DIV/0!</v>
      </c>
      <c r="AF116" s="105" t="e">
        <f t="shared" si="25"/>
        <v>#VALUE!</v>
      </c>
      <c r="AG116" s="105" t="e">
        <f t="shared" si="26"/>
        <v>#VALUE!</v>
      </c>
      <c r="AH116" s="111"/>
      <c r="AI116" s="105"/>
      <c r="AJ116" s="105"/>
      <c r="AK116" s="109"/>
      <c r="AL116" s="109"/>
      <c r="AM116" s="109"/>
      <c r="AN116" s="109"/>
      <c r="AO116" s="105"/>
      <c r="AP116" s="105"/>
      <c r="AQ116" s="109"/>
      <c r="AR116" s="110"/>
      <c r="AS116" s="110"/>
      <c r="AT116" s="110"/>
      <c r="AU116" s="110"/>
      <c r="AV116" s="110"/>
      <c r="AW116" s="112"/>
      <c r="AX116" s="112"/>
      <c r="AY116" s="110"/>
      <c r="AZ116" s="105"/>
      <c r="BA116" s="105"/>
      <c r="BB116" s="105"/>
      <c r="BC116" s="105"/>
      <c r="BD116" s="105"/>
      <c r="BE116" s="105"/>
    </row>
    <row r="117" spans="1:57" x14ac:dyDescent="0.15">
      <c r="A117" s="101">
        <v>64</v>
      </c>
      <c r="B117" s="98" t="e">
        <f>VLOOKUP($A117,'Rate Calculation'!$A$4:$CS$210,68,FALSE)</f>
        <v>#REF!</v>
      </c>
      <c r="C117" s="98" t="str">
        <f>UPPER(VLOOKUP($A117,'Rate Calculation'!$A$4:$CL$210,69,FALSE))</f>
        <v>206911</v>
      </c>
      <c r="D117" s="104" t="str">
        <f>VLOOKUP($A117,'Rate Calculation'!$A$4:$AJ$210,5,FALSE)</f>
        <v>WESTERN REGION</v>
      </c>
      <c r="E117" s="104" t="str">
        <f>VLOOKUP($A117,'Rate Calculation'!$A$4:$AJ$210,6,FALSE)</f>
        <v>NON METRO</v>
      </c>
      <c r="F117" s="105">
        <f>VLOOKUP(A117,'Rate Calculation'!$A$3:$AT$210,35,FALSE)</f>
        <v>38337</v>
      </c>
      <c r="G117" s="105">
        <f>VLOOKUP(A117,'Rate Calculation'!$A$3:$AT$210,30,FALSE)</f>
        <v>51240</v>
      </c>
      <c r="H117" s="105">
        <f>VLOOKUP(A117,'Rate Calculation'!$A$3:$AW$210,36,FALSE)+VLOOKUP(A117,'Rate Calculation'!$A$3:$CC$210,42,FALSE)</f>
        <v>300257294</v>
      </c>
      <c r="I117" s="105">
        <f t="shared" si="27"/>
        <v>-6.12</v>
      </c>
      <c r="J117" s="105" t="str">
        <f>VLOOKUP(A117,'Rate Calculation'!$A$3:$BL$210,43,FALSE)</f>
        <v>Hagerstown Healthcare Center</v>
      </c>
      <c r="K117" s="105">
        <f t="shared" si="36"/>
        <v>300346864.88</v>
      </c>
      <c r="L117" s="164">
        <f t="shared" si="20"/>
        <v>0.98772000000000004</v>
      </c>
      <c r="M117" s="105">
        <f t="shared" si="28"/>
        <v>296658605.38</v>
      </c>
      <c r="N117" s="105" t="e">
        <f>VLOOKUP(A117,'Rate Calculation'!$A$4:$DK$210,47,FALSE)</f>
        <v>#DIV/0!</v>
      </c>
      <c r="O117" s="106">
        <f>VLOOKUP(A117,'Rate Calculation'!$A$4:$DK$210,10,FALSE)</f>
        <v>1.0309999999999999</v>
      </c>
      <c r="P117" s="114">
        <f t="shared" si="21"/>
        <v>1.4432</v>
      </c>
      <c r="Q117" s="114">
        <f>VLOOKUP(A117,'CMI Data'!$A$3:$Z$209,7,FALSE)</f>
        <v>0</v>
      </c>
      <c r="R117" s="120" t="e">
        <f>+'CMI Data'!$I$214</f>
        <v>#DIV/0!</v>
      </c>
      <c r="S117" s="106">
        <f>IF(Q117=0,'CMI Data'!$I$213,ROUND(Q117*R117,4))</f>
        <v>1.4061999999999999</v>
      </c>
      <c r="T117" s="105">
        <f>VLOOKUP(A117,'Rate Calculation'!$A$4:$DK$210,16,FALSE)</f>
        <v>145.83000000000001</v>
      </c>
      <c r="U117" s="105">
        <f>VLOOKUP(A117,'Rate Calculation'!$A$4:$DK$210,20,FALSE)</f>
        <v>-6.29</v>
      </c>
      <c r="V117" s="113">
        <f t="shared" si="29"/>
        <v>-4.49</v>
      </c>
      <c r="W117" s="105">
        <f t="shared" si="30"/>
        <v>-6.12</v>
      </c>
      <c r="X117" s="111">
        <f t="shared" si="22"/>
        <v>0</v>
      </c>
      <c r="Y117" s="105">
        <f t="shared" si="31"/>
        <v>-6.12</v>
      </c>
      <c r="Z117" s="105">
        <f t="shared" si="32"/>
        <v>198.9</v>
      </c>
      <c r="AA117" s="105">
        <f t="shared" si="33"/>
        <v>-5.81</v>
      </c>
      <c r="AB117" s="111">
        <f t="shared" si="34"/>
        <v>-204.71</v>
      </c>
      <c r="AC117" s="105" t="e">
        <f t="shared" si="35"/>
        <v>#VALUE!</v>
      </c>
      <c r="AD117" s="105" t="e">
        <f t="shared" si="23"/>
        <v>#VALUE!</v>
      </c>
      <c r="AE117" s="105" t="e">
        <f t="shared" si="24"/>
        <v>#DIV/0!</v>
      </c>
      <c r="AF117" s="105" t="e">
        <f t="shared" si="25"/>
        <v>#VALUE!</v>
      </c>
      <c r="AG117" s="105" t="e">
        <f t="shared" si="26"/>
        <v>#VALUE!</v>
      </c>
      <c r="AH117" s="111"/>
      <c r="AI117" s="105"/>
      <c r="AJ117" s="105"/>
      <c r="AK117" s="109"/>
      <c r="AL117" s="109"/>
      <c r="AM117" s="109"/>
      <c r="AN117" s="109"/>
      <c r="AO117" s="105"/>
      <c r="AP117" s="105"/>
      <c r="AQ117" s="109"/>
      <c r="AR117" s="110"/>
      <c r="AS117" s="110"/>
      <c r="AT117" s="110"/>
      <c r="AU117" s="110"/>
      <c r="AV117" s="110"/>
      <c r="AW117" s="112"/>
      <c r="AX117" s="112"/>
      <c r="AY117" s="110"/>
      <c r="AZ117" s="105"/>
      <c r="BA117" s="105"/>
      <c r="BB117" s="105"/>
      <c r="BC117" s="105"/>
      <c r="BD117" s="105"/>
      <c r="BE117" s="105"/>
    </row>
    <row r="118" spans="1:57" x14ac:dyDescent="0.15">
      <c r="A118" s="101">
        <v>218</v>
      </c>
      <c r="B118" s="98" t="e">
        <f>VLOOKUP($A118,'Rate Calculation'!$A$4:$CS$210,68,FALSE)</f>
        <v>#REF!</v>
      </c>
      <c r="C118" s="98" t="str">
        <f>UPPER(VLOOKUP($A118,'Rate Calculation'!$A$4:$CL$210,69,FALSE))</f>
        <v>97230</v>
      </c>
      <c r="D118" s="104" t="str">
        <f>VLOOKUP($A118,'Rate Calculation'!$A$4:$AJ$210,5,FALSE)</f>
        <v>BALTIMORE METRO</v>
      </c>
      <c r="E118" s="104" t="str">
        <f>VLOOKUP($A118,'Rate Calculation'!$A$4:$AJ$210,6,FALSE)</f>
        <v>BALTIMORE METRO</v>
      </c>
      <c r="F118" s="105">
        <f>VLOOKUP(A118,'Rate Calculation'!$A$3:$AT$210,35,FALSE)</f>
        <v>32591</v>
      </c>
      <c r="G118" s="105">
        <f>VLOOKUP(A118,'Rate Calculation'!$A$3:$AT$210,30,FALSE)</f>
        <v>41358</v>
      </c>
      <c r="H118" s="105">
        <f>VLOOKUP(A118,'Rate Calculation'!$A$3:$AW$210,36,FALSE)+VLOOKUP(A118,'Rate Calculation'!$A$3:$CC$210,42,FALSE)</f>
        <v>414022291</v>
      </c>
      <c r="I118" s="105">
        <f t="shared" si="27"/>
        <v>-0.04</v>
      </c>
      <c r="J118" s="105" t="str">
        <f>VLOOKUP(A118,'Rate Calculation'!$A$3:$BL$210,43,FALSE)</f>
        <v>Hammonds Lane Center</v>
      </c>
      <c r="K118" s="105">
        <f t="shared" si="36"/>
        <v>414096239.95999998</v>
      </c>
      <c r="L118" s="164">
        <f t="shared" si="20"/>
        <v>0.98772000000000004</v>
      </c>
      <c r="M118" s="105">
        <f t="shared" si="28"/>
        <v>409011138.13</v>
      </c>
      <c r="N118" s="105" t="e">
        <f>VLOOKUP(A118,'Rate Calculation'!$A$4:$DK$210,47,FALSE)</f>
        <v>#DIV/0!</v>
      </c>
      <c r="O118" s="106">
        <f>VLOOKUP(A118,'Rate Calculation'!$A$4:$DK$210,10,FALSE)</f>
        <v>1.0309999999999999</v>
      </c>
      <c r="P118" s="114">
        <f t="shared" si="21"/>
        <v>1.4432</v>
      </c>
      <c r="Q118" s="114">
        <f>VLOOKUP(A118,'CMI Data'!$A$3:$Z$209,7,FALSE)</f>
        <v>0</v>
      </c>
      <c r="R118" s="120" t="e">
        <f>+'CMI Data'!$I$214</f>
        <v>#DIV/0!</v>
      </c>
      <c r="S118" s="106">
        <f>IF(Q118=0,'CMI Data'!$I$213,ROUND(Q118*R118,4))</f>
        <v>1.4061999999999999</v>
      </c>
      <c r="T118" s="105">
        <f>VLOOKUP(A118,'Rate Calculation'!$A$4:$DK$210,16,FALSE)</f>
        <v>178.91</v>
      </c>
      <c r="U118" s="105">
        <f>VLOOKUP(A118,'Rate Calculation'!$A$4:$DK$210,20,FALSE)</f>
        <v>-0.04</v>
      </c>
      <c r="V118" s="113">
        <f t="shared" si="29"/>
        <v>-0.03</v>
      </c>
      <c r="W118" s="105">
        <f t="shared" si="30"/>
        <v>-0.04</v>
      </c>
      <c r="X118" s="111">
        <f t="shared" si="22"/>
        <v>0</v>
      </c>
      <c r="Y118" s="105">
        <f t="shared" si="31"/>
        <v>-0.04</v>
      </c>
      <c r="Z118" s="105">
        <f t="shared" si="32"/>
        <v>244.02</v>
      </c>
      <c r="AA118" s="105">
        <f t="shared" si="33"/>
        <v>-0.04</v>
      </c>
      <c r="AB118" s="111">
        <f t="shared" si="34"/>
        <v>-244.06</v>
      </c>
      <c r="AC118" s="105" t="e">
        <f t="shared" si="35"/>
        <v>#VALUE!</v>
      </c>
      <c r="AD118" s="105" t="e">
        <f t="shared" si="23"/>
        <v>#VALUE!</v>
      </c>
      <c r="AE118" s="105" t="e">
        <f t="shared" si="24"/>
        <v>#DIV/0!</v>
      </c>
      <c r="AF118" s="105" t="e">
        <f t="shared" si="25"/>
        <v>#VALUE!</v>
      </c>
      <c r="AG118" s="105" t="e">
        <f t="shared" si="26"/>
        <v>#VALUE!</v>
      </c>
      <c r="AH118" s="111"/>
      <c r="AI118" s="105"/>
      <c r="AJ118" s="105"/>
      <c r="AK118" s="109"/>
      <c r="AL118" s="109"/>
      <c r="AM118" s="109"/>
      <c r="AN118" s="109"/>
      <c r="AO118" s="105"/>
      <c r="AP118" s="105"/>
      <c r="AQ118" s="109"/>
      <c r="AR118" s="110"/>
      <c r="AS118" s="110"/>
      <c r="AT118" s="110"/>
      <c r="AU118" s="110"/>
      <c r="AV118" s="110"/>
      <c r="AW118" s="112"/>
      <c r="AX118" s="112"/>
      <c r="AY118" s="110"/>
      <c r="AZ118" s="105"/>
      <c r="BA118" s="105"/>
      <c r="BB118" s="105"/>
      <c r="BC118" s="105"/>
      <c r="BD118" s="105"/>
      <c r="BE118" s="105"/>
    </row>
    <row r="119" spans="1:57" x14ac:dyDescent="0.15">
      <c r="A119" s="101">
        <v>222</v>
      </c>
      <c r="B119" s="98" t="e">
        <f>VLOOKUP($A119,'Rate Calculation'!$A$4:$CS$210,68,FALSE)</f>
        <v>#REF!</v>
      </c>
      <c r="C119" s="98" t="str">
        <f>UPPER(VLOOKUP($A119,'Rate Calculation'!$A$4:$CL$210,69,FALSE))</f>
        <v>48624</v>
      </c>
      <c r="D119" s="104" t="str">
        <f>VLOOKUP($A119,'Rate Calculation'!$A$4:$AJ$210,5,FALSE)</f>
        <v>EASTERN REGION</v>
      </c>
      <c r="E119" s="104" t="str">
        <f>VLOOKUP($A119,'Rate Calculation'!$A$4:$AJ$210,6,FALSE)</f>
        <v>NON METRO</v>
      </c>
      <c r="F119" s="105">
        <f>VLOOKUP(A119,'Rate Calculation'!$A$3:$AT$210,35,FALSE)</f>
        <v>22437</v>
      </c>
      <c r="G119" s="105">
        <f>VLOOKUP(A119,'Rate Calculation'!$A$3:$AT$210,30,FALSE)</f>
        <v>26718</v>
      </c>
      <c r="H119" s="105">
        <f>VLOOKUP(A119,'Rate Calculation'!$A$3:$AW$210,36,FALSE)+VLOOKUP(A119,'Rate Calculation'!$A$3:$CC$210,42,FALSE)</f>
        <v>210809414</v>
      </c>
      <c r="I119" s="105">
        <f t="shared" si="27"/>
        <v>-66.680000000000007</v>
      </c>
      <c r="J119" s="105" t="str">
        <f>VLOOKUP(A119,'Rate Calculation'!$A$3:$BL$210,43,FALSE)</f>
        <v>Hartley Nursing and Rehab</v>
      </c>
      <c r="K119" s="105">
        <f t="shared" si="36"/>
        <v>210858502.31999999</v>
      </c>
      <c r="L119" s="164">
        <f t="shared" si="20"/>
        <v>0.98772000000000004</v>
      </c>
      <c r="M119" s="105">
        <f t="shared" si="28"/>
        <v>208269159.91</v>
      </c>
      <c r="N119" s="105" t="e">
        <f>VLOOKUP(A119,'Rate Calculation'!$A$4:$DK$210,47,FALSE)</f>
        <v>#DIV/0!</v>
      </c>
      <c r="O119" s="106">
        <f>VLOOKUP(A119,'Rate Calculation'!$A$4:$DK$210,10,FALSE)</f>
        <v>1.0309999999999999</v>
      </c>
      <c r="P119" s="114">
        <f t="shared" si="21"/>
        <v>1.4432</v>
      </c>
      <c r="Q119" s="114">
        <f>VLOOKUP(A119,'CMI Data'!$A$3:$Z$209,7,FALSE)</f>
        <v>0</v>
      </c>
      <c r="R119" s="120" t="e">
        <f>+'CMI Data'!$I$214</f>
        <v>#DIV/0!</v>
      </c>
      <c r="S119" s="106">
        <f>IF(Q119=0,'CMI Data'!$I$213,ROUND(Q119*R119,4))</f>
        <v>1.4061999999999999</v>
      </c>
      <c r="T119" s="105">
        <f>VLOOKUP(A119,'Rate Calculation'!$A$4:$DK$210,16,FALSE)</f>
        <v>213.86</v>
      </c>
      <c r="U119" s="105">
        <f>VLOOKUP(A119,'Rate Calculation'!$A$4:$DK$210,20,FALSE)</f>
        <v>-68.430000000000007</v>
      </c>
      <c r="V119" s="113">
        <f t="shared" si="29"/>
        <v>-48.89</v>
      </c>
      <c r="W119" s="105">
        <f t="shared" si="30"/>
        <v>-66.680000000000007</v>
      </c>
      <c r="X119" s="111">
        <f t="shared" si="22"/>
        <v>0</v>
      </c>
      <c r="Y119" s="105">
        <f t="shared" si="31"/>
        <v>-66.680000000000007</v>
      </c>
      <c r="Z119" s="105">
        <f t="shared" si="32"/>
        <v>291.69</v>
      </c>
      <c r="AA119" s="105">
        <f t="shared" si="33"/>
        <v>-63.35</v>
      </c>
      <c r="AB119" s="111">
        <f t="shared" si="34"/>
        <v>-355.04</v>
      </c>
      <c r="AC119" s="105" t="e">
        <f t="shared" si="35"/>
        <v>#VALUE!</v>
      </c>
      <c r="AD119" s="105" t="e">
        <f t="shared" si="23"/>
        <v>#VALUE!</v>
      </c>
      <c r="AE119" s="105" t="e">
        <f t="shared" si="24"/>
        <v>#DIV/0!</v>
      </c>
      <c r="AF119" s="105" t="e">
        <f t="shared" si="25"/>
        <v>#VALUE!</v>
      </c>
      <c r="AG119" s="105" t="e">
        <f t="shared" si="26"/>
        <v>#VALUE!</v>
      </c>
      <c r="AH119" s="111"/>
      <c r="AI119" s="105"/>
      <c r="AJ119" s="105"/>
      <c r="AK119" s="109"/>
      <c r="AL119" s="109"/>
      <c r="AM119" s="109"/>
      <c r="AN119" s="109"/>
      <c r="AO119" s="105"/>
      <c r="AP119" s="105"/>
      <c r="AQ119" s="109"/>
      <c r="AR119" s="110"/>
      <c r="AS119" s="110"/>
      <c r="AT119" s="110"/>
      <c r="AU119" s="110"/>
      <c r="AV119" s="110"/>
      <c r="AW119" s="112"/>
      <c r="AX119" s="112"/>
      <c r="AY119" s="110"/>
      <c r="AZ119" s="105"/>
      <c r="BA119" s="105"/>
      <c r="BB119" s="105"/>
      <c r="BC119" s="105"/>
      <c r="BD119" s="105"/>
      <c r="BE119" s="105"/>
    </row>
    <row r="120" spans="1:57" x14ac:dyDescent="0.15">
      <c r="A120" s="101">
        <v>230</v>
      </c>
      <c r="B120" s="98" t="e">
        <f>VLOOKUP($A120,'Rate Calculation'!$A$4:$CS$210,68,FALSE)</f>
        <v>#REF!</v>
      </c>
      <c r="C120" s="98" t="str">
        <f>UPPER(VLOOKUP($A120,'Rate Calculation'!$A$4:$CL$210,69,FALSE))</f>
        <v>0</v>
      </c>
      <c r="D120" s="104" t="str">
        <f>VLOOKUP($A120,'Rate Calculation'!$A$4:$AJ$210,5,FALSE)</f>
        <v>WASHINGTON METRO</v>
      </c>
      <c r="E120" s="104" t="str">
        <f>VLOOKUP($A120,'Rate Calculation'!$A$4:$AJ$210,6,FALSE)</f>
        <v>WASHINGTON METRO</v>
      </c>
      <c r="F120" s="105">
        <f>VLOOKUP(A120,'Rate Calculation'!$A$3:$AT$210,35,FALSE)</f>
        <v>113801</v>
      </c>
      <c r="G120" s="105">
        <f>VLOOKUP(A120,'Rate Calculation'!$A$3:$AT$210,30,FALSE)</f>
        <v>203496</v>
      </c>
      <c r="H120" s="105">
        <f>VLOOKUP(A120,'Rate Calculation'!$A$3:$AW$210,36,FALSE)+VLOOKUP(A120,'Rate Calculation'!$A$3:$CC$210,42,FALSE)</f>
        <v>155699181</v>
      </c>
      <c r="I120" s="105">
        <f t="shared" si="27"/>
        <v>0</v>
      </c>
      <c r="J120" s="105" t="str">
        <f>VLOOKUP(A120,'Rate Calculation'!$A$3:$BL$210,43,FALSE)</f>
        <v>Hebrew Home of Greater Washington</v>
      </c>
      <c r="K120" s="105">
        <f t="shared" si="36"/>
        <v>156016478</v>
      </c>
      <c r="L120" s="164">
        <f t="shared" si="20"/>
        <v>0.98772000000000004</v>
      </c>
      <c r="M120" s="105">
        <f t="shared" si="28"/>
        <v>154100595.65000001</v>
      </c>
      <c r="N120" s="105" t="e">
        <f>VLOOKUP(A120,'Rate Calculation'!$A$4:$DK$210,47,FALSE)</f>
        <v>#DIV/0!</v>
      </c>
      <c r="O120" s="106">
        <f>VLOOKUP(A120,'Rate Calculation'!$A$4:$DK$210,10,FALSE)</f>
        <v>1.0309999999999999</v>
      </c>
      <c r="P120" s="114">
        <f t="shared" si="21"/>
        <v>1.4432</v>
      </c>
      <c r="Q120" s="114">
        <f>VLOOKUP(A120,'CMI Data'!$A$3:$Z$209,7,FALSE)</f>
        <v>0</v>
      </c>
      <c r="R120" s="120" t="e">
        <f>+'CMI Data'!$I$214</f>
        <v>#DIV/0!</v>
      </c>
      <c r="S120" s="106">
        <f>IF(Q120=0,'CMI Data'!$I$213,ROUND(Q120*R120,4))</f>
        <v>1.4061999999999999</v>
      </c>
      <c r="T120" s="105">
        <f>VLOOKUP(A120,'Rate Calculation'!$A$4:$DK$210,16,FALSE)</f>
        <v>162.31</v>
      </c>
      <c r="U120" s="105">
        <f>VLOOKUP(A120,'Rate Calculation'!$A$4:$DK$210,20,FALSE)</f>
        <v>0</v>
      </c>
      <c r="V120" s="113">
        <f t="shared" si="29"/>
        <v>0</v>
      </c>
      <c r="W120" s="105">
        <f t="shared" si="30"/>
        <v>0</v>
      </c>
      <c r="X120" s="111">
        <f t="shared" si="22"/>
        <v>0</v>
      </c>
      <c r="Y120" s="105">
        <f t="shared" si="31"/>
        <v>0</v>
      </c>
      <c r="Z120" s="105">
        <f t="shared" si="32"/>
        <v>221.38</v>
      </c>
      <c r="AA120" s="105">
        <f t="shared" si="33"/>
        <v>0</v>
      </c>
      <c r="AB120" s="111">
        <f t="shared" si="34"/>
        <v>-221.38</v>
      </c>
      <c r="AC120" s="105" t="e">
        <f t="shared" si="35"/>
        <v>#VALUE!</v>
      </c>
      <c r="AD120" s="105" t="e">
        <f t="shared" si="23"/>
        <v>#VALUE!</v>
      </c>
      <c r="AE120" s="105" t="e">
        <f t="shared" si="24"/>
        <v>#DIV/0!</v>
      </c>
      <c r="AF120" s="105" t="e">
        <f t="shared" si="25"/>
        <v>#VALUE!</v>
      </c>
      <c r="AG120" s="105" t="e">
        <f t="shared" si="26"/>
        <v>#VALUE!</v>
      </c>
      <c r="AH120" s="111"/>
      <c r="AI120" s="105"/>
      <c r="AJ120" s="105"/>
      <c r="AK120" s="109"/>
      <c r="AL120" s="109"/>
      <c r="AM120" s="109"/>
      <c r="AN120" s="109"/>
      <c r="AO120" s="105"/>
      <c r="AP120" s="105"/>
      <c r="AQ120" s="109"/>
      <c r="AR120" s="110"/>
      <c r="AS120" s="110"/>
      <c r="AT120" s="110"/>
      <c r="AU120" s="110"/>
      <c r="AV120" s="110"/>
      <c r="AW120" s="112"/>
      <c r="AX120" s="112"/>
      <c r="AY120" s="110"/>
      <c r="AZ120" s="105"/>
      <c r="BA120" s="105"/>
      <c r="BB120" s="105"/>
      <c r="BC120" s="105"/>
      <c r="BD120" s="105"/>
      <c r="BE120" s="105"/>
    </row>
    <row r="121" spans="1:57" x14ac:dyDescent="0.15">
      <c r="A121" s="101">
        <v>460</v>
      </c>
      <c r="B121" s="98" t="e">
        <f>VLOOKUP($A121,'Rate Calculation'!$A$4:$CS$210,68,FALSE)</f>
        <v>#REF!</v>
      </c>
      <c r="C121" s="98" t="str">
        <f>UPPER(VLOOKUP($A121,'Rate Calculation'!$A$4:$CL$210,69,FALSE))</f>
        <v>0</v>
      </c>
      <c r="D121" s="104" t="str">
        <f>VLOOKUP($A121,'Rate Calculation'!$A$4:$AJ$210,5,FALSE)</f>
        <v>WASHINGTON METRO</v>
      </c>
      <c r="E121" s="104" t="str">
        <f>VLOOKUP($A121,'Rate Calculation'!$A$4:$AJ$210,6,FALSE)</f>
        <v>WASHINGTON METRO</v>
      </c>
      <c r="F121" s="105">
        <f>VLOOKUP(A121,'Rate Calculation'!$A$3:$AT$210,35,FALSE)</f>
        <v>0</v>
      </c>
      <c r="G121" s="105">
        <f>VLOOKUP(A121,'Rate Calculation'!$A$3:$AT$210,30,FALSE)</f>
        <v>104310</v>
      </c>
      <c r="H121" s="105">
        <f>VLOOKUP(A121,'Rate Calculation'!$A$3:$AW$210,36,FALSE)+VLOOKUP(A121,'Rate Calculation'!$A$3:$CC$210,42,FALSE)</f>
        <v>154937500</v>
      </c>
      <c r="I121" s="105">
        <f t="shared" si="27"/>
        <v>0</v>
      </c>
      <c r="J121" s="105" t="str">
        <f>VLOOKUP(A121,'Rate Calculation'!$A$3:$BL$210,43,FALSE)</f>
        <v>Herman M. Wilson Health Care Center</v>
      </c>
      <c r="K121" s="105">
        <f t="shared" si="36"/>
        <v>155041810</v>
      </c>
      <c r="L121" s="164">
        <f t="shared" si="20"/>
        <v>0.98772000000000004</v>
      </c>
      <c r="M121" s="105">
        <f t="shared" si="28"/>
        <v>153137896.56999999</v>
      </c>
      <c r="N121" s="105" t="e">
        <f>VLOOKUP(A121,'Rate Calculation'!$A$4:$DK$210,47,FALSE)</f>
        <v>#DIV/0!</v>
      </c>
      <c r="O121" s="106">
        <f>VLOOKUP(A121,'Rate Calculation'!$A$4:$DK$210,10,FALSE)</f>
        <v>1.0309999999999999</v>
      </c>
      <c r="P121" s="114">
        <f t="shared" si="21"/>
        <v>1.4432</v>
      </c>
      <c r="Q121" s="114">
        <f>VLOOKUP(A121,'CMI Data'!$A$3:$Z$209,7,FALSE)</f>
        <v>0</v>
      </c>
      <c r="R121" s="120" t="e">
        <f>+'CMI Data'!$I$214</f>
        <v>#DIV/0!</v>
      </c>
      <c r="S121" s="106">
        <f>IF(Q121=0,'CMI Data'!$I$213,ROUND(Q121*R121,4))</f>
        <v>1.4061999999999999</v>
      </c>
      <c r="T121" s="105">
        <f>VLOOKUP(A121,'Rate Calculation'!$A$4:$DK$210,16,FALSE)</f>
        <v>150.38</v>
      </c>
      <c r="U121" s="105">
        <f>VLOOKUP(A121,'Rate Calculation'!$A$4:$DK$210,20,FALSE)</f>
        <v>0</v>
      </c>
      <c r="V121" s="113">
        <f t="shared" si="29"/>
        <v>0</v>
      </c>
      <c r="W121" s="105">
        <f t="shared" si="30"/>
        <v>0</v>
      </c>
      <c r="X121" s="111">
        <f t="shared" si="22"/>
        <v>0</v>
      </c>
      <c r="Y121" s="105">
        <f t="shared" si="31"/>
        <v>0</v>
      </c>
      <c r="Z121" s="105">
        <f t="shared" si="32"/>
        <v>205.11</v>
      </c>
      <c r="AA121" s="105">
        <f t="shared" si="33"/>
        <v>0</v>
      </c>
      <c r="AB121" s="111">
        <f t="shared" si="34"/>
        <v>-205.11</v>
      </c>
      <c r="AC121" s="105" t="e">
        <f t="shared" si="35"/>
        <v>#VALUE!</v>
      </c>
      <c r="AD121" s="105" t="e">
        <f t="shared" si="23"/>
        <v>#VALUE!</v>
      </c>
      <c r="AE121" s="105" t="e">
        <f t="shared" si="24"/>
        <v>#DIV/0!</v>
      </c>
      <c r="AF121" s="105" t="e">
        <f t="shared" si="25"/>
        <v>#VALUE!</v>
      </c>
      <c r="AG121" s="105" t="e">
        <f t="shared" si="26"/>
        <v>#VALUE!</v>
      </c>
      <c r="AH121" s="111"/>
      <c r="AI121" s="105"/>
      <c r="AJ121" s="105"/>
      <c r="AK121" s="109"/>
      <c r="AL121" s="109"/>
      <c r="AM121" s="109"/>
      <c r="AN121" s="109"/>
      <c r="AO121" s="105"/>
      <c r="AP121" s="105"/>
      <c r="AQ121" s="109"/>
      <c r="AR121" s="110"/>
      <c r="AS121" s="110"/>
      <c r="AT121" s="110"/>
      <c r="AU121" s="110"/>
      <c r="AV121" s="110"/>
      <c r="AW121" s="112"/>
      <c r="AX121" s="112"/>
      <c r="AY121" s="110"/>
      <c r="AZ121" s="105"/>
      <c r="BA121" s="105"/>
      <c r="BB121" s="105"/>
      <c r="BC121" s="105"/>
      <c r="BD121" s="105"/>
      <c r="BE121" s="105"/>
    </row>
    <row r="122" spans="1:57" x14ac:dyDescent="0.15">
      <c r="A122" s="101">
        <v>238</v>
      </c>
      <c r="B122" s="98" t="e">
        <f>VLOOKUP($A122,'Rate Calculation'!$A$4:$CS$210,68,FALSE)</f>
        <v>#REF!</v>
      </c>
      <c r="C122" s="98" t="str">
        <f>UPPER(VLOOKUP($A122,'Rate Calculation'!$A$4:$CL$210,69,FALSE))</f>
        <v>65412</v>
      </c>
      <c r="D122" s="104" t="str">
        <f>VLOOKUP($A122,'Rate Calculation'!$A$4:$AJ$210,5,FALSE)</f>
        <v>BALTIMORE METRO</v>
      </c>
      <c r="E122" s="104" t="str">
        <f>VLOOKUP($A122,'Rate Calculation'!$A$4:$AJ$210,6,FALSE)</f>
        <v>BALTIMORE METRO</v>
      </c>
      <c r="F122" s="105">
        <f>VLOOKUP(A122,'Rate Calculation'!$A$3:$AT$210,35,FALSE)</f>
        <v>24175</v>
      </c>
      <c r="G122" s="105">
        <f>VLOOKUP(A122,'Rate Calculation'!$A$3:$AT$210,30,FALSE)</f>
        <v>27450</v>
      </c>
      <c r="H122" s="105">
        <f>VLOOKUP(A122,'Rate Calculation'!$A$3:$AW$210,36,FALSE)+VLOOKUP(A122,'Rate Calculation'!$A$3:$CC$210,42,FALSE)</f>
        <v>414093663</v>
      </c>
      <c r="I122" s="105">
        <f t="shared" si="27"/>
        <v>-14.42</v>
      </c>
      <c r="J122" s="105" t="str">
        <f>VLOOKUP(A122,'Rate Calculation'!$A$3:$BL$210,43,FALSE)</f>
        <v>Holly Hill Nursing and Rehabilitation Center</v>
      </c>
      <c r="K122" s="105">
        <f t="shared" si="36"/>
        <v>414145273.57999998</v>
      </c>
      <c r="L122" s="164">
        <f t="shared" si="20"/>
        <v>0.98772000000000004</v>
      </c>
      <c r="M122" s="105">
        <f t="shared" si="28"/>
        <v>409059569.62</v>
      </c>
      <c r="N122" s="105" t="e">
        <f>VLOOKUP(A122,'Rate Calculation'!$A$4:$DK$210,47,FALSE)</f>
        <v>#DIV/0!</v>
      </c>
      <c r="O122" s="106">
        <f>VLOOKUP(A122,'Rate Calculation'!$A$4:$DK$210,10,FALSE)</f>
        <v>1.0309999999999999</v>
      </c>
      <c r="P122" s="114">
        <f t="shared" si="21"/>
        <v>1.4432</v>
      </c>
      <c r="Q122" s="114">
        <f>VLOOKUP(A122,'CMI Data'!$A$3:$Z$209,7,FALSE)</f>
        <v>0</v>
      </c>
      <c r="R122" s="120" t="e">
        <f>+'CMI Data'!$I$214</f>
        <v>#DIV/0!</v>
      </c>
      <c r="S122" s="106">
        <f>IF(Q122=0,'CMI Data'!$I$213,ROUND(Q122*R122,4))</f>
        <v>1.4061999999999999</v>
      </c>
      <c r="T122" s="105">
        <f>VLOOKUP(A122,'Rate Calculation'!$A$4:$DK$210,16,FALSE)</f>
        <v>184.97</v>
      </c>
      <c r="U122" s="105">
        <f>VLOOKUP(A122,'Rate Calculation'!$A$4:$DK$210,20,FALSE)</f>
        <v>-14.79</v>
      </c>
      <c r="V122" s="113">
        <f t="shared" si="29"/>
        <v>-10.57</v>
      </c>
      <c r="W122" s="105">
        <f t="shared" si="30"/>
        <v>-14.42</v>
      </c>
      <c r="X122" s="111">
        <f t="shared" si="22"/>
        <v>0</v>
      </c>
      <c r="Y122" s="105">
        <f t="shared" si="31"/>
        <v>-14.42</v>
      </c>
      <c r="Z122" s="105">
        <f t="shared" si="32"/>
        <v>252.28</v>
      </c>
      <c r="AA122" s="105">
        <f t="shared" si="33"/>
        <v>-13.7</v>
      </c>
      <c r="AB122" s="111">
        <f t="shared" si="34"/>
        <v>-265.98</v>
      </c>
      <c r="AC122" s="105" t="e">
        <f t="shared" si="35"/>
        <v>#VALUE!</v>
      </c>
      <c r="AD122" s="105" t="e">
        <f t="shared" si="23"/>
        <v>#VALUE!</v>
      </c>
      <c r="AE122" s="105" t="e">
        <f t="shared" si="24"/>
        <v>#DIV/0!</v>
      </c>
      <c r="AF122" s="105" t="e">
        <f t="shared" si="25"/>
        <v>#VALUE!</v>
      </c>
      <c r="AG122" s="105" t="e">
        <f t="shared" si="26"/>
        <v>#VALUE!</v>
      </c>
      <c r="AH122" s="111"/>
      <c r="AI122" s="105"/>
      <c r="AJ122" s="105"/>
      <c r="AK122" s="109"/>
      <c r="AL122" s="109"/>
      <c r="AM122" s="109"/>
      <c r="AN122" s="109"/>
      <c r="AO122" s="105"/>
      <c r="AP122" s="105"/>
      <c r="AQ122" s="109"/>
      <c r="AR122" s="110"/>
      <c r="AS122" s="110"/>
      <c r="AT122" s="110"/>
      <c r="AU122" s="110"/>
      <c r="AV122" s="110"/>
      <c r="AW122" s="112"/>
      <c r="AX122" s="112"/>
      <c r="AY122" s="110"/>
      <c r="AZ122" s="105"/>
      <c r="BA122" s="105"/>
      <c r="BB122" s="105"/>
      <c r="BC122" s="105"/>
      <c r="BD122" s="105"/>
      <c r="BE122" s="105"/>
    </row>
    <row r="123" spans="1:57" x14ac:dyDescent="0.15">
      <c r="A123" s="101">
        <v>242</v>
      </c>
      <c r="B123" s="98" t="e">
        <f>VLOOKUP($A123,'Rate Calculation'!$A$4:$CS$210,68,FALSE)</f>
        <v>#REF!</v>
      </c>
      <c r="C123" s="98" t="str">
        <f>UPPER(VLOOKUP($A123,'Rate Calculation'!$A$4:$CL$210,69,FALSE))</f>
        <v>0</v>
      </c>
      <c r="D123" s="104" t="str">
        <f>VLOOKUP($A123,'Rate Calculation'!$A$4:$AJ$210,5,FALSE)</f>
        <v>WASHINGTON METRO</v>
      </c>
      <c r="E123" s="104" t="str">
        <f>VLOOKUP($A123,'Rate Calculation'!$A$4:$AJ$210,6,FALSE)</f>
        <v>NON METRO</v>
      </c>
      <c r="F123" s="105">
        <f>VLOOKUP(A123,'Rate Calculation'!$A$3:$AT$210,35,FALSE)</f>
        <v>0</v>
      </c>
      <c r="G123" s="105">
        <f>VLOOKUP(A123,'Rate Calculation'!$A$3:$AT$210,30,FALSE)</f>
        <v>43920</v>
      </c>
      <c r="H123" s="105">
        <f>VLOOKUP(A123,'Rate Calculation'!$A$3:$AW$210,36,FALSE)+VLOOKUP(A123,'Rate Calculation'!$A$3:$CC$210,42,FALSE)</f>
        <v>852125500</v>
      </c>
      <c r="I123" s="105">
        <f t="shared" si="27"/>
        <v>0</v>
      </c>
      <c r="J123" s="105" t="str">
        <f>VLOOKUP(A123,'Rate Calculation'!$A$3:$BL$210,43,FALSE)</f>
        <v>Homewood at Crumland Farms</v>
      </c>
      <c r="K123" s="105">
        <f t="shared" si="36"/>
        <v>852169420</v>
      </c>
      <c r="L123" s="164">
        <f t="shared" si="20"/>
        <v>0.98772000000000004</v>
      </c>
      <c r="M123" s="105">
        <f t="shared" si="28"/>
        <v>841704779.51999998</v>
      </c>
      <c r="N123" s="105" t="e">
        <f>VLOOKUP(A123,'Rate Calculation'!$A$4:$DK$210,47,FALSE)</f>
        <v>#DIV/0!</v>
      </c>
      <c r="O123" s="106">
        <f>VLOOKUP(A123,'Rate Calculation'!$A$4:$DK$210,10,FALSE)</f>
        <v>1.0309999999999999</v>
      </c>
      <c r="P123" s="114">
        <f t="shared" si="21"/>
        <v>1.4432</v>
      </c>
      <c r="Q123" s="114">
        <f>VLOOKUP(A123,'CMI Data'!$A$3:$Z$209,7,FALSE)</f>
        <v>0</v>
      </c>
      <c r="R123" s="120" t="e">
        <f>+'CMI Data'!$I$214</f>
        <v>#DIV/0!</v>
      </c>
      <c r="S123" s="106">
        <f>IF(Q123=0,'CMI Data'!$I$213,ROUND(Q123*R123,4))</f>
        <v>1.4061999999999999</v>
      </c>
      <c r="T123" s="105">
        <f>VLOOKUP(A123,'Rate Calculation'!$A$4:$DK$210,16,FALSE)</f>
        <v>149.36000000000001</v>
      </c>
      <c r="U123" s="105">
        <f>VLOOKUP(A123,'Rate Calculation'!$A$4:$DK$210,20,FALSE)</f>
        <v>0</v>
      </c>
      <c r="V123" s="113">
        <f t="shared" si="29"/>
        <v>0</v>
      </c>
      <c r="W123" s="105">
        <f t="shared" si="30"/>
        <v>0</v>
      </c>
      <c r="X123" s="111">
        <f t="shared" si="22"/>
        <v>0</v>
      </c>
      <c r="Y123" s="105">
        <f t="shared" si="31"/>
        <v>0</v>
      </c>
      <c r="Z123" s="105">
        <f t="shared" si="32"/>
        <v>203.71</v>
      </c>
      <c r="AA123" s="105">
        <f t="shared" si="33"/>
        <v>0</v>
      </c>
      <c r="AB123" s="111">
        <f t="shared" si="34"/>
        <v>-203.71</v>
      </c>
      <c r="AC123" s="105" t="e">
        <f t="shared" si="35"/>
        <v>#VALUE!</v>
      </c>
      <c r="AD123" s="105" t="e">
        <f t="shared" si="23"/>
        <v>#VALUE!</v>
      </c>
      <c r="AE123" s="105" t="e">
        <f t="shared" si="24"/>
        <v>#DIV/0!</v>
      </c>
      <c r="AF123" s="105" t="e">
        <f t="shared" si="25"/>
        <v>#VALUE!</v>
      </c>
      <c r="AG123" s="105" t="e">
        <f t="shared" si="26"/>
        <v>#VALUE!</v>
      </c>
      <c r="AH123" s="111"/>
      <c r="AI123" s="105"/>
      <c r="AJ123" s="105"/>
      <c r="AK123" s="109"/>
      <c r="AL123" s="109"/>
      <c r="AM123" s="109"/>
      <c r="AN123" s="109"/>
      <c r="AO123" s="105"/>
      <c r="AP123" s="105"/>
      <c r="AQ123" s="109"/>
      <c r="AR123" s="110"/>
      <c r="AS123" s="110"/>
      <c r="AT123" s="110"/>
      <c r="AU123" s="110"/>
      <c r="AV123" s="110"/>
      <c r="AW123" s="112"/>
      <c r="AX123" s="112"/>
      <c r="AY123" s="110"/>
      <c r="AZ123" s="105"/>
      <c r="BA123" s="105"/>
      <c r="BB123" s="105"/>
      <c r="BC123" s="105"/>
      <c r="BD123" s="105"/>
      <c r="BE123" s="105"/>
    </row>
    <row r="124" spans="1:57" x14ac:dyDescent="0.15">
      <c r="A124" s="101">
        <v>244</v>
      </c>
      <c r="B124" s="98" t="e">
        <f>VLOOKUP($A124,'Rate Calculation'!$A$4:$CS$210,68,FALSE)</f>
        <v>#REF!</v>
      </c>
      <c r="C124" s="98" t="str">
        <f>UPPER(VLOOKUP($A124,'Rate Calculation'!$A$4:$CL$210,69,FALSE))</f>
        <v>0</v>
      </c>
      <c r="D124" s="104" t="str">
        <f>VLOOKUP($A124,'Rate Calculation'!$A$4:$AJ$210,5,FALSE)</f>
        <v>WESTERN REGION</v>
      </c>
      <c r="E124" s="104" t="str">
        <f>VLOOKUP($A124,'Rate Calculation'!$A$4:$AJ$210,6,FALSE)</f>
        <v>NON METRO</v>
      </c>
      <c r="F124" s="105">
        <f>VLOOKUP(A124,'Rate Calculation'!$A$3:$AT$210,35,FALSE)</f>
        <v>0</v>
      </c>
      <c r="G124" s="105">
        <f>VLOOKUP(A124,'Rate Calculation'!$A$3:$AT$210,30,FALSE)</f>
        <v>30012</v>
      </c>
      <c r="H124" s="105">
        <f>VLOOKUP(A124,'Rate Calculation'!$A$3:$AW$210,36,FALSE)+VLOOKUP(A124,'Rate Calculation'!$A$3:$CC$210,42,FALSE)</f>
        <v>217447200</v>
      </c>
      <c r="I124" s="105">
        <f t="shared" si="27"/>
        <v>0</v>
      </c>
      <c r="J124" s="105" t="str">
        <f>VLOOKUP(A124,'Rate Calculation'!$A$3:$BL$210,43,FALSE)</f>
        <v>Homewood at Williamsport</v>
      </c>
      <c r="K124" s="105">
        <f t="shared" si="36"/>
        <v>217477212</v>
      </c>
      <c r="L124" s="164">
        <f t="shared" si="20"/>
        <v>0.98772000000000004</v>
      </c>
      <c r="M124" s="105">
        <f t="shared" si="28"/>
        <v>214806591.84</v>
      </c>
      <c r="N124" s="105" t="e">
        <f>VLOOKUP(A124,'Rate Calculation'!$A$4:$DK$210,47,FALSE)</f>
        <v>#DIV/0!</v>
      </c>
      <c r="O124" s="106">
        <f>VLOOKUP(A124,'Rate Calculation'!$A$4:$DK$210,10,FALSE)</f>
        <v>1.0309999999999999</v>
      </c>
      <c r="P124" s="114">
        <f t="shared" si="21"/>
        <v>1.4432</v>
      </c>
      <c r="Q124" s="114">
        <f>VLOOKUP(A124,'CMI Data'!$A$3:$Z$209,7,FALSE)</f>
        <v>0</v>
      </c>
      <c r="R124" s="120" t="e">
        <f>+'CMI Data'!$I$214</f>
        <v>#DIV/0!</v>
      </c>
      <c r="S124" s="106">
        <f>IF(Q124=0,'CMI Data'!$I$213,ROUND(Q124*R124,4))</f>
        <v>1.4061999999999999</v>
      </c>
      <c r="T124" s="105">
        <f>VLOOKUP(A124,'Rate Calculation'!$A$4:$DK$210,16,FALSE)</f>
        <v>137.21</v>
      </c>
      <c r="U124" s="105">
        <f>VLOOKUP(A124,'Rate Calculation'!$A$4:$DK$210,20,FALSE)</f>
        <v>0</v>
      </c>
      <c r="V124" s="113">
        <f t="shared" si="29"/>
        <v>0</v>
      </c>
      <c r="W124" s="105">
        <f t="shared" si="30"/>
        <v>0</v>
      </c>
      <c r="X124" s="111">
        <f t="shared" si="22"/>
        <v>0</v>
      </c>
      <c r="Y124" s="105">
        <f t="shared" si="31"/>
        <v>0</v>
      </c>
      <c r="Z124" s="105">
        <f t="shared" si="32"/>
        <v>187.14</v>
      </c>
      <c r="AA124" s="105">
        <f t="shared" si="33"/>
        <v>0</v>
      </c>
      <c r="AB124" s="111">
        <f t="shared" si="34"/>
        <v>-187.14</v>
      </c>
      <c r="AC124" s="105" t="e">
        <f t="shared" si="35"/>
        <v>#VALUE!</v>
      </c>
      <c r="AD124" s="105" t="e">
        <f t="shared" si="23"/>
        <v>#VALUE!</v>
      </c>
      <c r="AE124" s="105" t="e">
        <f t="shared" si="24"/>
        <v>#DIV/0!</v>
      </c>
      <c r="AF124" s="105" t="e">
        <f t="shared" si="25"/>
        <v>#VALUE!</v>
      </c>
      <c r="AG124" s="105" t="e">
        <f t="shared" si="26"/>
        <v>#VALUE!</v>
      </c>
      <c r="AH124" s="111"/>
      <c r="AI124" s="105"/>
      <c r="AJ124" s="105"/>
      <c r="AK124" s="109"/>
      <c r="AL124" s="109"/>
      <c r="AM124" s="109"/>
      <c r="AN124" s="109"/>
      <c r="AO124" s="105"/>
      <c r="AP124" s="105"/>
      <c r="AQ124" s="109"/>
      <c r="AR124" s="110"/>
      <c r="AS124" s="110"/>
      <c r="AT124" s="110"/>
      <c r="AU124" s="110"/>
      <c r="AV124" s="110"/>
      <c r="AW124" s="112"/>
      <c r="AX124" s="112"/>
      <c r="AY124" s="110"/>
      <c r="AZ124" s="105"/>
      <c r="BA124" s="105"/>
      <c r="BB124" s="105"/>
      <c r="BC124" s="105"/>
      <c r="BD124" s="105"/>
      <c r="BE124" s="105"/>
    </row>
    <row r="125" spans="1:57" x14ac:dyDescent="0.15">
      <c r="A125" s="101">
        <v>226</v>
      </c>
      <c r="B125" s="98" t="e">
        <f>VLOOKUP($A125,'Rate Calculation'!$A$4:$CS$210,68,FALSE)</f>
        <v>#REF!</v>
      </c>
      <c r="C125" s="98" t="str">
        <f>UPPER(VLOOKUP($A125,'Rate Calculation'!$A$4:$CL$210,69,FALSE))</f>
        <v>122181</v>
      </c>
      <c r="D125" s="104" t="str">
        <f>VLOOKUP($A125,'Rate Calculation'!$A$4:$AJ$210,5,FALSE)</f>
        <v>WASHINGTON METRO</v>
      </c>
      <c r="E125" s="104" t="str">
        <f>VLOOKUP($A125,'Rate Calculation'!$A$4:$AJ$210,6,FALSE)</f>
        <v>WASHINGTON METRO</v>
      </c>
      <c r="F125" s="105">
        <f>VLOOKUP(A125,'Rate Calculation'!$A$3:$AT$210,35,FALSE)</f>
        <v>50840</v>
      </c>
      <c r="G125" s="105">
        <f>VLOOKUP(A125,'Rate Calculation'!$A$3:$AT$210,30,FALSE)</f>
        <v>58560</v>
      </c>
      <c r="H125" s="105">
        <f>VLOOKUP(A125,'Rate Calculation'!$A$3:$AW$210,36,FALSE)+VLOOKUP(A125,'Rate Calculation'!$A$3:$CC$210,42,FALSE)</f>
        <v>444305977</v>
      </c>
      <c r="I125" s="105">
        <f t="shared" si="27"/>
        <v>-26.96</v>
      </c>
      <c r="J125" s="105" t="str">
        <f>VLOOKUP(A125,'Rate Calculation'!$A$3:$BL$210,43,FALSE)</f>
        <v>Hyattsville Nursing and Rehabilitation Center, LLC</v>
      </c>
      <c r="K125" s="105">
        <f t="shared" si="36"/>
        <v>444415350.04000002</v>
      </c>
      <c r="L125" s="164">
        <f t="shared" si="20"/>
        <v>0.98772000000000004</v>
      </c>
      <c r="M125" s="105">
        <f t="shared" si="28"/>
        <v>438957929.54000002</v>
      </c>
      <c r="N125" s="105" t="e">
        <f>VLOOKUP(A125,'Rate Calculation'!$A$4:$DK$210,47,FALSE)</f>
        <v>#DIV/0!</v>
      </c>
      <c r="O125" s="106">
        <f>VLOOKUP(A125,'Rate Calculation'!$A$4:$DK$210,10,FALSE)</f>
        <v>1.0309999999999999</v>
      </c>
      <c r="P125" s="114">
        <f t="shared" si="21"/>
        <v>1.4432</v>
      </c>
      <c r="Q125" s="114">
        <f>VLOOKUP(A125,'CMI Data'!$A$3:$Z$209,7,FALSE)</f>
        <v>0</v>
      </c>
      <c r="R125" s="120" t="e">
        <f>+'CMI Data'!$I$214</f>
        <v>#DIV/0!</v>
      </c>
      <c r="S125" s="106">
        <f>IF(Q125=0,'CMI Data'!$I$213,ROUND(Q125*R125,4))</f>
        <v>1.4061999999999999</v>
      </c>
      <c r="T125" s="105">
        <f>VLOOKUP(A125,'Rate Calculation'!$A$4:$DK$210,16,FALSE)</f>
        <v>156.83000000000001</v>
      </c>
      <c r="U125" s="105">
        <f>VLOOKUP(A125,'Rate Calculation'!$A$4:$DK$210,20,FALSE)</f>
        <v>-27.68</v>
      </c>
      <c r="V125" s="113">
        <f t="shared" si="29"/>
        <v>-19.77</v>
      </c>
      <c r="W125" s="105">
        <f t="shared" si="30"/>
        <v>-26.96</v>
      </c>
      <c r="X125" s="111">
        <f t="shared" si="22"/>
        <v>0</v>
      </c>
      <c r="Y125" s="105">
        <f t="shared" si="31"/>
        <v>-26.96</v>
      </c>
      <c r="Z125" s="105">
        <f t="shared" si="32"/>
        <v>213.9</v>
      </c>
      <c r="AA125" s="105">
        <f t="shared" si="33"/>
        <v>-25.61</v>
      </c>
      <c r="AB125" s="111">
        <f t="shared" si="34"/>
        <v>-239.51</v>
      </c>
      <c r="AC125" s="105" t="e">
        <f t="shared" si="35"/>
        <v>#VALUE!</v>
      </c>
      <c r="AD125" s="105" t="e">
        <f t="shared" si="23"/>
        <v>#VALUE!</v>
      </c>
      <c r="AE125" s="105" t="e">
        <f t="shared" si="24"/>
        <v>#DIV/0!</v>
      </c>
      <c r="AF125" s="105" t="e">
        <f t="shared" si="25"/>
        <v>#VALUE!</v>
      </c>
      <c r="AG125" s="105" t="e">
        <f t="shared" si="26"/>
        <v>#VALUE!</v>
      </c>
      <c r="AH125" s="111"/>
      <c r="AI125" s="105"/>
      <c r="AJ125" s="105"/>
      <c r="AK125" s="109"/>
      <c r="AL125" s="109"/>
      <c r="AM125" s="109"/>
      <c r="AN125" s="109"/>
      <c r="AO125" s="105"/>
      <c r="AP125" s="105"/>
      <c r="AQ125" s="109"/>
      <c r="AR125" s="110"/>
      <c r="AS125" s="110"/>
      <c r="AT125" s="110"/>
      <c r="AU125" s="110"/>
      <c r="AV125" s="110"/>
      <c r="AW125" s="112"/>
      <c r="AX125" s="112"/>
      <c r="AY125" s="110"/>
      <c r="AZ125" s="105"/>
      <c r="BA125" s="105"/>
      <c r="BB125" s="105"/>
      <c r="BC125" s="105"/>
      <c r="BD125" s="105"/>
      <c r="BE125" s="105"/>
    </row>
    <row r="126" spans="1:57" x14ac:dyDescent="0.15">
      <c r="A126" s="101">
        <v>1194</v>
      </c>
      <c r="B126" s="98" t="e">
        <f>VLOOKUP($A126,'Rate Calculation'!$A$4:$CS$210,68,FALSE)</f>
        <v>#REF!</v>
      </c>
      <c r="C126" s="98" t="str">
        <f>UPPER(VLOOKUP($A126,'Rate Calculation'!$A$4:$CL$210,69,FALSE))</f>
        <v>0</v>
      </c>
      <c r="D126" s="104" t="str">
        <f>VLOOKUP($A126,'Rate Calculation'!$A$4:$AJ$210,5,FALSE)</f>
        <v>WASHINGTON METRO</v>
      </c>
      <c r="E126" s="104" t="str">
        <f>VLOOKUP($A126,'Rate Calculation'!$A$4:$AJ$210,6,FALSE)</f>
        <v>WASHINGTON METRO</v>
      </c>
      <c r="F126" s="105">
        <f>VLOOKUP(A126,'Rate Calculation'!$A$3:$AT$210,35,FALSE)</f>
        <v>0</v>
      </c>
      <c r="G126" s="105">
        <f>VLOOKUP(A126,'Rate Calculation'!$A$3:$AT$210,30,FALSE)</f>
        <v>16470</v>
      </c>
      <c r="H126" s="105">
        <f>VLOOKUP(A126,'Rate Calculation'!$A$3:$AW$210,36,FALSE)+VLOOKUP(A126,'Rate Calculation'!$A$3:$CC$210,42,FALSE)</f>
        <v>420713100</v>
      </c>
      <c r="I126" s="105">
        <f t="shared" si="27"/>
        <v>0</v>
      </c>
      <c r="J126" s="105" t="str">
        <f>VLOOKUP(A126,'Rate Calculation'!$A$3:$BL$210,43,FALSE)</f>
        <v>Ingleside at King Farm</v>
      </c>
      <c r="K126" s="105">
        <f t="shared" si="36"/>
        <v>420729570</v>
      </c>
      <c r="L126" s="164">
        <f t="shared" si="20"/>
        <v>0.98772000000000004</v>
      </c>
      <c r="M126" s="105">
        <f t="shared" si="28"/>
        <v>415563010.88</v>
      </c>
      <c r="N126" s="105" t="e">
        <f>VLOOKUP(A126,'Rate Calculation'!$A$4:$DK$210,47,FALSE)</f>
        <v>#DIV/0!</v>
      </c>
      <c r="O126" s="106">
        <f>VLOOKUP(A126,'Rate Calculation'!$A$4:$DK$210,10,FALSE)</f>
        <v>1.0309999999999999</v>
      </c>
      <c r="P126" s="114">
        <f t="shared" si="21"/>
        <v>1.4432</v>
      </c>
      <c r="Q126" s="114">
        <f>VLOOKUP(A126,'CMI Data'!$A$3:$Z$209,7,FALSE)</f>
        <v>0</v>
      </c>
      <c r="R126" s="120" t="e">
        <f>+'CMI Data'!$I$214</f>
        <v>#DIV/0!</v>
      </c>
      <c r="S126" s="106">
        <f>IF(Q126=0,'CMI Data'!$I$213,ROUND(Q126*R126,4))</f>
        <v>1.4061999999999999</v>
      </c>
      <c r="T126" s="105">
        <f>VLOOKUP(A126,'Rate Calculation'!$A$4:$DK$210,16,FALSE)</f>
        <v>167.98</v>
      </c>
      <c r="U126" s="105">
        <f>VLOOKUP(A126,'Rate Calculation'!$A$4:$DK$210,20,FALSE)</f>
        <v>0</v>
      </c>
      <c r="V126" s="113">
        <f t="shared" si="29"/>
        <v>0</v>
      </c>
      <c r="W126" s="105">
        <f t="shared" si="30"/>
        <v>0</v>
      </c>
      <c r="X126" s="111">
        <f t="shared" si="22"/>
        <v>0</v>
      </c>
      <c r="Y126" s="105">
        <f t="shared" si="31"/>
        <v>0</v>
      </c>
      <c r="Z126" s="105">
        <f t="shared" si="32"/>
        <v>229.11</v>
      </c>
      <c r="AA126" s="105">
        <f t="shared" si="33"/>
        <v>0</v>
      </c>
      <c r="AB126" s="111">
        <f t="shared" si="34"/>
        <v>-229.11</v>
      </c>
      <c r="AC126" s="105" t="e">
        <f t="shared" si="35"/>
        <v>#VALUE!</v>
      </c>
      <c r="AD126" s="105" t="e">
        <f t="shared" si="23"/>
        <v>#VALUE!</v>
      </c>
      <c r="AE126" s="105" t="e">
        <f t="shared" si="24"/>
        <v>#DIV/0!</v>
      </c>
      <c r="AF126" s="105" t="e">
        <f t="shared" si="25"/>
        <v>#VALUE!</v>
      </c>
      <c r="AG126" s="105" t="e">
        <f t="shared" si="26"/>
        <v>#VALUE!</v>
      </c>
      <c r="AH126" s="111"/>
      <c r="AI126" s="105"/>
      <c r="AJ126" s="105"/>
      <c r="AK126" s="109"/>
      <c r="AL126" s="109"/>
      <c r="AM126" s="109"/>
      <c r="AN126" s="109"/>
      <c r="AO126" s="105"/>
      <c r="AP126" s="105"/>
      <c r="AQ126" s="109"/>
      <c r="AR126" s="110"/>
      <c r="AS126" s="110"/>
      <c r="AT126" s="110"/>
      <c r="AU126" s="110"/>
      <c r="AV126" s="110"/>
      <c r="AW126" s="112"/>
      <c r="AX126" s="112"/>
      <c r="AY126" s="110"/>
      <c r="AZ126" s="105"/>
      <c r="BA126" s="105"/>
      <c r="BB126" s="105"/>
      <c r="BC126" s="105"/>
      <c r="BD126" s="105"/>
      <c r="BE126" s="105"/>
    </row>
    <row r="127" spans="1:57" x14ac:dyDescent="0.15">
      <c r="A127" s="101">
        <v>254</v>
      </c>
      <c r="B127" s="98" t="e">
        <f>VLOOKUP($A127,'Rate Calculation'!$A$4:$CS$210,68,FALSE)</f>
        <v>#REF!</v>
      </c>
      <c r="C127" s="98" t="str">
        <f>UPPER(VLOOKUP($A127,'Rate Calculation'!$A$4:$CL$210,69,FALSE))</f>
        <v>207110</v>
      </c>
      <c r="D127" s="104" t="str">
        <f>VLOOKUP($A127,'Rate Calculation'!$A$4:$AJ$210,5,FALSE)</f>
        <v>WESTERN REGION</v>
      </c>
      <c r="E127" s="104" t="str">
        <f>VLOOKUP($A127,'Rate Calculation'!$A$4:$AJ$210,6,FALSE)</f>
        <v>NON METRO</v>
      </c>
      <c r="F127" s="105">
        <f>VLOOKUP(A127,'Rate Calculation'!$A$3:$AT$210,35,FALSE)</f>
        <v>32406</v>
      </c>
      <c r="G127" s="105">
        <f>VLOOKUP(A127,'Rate Calculation'!$A$3:$AT$210,30,FALSE)</f>
        <v>47946</v>
      </c>
      <c r="H127" s="105">
        <f>VLOOKUP(A127,'Rate Calculation'!$A$3:$AW$210,36,FALSE)+VLOOKUP(A127,'Rate Calculation'!$A$3:$CC$210,42,FALSE)</f>
        <v>800090640</v>
      </c>
      <c r="I127" s="105">
        <f t="shared" si="27"/>
        <v>-20.32</v>
      </c>
      <c r="J127" s="105" t="str">
        <f>VLOOKUP(A127,'Rate Calculation'!$A$3:$BL$210,43,FALSE)</f>
        <v>Julia Manor Nursing &amp; Rehabilitation Center</v>
      </c>
      <c r="K127" s="105">
        <f t="shared" si="36"/>
        <v>800170971.67999995</v>
      </c>
      <c r="L127" s="164">
        <f t="shared" si="20"/>
        <v>0.98772000000000004</v>
      </c>
      <c r="M127" s="105">
        <f t="shared" si="28"/>
        <v>790344872.14999998</v>
      </c>
      <c r="N127" s="105" t="e">
        <f>VLOOKUP(A127,'Rate Calculation'!$A$4:$DK$210,47,FALSE)</f>
        <v>#DIV/0!</v>
      </c>
      <c r="O127" s="106">
        <f>VLOOKUP(A127,'Rate Calculation'!$A$4:$DK$210,10,FALSE)</f>
        <v>1.0309999999999999</v>
      </c>
      <c r="P127" s="114">
        <f t="shared" si="21"/>
        <v>1.4432</v>
      </c>
      <c r="Q127" s="114">
        <f>VLOOKUP(A127,'CMI Data'!$A$3:$Z$209,7,FALSE)</f>
        <v>0</v>
      </c>
      <c r="R127" s="120" t="e">
        <f>+'CMI Data'!$I$214</f>
        <v>#DIV/0!</v>
      </c>
      <c r="S127" s="106">
        <f>IF(Q127=0,'CMI Data'!$I$213,ROUND(Q127*R127,4))</f>
        <v>1.4061999999999999</v>
      </c>
      <c r="T127" s="105">
        <f>VLOOKUP(A127,'Rate Calculation'!$A$4:$DK$210,16,FALSE)</f>
        <v>147.34</v>
      </c>
      <c r="U127" s="105">
        <f>VLOOKUP(A127,'Rate Calculation'!$A$4:$DK$210,20,FALSE)</f>
        <v>-20.86</v>
      </c>
      <c r="V127" s="113">
        <f t="shared" si="29"/>
        <v>-14.9</v>
      </c>
      <c r="W127" s="105">
        <f t="shared" si="30"/>
        <v>-20.32</v>
      </c>
      <c r="X127" s="111">
        <f t="shared" si="22"/>
        <v>0</v>
      </c>
      <c r="Y127" s="105">
        <f t="shared" si="31"/>
        <v>-20.32</v>
      </c>
      <c r="Z127" s="105">
        <f t="shared" si="32"/>
        <v>200.96</v>
      </c>
      <c r="AA127" s="105">
        <f t="shared" si="33"/>
        <v>-19.3</v>
      </c>
      <c r="AB127" s="111">
        <f t="shared" si="34"/>
        <v>-220.26</v>
      </c>
      <c r="AC127" s="105" t="e">
        <f t="shared" si="35"/>
        <v>#VALUE!</v>
      </c>
      <c r="AD127" s="105" t="e">
        <f t="shared" si="23"/>
        <v>#VALUE!</v>
      </c>
      <c r="AE127" s="105" t="e">
        <f t="shared" si="24"/>
        <v>#DIV/0!</v>
      </c>
      <c r="AF127" s="105" t="e">
        <f t="shared" si="25"/>
        <v>#VALUE!</v>
      </c>
      <c r="AG127" s="105" t="e">
        <f t="shared" si="26"/>
        <v>#VALUE!</v>
      </c>
      <c r="AH127" s="111"/>
      <c r="AI127" s="105"/>
      <c r="AJ127" s="105"/>
      <c r="AK127" s="109"/>
      <c r="AL127" s="109"/>
      <c r="AM127" s="109"/>
      <c r="AN127" s="109"/>
      <c r="AO127" s="105"/>
      <c r="AP127" s="105"/>
      <c r="AQ127" s="109"/>
      <c r="AR127" s="110"/>
      <c r="AS127" s="110"/>
      <c r="AT127" s="110"/>
      <c r="AU127" s="110"/>
      <c r="AV127" s="110"/>
      <c r="AW127" s="112"/>
      <c r="AX127" s="112"/>
      <c r="AY127" s="110"/>
      <c r="AZ127" s="105"/>
      <c r="BA127" s="105"/>
      <c r="BB127" s="105"/>
      <c r="BC127" s="105"/>
      <c r="BD127" s="105"/>
      <c r="BE127" s="105"/>
    </row>
    <row r="128" spans="1:57" x14ac:dyDescent="0.15">
      <c r="A128" s="101">
        <v>256</v>
      </c>
      <c r="B128" s="98" t="e">
        <f>VLOOKUP($A128,'Rate Calculation'!$A$4:$CS$210,68,FALSE)</f>
        <v>#REF!</v>
      </c>
      <c r="C128" s="98" t="str">
        <f>UPPER(VLOOKUP($A128,'Rate Calculation'!$A$4:$CL$210,69,FALSE))</f>
        <v>116279</v>
      </c>
      <c r="D128" s="104" t="str">
        <f>VLOOKUP($A128,'Rate Calculation'!$A$4:$AJ$210,5,FALSE)</f>
        <v>WASHINGTON METRO</v>
      </c>
      <c r="E128" s="104" t="str">
        <f>VLOOKUP($A128,'Rate Calculation'!$A$4:$AJ$210,6,FALSE)</f>
        <v>WASHINGTON METRO</v>
      </c>
      <c r="F128" s="105">
        <f>VLOOKUP(A128,'Rate Calculation'!$A$3:$AT$210,35,FALSE)</f>
        <v>47878</v>
      </c>
      <c r="G128" s="105">
        <f>VLOOKUP(A128,'Rate Calculation'!$A$3:$AT$210,30,FALSE)</f>
        <v>51240</v>
      </c>
      <c r="H128" s="105">
        <f>VLOOKUP(A128,'Rate Calculation'!$A$3:$AW$210,36,FALSE)+VLOOKUP(A128,'Rate Calculation'!$A$3:$CC$210,42,FALSE)</f>
        <v>411166732</v>
      </c>
      <c r="I128" s="105">
        <f t="shared" si="27"/>
        <v>-8.5399999999999991</v>
      </c>
      <c r="J128" s="105" t="str">
        <f>VLOOKUP(A128,'Rate Calculation'!$A$3:$BL$210,43,FALSE)</f>
        <v>Kensington Nursing and Rehabilitation Center</v>
      </c>
      <c r="K128" s="105">
        <f t="shared" si="36"/>
        <v>411265841.45999998</v>
      </c>
      <c r="L128" s="164">
        <f t="shared" si="20"/>
        <v>0.98772000000000004</v>
      </c>
      <c r="M128" s="105">
        <f t="shared" si="28"/>
        <v>406215496.93000001</v>
      </c>
      <c r="N128" s="105" t="e">
        <f>VLOOKUP(A128,'Rate Calculation'!$A$4:$DK$210,47,FALSE)</f>
        <v>#DIV/0!</v>
      </c>
      <c r="O128" s="106">
        <f>VLOOKUP(A128,'Rate Calculation'!$A$4:$DK$210,10,FALSE)</f>
        <v>1.0309999999999999</v>
      </c>
      <c r="P128" s="114">
        <f t="shared" si="21"/>
        <v>1.4432</v>
      </c>
      <c r="Q128" s="114">
        <f>VLOOKUP(A128,'CMI Data'!$A$3:$Z$209,7,FALSE)</f>
        <v>0</v>
      </c>
      <c r="R128" s="120" t="e">
        <f>+'CMI Data'!$I$214</f>
        <v>#DIV/0!</v>
      </c>
      <c r="S128" s="106">
        <f>IF(Q128=0,'CMI Data'!$I$213,ROUND(Q128*R128,4))</f>
        <v>1.4061999999999999</v>
      </c>
      <c r="T128" s="105">
        <f>VLOOKUP(A128,'Rate Calculation'!$A$4:$DK$210,16,FALSE)</f>
        <v>147.13</v>
      </c>
      <c r="U128" s="105">
        <f>VLOOKUP(A128,'Rate Calculation'!$A$4:$DK$210,20,FALSE)</f>
        <v>-8.76</v>
      </c>
      <c r="V128" s="113">
        <f t="shared" si="29"/>
        <v>-6.26</v>
      </c>
      <c r="W128" s="105">
        <f t="shared" si="30"/>
        <v>-8.5399999999999991</v>
      </c>
      <c r="X128" s="111">
        <f t="shared" si="22"/>
        <v>0</v>
      </c>
      <c r="Y128" s="105">
        <f t="shared" si="31"/>
        <v>-8.5399999999999991</v>
      </c>
      <c r="Z128" s="105">
        <f t="shared" si="32"/>
        <v>200.67</v>
      </c>
      <c r="AA128" s="105">
        <f t="shared" si="33"/>
        <v>-8.11</v>
      </c>
      <c r="AB128" s="111">
        <f t="shared" si="34"/>
        <v>-208.78</v>
      </c>
      <c r="AC128" s="105" t="e">
        <f t="shared" si="35"/>
        <v>#VALUE!</v>
      </c>
      <c r="AD128" s="105" t="e">
        <f t="shared" si="23"/>
        <v>#VALUE!</v>
      </c>
      <c r="AE128" s="105" t="e">
        <f t="shared" si="24"/>
        <v>#DIV/0!</v>
      </c>
      <c r="AF128" s="105" t="e">
        <f t="shared" si="25"/>
        <v>#VALUE!</v>
      </c>
      <c r="AG128" s="105" t="e">
        <f t="shared" si="26"/>
        <v>#VALUE!</v>
      </c>
      <c r="AH128" s="111"/>
      <c r="AI128" s="105"/>
      <c r="AJ128" s="105"/>
      <c r="AK128" s="109"/>
      <c r="AL128" s="109"/>
      <c r="AM128" s="109"/>
      <c r="AN128" s="109"/>
      <c r="AO128" s="105"/>
      <c r="AP128" s="105"/>
      <c r="AQ128" s="109"/>
      <c r="AR128" s="110"/>
      <c r="AS128" s="110"/>
      <c r="AT128" s="110"/>
      <c r="AU128" s="110"/>
      <c r="AV128" s="110"/>
      <c r="AW128" s="112"/>
      <c r="AX128" s="112"/>
      <c r="AY128" s="110"/>
      <c r="AZ128" s="105"/>
      <c r="BA128" s="105"/>
      <c r="BB128" s="105"/>
      <c r="BC128" s="105"/>
      <c r="BD128" s="105"/>
      <c r="BE128" s="105"/>
    </row>
    <row r="129" spans="1:57" x14ac:dyDescent="0.15">
      <c r="A129" s="101">
        <v>258</v>
      </c>
      <c r="B129" s="98" t="e">
        <f>VLOOKUP($A129,'Rate Calculation'!$A$4:$CS$210,68,FALSE)</f>
        <v>#REF!</v>
      </c>
      <c r="C129" s="98" t="str">
        <f>UPPER(VLOOKUP($A129,'Rate Calculation'!$A$4:$CL$210,69,FALSE))</f>
        <v>0</v>
      </c>
      <c r="D129" s="104" t="str">
        <f>VLOOKUP($A129,'Rate Calculation'!$A$4:$AJ$210,5,FALSE)</f>
        <v>BALTIMORE METRO</v>
      </c>
      <c r="E129" s="104" t="str">
        <f>VLOOKUP($A129,'Rate Calculation'!$A$4:$AJ$210,6,FALSE)</f>
        <v>BALTIMORE CITY</v>
      </c>
      <c r="F129" s="105">
        <f>VLOOKUP(A129,'Rate Calculation'!$A$3:$AT$210,35,FALSE)</f>
        <v>46767</v>
      </c>
      <c r="G129" s="105">
        <f>VLOOKUP(A129,'Rate Calculation'!$A$3:$AT$210,30,FALSE)</f>
        <v>70968</v>
      </c>
      <c r="H129" s="105">
        <f>VLOOKUP(A129,'Rate Calculation'!$A$3:$AW$210,36,FALSE)+VLOOKUP(A129,'Rate Calculation'!$A$3:$CC$210,42,FALSE)</f>
        <v>139674938</v>
      </c>
      <c r="I129" s="105">
        <f t="shared" si="27"/>
        <v>0</v>
      </c>
      <c r="J129" s="105" t="str">
        <f>VLOOKUP(A129,'Rate Calculation'!$A$3:$BL$210,43,FALSE)</f>
        <v>Keswick Multi-Care Center, Inc.</v>
      </c>
      <c r="K129" s="105">
        <f t="shared" si="36"/>
        <v>139792673</v>
      </c>
      <c r="L129" s="164">
        <f t="shared" si="20"/>
        <v>0.98772000000000004</v>
      </c>
      <c r="M129" s="105">
        <f t="shared" si="28"/>
        <v>138076018.97999999</v>
      </c>
      <c r="N129" s="105" t="e">
        <f>VLOOKUP(A129,'Rate Calculation'!$A$4:$DK$210,47,FALSE)</f>
        <v>#DIV/0!</v>
      </c>
      <c r="O129" s="106">
        <f>VLOOKUP(A129,'Rate Calculation'!$A$4:$DK$210,10,FALSE)</f>
        <v>1.0309999999999999</v>
      </c>
      <c r="P129" s="114">
        <f t="shared" si="21"/>
        <v>1.4432</v>
      </c>
      <c r="Q129" s="114">
        <f>VLOOKUP(A129,'CMI Data'!$A$3:$Z$209,7,FALSE)</f>
        <v>0</v>
      </c>
      <c r="R129" s="120" t="e">
        <f>+'CMI Data'!$I$214</f>
        <v>#DIV/0!</v>
      </c>
      <c r="S129" s="106">
        <f>IF(Q129=0,'CMI Data'!$I$213,ROUND(Q129*R129,4))</f>
        <v>1.4061999999999999</v>
      </c>
      <c r="T129" s="105">
        <f>VLOOKUP(A129,'Rate Calculation'!$A$4:$DK$210,16,FALSE)</f>
        <v>192.43</v>
      </c>
      <c r="U129" s="105">
        <f>VLOOKUP(A129,'Rate Calculation'!$A$4:$DK$210,20,FALSE)</f>
        <v>0</v>
      </c>
      <c r="V129" s="113">
        <f t="shared" si="29"/>
        <v>0</v>
      </c>
      <c r="W129" s="105">
        <f t="shared" si="30"/>
        <v>0</v>
      </c>
      <c r="X129" s="111">
        <f t="shared" si="22"/>
        <v>0</v>
      </c>
      <c r="Y129" s="105">
        <f t="shared" si="31"/>
        <v>0</v>
      </c>
      <c r="Z129" s="105">
        <f t="shared" si="32"/>
        <v>262.45999999999998</v>
      </c>
      <c r="AA129" s="105">
        <f t="shared" si="33"/>
        <v>0</v>
      </c>
      <c r="AB129" s="111">
        <f t="shared" si="34"/>
        <v>-262.45999999999998</v>
      </c>
      <c r="AC129" s="105" t="e">
        <f t="shared" si="35"/>
        <v>#VALUE!</v>
      </c>
      <c r="AD129" s="105" t="e">
        <f t="shared" si="23"/>
        <v>#VALUE!</v>
      </c>
      <c r="AE129" s="105" t="e">
        <f t="shared" si="24"/>
        <v>#DIV/0!</v>
      </c>
      <c r="AF129" s="105" t="e">
        <f t="shared" si="25"/>
        <v>#VALUE!</v>
      </c>
      <c r="AG129" s="105" t="e">
        <f t="shared" si="26"/>
        <v>#VALUE!</v>
      </c>
      <c r="AH129" s="111"/>
      <c r="AI129" s="105"/>
      <c r="AJ129" s="105"/>
      <c r="AK129" s="109"/>
      <c r="AL129" s="109"/>
      <c r="AM129" s="109"/>
      <c r="AN129" s="109"/>
      <c r="AO129" s="105"/>
      <c r="AP129" s="105"/>
      <c r="AQ129" s="109"/>
      <c r="AR129" s="110"/>
      <c r="AS129" s="110"/>
      <c r="AT129" s="110"/>
      <c r="AU129" s="110"/>
      <c r="AV129" s="110"/>
      <c r="AW129" s="112"/>
      <c r="AX129" s="112"/>
      <c r="AY129" s="110"/>
      <c r="AZ129" s="105"/>
      <c r="BA129" s="105"/>
      <c r="BB129" s="105"/>
      <c r="BC129" s="105"/>
      <c r="BD129" s="105"/>
      <c r="BE129" s="105"/>
    </row>
    <row r="130" spans="1:57" x14ac:dyDescent="0.15">
      <c r="A130" s="101">
        <v>336</v>
      </c>
      <c r="B130" s="98" t="e">
        <f>VLOOKUP($A130,'Rate Calculation'!$A$4:$CS$210,68,FALSE)</f>
        <v>#REF!</v>
      </c>
      <c r="C130" s="98" t="str">
        <f>UPPER(VLOOKUP($A130,'Rate Calculation'!$A$4:$CL$210,69,FALSE))</f>
        <v>91109</v>
      </c>
      <c r="D130" s="104" t="str">
        <f>VLOOKUP($A130,'Rate Calculation'!$A$4:$AJ$210,5,FALSE)</f>
        <v>BALTIMORE METRO</v>
      </c>
      <c r="E130" s="104" t="str">
        <f>VLOOKUP($A130,'Rate Calculation'!$A$4:$AJ$210,6,FALSE)</f>
        <v>BALTIMORE METRO</v>
      </c>
      <c r="F130" s="105">
        <f>VLOOKUP(A130,'Rate Calculation'!$A$3:$AT$210,35,FALSE)</f>
        <v>22705</v>
      </c>
      <c r="G130" s="105">
        <f>VLOOKUP(A130,'Rate Calculation'!$A$3:$AT$210,30,FALSE)</f>
        <v>40260</v>
      </c>
      <c r="H130" s="105">
        <f>VLOOKUP(A130,'Rate Calculation'!$A$3:$AW$210,36,FALSE)+VLOOKUP(A130,'Rate Calculation'!$A$3:$CC$210,42,FALSE)</f>
        <v>500225433</v>
      </c>
      <c r="I130" s="105">
        <f t="shared" si="27"/>
        <v>-59.93</v>
      </c>
      <c r="J130" s="105" t="str">
        <f>VLOOKUP(A130,'Rate Calculation'!$A$3:$BL$210,43,FALSE)</f>
        <v>King David Nursing and Rehabilitation Center</v>
      </c>
      <c r="K130" s="105">
        <f t="shared" si="36"/>
        <v>500288338.06999999</v>
      </c>
      <c r="L130" s="164">
        <f t="shared" si="20"/>
        <v>0.98772000000000004</v>
      </c>
      <c r="M130" s="105">
        <f t="shared" si="28"/>
        <v>494144797.27999997</v>
      </c>
      <c r="N130" s="105" t="e">
        <f>VLOOKUP(A130,'Rate Calculation'!$A$4:$DK$210,47,FALSE)</f>
        <v>#DIV/0!</v>
      </c>
      <c r="O130" s="106">
        <f>VLOOKUP(A130,'Rate Calculation'!$A$4:$DK$210,10,FALSE)</f>
        <v>1.0309999999999999</v>
      </c>
      <c r="P130" s="114">
        <f t="shared" si="21"/>
        <v>1.4432</v>
      </c>
      <c r="Q130" s="114">
        <f>VLOOKUP(A130,'CMI Data'!$A$3:$Z$209,7,FALSE)</f>
        <v>0</v>
      </c>
      <c r="R130" s="120" t="e">
        <f>+'CMI Data'!$I$214</f>
        <v>#DIV/0!</v>
      </c>
      <c r="S130" s="106">
        <f>IF(Q130=0,'CMI Data'!$I$213,ROUND(Q130*R130,4))</f>
        <v>1.4061999999999999</v>
      </c>
      <c r="T130" s="105">
        <f>VLOOKUP(A130,'Rate Calculation'!$A$4:$DK$210,16,FALSE)</f>
        <v>197.96</v>
      </c>
      <c r="U130" s="105">
        <f>VLOOKUP(A130,'Rate Calculation'!$A$4:$DK$210,20,FALSE)</f>
        <v>-61.51</v>
      </c>
      <c r="V130" s="113">
        <f t="shared" si="29"/>
        <v>-43.94</v>
      </c>
      <c r="W130" s="105">
        <f t="shared" si="30"/>
        <v>-59.93</v>
      </c>
      <c r="X130" s="111">
        <f t="shared" si="22"/>
        <v>0</v>
      </c>
      <c r="Y130" s="105">
        <f t="shared" si="31"/>
        <v>-59.93</v>
      </c>
      <c r="Z130" s="105">
        <f t="shared" si="32"/>
        <v>270</v>
      </c>
      <c r="AA130" s="105">
        <f t="shared" si="33"/>
        <v>-56.93</v>
      </c>
      <c r="AB130" s="111">
        <f t="shared" si="34"/>
        <v>-326.93</v>
      </c>
      <c r="AC130" s="105" t="e">
        <f t="shared" si="35"/>
        <v>#VALUE!</v>
      </c>
      <c r="AD130" s="105" t="e">
        <f t="shared" si="23"/>
        <v>#VALUE!</v>
      </c>
      <c r="AE130" s="105" t="e">
        <f t="shared" si="24"/>
        <v>#DIV/0!</v>
      </c>
      <c r="AF130" s="105" t="e">
        <f t="shared" si="25"/>
        <v>#VALUE!</v>
      </c>
      <c r="AG130" s="105" t="e">
        <f t="shared" si="26"/>
        <v>#VALUE!</v>
      </c>
      <c r="AH130" s="111"/>
      <c r="AI130" s="105"/>
      <c r="AJ130" s="105"/>
      <c r="AK130" s="109"/>
      <c r="AL130" s="109"/>
      <c r="AM130" s="109"/>
      <c r="AN130" s="109"/>
      <c r="AO130" s="105"/>
      <c r="AP130" s="105"/>
      <c r="AQ130" s="109"/>
      <c r="AR130" s="110"/>
      <c r="AS130" s="110"/>
      <c r="AT130" s="110"/>
      <c r="AU130" s="110"/>
      <c r="AV130" s="110"/>
      <c r="AW130" s="112"/>
      <c r="AX130" s="112"/>
      <c r="AY130" s="110"/>
      <c r="AZ130" s="105"/>
      <c r="BA130" s="105"/>
      <c r="BB130" s="105"/>
      <c r="BC130" s="105"/>
      <c r="BD130" s="105"/>
      <c r="BE130" s="105"/>
    </row>
    <row r="131" spans="1:57" x14ac:dyDescent="0.15">
      <c r="A131" s="101">
        <v>312</v>
      </c>
      <c r="B131" s="98" t="e">
        <f>VLOOKUP($A131,'Rate Calculation'!$A$4:$CS$210,68,FALSE)</f>
        <v>#REF!</v>
      </c>
      <c r="C131" s="98" t="str">
        <f>UPPER(VLOOKUP($A131,'Rate Calculation'!$A$4:$CL$210,69,FALSE))</f>
        <v>150499</v>
      </c>
      <c r="D131" s="104" t="str">
        <f>VLOOKUP($A131,'Rate Calculation'!$A$4:$AJ$210,5,FALSE)</f>
        <v>WASHINGTON METRO</v>
      </c>
      <c r="E131" s="104" t="str">
        <f>VLOOKUP($A131,'Rate Calculation'!$A$4:$AJ$210,6,FALSE)</f>
        <v>WASHINGTON METRO</v>
      </c>
      <c r="F131" s="105">
        <f>VLOOKUP(A131,'Rate Calculation'!$A$3:$AT$210,35,FALSE)</f>
        <v>35118</v>
      </c>
      <c r="G131" s="105">
        <f>VLOOKUP(A131,'Rate Calculation'!$A$3:$AT$210,30,FALSE)</f>
        <v>47580</v>
      </c>
      <c r="H131" s="105">
        <f>VLOOKUP(A131,'Rate Calculation'!$A$3:$AW$210,36,FALSE)+VLOOKUP(A131,'Rate Calculation'!$A$3:$CC$210,42,FALSE)</f>
        <v>799090500</v>
      </c>
      <c r="I131" s="105">
        <f t="shared" si="27"/>
        <v>-48.94</v>
      </c>
      <c r="J131" s="105" t="str">
        <f>VLOOKUP(A131,'Rate Calculation'!$A$3:$BL$210,43,FALSE)</f>
        <v>Largo Nursing and Rehabilitation Center, LLC</v>
      </c>
      <c r="K131" s="105">
        <f t="shared" si="36"/>
        <v>799173149.05999994</v>
      </c>
      <c r="L131" s="164">
        <f t="shared" ref="L131:L192" si="37">+_baf</f>
        <v>0.98772000000000004</v>
      </c>
      <c r="M131" s="105">
        <f t="shared" si="28"/>
        <v>789359302.78999996</v>
      </c>
      <c r="N131" s="105" t="e">
        <f>VLOOKUP(A131,'Rate Calculation'!$A$4:$DK$210,47,FALSE)</f>
        <v>#DIV/0!</v>
      </c>
      <c r="O131" s="106">
        <f>VLOOKUP(A131,'Rate Calculation'!$A$4:$DK$210,10,FALSE)</f>
        <v>1.0309999999999999</v>
      </c>
      <c r="P131" s="114">
        <f t="shared" ref="P131:P192" si="38">+SW_CR_CMI</f>
        <v>1.4432</v>
      </c>
      <c r="Q131" s="114">
        <f>VLOOKUP(A131,'CMI Data'!$A$3:$Z$209,7,FALSE)</f>
        <v>0</v>
      </c>
      <c r="R131" s="120" t="e">
        <f>+'CMI Data'!$I$214</f>
        <v>#DIV/0!</v>
      </c>
      <c r="S131" s="106">
        <f>IF(Q131=0,'CMI Data'!$I$213,ROUND(Q131*R131,4))</f>
        <v>1.4061999999999999</v>
      </c>
      <c r="T131" s="105">
        <f>VLOOKUP(A131,'Rate Calculation'!$A$4:$DK$210,16,FALSE)</f>
        <v>181.41</v>
      </c>
      <c r="U131" s="105">
        <f>VLOOKUP(A131,'Rate Calculation'!$A$4:$DK$210,20,FALSE)</f>
        <v>-50.23</v>
      </c>
      <c r="V131" s="113">
        <f t="shared" si="29"/>
        <v>-35.880000000000003</v>
      </c>
      <c r="W131" s="105">
        <f t="shared" si="30"/>
        <v>-48.94</v>
      </c>
      <c r="X131" s="111">
        <f t="shared" ref="X131:X192" si="39">IF(O131="NA","NA",ROUND(MAX(0,AB131)*-1,2))</f>
        <v>0</v>
      </c>
      <c r="Y131" s="105">
        <f t="shared" si="31"/>
        <v>-48.94</v>
      </c>
      <c r="Z131" s="105">
        <f t="shared" si="32"/>
        <v>247.43</v>
      </c>
      <c r="AA131" s="105">
        <f t="shared" si="33"/>
        <v>-46.49</v>
      </c>
      <c r="AB131" s="111">
        <f t="shared" si="34"/>
        <v>-293.92</v>
      </c>
      <c r="AC131" s="105" t="e">
        <f t="shared" si="35"/>
        <v>#VALUE!</v>
      </c>
      <c r="AD131" s="105" t="e">
        <f t="shared" ref="AD131:AD192" si="40">+F131+G131+H131+J131</f>
        <v>#VALUE!</v>
      </c>
      <c r="AE131" s="105" t="e">
        <f t="shared" ref="AE131:AE192" si="41">+M131+N131</f>
        <v>#DIV/0!</v>
      </c>
      <c r="AF131" s="105" t="e">
        <f t="shared" ref="AF131:AF192" si="42">+AC131+N131</f>
        <v>#VALUE!</v>
      </c>
      <c r="AG131" s="105" t="e">
        <f t="shared" ref="AG131:AG192" si="43">+AD131+N131</f>
        <v>#VALUE!</v>
      </c>
      <c r="AH131" s="111"/>
      <c r="AI131" s="105"/>
      <c r="AJ131" s="105"/>
      <c r="AK131" s="109"/>
      <c r="AL131" s="109"/>
      <c r="AM131" s="109"/>
      <c r="AN131" s="109"/>
      <c r="AO131" s="105"/>
      <c r="AP131" s="105"/>
      <c r="AQ131" s="109"/>
      <c r="AR131" s="110"/>
      <c r="AS131" s="110"/>
      <c r="AT131" s="110"/>
      <c r="AU131" s="110"/>
      <c r="AV131" s="110"/>
      <c r="AW131" s="112"/>
      <c r="AX131" s="112"/>
      <c r="AY131" s="110"/>
      <c r="AZ131" s="105"/>
      <c r="BA131" s="105"/>
      <c r="BB131" s="105"/>
      <c r="BC131" s="105"/>
      <c r="BD131" s="105"/>
      <c r="BE131" s="105"/>
    </row>
    <row r="132" spans="1:57" x14ac:dyDescent="0.15">
      <c r="A132" s="101">
        <v>737</v>
      </c>
      <c r="B132" s="98" t="e">
        <f>VLOOKUP($A132,'Rate Calculation'!$A$4:$CS$210,68,FALSE)</f>
        <v>#REF!</v>
      </c>
      <c r="C132" s="98" t="str">
        <f>UPPER(VLOOKUP($A132,'Rate Calculation'!$A$4:$CL$210,69,FALSE))</f>
        <v>102234</v>
      </c>
      <c r="D132" s="104" t="str">
        <f>VLOOKUP($A132,'Rate Calculation'!$A$4:$AJ$210,5,FALSE)</f>
        <v>BALTIMORE METRO</v>
      </c>
      <c r="E132" s="104" t="str">
        <f>VLOOKUP($A132,'Rate Calculation'!$A$4:$AJ$210,6,FALSE)</f>
        <v>NON METRO</v>
      </c>
      <c r="F132" s="105">
        <f>VLOOKUP(A132,'Rate Calculation'!$A$3:$AT$210,35,FALSE)</f>
        <v>31720</v>
      </c>
      <c r="G132" s="105">
        <f>VLOOKUP(A132,'Rate Calculation'!$A$3:$AT$210,30,FALSE)</f>
        <v>40260</v>
      </c>
      <c r="H132" s="105">
        <f>VLOOKUP(A132,'Rate Calculation'!$A$3:$AW$210,36,FALSE)+VLOOKUP(A132,'Rate Calculation'!$A$3:$CC$210,42,FALSE)</f>
        <v>424119773</v>
      </c>
      <c r="I132" s="105">
        <f t="shared" ref="I132:I193" si="44">+Y132</f>
        <v>-35.840000000000003</v>
      </c>
      <c r="J132" s="105" t="str">
        <f>VLOOKUP(A132,'Rate Calculation'!$A$3:$BL$210,43,FALSE)</f>
        <v>Laurelwood Care Center at Elkton</v>
      </c>
      <c r="K132" s="105">
        <f t="shared" si="36"/>
        <v>424191717.16000003</v>
      </c>
      <c r="L132" s="164">
        <f t="shared" si="37"/>
        <v>0.98772000000000004</v>
      </c>
      <c r="M132" s="105">
        <f t="shared" ref="M132:M193" si="45">ROUND(K132*L132,2)</f>
        <v>418982642.87</v>
      </c>
      <c r="N132" s="105" t="e">
        <f>VLOOKUP(A132,'Rate Calculation'!$A$4:$DK$210,47,FALSE)</f>
        <v>#DIV/0!</v>
      </c>
      <c r="O132" s="106">
        <f>VLOOKUP(A132,'Rate Calculation'!$A$4:$DK$210,10,FALSE)</f>
        <v>1.0309999999999999</v>
      </c>
      <c r="P132" s="114">
        <f t="shared" si="38"/>
        <v>1.4432</v>
      </c>
      <c r="Q132" s="114">
        <f>VLOOKUP(A132,'CMI Data'!$A$3:$Z$209,7,FALSE)</f>
        <v>0</v>
      </c>
      <c r="R132" s="120" t="e">
        <f>+'CMI Data'!$I$214</f>
        <v>#DIV/0!</v>
      </c>
      <c r="S132" s="106">
        <f>IF(Q132=0,'CMI Data'!$I$213,ROUND(Q132*R132,4))</f>
        <v>1.4061999999999999</v>
      </c>
      <c r="T132" s="105">
        <f>VLOOKUP(A132,'Rate Calculation'!$A$4:$DK$210,16,FALSE)</f>
        <v>171.93</v>
      </c>
      <c r="U132" s="105">
        <f>VLOOKUP(A132,'Rate Calculation'!$A$4:$DK$210,20,FALSE)</f>
        <v>-36.78</v>
      </c>
      <c r="V132" s="113">
        <f t="shared" ref="V132:V193" si="46">IF($O132="NA","NA",ROUND(U132*(O132/P132),2))</f>
        <v>-26.28</v>
      </c>
      <c r="W132" s="105">
        <f t="shared" ref="W132:W193" si="47">IF(O132="NA",ROUND(U132*S132,2),ROUND(V132*(S132/O132),2))</f>
        <v>-35.840000000000003</v>
      </c>
      <c r="X132" s="111">
        <f t="shared" si="39"/>
        <v>0</v>
      </c>
      <c r="Y132" s="105">
        <f t="shared" ref="Y132:Y193" si="48">IF(O132="NA", W132,W132+X132)</f>
        <v>-35.840000000000003</v>
      </c>
      <c r="Z132" s="105">
        <f t="shared" ref="Z132:Z193" si="49">IF(O132="NA","NA",ROUND(T132*(S132/O132),2))</f>
        <v>234.5</v>
      </c>
      <c r="AA132" s="105">
        <f t="shared" ref="AA132:AA193" si="50">IF(O132="NA","NA",ROUND(W132*0.95,2))</f>
        <v>-34.049999999999997</v>
      </c>
      <c r="AB132" s="111">
        <f t="shared" ref="AB132:AB193" si="51">IF(O132="NA","NA",AA132-Z132)</f>
        <v>-268.55</v>
      </c>
      <c r="AC132" s="105" t="e">
        <f t="shared" ref="AC132:AC193" si="52">+F132+G132+H132+ROUND((I132*0.5),2)+J132</f>
        <v>#VALUE!</v>
      </c>
      <c r="AD132" s="105" t="e">
        <f t="shared" si="40"/>
        <v>#VALUE!</v>
      </c>
      <c r="AE132" s="105" t="e">
        <f t="shared" si="41"/>
        <v>#DIV/0!</v>
      </c>
      <c r="AF132" s="105" t="e">
        <f t="shared" si="42"/>
        <v>#VALUE!</v>
      </c>
      <c r="AG132" s="105" t="e">
        <f t="shared" si="43"/>
        <v>#VALUE!</v>
      </c>
      <c r="AH132" s="111"/>
      <c r="AI132" s="105"/>
      <c r="AJ132" s="105"/>
      <c r="AK132" s="109"/>
      <c r="AL132" s="109"/>
      <c r="AM132" s="109"/>
      <c r="AN132" s="109"/>
      <c r="AO132" s="105"/>
      <c r="AP132" s="105"/>
      <c r="AQ132" s="109"/>
      <c r="AR132" s="110"/>
      <c r="AS132" s="110"/>
      <c r="AT132" s="110"/>
      <c r="AU132" s="110"/>
      <c r="AV132" s="110"/>
      <c r="AW132" s="112"/>
      <c r="AX132" s="112"/>
      <c r="AY132" s="110"/>
      <c r="AZ132" s="105"/>
      <c r="BA132" s="105"/>
      <c r="BB132" s="105"/>
      <c r="BC132" s="105"/>
      <c r="BD132" s="105"/>
      <c r="BE132" s="105"/>
    </row>
    <row r="133" spans="1:57" x14ac:dyDescent="0.15">
      <c r="A133" s="101">
        <v>268</v>
      </c>
      <c r="B133" s="98" t="e">
        <f>VLOOKUP($A133,'Rate Calculation'!$A$4:$CS$210,68,FALSE)</f>
        <v>#REF!</v>
      </c>
      <c r="C133" s="98" t="str">
        <f>UPPER(VLOOKUP($A133,'Rate Calculation'!$A$4:$CL$210,69,FALSE))</f>
        <v>147328</v>
      </c>
      <c r="D133" s="104" t="str">
        <f>VLOOKUP($A133,'Rate Calculation'!$A$4:$AJ$210,5,FALSE)</f>
        <v>WASHINGTON METRO</v>
      </c>
      <c r="E133" s="104" t="str">
        <f>VLOOKUP($A133,'Rate Calculation'!$A$4:$AJ$210,6,FALSE)</f>
        <v>WASHINGTON METRO</v>
      </c>
      <c r="F133" s="105">
        <f>VLOOKUP(A133,'Rate Calculation'!$A$3:$AT$210,35,FALSE)</f>
        <v>32991</v>
      </c>
      <c r="G133" s="105">
        <f>VLOOKUP(A133,'Rate Calculation'!$A$3:$AT$210,30,FALSE)</f>
        <v>50508</v>
      </c>
      <c r="H133" s="105">
        <f>VLOOKUP(A133,'Rate Calculation'!$A$3:$AW$210,36,FALSE)+VLOOKUP(A133,'Rate Calculation'!$A$3:$CC$210,42,FALSE)</f>
        <v>370066290</v>
      </c>
      <c r="I133" s="105">
        <f t="shared" si="44"/>
        <v>-45.36</v>
      </c>
      <c r="J133" s="105" t="str">
        <f>VLOOKUP(A133,'Rate Calculation'!$A$3:$BL$210,43,FALSE)</f>
        <v>Layhill Nursing and Rehabilitation Center</v>
      </c>
      <c r="K133" s="105">
        <f t="shared" ref="K133:K193" si="53">SUM(F133:J133)</f>
        <v>370149743.63999999</v>
      </c>
      <c r="L133" s="164">
        <f t="shared" si="37"/>
        <v>0.98772000000000004</v>
      </c>
      <c r="M133" s="105">
        <f t="shared" si="45"/>
        <v>365604304.79000002</v>
      </c>
      <c r="N133" s="105" t="e">
        <f>VLOOKUP(A133,'Rate Calculation'!$A$4:$DK$210,47,FALSE)</f>
        <v>#DIV/0!</v>
      </c>
      <c r="O133" s="106">
        <f>VLOOKUP(A133,'Rate Calculation'!$A$4:$DK$210,10,FALSE)</f>
        <v>1.0309999999999999</v>
      </c>
      <c r="P133" s="114">
        <f t="shared" si="38"/>
        <v>1.4432</v>
      </c>
      <c r="Q133" s="114">
        <f>VLOOKUP(A133,'CMI Data'!$A$3:$Z$209,7,FALSE)</f>
        <v>0</v>
      </c>
      <c r="R133" s="120" t="e">
        <f>+'CMI Data'!$I$214</f>
        <v>#DIV/0!</v>
      </c>
      <c r="S133" s="106">
        <f>IF(Q133=0,'CMI Data'!$I$213,ROUND(Q133*R133,4))</f>
        <v>1.4061999999999999</v>
      </c>
      <c r="T133" s="105">
        <f>VLOOKUP(A133,'Rate Calculation'!$A$4:$DK$210,16,FALSE)</f>
        <v>179.81</v>
      </c>
      <c r="U133" s="105">
        <f>VLOOKUP(A133,'Rate Calculation'!$A$4:$DK$210,20,FALSE)</f>
        <v>-46.56</v>
      </c>
      <c r="V133" s="113">
        <f t="shared" si="46"/>
        <v>-33.26</v>
      </c>
      <c r="W133" s="105">
        <f t="shared" si="47"/>
        <v>-45.36</v>
      </c>
      <c r="X133" s="111">
        <f t="shared" si="39"/>
        <v>0</v>
      </c>
      <c r="Y133" s="105">
        <f t="shared" si="48"/>
        <v>-45.36</v>
      </c>
      <c r="Z133" s="105">
        <f t="shared" si="49"/>
        <v>245.25</v>
      </c>
      <c r="AA133" s="105">
        <f t="shared" si="50"/>
        <v>-43.09</v>
      </c>
      <c r="AB133" s="111">
        <f t="shared" si="51"/>
        <v>-288.33999999999997</v>
      </c>
      <c r="AC133" s="105" t="e">
        <f t="shared" si="52"/>
        <v>#VALUE!</v>
      </c>
      <c r="AD133" s="105" t="e">
        <f t="shared" si="40"/>
        <v>#VALUE!</v>
      </c>
      <c r="AE133" s="105" t="e">
        <f t="shared" si="41"/>
        <v>#DIV/0!</v>
      </c>
      <c r="AF133" s="105" t="e">
        <f t="shared" si="42"/>
        <v>#VALUE!</v>
      </c>
      <c r="AG133" s="105" t="e">
        <f t="shared" si="43"/>
        <v>#VALUE!</v>
      </c>
      <c r="AH133" s="111"/>
      <c r="AI133" s="105"/>
      <c r="AJ133" s="105"/>
      <c r="AK133" s="109"/>
      <c r="AL133" s="109"/>
      <c r="AM133" s="109"/>
      <c r="AN133" s="109"/>
      <c r="AO133" s="105"/>
      <c r="AP133" s="105"/>
      <c r="AQ133" s="109"/>
      <c r="AR133" s="110"/>
      <c r="AS133" s="110"/>
      <c r="AT133" s="110"/>
      <c r="AU133" s="110"/>
      <c r="AV133" s="110"/>
      <c r="AW133" s="112"/>
      <c r="AX133" s="112"/>
      <c r="AY133" s="110"/>
      <c r="AZ133" s="105"/>
      <c r="BA133" s="105"/>
      <c r="BB133" s="105"/>
      <c r="BC133" s="105"/>
      <c r="BD133" s="105"/>
      <c r="BE133" s="105"/>
    </row>
    <row r="134" spans="1:57" x14ac:dyDescent="0.15">
      <c r="A134" s="101">
        <v>270</v>
      </c>
      <c r="B134" s="98" t="e">
        <f>VLOOKUP($A134,'Rate Calculation'!$A$4:$CS$210,68,FALSE)</f>
        <v>#REF!</v>
      </c>
      <c r="C134" s="98" t="str">
        <f>UPPER(VLOOKUP($A134,'Rate Calculation'!$A$4:$CL$210,69,FALSE))</f>
        <v>0</v>
      </c>
      <c r="D134" s="104" t="str">
        <f>VLOOKUP($A134,'Rate Calculation'!$A$4:$AJ$210,5,FALSE)</f>
        <v>BALTIMORE METRO</v>
      </c>
      <c r="E134" s="104" t="str">
        <f>VLOOKUP($A134,'Rate Calculation'!$A$4:$AJ$210,6,FALSE)</f>
        <v>BALTIMORE CITY</v>
      </c>
      <c r="F134" s="105">
        <f>VLOOKUP(A134,'Rate Calculation'!$A$3:$AT$210,35,FALSE)</f>
        <v>56205</v>
      </c>
      <c r="G134" s="105">
        <f>VLOOKUP(A134,'Rate Calculation'!$A$3:$AT$210,30,FALSE)</f>
        <v>76860</v>
      </c>
      <c r="H134" s="105">
        <f>VLOOKUP(A134,'Rate Calculation'!$A$3:$AW$210,36,FALSE)+VLOOKUP(A134,'Rate Calculation'!$A$3:$CC$210,42,FALSE)</f>
        <v>139696494</v>
      </c>
      <c r="I134" s="105">
        <f t="shared" si="44"/>
        <v>0</v>
      </c>
      <c r="J134" s="105" t="str">
        <f>VLOOKUP(A134,'Rate Calculation'!$A$3:$BL$210,43,FALSE)</f>
        <v>Levindale Hebrew Geriatric Center &amp; Hospital, Inc.</v>
      </c>
      <c r="K134" s="105">
        <f t="shared" si="53"/>
        <v>139829559</v>
      </c>
      <c r="L134" s="164">
        <f t="shared" si="37"/>
        <v>0.98772000000000004</v>
      </c>
      <c r="M134" s="105">
        <f t="shared" si="45"/>
        <v>138112452.02000001</v>
      </c>
      <c r="N134" s="105" t="e">
        <f>VLOOKUP(A134,'Rate Calculation'!$A$4:$DK$210,47,FALSE)</f>
        <v>#DIV/0!</v>
      </c>
      <c r="O134" s="106">
        <f>VLOOKUP(A134,'Rate Calculation'!$A$4:$DK$210,10,FALSE)</f>
        <v>1.0309999999999999</v>
      </c>
      <c r="P134" s="114">
        <f t="shared" si="38"/>
        <v>1.4432</v>
      </c>
      <c r="Q134" s="114">
        <f>VLOOKUP(A134,'CMI Data'!$A$3:$Z$209,7,FALSE)</f>
        <v>0</v>
      </c>
      <c r="R134" s="120" t="e">
        <f>+'CMI Data'!$I$214</f>
        <v>#DIV/0!</v>
      </c>
      <c r="S134" s="106">
        <f>IF(Q134=0,'CMI Data'!$I$213,ROUND(Q134*R134,4))</f>
        <v>1.4061999999999999</v>
      </c>
      <c r="T134" s="105">
        <f>VLOOKUP(A134,'Rate Calculation'!$A$4:$DK$210,16,FALSE)</f>
        <v>181.7</v>
      </c>
      <c r="U134" s="105">
        <f>VLOOKUP(A134,'Rate Calculation'!$A$4:$DK$210,20,FALSE)</f>
        <v>0</v>
      </c>
      <c r="V134" s="113">
        <f t="shared" si="46"/>
        <v>0</v>
      </c>
      <c r="W134" s="105">
        <f t="shared" si="47"/>
        <v>0</v>
      </c>
      <c r="X134" s="111">
        <f t="shared" si="39"/>
        <v>0</v>
      </c>
      <c r="Y134" s="105">
        <f t="shared" si="48"/>
        <v>0</v>
      </c>
      <c r="Z134" s="105">
        <f t="shared" si="49"/>
        <v>247.82</v>
      </c>
      <c r="AA134" s="105">
        <f t="shared" si="50"/>
        <v>0</v>
      </c>
      <c r="AB134" s="111">
        <f t="shared" si="51"/>
        <v>-247.82</v>
      </c>
      <c r="AC134" s="105" t="e">
        <f t="shared" si="52"/>
        <v>#VALUE!</v>
      </c>
      <c r="AD134" s="105" t="e">
        <f t="shared" si="40"/>
        <v>#VALUE!</v>
      </c>
      <c r="AE134" s="105" t="e">
        <f t="shared" si="41"/>
        <v>#DIV/0!</v>
      </c>
      <c r="AF134" s="105" t="e">
        <f t="shared" si="42"/>
        <v>#VALUE!</v>
      </c>
      <c r="AG134" s="105" t="e">
        <f t="shared" si="43"/>
        <v>#VALUE!</v>
      </c>
      <c r="AH134" s="111"/>
      <c r="AI134" s="105"/>
      <c r="AJ134" s="105"/>
      <c r="AK134" s="109"/>
      <c r="AL134" s="109"/>
      <c r="AM134" s="109"/>
      <c r="AN134" s="109"/>
      <c r="AO134" s="105"/>
      <c r="AP134" s="105"/>
      <c r="AQ134" s="109"/>
      <c r="AR134" s="110"/>
      <c r="AS134" s="110"/>
      <c r="AT134" s="110"/>
      <c r="AU134" s="110"/>
      <c r="AV134" s="110"/>
      <c r="AW134" s="112"/>
      <c r="AX134" s="112"/>
      <c r="AY134" s="110"/>
      <c r="AZ134" s="105"/>
      <c r="BA134" s="105"/>
      <c r="BB134" s="105"/>
      <c r="BC134" s="105"/>
      <c r="BD134" s="105"/>
      <c r="BE134" s="105"/>
    </row>
    <row r="135" spans="1:57" x14ac:dyDescent="0.15">
      <c r="A135" s="101">
        <v>276</v>
      </c>
      <c r="B135" s="98" t="e">
        <f>VLOOKUP($A135,'Rate Calculation'!$A$4:$CS$210,68,FALSE)</f>
        <v>#REF!</v>
      </c>
      <c r="C135" s="98" t="str">
        <f>UPPER(VLOOKUP($A135,'Rate Calculation'!$A$4:$CL$210,69,FALSE))</f>
        <v>0</v>
      </c>
      <c r="D135" s="104" t="str">
        <f>VLOOKUP($A135,'Rate Calculation'!$A$4:$AJ$210,5,FALSE)</f>
        <v>BALTIMORE METRO</v>
      </c>
      <c r="E135" s="104" t="str">
        <f>VLOOKUP($A135,'Rate Calculation'!$A$4:$AJ$210,6,FALSE)</f>
        <v>BALTIMORE METRO</v>
      </c>
      <c r="F135" s="105">
        <f>VLOOKUP(A135,'Rate Calculation'!$A$3:$AT$210,35,FALSE)</f>
        <v>0</v>
      </c>
      <c r="G135" s="105">
        <f>VLOOKUP(A135,'Rate Calculation'!$A$3:$AT$210,30,FALSE)</f>
        <v>7320</v>
      </c>
      <c r="H135" s="105">
        <f>VLOOKUP(A135,'Rate Calculation'!$A$3:$AW$210,36,FALSE)+VLOOKUP(A135,'Rate Calculation'!$A$3:$CC$210,42,FALSE)</f>
        <v>32707700</v>
      </c>
      <c r="I135" s="105">
        <f t="shared" si="44"/>
        <v>0</v>
      </c>
      <c r="J135" s="105" t="str">
        <f>VLOOKUP(A135,'Rate Calculation'!$A$3:$BL$210,43,FALSE)</f>
        <v>Little Sisters of the Poor</v>
      </c>
      <c r="K135" s="105">
        <f t="shared" si="53"/>
        <v>32715020</v>
      </c>
      <c r="L135" s="164">
        <f t="shared" si="37"/>
        <v>0.98772000000000004</v>
      </c>
      <c r="M135" s="105">
        <f t="shared" si="45"/>
        <v>32313279.550000001</v>
      </c>
      <c r="N135" s="105" t="e">
        <f>VLOOKUP(A135,'Rate Calculation'!$A$4:$DK$210,47,FALSE)</f>
        <v>#DIV/0!</v>
      </c>
      <c r="O135" s="106">
        <f>VLOOKUP(A135,'Rate Calculation'!$A$4:$DK$210,10,FALSE)</f>
        <v>1.0309999999999999</v>
      </c>
      <c r="P135" s="114">
        <f t="shared" si="38"/>
        <v>1.4432</v>
      </c>
      <c r="Q135" s="114">
        <f>VLOOKUP(A135,'CMI Data'!$A$3:$Z$209,7,FALSE)</f>
        <v>0</v>
      </c>
      <c r="R135" s="120" t="e">
        <f>+'CMI Data'!$I$214</f>
        <v>#DIV/0!</v>
      </c>
      <c r="S135" s="106">
        <f>IF(Q135=0,'CMI Data'!$I$213,ROUND(Q135*R135,4))</f>
        <v>1.4061999999999999</v>
      </c>
      <c r="T135" s="105">
        <f>VLOOKUP(A135,'Rate Calculation'!$A$4:$DK$210,16,FALSE)</f>
        <v>143.82</v>
      </c>
      <c r="U135" s="105">
        <f>VLOOKUP(A135,'Rate Calculation'!$A$4:$DK$210,20,FALSE)</f>
        <v>0</v>
      </c>
      <c r="V135" s="113">
        <f t="shared" si="46"/>
        <v>0</v>
      </c>
      <c r="W135" s="105">
        <f t="shared" si="47"/>
        <v>0</v>
      </c>
      <c r="X135" s="111">
        <f t="shared" si="39"/>
        <v>0</v>
      </c>
      <c r="Y135" s="105">
        <f t="shared" si="48"/>
        <v>0</v>
      </c>
      <c r="Z135" s="105">
        <f t="shared" si="49"/>
        <v>196.16</v>
      </c>
      <c r="AA135" s="105">
        <f t="shared" si="50"/>
        <v>0</v>
      </c>
      <c r="AB135" s="111">
        <f t="shared" si="51"/>
        <v>-196.16</v>
      </c>
      <c r="AC135" s="105" t="e">
        <f t="shared" si="52"/>
        <v>#VALUE!</v>
      </c>
      <c r="AD135" s="105" t="e">
        <f t="shared" si="40"/>
        <v>#VALUE!</v>
      </c>
      <c r="AE135" s="105" t="e">
        <f t="shared" si="41"/>
        <v>#DIV/0!</v>
      </c>
      <c r="AF135" s="105" t="e">
        <f t="shared" si="42"/>
        <v>#VALUE!</v>
      </c>
      <c r="AG135" s="105" t="e">
        <f t="shared" si="43"/>
        <v>#VALUE!</v>
      </c>
      <c r="AH135" s="111"/>
      <c r="AI135" s="105"/>
      <c r="AJ135" s="105"/>
      <c r="AK135" s="109"/>
      <c r="AL135" s="109"/>
      <c r="AM135" s="109"/>
      <c r="AN135" s="109"/>
      <c r="AO135" s="105"/>
      <c r="AP135" s="105"/>
      <c r="AQ135" s="109"/>
      <c r="AR135" s="110"/>
      <c r="AS135" s="110"/>
      <c r="AT135" s="110"/>
      <c r="AU135" s="110"/>
      <c r="AV135" s="110"/>
      <c r="AW135" s="112"/>
      <c r="AX135" s="112"/>
      <c r="AY135" s="110"/>
      <c r="AZ135" s="105"/>
      <c r="BA135" s="105"/>
      <c r="BB135" s="105"/>
      <c r="BC135" s="105"/>
      <c r="BD135" s="105"/>
      <c r="BE135" s="105"/>
    </row>
    <row r="136" spans="1:57" x14ac:dyDescent="0.15">
      <c r="A136" s="101">
        <v>1232</v>
      </c>
      <c r="B136" s="98" t="e">
        <f>VLOOKUP($A136,'Rate Calculation'!$A$4:$CS$210,68,FALSE)</f>
        <v>#REF!</v>
      </c>
      <c r="C136" s="98" t="str">
        <f>UPPER(VLOOKUP($A136,'Rate Calculation'!$A$4:$CL$210,69,FALSE))</f>
        <v>93385</v>
      </c>
      <c r="D136" s="104" t="str">
        <f>VLOOKUP($A136,'Rate Calculation'!$A$4:$AJ$210,5,FALSE)</f>
        <v>BALTIMORE METRO</v>
      </c>
      <c r="E136" s="104" t="str">
        <f>VLOOKUP($A136,'Rate Calculation'!$A$4:$AJ$210,6,FALSE)</f>
        <v>BALTIMORE METRO</v>
      </c>
      <c r="F136" s="105">
        <f>VLOOKUP(A136,'Rate Calculation'!$A$3:$AT$210,35,FALSE)</f>
        <v>20134</v>
      </c>
      <c r="G136" s="105">
        <f>VLOOKUP(A136,'Rate Calculation'!$A$3:$AT$210,30,FALSE)</f>
        <v>28548</v>
      </c>
      <c r="H136" s="105">
        <f>VLOOKUP(A136,'Rate Calculation'!$A$3:$AW$210,36,FALSE)+VLOOKUP(A136,'Rate Calculation'!$A$3:$CC$210,42,FALSE)</f>
        <v>421548136</v>
      </c>
      <c r="I136" s="105">
        <f t="shared" si="44"/>
        <v>0</v>
      </c>
      <c r="J136" s="105" t="str">
        <f>VLOOKUP(A136,'Rate Calculation'!$A$3:$BL$210,43,FALSE)</f>
        <v>Lorien Bulle Rock</v>
      </c>
      <c r="K136" s="105">
        <f t="shared" si="53"/>
        <v>421596818</v>
      </c>
      <c r="L136" s="164">
        <f t="shared" si="37"/>
        <v>0.98772000000000004</v>
      </c>
      <c r="M136" s="105">
        <f t="shared" si="45"/>
        <v>416419609.06999999</v>
      </c>
      <c r="N136" s="105" t="e">
        <f>VLOOKUP(A136,'Rate Calculation'!$A$4:$DK$210,47,FALSE)</f>
        <v>#DIV/0!</v>
      </c>
      <c r="O136" s="106">
        <f>VLOOKUP(A136,'Rate Calculation'!$A$4:$DK$210,10,FALSE)</f>
        <v>1.0309999999999999</v>
      </c>
      <c r="P136" s="114">
        <f t="shared" si="38"/>
        <v>1.4432</v>
      </c>
      <c r="Q136" s="114">
        <f>VLOOKUP(A136,'CMI Data'!$A$3:$Z$209,7,FALSE)</f>
        <v>0</v>
      </c>
      <c r="R136" s="120" t="e">
        <f>+'CMI Data'!$I$214</f>
        <v>#DIV/0!</v>
      </c>
      <c r="S136" s="106">
        <f>IF(Q136=0,'CMI Data'!$I$213,ROUND(Q136*R136,4))</f>
        <v>1.4061999999999999</v>
      </c>
      <c r="T136" s="105">
        <f>VLOOKUP(A136,'Rate Calculation'!$A$4:$DK$210,16,FALSE)</f>
        <v>175.37</v>
      </c>
      <c r="U136" s="105">
        <f>VLOOKUP(A136,'Rate Calculation'!$A$4:$DK$210,20,FALSE)</f>
        <v>0</v>
      </c>
      <c r="V136" s="113">
        <f t="shared" si="46"/>
        <v>0</v>
      </c>
      <c r="W136" s="105">
        <f t="shared" si="47"/>
        <v>0</v>
      </c>
      <c r="X136" s="111">
        <f t="shared" si="39"/>
        <v>0</v>
      </c>
      <c r="Y136" s="105">
        <f t="shared" si="48"/>
        <v>0</v>
      </c>
      <c r="Z136" s="105">
        <f t="shared" si="49"/>
        <v>239.19</v>
      </c>
      <c r="AA136" s="105">
        <f t="shared" si="50"/>
        <v>0</v>
      </c>
      <c r="AB136" s="111">
        <f t="shared" si="51"/>
        <v>-239.19</v>
      </c>
      <c r="AC136" s="105" t="e">
        <f t="shared" si="52"/>
        <v>#VALUE!</v>
      </c>
      <c r="AD136" s="105" t="e">
        <f t="shared" si="40"/>
        <v>#VALUE!</v>
      </c>
      <c r="AE136" s="105" t="e">
        <f t="shared" si="41"/>
        <v>#DIV/0!</v>
      </c>
      <c r="AF136" s="105" t="e">
        <f t="shared" si="42"/>
        <v>#VALUE!</v>
      </c>
      <c r="AG136" s="105" t="e">
        <f t="shared" si="43"/>
        <v>#VALUE!</v>
      </c>
      <c r="AH136" s="111"/>
      <c r="AI136" s="105"/>
      <c r="AJ136" s="105"/>
      <c r="AK136" s="109"/>
      <c r="AL136" s="109"/>
      <c r="AM136" s="109"/>
      <c r="AN136" s="109"/>
      <c r="AO136" s="105"/>
      <c r="AP136" s="105"/>
      <c r="AQ136" s="109"/>
      <c r="AR136" s="110"/>
      <c r="AS136" s="110"/>
      <c r="AT136" s="110"/>
      <c r="AU136" s="110"/>
      <c r="AV136" s="110"/>
      <c r="AW136" s="112"/>
      <c r="AX136" s="112"/>
      <c r="AY136" s="110"/>
      <c r="AZ136" s="105"/>
      <c r="BA136" s="105"/>
      <c r="BB136" s="105"/>
      <c r="BC136" s="105"/>
      <c r="BD136" s="105"/>
      <c r="BE136" s="105"/>
    </row>
    <row r="137" spans="1:57" x14ac:dyDescent="0.15">
      <c r="A137" s="101">
        <v>940</v>
      </c>
      <c r="B137" s="98" t="e">
        <f>VLOOKUP($A137,'Rate Calculation'!$A$4:$CS$210,68,FALSE)</f>
        <v>#REF!</v>
      </c>
      <c r="C137" s="98" t="str">
        <f>UPPER(VLOOKUP($A137,'Rate Calculation'!$A$4:$CL$210,69,FALSE))</f>
        <v>96606</v>
      </c>
      <c r="D137" s="104" t="str">
        <f>VLOOKUP($A137,'Rate Calculation'!$A$4:$AJ$210,5,FALSE)</f>
        <v>BALTIMORE METRO</v>
      </c>
      <c r="E137" s="104" t="str">
        <f>VLOOKUP($A137,'Rate Calculation'!$A$4:$AJ$210,6,FALSE)</f>
        <v>BALTIMORE METRO</v>
      </c>
      <c r="F137" s="105">
        <f>VLOOKUP(A137,'Rate Calculation'!$A$3:$AT$210,35,FALSE)</f>
        <v>23819</v>
      </c>
      <c r="G137" s="105">
        <f>VLOOKUP(A137,'Rate Calculation'!$A$3:$AT$210,30,FALSE)</f>
        <v>34038</v>
      </c>
      <c r="H137" s="105">
        <f>VLOOKUP(A137,'Rate Calculation'!$A$3:$AW$210,36,FALSE)+VLOOKUP(A137,'Rate Calculation'!$A$3:$CC$210,42,FALSE)</f>
        <v>411690306</v>
      </c>
      <c r="I137" s="105">
        <f t="shared" si="44"/>
        <v>0</v>
      </c>
      <c r="J137" s="105" t="str">
        <f>VLOOKUP(A137,'Rate Calculation'!$A$3:$BL$210,43,FALSE)</f>
        <v>Lorien Mays Chapel</v>
      </c>
      <c r="K137" s="105">
        <f t="shared" si="53"/>
        <v>411748163</v>
      </c>
      <c r="L137" s="164">
        <f t="shared" si="37"/>
        <v>0.98772000000000004</v>
      </c>
      <c r="M137" s="105">
        <f t="shared" si="45"/>
        <v>406691895.56</v>
      </c>
      <c r="N137" s="105" t="e">
        <f>VLOOKUP(A137,'Rate Calculation'!$A$4:$DK$210,47,FALSE)</f>
        <v>#DIV/0!</v>
      </c>
      <c r="O137" s="106">
        <f>VLOOKUP(A137,'Rate Calculation'!$A$4:$DK$210,10,FALSE)</f>
        <v>1.0309999999999999</v>
      </c>
      <c r="P137" s="114">
        <f t="shared" si="38"/>
        <v>1.4432</v>
      </c>
      <c r="Q137" s="114">
        <f>VLOOKUP(A137,'CMI Data'!$A$3:$Z$209,7,FALSE)</f>
        <v>0</v>
      </c>
      <c r="R137" s="120" t="e">
        <f>+'CMI Data'!$I$214</f>
        <v>#DIV/0!</v>
      </c>
      <c r="S137" s="106">
        <f>IF(Q137=0,'CMI Data'!$I$213,ROUND(Q137*R137,4))</f>
        <v>1.4061999999999999</v>
      </c>
      <c r="T137" s="105">
        <f>VLOOKUP(A137,'Rate Calculation'!$A$4:$DK$210,16,FALSE)</f>
        <v>168.67</v>
      </c>
      <c r="U137" s="105">
        <f>VLOOKUP(A137,'Rate Calculation'!$A$4:$DK$210,20,FALSE)</f>
        <v>0</v>
      </c>
      <c r="V137" s="113">
        <f t="shared" si="46"/>
        <v>0</v>
      </c>
      <c r="W137" s="105">
        <f t="shared" si="47"/>
        <v>0</v>
      </c>
      <c r="X137" s="111">
        <f t="shared" si="39"/>
        <v>0</v>
      </c>
      <c r="Y137" s="105">
        <f t="shared" si="48"/>
        <v>0</v>
      </c>
      <c r="Z137" s="105">
        <f t="shared" si="49"/>
        <v>230.05</v>
      </c>
      <c r="AA137" s="105">
        <f t="shared" si="50"/>
        <v>0</v>
      </c>
      <c r="AB137" s="111">
        <f t="shared" si="51"/>
        <v>-230.05</v>
      </c>
      <c r="AC137" s="105" t="e">
        <f t="shared" si="52"/>
        <v>#VALUE!</v>
      </c>
      <c r="AD137" s="105" t="e">
        <f t="shared" si="40"/>
        <v>#VALUE!</v>
      </c>
      <c r="AE137" s="105" t="e">
        <f t="shared" si="41"/>
        <v>#DIV/0!</v>
      </c>
      <c r="AF137" s="105" t="e">
        <f t="shared" si="42"/>
        <v>#VALUE!</v>
      </c>
      <c r="AG137" s="105" t="e">
        <f t="shared" si="43"/>
        <v>#VALUE!</v>
      </c>
      <c r="AH137" s="111"/>
      <c r="AI137" s="105"/>
      <c r="AJ137" s="105"/>
      <c r="AK137" s="109"/>
      <c r="AL137" s="109"/>
      <c r="AM137" s="109"/>
      <c r="AN137" s="109"/>
      <c r="AO137" s="105"/>
      <c r="AP137" s="105"/>
      <c r="AQ137" s="109"/>
      <c r="AR137" s="110"/>
      <c r="AS137" s="110"/>
      <c r="AT137" s="110"/>
      <c r="AU137" s="110"/>
      <c r="AV137" s="110"/>
      <c r="AW137" s="112"/>
      <c r="AX137" s="112"/>
      <c r="AY137" s="110"/>
      <c r="AZ137" s="105"/>
      <c r="BA137" s="105"/>
      <c r="BB137" s="105"/>
      <c r="BC137" s="105"/>
      <c r="BD137" s="105"/>
      <c r="BE137" s="105"/>
    </row>
    <row r="138" spans="1:57" x14ac:dyDescent="0.15">
      <c r="A138" s="101">
        <v>290</v>
      </c>
      <c r="B138" s="98" t="e">
        <f>VLOOKUP($A138,'Rate Calculation'!$A$4:$CS$210,68,FALSE)</f>
        <v>#REF!</v>
      </c>
      <c r="C138" s="98" t="str">
        <f>UPPER(VLOOKUP($A138,'Rate Calculation'!$A$4:$CL$210,69,FALSE))</f>
        <v>38936</v>
      </c>
      <c r="D138" s="104" t="str">
        <f>VLOOKUP($A138,'Rate Calculation'!$A$4:$AJ$210,5,FALSE)</f>
        <v>BALTIMORE METRO</v>
      </c>
      <c r="E138" s="104" t="str">
        <f>VLOOKUP($A138,'Rate Calculation'!$A$4:$AJ$210,6,FALSE)</f>
        <v>BALTIMORE METRO</v>
      </c>
      <c r="F138" s="105">
        <f>VLOOKUP(A138,'Rate Calculation'!$A$3:$AT$210,35,FALSE)</f>
        <v>15393</v>
      </c>
      <c r="G138" s="105">
        <f>VLOOKUP(A138,'Rate Calculation'!$A$3:$AT$210,30,FALSE)</f>
        <v>22692</v>
      </c>
      <c r="H138" s="105">
        <f>VLOOKUP(A138,'Rate Calculation'!$A$3:$AW$210,36,FALSE)+VLOOKUP(A138,'Rate Calculation'!$A$3:$CC$210,42,FALSE)</f>
        <v>215391113</v>
      </c>
      <c r="I138" s="105">
        <f t="shared" si="44"/>
        <v>0</v>
      </c>
      <c r="J138" s="105" t="str">
        <f>VLOOKUP(A138,'Rate Calculation'!$A$3:$BL$210,43,FALSE)</f>
        <v>Lorien Mt. Airy</v>
      </c>
      <c r="K138" s="105">
        <f t="shared" si="53"/>
        <v>215429198</v>
      </c>
      <c r="L138" s="164">
        <f t="shared" si="37"/>
        <v>0.98772000000000004</v>
      </c>
      <c r="M138" s="105">
        <f t="shared" si="45"/>
        <v>212783727.44999999</v>
      </c>
      <c r="N138" s="105" t="e">
        <f>VLOOKUP(A138,'Rate Calculation'!$A$4:$DK$210,47,FALSE)</f>
        <v>#DIV/0!</v>
      </c>
      <c r="O138" s="106">
        <f>VLOOKUP(A138,'Rate Calculation'!$A$4:$DK$210,10,FALSE)</f>
        <v>1.0309999999999999</v>
      </c>
      <c r="P138" s="114">
        <f t="shared" si="38"/>
        <v>1.4432</v>
      </c>
      <c r="Q138" s="114">
        <f>VLOOKUP(A138,'CMI Data'!$A$3:$Z$209,7,FALSE)</f>
        <v>0</v>
      </c>
      <c r="R138" s="120" t="e">
        <f>+'CMI Data'!$I$214</f>
        <v>#DIV/0!</v>
      </c>
      <c r="S138" s="106">
        <f>IF(Q138=0,'CMI Data'!$I$213,ROUND(Q138*R138,4))</f>
        <v>1.4061999999999999</v>
      </c>
      <c r="T138" s="105">
        <f>VLOOKUP(A138,'Rate Calculation'!$A$4:$DK$210,16,FALSE)</f>
        <v>204.53</v>
      </c>
      <c r="U138" s="105">
        <f>VLOOKUP(A138,'Rate Calculation'!$A$4:$DK$210,20,FALSE)</f>
        <v>0</v>
      </c>
      <c r="V138" s="113">
        <f t="shared" si="46"/>
        <v>0</v>
      </c>
      <c r="W138" s="105">
        <f t="shared" si="47"/>
        <v>0</v>
      </c>
      <c r="X138" s="111">
        <f t="shared" si="39"/>
        <v>0</v>
      </c>
      <c r="Y138" s="105">
        <f t="shared" si="48"/>
        <v>0</v>
      </c>
      <c r="Z138" s="105">
        <f t="shared" si="49"/>
        <v>278.95999999999998</v>
      </c>
      <c r="AA138" s="105">
        <f t="shared" si="50"/>
        <v>0</v>
      </c>
      <c r="AB138" s="111">
        <f t="shared" si="51"/>
        <v>-278.95999999999998</v>
      </c>
      <c r="AC138" s="105" t="e">
        <f t="shared" si="52"/>
        <v>#VALUE!</v>
      </c>
      <c r="AD138" s="105" t="e">
        <f t="shared" si="40"/>
        <v>#VALUE!</v>
      </c>
      <c r="AE138" s="105" t="e">
        <f t="shared" si="41"/>
        <v>#DIV/0!</v>
      </c>
      <c r="AF138" s="105" t="e">
        <f t="shared" si="42"/>
        <v>#VALUE!</v>
      </c>
      <c r="AG138" s="105" t="e">
        <f t="shared" si="43"/>
        <v>#VALUE!</v>
      </c>
      <c r="AH138" s="111"/>
      <c r="AI138" s="105"/>
      <c r="AJ138" s="105"/>
      <c r="AK138" s="109"/>
      <c r="AL138" s="109"/>
      <c r="AM138" s="109"/>
      <c r="AN138" s="109"/>
      <c r="AO138" s="105"/>
      <c r="AP138" s="105"/>
      <c r="AQ138" s="109"/>
      <c r="AR138" s="110"/>
      <c r="AS138" s="110"/>
      <c r="AT138" s="110"/>
      <c r="AU138" s="110"/>
      <c r="AV138" s="110"/>
      <c r="AW138" s="112"/>
      <c r="AX138" s="112"/>
      <c r="AY138" s="110"/>
      <c r="AZ138" s="105"/>
      <c r="BA138" s="105"/>
      <c r="BB138" s="105"/>
      <c r="BC138" s="105"/>
      <c r="BD138" s="105"/>
      <c r="BE138" s="105"/>
    </row>
    <row r="139" spans="1:57" x14ac:dyDescent="0.15">
      <c r="A139" s="101">
        <v>286</v>
      </c>
      <c r="B139" s="98" t="e">
        <f>VLOOKUP($A139,'Rate Calculation'!$A$4:$CS$210,68,FALSE)</f>
        <v>#REF!</v>
      </c>
      <c r="C139" s="98" t="str">
        <f>UPPER(VLOOKUP($A139,'Rate Calculation'!$A$4:$CL$210,69,FALSE))</f>
        <v>95217</v>
      </c>
      <c r="D139" s="104" t="str">
        <f>VLOOKUP($A139,'Rate Calculation'!$A$4:$AJ$210,5,FALSE)</f>
        <v>BALTIMORE METRO</v>
      </c>
      <c r="E139" s="104" t="str">
        <f>VLOOKUP($A139,'Rate Calculation'!$A$4:$AJ$210,6,FALSE)</f>
        <v>BALTIMORE METRO</v>
      </c>
      <c r="F139" s="105">
        <f>VLOOKUP(A139,'Rate Calculation'!$A$3:$AT$210,35,FALSE)</f>
        <v>51077</v>
      </c>
      <c r="G139" s="105">
        <f>VLOOKUP(A139,'Rate Calculation'!$A$3:$AT$210,30,FALSE)</f>
        <v>76050</v>
      </c>
      <c r="H139" s="105">
        <f>VLOOKUP(A139,'Rate Calculation'!$A$3:$AW$210,36,FALSE)+VLOOKUP(A139,'Rate Calculation'!$A$3:$CC$210,42,FALSE)</f>
        <v>134076656</v>
      </c>
      <c r="I139" s="105">
        <f t="shared" si="44"/>
        <v>0</v>
      </c>
      <c r="J139" s="105" t="str">
        <f>VLOOKUP(A139,'Rate Calculation'!$A$3:$BL$210,43,FALSE)</f>
        <v>Lorien Nursing &amp; Rehabilitation Center - Columbia</v>
      </c>
      <c r="K139" s="105">
        <f t="shared" si="53"/>
        <v>134203783</v>
      </c>
      <c r="L139" s="164">
        <f t="shared" si="37"/>
        <v>0.98772000000000004</v>
      </c>
      <c r="M139" s="105">
        <f t="shared" si="45"/>
        <v>132555760.54000001</v>
      </c>
      <c r="N139" s="105" t="e">
        <f>VLOOKUP(A139,'Rate Calculation'!$A$4:$DK$210,47,FALSE)</f>
        <v>#DIV/0!</v>
      </c>
      <c r="O139" s="106">
        <f>VLOOKUP(A139,'Rate Calculation'!$A$4:$DK$210,10,FALSE)</f>
        <v>1.0309999999999999</v>
      </c>
      <c r="P139" s="114">
        <f t="shared" si="38"/>
        <v>1.4432</v>
      </c>
      <c r="Q139" s="114">
        <f>VLOOKUP(A139,'CMI Data'!$A$3:$Z$209,7,FALSE)</f>
        <v>0</v>
      </c>
      <c r="R139" s="120" t="e">
        <f>+'CMI Data'!$I$214</f>
        <v>#DIV/0!</v>
      </c>
      <c r="S139" s="106">
        <f>IF(Q139=0,'CMI Data'!$I$213,ROUND(Q139*R139,4))</f>
        <v>1.4061999999999999</v>
      </c>
      <c r="T139" s="105">
        <f>VLOOKUP(A139,'Rate Calculation'!$A$4:$DK$210,16,FALSE)</f>
        <v>181.49</v>
      </c>
      <c r="U139" s="105">
        <f>VLOOKUP(A139,'Rate Calculation'!$A$4:$DK$210,20,FALSE)</f>
        <v>0</v>
      </c>
      <c r="V139" s="113">
        <f t="shared" si="46"/>
        <v>0</v>
      </c>
      <c r="W139" s="105">
        <f t="shared" si="47"/>
        <v>0</v>
      </c>
      <c r="X139" s="111">
        <f t="shared" si="39"/>
        <v>0</v>
      </c>
      <c r="Y139" s="105">
        <f t="shared" si="48"/>
        <v>0</v>
      </c>
      <c r="Z139" s="105">
        <f t="shared" si="49"/>
        <v>247.54</v>
      </c>
      <c r="AA139" s="105">
        <f t="shared" si="50"/>
        <v>0</v>
      </c>
      <c r="AB139" s="111">
        <f t="shared" si="51"/>
        <v>-247.54</v>
      </c>
      <c r="AC139" s="105" t="e">
        <f t="shared" si="52"/>
        <v>#VALUE!</v>
      </c>
      <c r="AD139" s="105" t="e">
        <f t="shared" si="40"/>
        <v>#VALUE!</v>
      </c>
      <c r="AE139" s="105" t="e">
        <f t="shared" si="41"/>
        <v>#DIV/0!</v>
      </c>
      <c r="AF139" s="105" t="e">
        <f t="shared" si="42"/>
        <v>#VALUE!</v>
      </c>
      <c r="AG139" s="105" t="e">
        <f t="shared" si="43"/>
        <v>#VALUE!</v>
      </c>
      <c r="AH139" s="111"/>
      <c r="AI139" s="105"/>
      <c r="AJ139" s="105"/>
      <c r="AK139" s="109"/>
      <c r="AL139" s="109"/>
      <c r="AM139" s="109"/>
      <c r="AN139" s="109"/>
      <c r="AO139" s="105"/>
      <c r="AP139" s="105"/>
      <c r="AQ139" s="109"/>
      <c r="AR139" s="110"/>
      <c r="AS139" s="110"/>
      <c r="AT139" s="110"/>
      <c r="AU139" s="110"/>
      <c r="AV139" s="110"/>
      <c r="AW139" s="112"/>
      <c r="AX139" s="112"/>
      <c r="AY139" s="110"/>
      <c r="AZ139" s="105"/>
      <c r="BA139" s="105"/>
      <c r="BB139" s="105"/>
      <c r="BC139" s="105"/>
      <c r="BD139" s="105"/>
      <c r="BE139" s="105"/>
    </row>
    <row r="140" spans="1:57" x14ac:dyDescent="0.15">
      <c r="A140" s="101">
        <v>1209</v>
      </c>
      <c r="B140" s="98" t="e">
        <f>VLOOKUP($A140,'Rate Calculation'!$A$4:$CS$210,68,FALSE)</f>
        <v>#REF!</v>
      </c>
      <c r="C140" s="98" t="str">
        <f>UPPER(VLOOKUP($A140,'Rate Calculation'!$A$4:$CL$210,69,FALSE))</f>
        <v>89401</v>
      </c>
      <c r="D140" s="104" t="str">
        <f>VLOOKUP($A140,'Rate Calculation'!$A$4:$AJ$210,5,FALSE)</f>
        <v>BALTIMORE METRO</v>
      </c>
      <c r="E140" s="104" t="str">
        <f>VLOOKUP($A140,'Rate Calculation'!$A$4:$AJ$210,6,FALSE)</f>
        <v>BALTIMORE METRO</v>
      </c>
      <c r="F140" s="105">
        <f>VLOOKUP(A140,'Rate Calculation'!$A$3:$AT$210,35,FALSE)</f>
        <v>16413</v>
      </c>
      <c r="G140" s="105">
        <f>VLOOKUP(A140,'Rate Calculation'!$A$3:$AT$210,30,FALSE)</f>
        <v>25620</v>
      </c>
      <c r="H140" s="105">
        <f>VLOOKUP(A140,'Rate Calculation'!$A$3:$AW$210,36,FALSE)+VLOOKUP(A140,'Rate Calculation'!$A$3:$CC$210,42,FALSE)</f>
        <v>421054482</v>
      </c>
      <c r="I140" s="105">
        <f t="shared" si="44"/>
        <v>-32.28</v>
      </c>
      <c r="J140" s="105" t="str">
        <f>VLOOKUP(A140,'Rate Calculation'!$A$3:$BL$210,43,FALSE)</f>
        <v>Lorien Nursing &amp; Rehabilitation Center - Elkridge</v>
      </c>
      <c r="K140" s="105">
        <f t="shared" si="53"/>
        <v>421096482.72000003</v>
      </c>
      <c r="L140" s="164">
        <f t="shared" si="37"/>
        <v>0.98772000000000004</v>
      </c>
      <c r="M140" s="105">
        <f t="shared" si="45"/>
        <v>415925417.91000003</v>
      </c>
      <c r="N140" s="105" t="e">
        <f>VLOOKUP(A140,'Rate Calculation'!$A$4:$DK$210,47,FALSE)</f>
        <v>#DIV/0!</v>
      </c>
      <c r="O140" s="106">
        <f>VLOOKUP(A140,'Rate Calculation'!$A$4:$DK$210,10,FALSE)</f>
        <v>1.0309999999999999</v>
      </c>
      <c r="P140" s="114">
        <f t="shared" si="38"/>
        <v>1.4432</v>
      </c>
      <c r="Q140" s="114">
        <f>VLOOKUP(A140,'CMI Data'!$A$3:$Z$209,7,FALSE)</f>
        <v>0</v>
      </c>
      <c r="R140" s="120" t="e">
        <f>+'CMI Data'!$I$214</f>
        <v>#DIV/0!</v>
      </c>
      <c r="S140" s="106">
        <f>IF(Q140=0,'CMI Data'!$I$213,ROUND(Q140*R140,4))</f>
        <v>1.4061999999999999</v>
      </c>
      <c r="T140" s="105">
        <f>VLOOKUP(A140,'Rate Calculation'!$A$4:$DK$210,16,FALSE)</f>
        <v>178.8</v>
      </c>
      <c r="U140" s="105">
        <f>VLOOKUP(A140,'Rate Calculation'!$A$4:$DK$210,20,FALSE)</f>
        <v>-33.14</v>
      </c>
      <c r="V140" s="113">
        <f t="shared" si="46"/>
        <v>-23.67</v>
      </c>
      <c r="W140" s="105">
        <f t="shared" si="47"/>
        <v>-32.28</v>
      </c>
      <c r="X140" s="111">
        <f t="shared" si="39"/>
        <v>0</v>
      </c>
      <c r="Y140" s="105">
        <f t="shared" si="48"/>
        <v>-32.28</v>
      </c>
      <c r="Z140" s="105">
        <f t="shared" si="49"/>
        <v>243.87</v>
      </c>
      <c r="AA140" s="105">
        <f t="shared" si="50"/>
        <v>-30.67</v>
      </c>
      <c r="AB140" s="111">
        <f t="shared" si="51"/>
        <v>-274.54000000000002</v>
      </c>
      <c r="AC140" s="105" t="e">
        <f t="shared" si="52"/>
        <v>#VALUE!</v>
      </c>
      <c r="AD140" s="105" t="e">
        <f t="shared" si="40"/>
        <v>#VALUE!</v>
      </c>
      <c r="AE140" s="105" t="e">
        <f t="shared" si="41"/>
        <v>#DIV/0!</v>
      </c>
      <c r="AF140" s="105" t="e">
        <f t="shared" si="42"/>
        <v>#VALUE!</v>
      </c>
      <c r="AG140" s="105" t="e">
        <f t="shared" si="43"/>
        <v>#VALUE!</v>
      </c>
      <c r="AH140" s="111"/>
      <c r="AI140" s="105"/>
      <c r="AJ140" s="105"/>
      <c r="AK140" s="109"/>
      <c r="AL140" s="109"/>
      <c r="AM140" s="109"/>
      <c r="AN140" s="109"/>
      <c r="AO140" s="105"/>
      <c r="AP140" s="105"/>
      <c r="AQ140" s="109"/>
      <c r="AR140" s="110"/>
      <c r="AS140" s="110"/>
      <c r="AT140" s="110"/>
      <c r="AU140" s="110"/>
      <c r="AV140" s="110"/>
      <c r="AW140" s="112"/>
      <c r="AX140" s="112"/>
      <c r="AY140" s="110"/>
      <c r="AZ140" s="105"/>
      <c r="BA140" s="105"/>
      <c r="BB140" s="105"/>
      <c r="BC140" s="105"/>
      <c r="BD140" s="105"/>
      <c r="BE140" s="105"/>
    </row>
    <row r="141" spans="1:57" x14ac:dyDescent="0.15">
      <c r="A141" s="101">
        <v>296</v>
      </c>
      <c r="B141" s="98" t="e">
        <f>VLOOKUP($A141,'Rate Calculation'!$A$4:$CS$210,68,FALSE)</f>
        <v>#REF!</v>
      </c>
      <c r="C141" s="98" t="str">
        <f>UPPER(VLOOKUP($A141,'Rate Calculation'!$A$4:$CL$210,69,FALSE))</f>
        <v>58480</v>
      </c>
      <c r="D141" s="104" t="str">
        <f>VLOOKUP($A141,'Rate Calculation'!$A$4:$AJ$210,5,FALSE)</f>
        <v>BALTIMORE METRO</v>
      </c>
      <c r="E141" s="104" t="str">
        <f>VLOOKUP($A141,'Rate Calculation'!$A$4:$AJ$210,6,FALSE)</f>
        <v>BALTIMORE METRO</v>
      </c>
      <c r="F141" s="105">
        <f>VLOOKUP(A141,'Rate Calculation'!$A$3:$AT$210,35,FALSE)</f>
        <v>14757</v>
      </c>
      <c r="G141" s="105">
        <f>VLOOKUP(A141,'Rate Calculation'!$A$3:$AT$210,30,FALSE)</f>
        <v>23058</v>
      </c>
      <c r="H141" s="105">
        <f>VLOOKUP(A141,'Rate Calculation'!$A$3:$AW$210,36,FALSE)+VLOOKUP(A141,'Rate Calculation'!$A$3:$CC$210,42,FALSE)</f>
        <v>405279429</v>
      </c>
      <c r="I141" s="105">
        <f t="shared" si="44"/>
        <v>0</v>
      </c>
      <c r="J141" s="105" t="str">
        <f>VLOOKUP(A141,'Rate Calculation'!$A$3:$BL$210,43,FALSE)</f>
        <v>Lorien Nursing &amp; Rehabilitation Center Taneytown</v>
      </c>
      <c r="K141" s="105">
        <f t="shared" si="53"/>
        <v>405317244</v>
      </c>
      <c r="L141" s="164">
        <f t="shared" si="37"/>
        <v>0.98772000000000004</v>
      </c>
      <c r="M141" s="105">
        <f t="shared" si="45"/>
        <v>400339948.24000001</v>
      </c>
      <c r="N141" s="105" t="e">
        <f>VLOOKUP(A141,'Rate Calculation'!$A$4:$DK$210,47,FALSE)</f>
        <v>#DIV/0!</v>
      </c>
      <c r="O141" s="106">
        <f>VLOOKUP(A141,'Rate Calculation'!$A$4:$DK$210,10,FALSE)</f>
        <v>1.0309999999999999</v>
      </c>
      <c r="P141" s="114">
        <f t="shared" si="38"/>
        <v>1.4432</v>
      </c>
      <c r="Q141" s="114">
        <f>VLOOKUP(A141,'CMI Data'!$A$3:$Z$209,7,FALSE)</f>
        <v>0</v>
      </c>
      <c r="R141" s="120" t="e">
        <f>+'CMI Data'!$I$214</f>
        <v>#DIV/0!</v>
      </c>
      <c r="S141" s="106">
        <f>IF(Q141=0,'CMI Data'!$I$213,ROUND(Q141*R141,4))</f>
        <v>1.4061999999999999</v>
      </c>
      <c r="T141" s="105">
        <f>VLOOKUP(A141,'Rate Calculation'!$A$4:$DK$210,16,FALSE)</f>
        <v>183.74</v>
      </c>
      <c r="U141" s="105">
        <f>VLOOKUP(A141,'Rate Calculation'!$A$4:$DK$210,20,FALSE)</f>
        <v>0</v>
      </c>
      <c r="V141" s="113">
        <f t="shared" si="46"/>
        <v>0</v>
      </c>
      <c r="W141" s="105">
        <f t="shared" si="47"/>
        <v>0</v>
      </c>
      <c r="X141" s="111">
        <f t="shared" si="39"/>
        <v>0</v>
      </c>
      <c r="Y141" s="105">
        <f t="shared" si="48"/>
        <v>0</v>
      </c>
      <c r="Z141" s="105">
        <f t="shared" si="49"/>
        <v>250.61</v>
      </c>
      <c r="AA141" s="105">
        <f t="shared" si="50"/>
        <v>0</v>
      </c>
      <c r="AB141" s="111">
        <f t="shared" si="51"/>
        <v>-250.61</v>
      </c>
      <c r="AC141" s="105" t="e">
        <f t="shared" si="52"/>
        <v>#VALUE!</v>
      </c>
      <c r="AD141" s="105" t="e">
        <f t="shared" si="40"/>
        <v>#VALUE!</v>
      </c>
      <c r="AE141" s="105" t="e">
        <f t="shared" si="41"/>
        <v>#DIV/0!</v>
      </c>
      <c r="AF141" s="105" t="e">
        <f t="shared" si="42"/>
        <v>#VALUE!</v>
      </c>
      <c r="AG141" s="105" t="e">
        <f t="shared" si="43"/>
        <v>#VALUE!</v>
      </c>
      <c r="AH141" s="111"/>
      <c r="AI141" s="105"/>
      <c r="AJ141" s="105"/>
      <c r="AK141" s="109"/>
      <c r="AL141" s="109"/>
      <c r="AM141" s="109"/>
      <c r="AN141" s="109"/>
      <c r="AO141" s="105"/>
      <c r="AP141" s="105"/>
      <c r="AQ141" s="109"/>
      <c r="AR141" s="110"/>
      <c r="AS141" s="110"/>
      <c r="AT141" s="110"/>
      <c r="AU141" s="110"/>
      <c r="AV141" s="110"/>
      <c r="AW141" s="112"/>
      <c r="AX141" s="112"/>
      <c r="AY141" s="110"/>
      <c r="AZ141" s="105"/>
      <c r="BA141" s="105"/>
      <c r="BB141" s="105"/>
      <c r="BC141" s="105"/>
      <c r="BD141" s="105"/>
      <c r="BE141" s="105"/>
    </row>
    <row r="142" spans="1:57" x14ac:dyDescent="0.15">
      <c r="A142" s="101">
        <v>292</v>
      </c>
      <c r="B142" s="98" t="e">
        <f>VLOOKUP($A142,'Rate Calculation'!$A$4:$CS$210,68,FALSE)</f>
        <v>#REF!</v>
      </c>
      <c r="C142" s="98" t="str">
        <f>UPPER(VLOOKUP($A142,'Rate Calculation'!$A$4:$CL$210,69,FALSE))</f>
        <v>74600</v>
      </c>
      <c r="D142" s="104" t="str">
        <f>VLOOKUP($A142,'Rate Calculation'!$A$4:$AJ$210,5,FALSE)</f>
        <v>BALTIMORE METRO</v>
      </c>
      <c r="E142" s="104" t="str">
        <f>VLOOKUP($A142,'Rate Calculation'!$A$4:$AJ$210,6,FALSE)</f>
        <v>BALTIMORE METRO</v>
      </c>
      <c r="F142" s="105">
        <f>VLOOKUP(A142,'Rate Calculation'!$A$3:$AT$210,35,FALSE)</f>
        <v>26624</v>
      </c>
      <c r="G142" s="105">
        <f>VLOOKUP(A142,'Rate Calculation'!$A$3:$AT$210,30,FALSE)</f>
        <v>43920</v>
      </c>
      <c r="H142" s="105">
        <f>VLOOKUP(A142,'Rate Calculation'!$A$3:$AW$210,36,FALSE)+VLOOKUP(A142,'Rate Calculation'!$A$3:$CC$210,42,FALSE)</f>
        <v>407944099</v>
      </c>
      <c r="I142" s="105">
        <f t="shared" si="44"/>
        <v>0</v>
      </c>
      <c r="J142" s="105" t="str">
        <f>VLOOKUP(A142,'Rate Calculation'!$A$3:$BL$210,43,FALSE)</f>
        <v>Lorien Nursing and Rehabilitation Center - Bel Air</v>
      </c>
      <c r="K142" s="105">
        <f t="shared" si="53"/>
        <v>408014643</v>
      </c>
      <c r="L142" s="164">
        <f t="shared" si="37"/>
        <v>0.98772000000000004</v>
      </c>
      <c r="M142" s="105">
        <f t="shared" si="45"/>
        <v>403004223.18000001</v>
      </c>
      <c r="N142" s="105" t="e">
        <f>VLOOKUP(A142,'Rate Calculation'!$A$4:$DK$210,47,FALSE)</f>
        <v>#DIV/0!</v>
      </c>
      <c r="O142" s="106">
        <f>VLOOKUP(A142,'Rate Calculation'!$A$4:$DK$210,10,FALSE)</f>
        <v>1.0309999999999999</v>
      </c>
      <c r="P142" s="114">
        <f t="shared" si="38"/>
        <v>1.4432</v>
      </c>
      <c r="Q142" s="114">
        <f>VLOOKUP(A142,'CMI Data'!$A$3:$Z$209,7,FALSE)</f>
        <v>0</v>
      </c>
      <c r="R142" s="120" t="e">
        <f>+'CMI Data'!$I$214</f>
        <v>#DIV/0!</v>
      </c>
      <c r="S142" s="106">
        <f>IF(Q142=0,'CMI Data'!$I$213,ROUND(Q142*R142,4))</f>
        <v>1.4061999999999999</v>
      </c>
      <c r="T142" s="105">
        <f>VLOOKUP(A142,'Rate Calculation'!$A$4:$DK$210,16,FALSE)</f>
        <v>177.48</v>
      </c>
      <c r="U142" s="105">
        <f>VLOOKUP(A142,'Rate Calculation'!$A$4:$DK$210,20,FALSE)</f>
        <v>0</v>
      </c>
      <c r="V142" s="113">
        <f t="shared" si="46"/>
        <v>0</v>
      </c>
      <c r="W142" s="105">
        <f t="shared" si="47"/>
        <v>0</v>
      </c>
      <c r="X142" s="111">
        <f t="shared" si="39"/>
        <v>0</v>
      </c>
      <c r="Y142" s="105">
        <f t="shared" si="48"/>
        <v>0</v>
      </c>
      <c r="Z142" s="105">
        <f t="shared" si="49"/>
        <v>242.07</v>
      </c>
      <c r="AA142" s="105">
        <f t="shared" si="50"/>
        <v>0</v>
      </c>
      <c r="AB142" s="111">
        <f t="shared" si="51"/>
        <v>-242.07</v>
      </c>
      <c r="AC142" s="105" t="e">
        <f t="shared" si="52"/>
        <v>#VALUE!</v>
      </c>
      <c r="AD142" s="105" t="e">
        <f t="shared" si="40"/>
        <v>#VALUE!</v>
      </c>
      <c r="AE142" s="105" t="e">
        <f t="shared" si="41"/>
        <v>#DIV/0!</v>
      </c>
      <c r="AF142" s="105" t="e">
        <f t="shared" si="42"/>
        <v>#VALUE!</v>
      </c>
      <c r="AG142" s="105" t="e">
        <f t="shared" si="43"/>
        <v>#VALUE!</v>
      </c>
      <c r="AH142" s="111"/>
      <c r="AI142" s="105"/>
      <c r="AJ142" s="105"/>
      <c r="AK142" s="109"/>
      <c r="AL142" s="109"/>
      <c r="AM142" s="109"/>
      <c r="AN142" s="109"/>
      <c r="AO142" s="105"/>
      <c r="AP142" s="105"/>
      <c r="AQ142" s="109"/>
      <c r="AR142" s="110"/>
      <c r="AS142" s="110"/>
      <c r="AT142" s="110"/>
      <c r="AU142" s="110"/>
      <c r="AV142" s="110"/>
      <c r="AW142" s="112"/>
      <c r="AX142" s="112"/>
      <c r="AY142" s="110"/>
      <c r="AZ142" s="105"/>
      <c r="BA142" s="105"/>
      <c r="BB142" s="105"/>
      <c r="BC142" s="105"/>
      <c r="BD142" s="105"/>
      <c r="BE142" s="105"/>
    </row>
    <row r="143" spans="1:57" x14ac:dyDescent="0.15">
      <c r="A143" s="101">
        <v>693</v>
      </c>
      <c r="B143" s="98" t="e">
        <f>VLOOKUP($A143,'Rate Calculation'!$A$4:$CS$210,68,FALSE)</f>
        <v>#REF!</v>
      </c>
      <c r="C143" s="98" t="str">
        <f>UPPER(VLOOKUP($A143,'Rate Calculation'!$A$4:$CL$210,69,FALSE))</f>
        <v>82689</v>
      </c>
      <c r="D143" s="104" t="str">
        <f>VLOOKUP($A143,'Rate Calculation'!$A$4:$AJ$210,5,FALSE)</f>
        <v>EASTERN REGION</v>
      </c>
      <c r="E143" s="104" t="str">
        <f>VLOOKUP($A143,'Rate Calculation'!$A$4:$AJ$210,6,FALSE)</f>
        <v>NON METRO</v>
      </c>
      <c r="F143" s="105">
        <f>VLOOKUP(A143,'Rate Calculation'!$A$3:$AT$210,35,FALSE)</f>
        <v>31687</v>
      </c>
      <c r="G143" s="105">
        <f>VLOOKUP(A143,'Rate Calculation'!$A$3:$AT$210,30,FALSE)</f>
        <v>58560</v>
      </c>
      <c r="H143" s="105">
        <f>VLOOKUP(A143,'Rate Calculation'!$A$3:$AW$210,36,FALSE)+VLOOKUP(A143,'Rate Calculation'!$A$3:$CC$210,42,FALSE)</f>
        <v>209444368</v>
      </c>
      <c r="I143" s="105">
        <f t="shared" si="44"/>
        <v>-22.25</v>
      </c>
      <c r="J143" s="105" t="str">
        <f>VLOOKUP(A143,'Rate Calculation'!$A$3:$BL$210,43,FALSE)</f>
        <v>Mallard Bay Nursing and Rehab</v>
      </c>
      <c r="K143" s="105">
        <f t="shared" si="53"/>
        <v>209534592.75</v>
      </c>
      <c r="L143" s="164">
        <f t="shared" si="37"/>
        <v>0.98772000000000004</v>
      </c>
      <c r="M143" s="105">
        <f t="shared" si="45"/>
        <v>206961507.94999999</v>
      </c>
      <c r="N143" s="105" t="e">
        <f>VLOOKUP(A143,'Rate Calculation'!$A$4:$DK$210,47,FALSE)</f>
        <v>#DIV/0!</v>
      </c>
      <c r="O143" s="106">
        <f>VLOOKUP(A143,'Rate Calculation'!$A$4:$DK$210,10,FALSE)</f>
        <v>1.0309999999999999</v>
      </c>
      <c r="P143" s="114">
        <f t="shared" si="38"/>
        <v>1.4432</v>
      </c>
      <c r="Q143" s="114">
        <f>VLOOKUP(A143,'CMI Data'!$A$3:$Z$209,7,FALSE)</f>
        <v>0</v>
      </c>
      <c r="R143" s="120" t="e">
        <f>+'CMI Data'!$I$214</f>
        <v>#DIV/0!</v>
      </c>
      <c r="S143" s="106">
        <f>IF(Q143=0,'CMI Data'!$I$213,ROUND(Q143*R143,4))</f>
        <v>1.4061999999999999</v>
      </c>
      <c r="T143" s="105">
        <f>VLOOKUP(A143,'Rate Calculation'!$A$4:$DK$210,16,FALSE)</f>
        <v>202.82</v>
      </c>
      <c r="U143" s="105">
        <f>VLOOKUP(A143,'Rate Calculation'!$A$4:$DK$210,20,FALSE)</f>
        <v>-22.83</v>
      </c>
      <c r="V143" s="113">
        <f t="shared" si="46"/>
        <v>-16.309999999999999</v>
      </c>
      <c r="W143" s="105">
        <f t="shared" si="47"/>
        <v>-22.25</v>
      </c>
      <c r="X143" s="111">
        <f t="shared" si="39"/>
        <v>0</v>
      </c>
      <c r="Y143" s="105">
        <f t="shared" si="48"/>
        <v>-22.25</v>
      </c>
      <c r="Z143" s="105">
        <f t="shared" si="49"/>
        <v>276.63</v>
      </c>
      <c r="AA143" s="105">
        <f t="shared" si="50"/>
        <v>-21.14</v>
      </c>
      <c r="AB143" s="111">
        <f t="shared" si="51"/>
        <v>-297.77</v>
      </c>
      <c r="AC143" s="105" t="e">
        <f t="shared" si="52"/>
        <v>#VALUE!</v>
      </c>
      <c r="AD143" s="105" t="e">
        <f t="shared" si="40"/>
        <v>#VALUE!</v>
      </c>
      <c r="AE143" s="105" t="e">
        <f t="shared" si="41"/>
        <v>#DIV/0!</v>
      </c>
      <c r="AF143" s="105" t="e">
        <f t="shared" si="42"/>
        <v>#VALUE!</v>
      </c>
      <c r="AG143" s="105" t="e">
        <f t="shared" si="43"/>
        <v>#VALUE!</v>
      </c>
      <c r="AH143" s="111"/>
      <c r="AI143" s="105"/>
      <c r="AJ143" s="105"/>
      <c r="AK143" s="109"/>
      <c r="AL143" s="109"/>
      <c r="AM143" s="109"/>
      <c r="AN143" s="109"/>
      <c r="AO143" s="105"/>
      <c r="AP143" s="105"/>
      <c r="AQ143" s="109"/>
      <c r="AR143" s="110"/>
      <c r="AS143" s="110"/>
      <c r="AT143" s="110"/>
      <c r="AU143" s="110"/>
      <c r="AV143" s="110"/>
      <c r="AW143" s="112"/>
      <c r="AX143" s="112"/>
      <c r="AY143" s="110"/>
      <c r="AZ143" s="105"/>
      <c r="BA143" s="105"/>
      <c r="BB143" s="105"/>
      <c r="BC143" s="105"/>
      <c r="BD143" s="105"/>
      <c r="BE143" s="105"/>
    </row>
    <row r="144" spans="1:57" x14ac:dyDescent="0.15">
      <c r="A144" s="101">
        <v>302</v>
      </c>
      <c r="B144" s="98" t="e">
        <f>VLOOKUP($A144,'Rate Calculation'!$A$4:$CS$210,68,FALSE)</f>
        <v>#REF!</v>
      </c>
      <c r="C144" s="98" t="str">
        <f>UPPER(VLOOKUP($A144,'Rate Calculation'!$A$4:$CL$210,69,FALSE))</f>
        <v>91776</v>
      </c>
      <c r="D144" s="104" t="str">
        <f>VLOOKUP($A144,'Rate Calculation'!$A$4:$AJ$210,5,FALSE)</f>
        <v>EASTERN REGION</v>
      </c>
      <c r="E144" s="104" t="str">
        <f>VLOOKUP($A144,'Rate Calculation'!$A$4:$AJ$210,6,FALSE)</f>
        <v>NON METRO</v>
      </c>
      <c r="F144" s="105">
        <f>VLOOKUP(A144,'Rate Calculation'!$A$3:$AT$210,35,FALSE)</f>
        <v>40089</v>
      </c>
      <c r="G144" s="105">
        <f>VLOOKUP(A144,'Rate Calculation'!$A$3:$AT$210,30,FALSE)</f>
        <v>49410</v>
      </c>
      <c r="H144" s="105">
        <f>VLOOKUP(A144,'Rate Calculation'!$A$3:$AW$210,36,FALSE)+VLOOKUP(A144,'Rate Calculation'!$A$3:$CC$210,42,FALSE)</f>
        <v>669163516</v>
      </c>
      <c r="I144" s="105">
        <f t="shared" si="44"/>
        <v>-31.63</v>
      </c>
      <c r="J144" s="105" t="str">
        <f>VLOOKUP(A144,'Rate Calculation'!$A$3:$BL$210,43,FALSE)</f>
        <v>Manokin Nursing and Rehab</v>
      </c>
      <c r="K144" s="105">
        <f t="shared" si="53"/>
        <v>669252983.37</v>
      </c>
      <c r="L144" s="164">
        <f t="shared" si="37"/>
        <v>0.98772000000000004</v>
      </c>
      <c r="M144" s="105">
        <f t="shared" si="45"/>
        <v>661034556.73000002</v>
      </c>
      <c r="N144" s="105" t="e">
        <f>VLOOKUP(A144,'Rate Calculation'!$A$4:$DK$210,47,FALSE)</f>
        <v>#DIV/0!</v>
      </c>
      <c r="O144" s="106">
        <f>VLOOKUP(A144,'Rate Calculation'!$A$4:$DK$210,10,FALSE)</f>
        <v>1.0309999999999999</v>
      </c>
      <c r="P144" s="114">
        <f t="shared" si="38"/>
        <v>1.4432</v>
      </c>
      <c r="Q144" s="114">
        <f>VLOOKUP(A144,'CMI Data'!$A$3:$Z$209,7,FALSE)</f>
        <v>0</v>
      </c>
      <c r="R144" s="120" t="e">
        <f>+'CMI Data'!$I$214</f>
        <v>#DIV/0!</v>
      </c>
      <c r="S144" s="106">
        <f>IF(Q144=0,'CMI Data'!$I$213,ROUND(Q144*R144,4))</f>
        <v>1.4061999999999999</v>
      </c>
      <c r="T144" s="105">
        <f>VLOOKUP(A144,'Rate Calculation'!$A$4:$DK$210,16,FALSE)</f>
        <v>173.52</v>
      </c>
      <c r="U144" s="105">
        <f>VLOOKUP(A144,'Rate Calculation'!$A$4:$DK$210,20,FALSE)</f>
        <v>-32.46</v>
      </c>
      <c r="V144" s="113">
        <f t="shared" si="46"/>
        <v>-23.19</v>
      </c>
      <c r="W144" s="105">
        <f t="shared" si="47"/>
        <v>-31.63</v>
      </c>
      <c r="X144" s="111">
        <f t="shared" si="39"/>
        <v>0</v>
      </c>
      <c r="Y144" s="105">
        <f t="shared" si="48"/>
        <v>-31.63</v>
      </c>
      <c r="Z144" s="105">
        <f t="shared" si="49"/>
        <v>236.67</v>
      </c>
      <c r="AA144" s="105">
        <f t="shared" si="50"/>
        <v>-30.05</v>
      </c>
      <c r="AB144" s="111">
        <f t="shared" si="51"/>
        <v>-266.72000000000003</v>
      </c>
      <c r="AC144" s="105" t="e">
        <f t="shared" si="52"/>
        <v>#VALUE!</v>
      </c>
      <c r="AD144" s="105" t="e">
        <f t="shared" si="40"/>
        <v>#VALUE!</v>
      </c>
      <c r="AE144" s="105" t="e">
        <f t="shared" si="41"/>
        <v>#DIV/0!</v>
      </c>
      <c r="AF144" s="105" t="e">
        <f t="shared" si="42"/>
        <v>#VALUE!</v>
      </c>
      <c r="AG144" s="105" t="e">
        <f t="shared" si="43"/>
        <v>#VALUE!</v>
      </c>
      <c r="AH144" s="111"/>
      <c r="AI144" s="105"/>
      <c r="AJ144" s="105"/>
      <c r="AK144" s="109"/>
      <c r="AL144" s="109"/>
      <c r="AM144" s="109"/>
      <c r="AN144" s="109"/>
      <c r="AO144" s="105"/>
      <c r="AP144" s="105"/>
      <c r="AQ144" s="109"/>
      <c r="AR144" s="110"/>
      <c r="AS144" s="110"/>
      <c r="AT144" s="110"/>
      <c r="AU144" s="110"/>
      <c r="AV144" s="110"/>
      <c r="AW144" s="112"/>
      <c r="AX144" s="112"/>
      <c r="AY144" s="110"/>
      <c r="AZ144" s="105"/>
      <c r="BA144" s="105"/>
      <c r="BB144" s="105"/>
      <c r="BC144" s="105"/>
      <c r="BD144" s="105"/>
      <c r="BE144" s="105"/>
    </row>
    <row r="145" spans="1:57" x14ac:dyDescent="0.15">
      <c r="A145" s="101">
        <v>320</v>
      </c>
      <c r="B145" s="98" t="e">
        <f>VLOOKUP($A145,'Rate Calculation'!$A$4:$CS$210,68,FALSE)</f>
        <v>#REF!</v>
      </c>
      <c r="C145" s="98" t="str">
        <f>UPPER(VLOOKUP($A145,'Rate Calculation'!$A$4:$CL$210,69,FALSE))</f>
        <v>184301</v>
      </c>
      <c r="D145" s="104" t="str">
        <f>VLOOKUP($A145,'Rate Calculation'!$A$4:$AJ$210,5,FALSE)</f>
        <v>BALTIMORE METRO</v>
      </c>
      <c r="E145" s="104" t="str">
        <f>VLOOKUP($A145,'Rate Calculation'!$A$4:$AJ$210,6,FALSE)</f>
        <v>BALTIMORE CITY</v>
      </c>
      <c r="F145" s="105">
        <f>VLOOKUP(A145,'Rate Calculation'!$A$3:$AT$210,35,FALSE)</f>
        <v>31112</v>
      </c>
      <c r="G145" s="105">
        <f>VLOOKUP(A145,'Rate Calculation'!$A$3:$AT$210,30,FALSE)</f>
        <v>47640</v>
      </c>
      <c r="H145" s="105">
        <f>VLOOKUP(A145,'Rate Calculation'!$A$3:$AW$210,36,FALSE)+VLOOKUP(A145,'Rate Calculation'!$A$3:$CC$210,42,FALSE)</f>
        <v>889721437</v>
      </c>
      <c r="I145" s="105">
        <f t="shared" si="44"/>
        <v>-0.89</v>
      </c>
      <c r="J145" s="105" t="str">
        <f>VLOOKUP(A145,'Rate Calculation'!$A$3:$BL$210,43,FALSE)</f>
        <v>Roland Park Rehabilitation and Healthcare Center</v>
      </c>
      <c r="K145" s="105">
        <f t="shared" si="53"/>
        <v>889800188.11000001</v>
      </c>
      <c r="L145" s="164">
        <f t="shared" si="37"/>
        <v>0.98772000000000004</v>
      </c>
      <c r="M145" s="105">
        <f t="shared" si="45"/>
        <v>878873441.79999995</v>
      </c>
      <c r="N145" s="105" t="e">
        <f>VLOOKUP(A145,'Rate Calculation'!$A$4:$DK$210,47,FALSE)</f>
        <v>#DIV/0!</v>
      </c>
      <c r="O145" s="106">
        <f>VLOOKUP(A145,'Rate Calculation'!$A$4:$DK$210,10,FALSE)</f>
        <v>1.0309999999999999</v>
      </c>
      <c r="P145" s="114">
        <f t="shared" si="38"/>
        <v>1.4432</v>
      </c>
      <c r="Q145" s="114">
        <f>VLOOKUP(A145,'CMI Data'!$A$3:$Z$209,7,FALSE)</f>
        <v>0</v>
      </c>
      <c r="R145" s="120" t="e">
        <f>+'CMI Data'!$I$214</f>
        <v>#DIV/0!</v>
      </c>
      <c r="S145" s="106">
        <f>IF(Q145=0,'CMI Data'!$I$213,ROUND(Q145*R145,4))</f>
        <v>1.4061999999999999</v>
      </c>
      <c r="T145" s="105">
        <f>VLOOKUP(A145,'Rate Calculation'!$A$4:$DK$210,16,FALSE)</f>
        <v>171.25</v>
      </c>
      <c r="U145" s="105">
        <f>VLOOKUP(A145,'Rate Calculation'!$A$4:$DK$210,20,FALSE)</f>
        <v>-0.91</v>
      </c>
      <c r="V145" s="113">
        <f t="shared" si="46"/>
        <v>-0.65</v>
      </c>
      <c r="W145" s="105">
        <f t="shared" si="47"/>
        <v>-0.89</v>
      </c>
      <c r="X145" s="111">
        <f t="shared" si="39"/>
        <v>0</v>
      </c>
      <c r="Y145" s="105">
        <f t="shared" si="48"/>
        <v>-0.89</v>
      </c>
      <c r="Z145" s="105">
        <f t="shared" si="49"/>
        <v>233.57</v>
      </c>
      <c r="AA145" s="105">
        <f t="shared" si="50"/>
        <v>-0.85</v>
      </c>
      <c r="AB145" s="111">
        <f t="shared" si="51"/>
        <v>-234.42</v>
      </c>
      <c r="AC145" s="105" t="e">
        <f t="shared" si="52"/>
        <v>#VALUE!</v>
      </c>
      <c r="AD145" s="105" t="e">
        <f t="shared" si="40"/>
        <v>#VALUE!</v>
      </c>
      <c r="AE145" s="105" t="e">
        <f t="shared" si="41"/>
        <v>#DIV/0!</v>
      </c>
      <c r="AF145" s="105" t="e">
        <f t="shared" si="42"/>
        <v>#VALUE!</v>
      </c>
      <c r="AG145" s="105" t="e">
        <f t="shared" si="43"/>
        <v>#VALUE!</v>
      </c>
      <c r="AH145" s="111"/>
      <c r="AI145" s="105"/>
      <c r="AJ145" s="105"/>
      <c r="AK145" s="109"/>
      <c r="AL145" s="109"/>
      <c r="AM145" s="109"/>
      <c r="AN145" s="109"/>
      <c r="AO145" s="105"/>
      <c r="AP145" s="105"/>
      <c r="AQ145" s="109"/>
      <c r="AR145" s="110"/>
      <c r="AS145" s="110"/>
      <c r="AT145" s="110"/>
      <c r="AU145" s="110"/>
      <c r="AV145" s="110"/>
      <c r="AW145" s="112"/>
      <c r="AX145" s="112"/>
      <c r="AY145" s="110"/>
      <c r="AZ145" s="105"/>
      <c r="BA145" s="105"/>
      <c r="BB145" s="105"/>
      <c r="BC145" s="105"/>
      <c r="BD145" s="105"/>
      <c r="BE145" s="105"/>
    </row>
    <row r="146" spans="1:57" x14ac:dyDescent="0.15">
      <c r="A146" s="101">
        <v>322</v>
      </c>
      <c r="B146" s="98" t="e">
        <f>VLOOKUP($A146,'Rate Calculation'!$A$4:$CS$210,68,FALSE)</f>
        <v>#REF!</v>
      </c>
      <c r="C146" s="98" t="str">
        <f>UPPER(VLOOKUP($A146,'Rate Calculation'!$A$4:$CL$210,69,FALSE))</f>
        <v>63801</v>
      </c>
      <c r="D146" s="104" t="str">
        <f>VLOOKUP($A146,'Rate Calculation'!$A$4:$AJ$210,5,FALSE)</f>
        <v>BALTIMORE METRO</v>
      </c>
      <c r="E146" s="104" t="str">
        <f>VLOOKUP($A146,'Rate Calculation'!$A$4:$AJ$210,6,FALSE)</f>
        <v>BALTIMORE METRO</v>
      </c>
      <c r="F146" s="105">
        <f>VLOOKUP(A146,'Rate Calculation'!$A$3:$AT$210,35,FALSE)</f>
        <v>35472</v>
      </c>
      <c r="G146" s="105">
        <f>VLOOKUP(A146,'Rate Calculation'!$A$3:$AT$210,30,FALSE)</f>
        <v>68284</v>
      </c>
      <c r="H146" s="105">
        <f>VLOOKUP(A146,'Rate Calculation'!$A$3:$AW$210,36,FALSE)+VLOOKUP(A146,'Rate Calculation'!$A$3:$CC$210,42,FALSE)</f>
        <v>889735551</v>
      </c>
      <c r="I146" s="105">
        <f t="shared" si="44"/>
        <v>-0.45</v>
      </c>
      <c r="J146" s="105" t="str">
        <f>VLOOKUP(A146,'Rate Calculation'!$A$3:$BL$210,43,FALSE)</f>
        <v>Rossville Rehabilitation and Healthcare Center</v>
      </c>
      <c r="K146" s="105">
        <f t="shared" si="53"/>
        <v>889839306.54999995</v>
      </c>
      <c r="L146" s="164">
        <f t="shared" si="37"/>
        <v>0.98772000000000004</v>
      </c>
      <c r="M146" s="105">
        <f t="shared" si="45"/>
        <v>878912079.87</v>
      </c>
      <c r="N146" s="105" t="e">
        <f>VLOOKUP(A146,'Rate Calculation'!$A$4:$DK$210,47,FALSE)</f>
        <v>#DIV/0!</v>
      </c>
      <c r="O146" s="106">
        <f>VLOOKUP(A146,'Rate Calculation'!$A$4:$DK$210,10,FALSE)</f>
        <v>1.0309999999999999</v>
      </c>
      <c r="P146" s="114">
        <f t="shared" si="38"/>
        <v>1.4432</v>
      </c>
      <c r="Q146" s="114">
        <f>VLOOKUP(A146,'CMI Data'!$A$3:$Z$209,7,FALSE)</f>
        <v>0</v>
      </c>
      <c r="R146" s="120" t="e">
        <f>+'CMI Data'!$I$214</f>
        <v>#DIV/0!</v>
      </c>
      <c r="S146" s="106">
        <f>IF(Q146=0,'CMI Data'!$I$213,ROUND(Q146*R146,4))</f>
        <v>1.4061999999999999</v>
      </c>
      <c r="T146" s="105">
        <f>VLOOKUP(A146,'Rate Calculation'!$A$4:$DK$210,16,FALSE)</f>
        <v>192.43</v>
      </c>
      <c r="U146" s="105">
        <f>VLOOKUP(A146,'Rate Calculation'!$A$4:$DK$210,20,FALSE)</f>
        <v>-0.46</v>
      </c>
      <c r="V146" s="113">
        <f t="shared" si="46"/>
        <v>-0.33</v>
      </c>
      <c r="W146" s="105">
        <f t="shared" si="47"/>
        <v>-0.45</v>
      </c>
      <c r="X146" s="111">
        <f t="shared" si="39"/>
        <v>0</v>
      </c>
      <c r="Y146" s="105">
        <f t="shared" si="48"/>
        <v>-0.45</v>
      </c>
      <c r="Z146" s="105">
        <f t="shared" si="49"/>
        <v>262.45999999999998</v>
      </c>
      <c r="AA146" s="105">
        <f t="shared" si="50"/>
        <v>-0.43</v>
      </c>
      <c r="AB146" s="111">
        <f t="shared" si="51"/>
        <v>-262.89</v>
      </c>
      <c r="AC146" s="105" t="e">
        <f t="shared" si="52"/>
        <v>#VALUE!</v>
      </c>
      <c r="AD146" s="105" t="e">
        <f t="shared" si="40"/>
        <v>#VALUE!</v>
      </c>
      <c r="AE146" s="105" t="e">
        <f t="shared" si="41"/>
        <v>#DIV/0!</v>
      </c>
      <c r="AF146" s="105" t="e">
        <f t="shared" si="42"/>
        <v>#VALUE!</v>
      </c>
      <c r="AG146" s="105" t="e">
        <f t="shared" si="43"/>
        <v>#VALUE!</v>
      </c>
      <c r="AH146" s="111"/>
      <c r="AI146" s="105"/>
      <c r="AJ146" s="105"/>
      <c r="AK146" s="109"/>
      <c r="AL146" s="109"/>
      <c r="AM146" s="109"/>
      <c r="AN146" s="109"/>
      <c r="AO146" s="105"/>
      <c r="AP146" s="105"/>
      <c r="AQ146" s="109"/>
      <c r="AR146" s="110"/>
      <c r="AS146" s="110"/>
      <c r="AT146" s="110"/>
      <c r="AU146" s="110"/>
      <c r="AV146" s="110"/>
      <c r="AW146" s="112"/>
      <c r="AX146" s="112"/>
      <c r="AY146" s="110"/>
      <c r="AZ146" s="105"/>
      <c r="BA146" s="105"/>
      <c r="BB146" s="105"/>
      <c r="BC146" s="105"/>
      <c r="BD146" s="105"/>
      <c r="BE146" s="105"/>
    </row>
    <row r="147" spans="1:57" x14ac:dyDescent="0.15">
      <c r="A147" s="101">
        <v>316</v>
      </c>
      <c r="B147" s="98" t="e">
        <f>VLOOKUP($A147,'Rate Calculation'!$A$4:$CS$210,68,FALSE)</f>
        <v>#REF!</v>
      </c>
      <c r="C147" s="98" t="str">
        <f>UPPER(VLOOKUP($A147,'Rate Calculation'!$A$4:$CL$210,69,FALSE))</f>
        <v>78081</v>
      </c>
      <c r="D147" s="104" t="str">
        <f>VLOOKUP($A147,'Rate Calculation'!$A$4:$AJ$210,5,FALSE)</f>
        <v>BALTIMORE METRO</v>
      </c>
      <c r="E147" s="104" t="str">
        <f>VLOOKUP($A147,'Rate Calculation'!$A$4:$AJ$210,6,FALSE)</f>
        <v>BALTIMORE METRO</v>
      </c>
      <c r="F147" s="105">
        <f>VLOOKUP(A147,'Rate Calculation'!$A$3:$AT$210,35,FALSE)</f>
        <v>29159</v>
      </c>
      <c r="G147" s="105">
        <f>VLOOKUP(A147,'Rate Calculation'!$A$3:$AT$210,30,FALSE)</f>
        <v>49625</v>
      </c>
      <c r="H147" s="105">
        <f>VLOOKUP(A147,'Rate Calculation'!$A$3:$AW$210,36,FALSE)+VLOOKUP(A147,'Rate Calculation'!$A$3:$CC$210,42,FALSE)</f>
        <v>889531800</v>
      </c>
      <c r="I147" s="105">
        <f t="shared" si="44"/>
        <v>0</v>
      </c>
      <c r="J147" s="105" t="str">
        <f>VLOOKUP(A147,'Rate Calculation'!$A$3:$BL$210,43,FALSE)</f>
        <v>Towson Rehabilitation and Healthcare Center</v>
      </c>
      <c r="K147" s="105">
        <f t="shared" si="53"/>
        <v>889610584</v>
      </c>
      <c r="L147" s="164">
        <f t="shared" si="37"/>
        <v>0.98772000000000004</v>
      </c>
      <c r="M147" s="105">
        <f t="shared" si="45"/>
        <v>878686166.02999997</v>
      </c>
      <c r="N147" s="105" t="e">
        <f>VLOOKUP(A147,'Rate Calculation'!$A$4:$DK$210,47,FALSE)</f>
        <v>#DIV/0!</v>
      </c>
      <c r="O147" s="106">
        <f>VLOOKUP(A147,'Rate Calculation'!$A$4:$DK$210,10,FALSE)</f>
        <v>1.0309999999999999</v>
      </c>
      <c r="P147" s="114">
        <f t="shared" si="38"/>
        <v>1.4432</v>
      </c>
      <c r="Q147" s="114">
        <f>VLOOKUP(A147,'CMI Data'!$A$3:$Z$209,7,FALSE)</f>
        <v>0</v>
      </c>
      <c r="R147" s="120" t="e">
        <f>+'CMI Data'!$I$214</f>
        <v>#DIV/0!</v>
      </c>
      <c r="S147" s="106">
        <f>IF(Q147=0,'CMI Data'!$I$213,ROUND(Q147*R147,4))</f>
        <v>1.4061999999999999</v>
      </c>
      <c r="T147" s="105">
        <f>VLOOKUP(A147,'Rate Calculation'!$A$4:$DK$210,16,FALSE)</f>
        <v>187.51</v>
      </c>
      <c r="U147" s="105">
        <f>VLOOKUP(A147,'Rate Calculation'!$A$4:$DK$210,20,FALSE)</f>
        <v>0</v>
      </c>
      <c r="V147" s="113">
        <f t="shared" si="46"/>
        <v>0</v>
      </c>
      <c r="W147" s="105">
        <f t="shared" si="47"/>
        <v>0</v>
      </c>
      <c r="X147" s="111">
        <f t="shared" si="39"/>
        <v>0</v>
      </c>
      <c r="Y147" s="105">
        <f t="shared" si="48"/>
        <v>0</v>
      </c>
      <c r="Z147" s="105">
        <f t="shared" si="49"/>
        <v>255.75</v>
      </c>
      <c r="AA147" s="105">
        <f t="shared" si="50"/>
        <v>0</v>
      </c>
      <c r="AB147" s="111">
        <f t="shared" si="51"/>
        <v>-255.75</v>
      </c>
      <c r="AC147" s="105" t="e">
        <f t="shared" si="52"/>
        <v>#VALUE!</v>
      </c>
      <c r="AD147" s="105" t="e">
        <f t="shared" si="40"/>
        <v>#VALUE!</v>
      </c>
      <c r="AE147" s="105" t="e">
        <f t="shared" si="41"/>
        <v>#DIV/0!</v>
      </c>
      <c r="AF147" s="105" t="e">
        <f t="shared" si="42"/>
        <v>#VALUE!</v>
      </c>
      <c r="AG147" s="105" t="e">
        <f t="shared" si="43"/>
        <v>#VALUE!</v>
      </c>
      <c r="AH147" s="111"/>
      <c r="AI147" s="105"/>
      <c r="AJ147" s="105"/>
      <c r="AK147" s="109"/>
      <c r="AL147" s="109"/>
      <c r="AM147" s="109"/>
      <c r="AN147" s="109"/>
      <c r="AO147" s="113"/>
      <c r="AP147" s="113"/>
      <c r="AQ147" s="113"/>
      <c r="AR147" s="113"/>
      <c r="AS147" s="113"/>
      <c r="AT147" s="113"/>
      <c r="AU147" s="113"/>
      <c r="AV147" s="113"/>
      <c r="AW147" s="113"/>
      <c r="AX147" s="113"/>
      <c r="AY147" s="110"/>
      <c r="AZ147" s="105"/>
      <c r="BA147" s="105"/>
      <c r="BB147" s="105"/>
      <c r="BC147" s="105"/>
      <c r="BD147" s="105"/>
      <c r="BE147" s="105"/>
    </row>
    <row r="148" spans="1:57" x14ac:dyDescent="0.15">
      <c r="A148" s="101">
        <v>739</v>
      </c>
      <c r="B148" s="98" t="e">
        <f>VLOOKUP($A148,'Rate Calculation'!$A$4:$CS$210,68,FALSE)</f>
        <v>#REF!</v>
      </c>
      <c r="C148" s="98" t="str">
        <f>UPPER(VLOOKUP($A148,'Rate Calculation'!$A$4:$CL$210,69,FALSE))</f>
        <v>87188</v>
      </c>
      <c r="D148" s="104" t="str">
        <f>VLOOKUP($A148,'Rate Calculation'!$A$4:$AJ$210,5,FALSE)</f>
        <v>BALTIMORE METRO</v>
      </c>
      <c r="E148" s="104" t="str">
        <f>VLOOKUP($A148,'Rate Calculation'!$A$4:$AJ$210,6,FALSE)</f>
        <v>BALTIMORE METRO</v>
      </c>
      <c r="F148" s="105">
        <f>VLOOKUP(A148,'Rate Calculation'!$A$3:$AT$210,35,FALSE)</f>
        <v>26264</v>
      </c>
      <c r="G148" s="105">
        <f>VLOOKUP(A148,'Rate Calculation'!$A$3:$AT$210,30,FALSE)</f>
        <v>34770</v>
      </c>
      <c r="H148" s="105">
        <f>VLOOKUP(A148,'Rate Calculation'!$A$3:$AW$210,36,FALSE)+VLOOKUP(A148,'Rate Calculation'!$A$3:$CC$210,42,FALSE)</f>
        <v>414461453</v>
      </c>
      <c r="I148" s="105">
        <f t="shared" si="44"/>
        <v>-21.65</v>
      </c>
      <c r="J148" s="105" t="str">
        <f>VLOOKUP(A148,'Rate Calculation'!$A$3:$BL$210,43,FALSE)</f>
        <v>Marley Neck Health and Rehabilitation Center</v>
      </c>
      <c r="K148" s="105">
        <f t="shared" si="53"/>
        <v>414522465.35000002</v>
      </c>
      <c r="L148" s="164">
        <f t="shared" si="37"/>
        <v>0.98772000000000004</v>
      </c>
      <c r="M148" s="105">
        <f t="shared" si="45"/>
        <v>409432129.48000002</v>
      </c>
      <c r="N148" s="105" t="e">
        <f>VLOOKUP(A148,'Rate Calculation'!$A$4:$DK$210,47,FALSE)</f>
        <v>#DIV/0!</v>
      </c>
      <c r="O148" s="106">
        <f>VLOOKUP(A148,'Rate Calculation'!$A$4:$DK$210,10,FALSE)</f>
        <v>1.0309999999999999</v>
      </c>
      <c r="P148" s="114">
        <f t="shared" si="38"/>
        <v>1.4432</v>
      </c>
      <c r="Q148" s="114">
        <f>VLOOKUP(A148,'CMI Data'!$A$3:$Z$209,7,FALSE)</f>
        <v>0</v>
      </c>
      <c r="R148" s="120" t="e">
        <f>+'CMI Data'!$I$214</f>
        <v>#DIV/0!</v>
      </c>
      <c r="S148" s="106">
        <f>IF(Q148=0,'CMI Data'!$I$213,ROUND(Q148*R148,4))</f>
        <v>1.4061999999999999</v>
      </c>
      <c r="T148" s="105">
        <f>VLOOKUP(A148,'Rate Calculation'!$A$4:$DK$210,16,FALSE)</f>
        <v>174.24</v>
      </c>
      <c r="U148" s="105">
        <f>VLOOKUP(A148,'Rate Calculation'!$A$4:$DK$210,20,FALSE)</f>
        <v>-22.21</v>
      </c>
      <c r="V148" s="113">
        <f t="shared" si="46"/>
        <v>-15.87</v>
      </c>
      <c r="W148" s="105">
        <f t="shared" si="47"/>
        <v>-21.65</v>
      </c>
      <c r="X148" s="111">
        <f t="shared" si="39"/>
        <v>0</v>
      </c>
      <c r="Y148" s="105">
        <f t="shared" si="48"/>
        <v>-21.65</v>
      </c>
      <c r="Z148" s="105">
        <f t="shared" si="49"/>
        <v>237.65</v>
      </c>
      <c r="AA148" s="105">
        <f t="shared" si="50"/>
        <v>-20.57</v>
      </c>
      <c r="AB148" s="111">
        <f t="shared" si="51"/>
        <v>-258.22000000000003</v>
      </c>
      <c r="AC148" s="105" t="e">
        <f t="shared" si="52"/>
        <v>#VALUE!</v>
      </c>
      <c r="AD148" s="105" t="e">
        <f t="shared" si="40"/>
        <v>#VALUE!</v>
      </c>
      <c r="AE148" s="105" t="e">
        <f t="shared" si="41"/>
        <v>#DIV/0!</v>
      </c>
      <c r="AF148" s="105" t="e">
        <f t="shared" si="42"/>
        <v>#VALUE!</v>
      </c>
      <c r="AG148" s="105" t="e">
        <f t="shared" si="43"/>
        <v>#VALUE!</v>
      </c>
      <c r="AH148" s="111"/>
      <c r="AI148" s="105"/>
      <c r="AJ148" s="105"/>
      <c r="AK148" s="109"/>
      <c r="AL148" s="109"/>
      <c r="AM148" s="109"/>
      <c r="AN148" s="109"/>
      <c r="AO148" s="105"/>
      <c r="AP148" s="105"/>
      <c r="AQ148" s="109"/>
      <c r="AR148" s="110"/>
      <c r="AS148" s="110"/>
      <c r="AT148" s="110"/>
      <c r="AU148" s="110"/>
      <c r="AV148" s="110"/>
      <c r="AW148" s="112"/>
      <c r="AX148" s="112"/>
      <c r="AY148" s="110"/>
      <c r="AZ148" s="105"/>
      <c r="BA148" s="105"/>
      <c r="BB148" s="105"/>
      <c r="BC148" s="105"/>
      <c r="BD148" s="105"/>
      <c r="BE148" s="105"/>
    </row>
    <row r="149" spans="1:57" x14ac:dyDescent="0.15">
      <c r="A149" s="101">
        <v>332</v>
      </c>
      <c r="B149" s="98" t="e">
        <f>VLOOKUP($A149,'Rate Calculation'!$A$4:$CS$210,68,FALSE)</f>
        <v>#REF!</v>
      </c>
      <c r="C149" s="98" t="str">
        <f>UPPER(VLOOKUP($A149,'Rate Calculation'!$A$4:$CL$210,69,FALSE))</f>
        <v>0</v>
      </c>
      <c r="D149" s="104" t="str">
        <f>VLOOKUP($A149,'Rate Calculation'!$A$4:$AJ$210,5,FALSE)</f>
        <v>BALTIMORE METRO</v>
      </c>
      <c r="E149" s="104" t="str">
        <f>VLOOKUP($A149,'Rate Calculation'!$A$4:$AJ$210,6,FALSE)</f>
        <v>BALTIMORE CITY</v>
      </c>
      <c r="F149" s="105">
        <f>VLOOKUP(A149,'Rate Calculation'!$A$3:$AT$210,35,FALSE)</f>
        <v>0</v>
      </c>
      <c r="G149" s="105">
        <f>VLOOKUP(A149,'Rate Calculation'!$A$3:$AT$210,30,FALSE)</f>
        <v>10614</v>
      </c>
      <c r="H149" s="105">
        <f>VLOOKUP(A149,'Rate Calculation'!$A$3:$AW$210,36,FALSE)+VLOOKUP(A149,'Rate Calculation'!$A$3:$CC$210,42,FALSE)</f>
        <v>301187900</v>
      </c>
      <c r="I149" s="105">
        <f t="shared" si="44"/>
        <v>-33.81</v>
      </c>
      <c r="J149" s="105" t="str">
        <f>VLOOKUP(A149,'Rate Calculation'!$A$3:$BL$210,43,FALSE)</f>
        <v>Maryland Baptist Aged Home</v>
      </c>
      <c r="K149" s="105">
        <f t="shared" si="53"/>
        <v>301198480.19</v>
      </c>
      <c r="L149" s="164">
        <f t="shared" si="37"/>
        <v>0.98772000000000004</v>
      </c>
      <c r="M149" s="105">
        <f t="shared" si="45"/>
        <v>297499762.85000002</v>
      </c>
      <c r="N149" s="105" t="e">
        <f>VLOOKUP(A149,'Rate Calculation'!$A$4:$DK$210,47,FALSE)</f>
        <v>#DIV/0!</v>
      </c>
      <c r="O149" s="106">
        <f>VLOOKUP(A149,'Rate Calculation'!$A$4:$DK$210,10,FALSE)</f>
        <v>1.0309999999999999</v>
      </c>
      <c r="P149" s="114">
        <f t="shared" si="38"/>
        <v>1.4432</v>
      </c>
      <c r="Q149" s="114">
        <f>VLOOKUP(A149,'CMI Data'!$A$3:$Z$209,7,FALSE)</f>
        <v>0</v>
      </c>
      <c r="R149" s="120" t="e">
        <f>+'CMI Data'!$I$214</f>
        <v>#DIV/0!</v>
      </c>
      <c r="S149" s="106">
        <f>IF(Q149=0,'CMI Data'!$I$213,ROUND(Q149*R149,4))</f>
        <v>1.4061999999999999</v>
      </c>
      <c r="T149" s="105">
        <f>VLOOKUP(A149,'Rate Calculation'!$A$4:$DK$210,16,FALSE)</f>
        <v>148.05000000000001</v>
      </c>
      <c r="U149" s="105">
        <f>VLOOKUP(A149,'Rate Calculation'!$A$4:$DK$210,20,FALSE)</f>
        <v>-34.700000000000003</v>
      </c>
      <c r="V149" s="113">
        <f t="shared" si="46"/>
        <v>-24.79</v>
      </c>
      <c r="W149" s="105">
        <f t="shared" si="47"/>
        <v>-33.81</v>
      </c>
      <c r="X149" s="111">
        <f t="shared" si="39"/>
        <v>0</v>
      </c>
      <c r="Y149" s="105">
        <f t="shared" si="48"/>
        <v>-33.81</v>
      </c>
      <c r="Z149" s="105">
        <f t="shared" si="49"/>
        <v>201.93</v>
      </c>
      <c r="AA149" s="105">
        <f t="shared" si="50"/>
        <v>-32.119999999999997</v>
      </c>
      <c r="AB149" s="111">
        <f t="shared" si="51"/>
        <v>-234.05</v>
      </c>
      <c r="AC149" s="105" t="e">
        <f t="shared" si="52"/>
        <v>#VALUE!</v>
      </c>
      <c r="AD149" s="105" t="e">
        <f t="shared" si="40"/>
        <v>#VALUE!</v>
      </c>
      <c r="AE149" s="105" t="e">
        <f t="shared" si="41"/>
        <v>#DIV/0!</v>
      </c>
      <c r="AF149" s="105" t="e">
        <f t="shared" si="42"/>
        <v>#VALUE!</v>
      </c>
      <c r="AG149" s="105" t="e">
        <f t="shared" si="43"/>
        <v>#VALUE!</v>
      </c>
      <c r="AH149" s="111"/>
      <c r="AI149" s="105"/>
      <c r="AJ149" s="105"/>
      <c r="AK149" s="109"/>
      <c r="AL149" s="109"/>
      <c r="AM149" s="109"/>
      <c r="AN149" s="109"/>
      <c r="AO149" s="105"/>
      <c r="AP149" s="105"/>
      <c r="AQ149" s="109"/>
      <c r="AR149" s="110"/>
      <c r="AS149" s="110"/>
      <c r="AT149" s="110"/>
      <c r="AU149" s="110"/>
      <c r="AV149" s="110"/>
      <c r="AW149" s="112"/>
      <c r="AX149" s="112"/>
      <c r="AY149" s="110"/>
      <c r="AZ149" s="105"/>
      <c r="BA149" s="105"/>
      <c r="BB149" s="105"/>
      <c r="BC149" s="105"/>
      <c r="BD149" s="105"/>
      <c r="BE149" s="105"/>
    </row>
    <row r="150" spans="1:57" x14ac:dyDescent="0.15">
      <c r="A150" s="101">
        <v>1326</v>
      </c>
      <c r="B150" s="98" t="e">
        <f>VLOOKUP($A150,'Rate Calculation'!$A$4:$CS$210,68,FALSE)</f>
        <v>#REF!</v>
      </c>
      <c r="C150" s="98" t="str">
        <f>UPPER(VLOOKUP($A150,'Rate Calculation'!$A$4:$CL$210,69,FALSE))</f>
        <v>27696</v>
      </c>
      <c r="D150" s="104" t="str">
        <f>VLOOKUP($A150,'Rate Calculation'!$A$4:$AJ$210,5,FALSE)</f>
        <v>BALTIMORE METRO</v>
      </c>
      <c r="E150" s="104" t="str">
        <f>VLOOKUP($A150,'Rate Calculation'!$A$4:$AJ$210,6,FALSE)</f>
        <v>BALTIMORE METRO</v>
      </c>
      <c r="F150" s="105">
        <f>VLOOKUP(A150,'Rate Calculation'!$A$3:$AT$210,35,FALSE)</f>
        <v>0</v>
      </c>
      <c r="G150" s="105">
        <f>VLOOKUP(A150,'Rate Calculation'!$A$3:$AT$210,30,FALSE)</f>
        <v>32208</v>
      </c>
      <c r="H150" s="105">
        <f>VLOOKUP(A150,'Rate Calculation'!$A$3:$AW$210,36,FALSE)+VLOOKUP(A150,'Rate Calculation'!$A$3:$CC$210,42,FALSE)</f>
        <v>500172200</v>
      </c>
      <c r="I150" s="105">
        <f t="shared" si="44"/>
        <v>0</v>
      </c>
      <c r="J150" s="105" t="str">
        <f>VLOOKUP(A150,'Rate Calculation'!$A$3:$BL$210,43,FALSE)</f>
        <v>Maryland Masonic Homes, Ltd.</v>
      </c>
      <c r="K150" s="105">
        <f t="shared" si="53"/>
        <v>500204408</v>
      </c>
      <c r="L150" s="164">
        <f t="shared" si="37"/>
        <v>0.98772000000000004</v>
      </c>
      <c r="M150" s="105">
        <f t="shared" si="45"/>
        <v>494061897.87</v>
      </c>
      <c r="N150" s="105" t="e">
        <f>VLOOKUP(A150,'Rate Calculation'!$A$4:$DK$210,47,FALSE)</f>
        <v>#DIV/0!</v>
      </c>
      <c r="O150" s="106">
        <f>VLOOKUP(A150,'Rate Calculation'!$A$4:$DK$210,10,FALSE)</f>
        <v>1.0309999999999999</v>
      </c>
      <c r="P150" s="114">
        <f t="shared" si="38"/>
        <v>1.4432</v>
      </c>
      <c r="Q150" s="114">
        <f>VLOOKUP(A150,'CMI Data'!$A$3:$Z$209,7,FALSE)</f>
        <v>0</v>
      </c>
      <c r="R150" s="120" t="e">
        <f>+'CMI Data'!$I$214</f>
        <v>#DIV/0!</v>
      </c>
      <c r="S150" s="106">
        <f>IF(Q150=0,'CMI Data'!$I$213,ROUND(Q150*R150,4))</f>
        <v>1.4061999999999999</v>
      </c>
      <c r="T150" s="105">
        <f>VLOOKUP(A150,'Rate Calculation'!$A$4:$DK$210,16,FALSE)</f>
        <v>167.25</v>
      </c>
      <c r="U150" s="105">
        <f>VLOOKUP(A150,'Rate Calculation'!$A$4:$DK$210,20,FALSE)</f>
        <v>0</v>
      </c>
      <c r="V150" s="113">
        <f t="shared" si="46"/>
        <v>0</v>
      </c>
      <c r="W150" s="105">
        <f t="shared" si="47"/>
        <v>0</v>
      </c>
      <c r="X150" s="111">
        <f t="shared" si="39"/>
        <v>0</v>
      </c>
      <c r="Y150" s="105">
        <f t="shared" si="48"/>
        <v>0</v>
      </c>
      <c r="Z150" s="105">
        <f t="shared" si="49"/>
        <v>228.12</v>
      </c>
      <c r="AA150" s="105">
        <f t="shared" si="50"/>
        <v>0</v>
      </c>
      <c r="AB150" s="111">
        <f t="shared" si="51"/>
        <v>-228.12</v>
      </c>
      <c r="AC150" s="105" t="e">
        <f t="shared" si="52"/>
        <v>#VALUE!</v>
      </c>
      <c r="AD150" s="105" t="e">
        <f t="shared" si="40"/>
        <v>#VALUE!</v>
      </c>
      <c r="AE150" s="105" t="e">
        <f t="shared" si="41"/>
        <v>#DIV/0!</v>
      </c>
      <c r="AF150" s="105" t="e">
        <f t="shared" si="42"/>
        <v>#VALUE!</v>
      </c>
      <c r="AG150" s="105" t="e">
        <f t="shared" si="43"/>
        <v>#VALUE!</v>
      </c>
      <c r="AH150" s="111"/>
      <c r="AI150" s="105"/>
      <c r="AJ150" s="105"/>
      <c r="AK150" s="109"/>
      <c r="AL150" s="109"/>
      <c r="AM150" s="109"/>
      <c r="AN150" s="109"/>
      <c r="AO150" s="105"/>
      <c r="AP150" s="105"/>
      <c r="AQ150" s="109"/>
      <c r="AR150" s="110"/>
      <c r="AS150" s="110"/>
      <c r="AT150" s="110"/>
      <c r="AU150" s="110"/>
      <c r="AV150" s="110"/>
      <c r="AW150" s="112"/>
      <c r="AX150" s="112"/>
      <c r="AY150" s="110"/>
      <c r="AZ150" s="105"/>
      <c r="BA150" s="105"/>
      <c r="BB150" s="105"/>
      <c r="BC150" s="105"/>
      <c r="BD150" s="105"/>
      <c r="BE150" s="105"/>
    </row>
    <row r="151" spans="1:57" x14ac:dyDescent="0.15">
      <c r="A151" s="101">
        <v>326</v>
      </c>
      <c r="B151" s="98" t="e">
        <f>VLOOKUP($A151,'Rate Calculation'!$A$4:$CS$210,68,FALSE)</f>
        <v>#REF!</v>
      </c>
      <c r="C151" s="98" t="str">
        <f>UPPER(VLOOKUP($A151,'Rate Calculation'!$A$4:$CL$210,69,FALSE))</f>
        <v>115133</v>
      </c>
      <c r="D151" s="104" t="str">
        <f>VLOOKUP($A151,'Rate Calculation'!$A$4:$AJ$210,5,FALSE)</f>
        <v>BALTIMORE METRO</v>
      </c>
      <c r="E151" s="104" t="str">
        <f>VLOOKUP($A151,'Rate Calculation'!$A$4:$AJ$210,6,FALSE)</f>
        <v>BALTIMORE METRO</v>
      </c>
      <c r="F151" s="105">
        <f>VLOOKUP(A151,'Rate Calculation'!$A$3:$AT$210,35,FALSE)</f>
        <v>31347</v>
      </c>
      <c r="G151" s="105">
        <f>VLOOKUP(A151,'Rate Calculation'!$A$3:$AT$210,30,FALSE)</f>
        <v>43920</v>
      </c>
      <c r="H151" s="105">
        <f>VLOOKUP(A151,'Rate Calculation'!$A$3:$AW$210,36,FALSE)+VLOOKUP(A151,'Rate Calculation'!$A$3:$CC$210,42,FALSE)</f>
        <v>500349839</v>
      </c>
      <c r="I151" s="105">
        <f t="shared" si="44"/>
        <v>-33.42</v>
      </c>
      <c r="J151" s="105" t="str">
        <f>VLOOKUP(A151,'Rate Calculation'!$A$3:$BL$210,43,FALSE)</f>
        <v>Meadow Park Rehabilitation and Healthcare Center</v>
      </c>
      <c r="K151" s="105">
        <f t="shared" si="53"/>
        <v>500425072.57999998</v>
      </c>
      <c r="L151" s="164">
        <f t="shared" si="37"/>
        <v>0.98772000000000004</v>
      </c>
      <c r="M151" s="105">
        <f t="shared" si="45"/>
        <v>494279852.69</v>
      </c>
      <c r="N151" s="105" t="e">
        <f>VLOOKUP(A151,'Rate Calculation'!$A$4:$DK$210,47,FALSE)</f>
        <v>#DIV/0!</v>
      </c>
      <c r="O151" s="106">
        <f>VLOOKUP(A151,'Rate Calculation'!$A$4:$DK$210,10,FALSE)</f>
        <v>1.0309999999999999</v>
      </c>
      <c r="P151" s="114">
        <f t="shared" si="38"/>
        <v>1.4432</v>
      </c>
      <c r="Q151" s="114">
        <f>VLOOKUP(A151,'CMI Data'!$A$3:$Z$209,7,FALSE)</f>
        <v>0</v>
      </c>
      <c r="R151" s="120" t="e">
        <f>+'CMI Data'!$I$214</f>
        <v>#DIV/0!</v>
      </c>
      <c r="S151" s="106">
        <f>IF(Q151=0,'CMI Data'!$I$213,ROUND(Q151*R151,4))</f>
        <v>1.4061999999999999</v>
      </c>
      <c r="T151" s="105">
        <f>VLOOKUP(A151,'Rate Calculation'!$A$4:$DK$210,16,FALSE)</f>
        <v>243.81</v>
      </c>
      <c r="U151" s="105">
        <f>VLOOKUP(A151,'Rate Calculation'!$A$4:$DK$210,20,FALSE)</f>
        <v>-34.29</v>
      </c>
      <c r="V151" s="113">
        <f t="shared" si="46"/>
        <v>-24.5</v>
      </c>
      <c r="W151" s="105">
        <f t="shared" si="47"/>
        <v>-33.42</v>
      </c>
      <c r="X151" s="111">
        <f t="shared" si="39"/>
        <v>0</v>
      </c>
      <c r="Y151" s="105">
        <f t="shared" si="48"/>
        <v>-33.42</v>
      </c>
      <c r="Z151" s="105">
        <f t="shared" si="49"/>
        <v>332.54</v>
      </c>
      <c r="AA151" s="105">
        <f t="shared" si="50"/>
        <v>-31.75</v>
      </c>
      <c r="AB151" s="111">
        <f t="shared" si="51"/>
        <v>-364.29</v>
      </c>
      <c r="AC151" s="105" t="e">
        <f t="shared" si="52"/>
        <v>#VALUE!</v>
      </c>
      <c r="AD151" s="105" t="e">
        <f t="shared" si="40"/>
        <v>#VALUE!</v>
      </c>
      <c r="AE151" s="105" t="e">
        <f t="shared" si="41"/>
        <v>#DIV/0!</v>
      </c>
      <c r="AF151" s="105" t="e">
        <f t="shared" si="42"/>
        <v>#VALUE!</v>
      </c>
      <c r="AG151" s="105" t="e">
        <f t="shared" si="43"/>
        <v>#VALUE!</v>
      </c>
      <c r="AH151" s="111"/>
      <c r="AI151" s="105"/>
      <c r="AJ151" s="105"/>
      <c r="AK151" s="109"/>
      <c r="AL151" s="109"/>
      <c r="AM151" s="109"/>
      <c r="AN151" s="109"/>
      <c r="AO151" s="105"/>
      <c r="AP151" s="105"/>
      <c r="AQ151" s="109"/>
      <c r="AR151" s="110"/>
      <c r="AS151" s="110"/>
      <c r="AT151" s="110"/>
      <c r="AU151" s="110"/>
      <c r="AV151" s="110"/>
      <c r="AW151" s="112"/>
      <c r="AX151" s="112"/>
      <c r="AY151" s="110"/>
      <c r="AZ151" s="105"/>
      <c r="BA151" s="105"/>
      <c r="BB151" s="105"/>
      <c r="BC151" s="105"/>
      <c r="BD151" s="105"/>
      <c r="BE151" s="105"/>
    </row>
    <row r="152" spans="1:57" x14ac:dyDescent="0.15">
      <c r="A152" s="101">
        <v>304</v>
      </c>
      <c r="B152" s="98" t="e">
        <f>VLOOKUP($A152,'Rate Calculation'!$A$4:$CS$210,68,FALSE)</f>
        <v>#REF!</v>
      </c>
      <c r="C152" s="98" t="str">
        <f>UPPER(VLOOKUP($A152,'Rate Calculation'!$A$4:$CL$210,69,FALSE))</f>
        <v>108363</v>
      </c>
      <c r="D152" s="104" t="str">
        <f>VLOOKUP($A152,'Rate Calculation'!$A$4:$AJ$210,5,FALSE)</f>
        <v>WASHINGTON METRO</v>
      </c>
      <c r="E152" s="104" t="str">
        <f>VLOOKUP($A152,'Rate Calculation'!$A$4:$AJ$210,6,FALSE)</f>
        <v>WASHINGTON METRO</v>
      </c>
      <c r="F152" s="105">
        <f>VLOOKUP(A152,'Rate Calculation'!$A$3:$AT$210,35,FALSE)</f>
        <v>25072</v>
      </c>
      <c r="G152" s="105">
        <f>VLOOKUP(A152,'Rate Calculation'!$A$3:$AT$210,30,FALSE)</f>
        <v>40260</v>
      </c>
      <c r="H152" s="105">
        <f>VLOOKUP(A152,'Rate Calculation'!$A$3:$AW$210,36,FALSE)+VLOOKUP(A152,'Rate Calculation'!$A$3:$CC$210,42,FALSE)</f>
        <v>883435999</v>
      </c>
      <c r="I152" s="105">
        <f t="shared" si="44"/>
        <v>0</v>
      </c>
      <c r="J152" s="105" t="str">
        <f>VLOOKUP(A152,'Rate Calculation'!$A$3:$BL$210,43,FALSE)</f>
        <v>Montcare at Bethesda</v>
      </c>
      <c r="K152" s="105">
        <f t="shared" si="53"/>
        <v>883501331</v>
      </c>
      <c r="L152" s="164">
        <f t="shared" si="37"/>
        <v>0.98772000000000004</v>
      </c>
      <c r="M152" s="105">
        <f t="shared" si="45"/>
        <v>872651934.65999997</v>
      </c>
      <c r="N152" s="105" t="e">
        <f>VLOOKUP(A152,'Rate Calculation'!$A$4:$DK$210,47,FALSE)</f>
        <v>#DIV/0!</v>
      </c>
      <c r="O152" s="106">
        <f>VLOOKUP(A152,'Rate Calculation'!$A$4:$DK$210,10,FALSE)</f>
        <v>1.0309999999999999</v>
      </c>
      <c r="P152" s="114">
        <f t="shared" si="38"/>
        <v>1.4432</v>
      </c>
      <c r="Q152" s="114">
        <f>VLOOKUP(A152,'CMI Data'!$A$3:$Z$209,7,FALSE)</f>
        <v>0</v>
      </c>
      <c r="R152" s="120" t="e">
        <f>+'CMI Data'!$I$214</f>
        <v>#DIV/0!</v>
      </c>
      <c r="S152" s="106">
        <f>IF(Q152=0,'CMI Data'!$I$213,ROUND(Q152*R152,4))</f>
        <v>1.4061999999999999</v>
      </c>
      <c r="T152" s="105">
        <f>VLOOKUP(A152,'Rate Calculation'!$A$4:$DK$210,16,FALSE)</f>
        <v>172.78</v>
      </c>
      <c r="U152" s="105">
        <f>VLOOKUP(A152,'Rate Calculation'!$A$4:$DK$210,20,FALSE)</f>
        <v>0</v>
      </c>
      <c r="V152" s="113">
        <f t="shared" si="46"/>
        <v>0</v>
      </c>
      <c r="W152" s="105">
        <f t="shared" si="47"/>
        <v>0</v>
      </c>
      <c r="X152" s="111">
        <f t="shared" si="39"/>
        <v>0</v>
      </c>
      <c r="Y152" s="105">
        <f t="shared" si="48"/>
        <v>0</v>
      </c>
      <c r="Z152" s="105">
        <f t="shared" si="49"/>
        <v>235.66</v>
      </c>
      <c r="AA152" s="105">
        <f t="shared" si="50"/>
        <v>0</v>
      </c>
      <c r="AB152" s="111">
        <f t="shared" si="51"/>
        <v>-235.66</v>
      </c>
      <c r="AC152" s="105" t="e">
        <f t="shared" si="52"/>
        <v>#VALUE!</v>
      </c>
      <c r="AD152" s="105" t="e">
        <f t="shared" si="40"/>
        <v>#VALUE!</v>
      </c>
      <c r="AE152" s="105" t="e">
        <f t="shared" si="41"/>
        <v>#DIV/0!</v>
      </c>
      <c r="AF152" s="105" t="e">
        <f t="shared" si="42"/>
        <v>#VALUE!</v>
      </c>
      <c r="AG152" s="105" t="e">
        <f t="shared" si="43"/>
        <v>#VALUE!</v>
      </c>
      <c r="AH152" s="111"/>
      <c r="AI152" s="105"/>
      <c r="AJ152" s="105"/>
      <c r="AK152" s="109"/>
      <c r="AL152" s="109"/>
      <c r="AM152" s="109"/>
      <c r="AN152" s="109"/>
      <c r="AO152" s="105"/>
      <c r="AP152" s="105"/>
      <c r="AQ152" s="109"/>
      <c r="AR152" s="110"/>
      <c r="AS152" s="110"/>
      <c r="AT152" s="110"/>
      <c r="AU152" s="110"/>
      <c r="AV152" s="110"/>
      <c r="AW152" s="112"/>
      <c r="AX152" s="112"/>
      <c r="AY152" s="110"/>
      <c r="AZ152" s="105"/>
      <c r="BA152" s="105"/>
      <c r="BB152" s="105"/>
      <c r="BC152" s="105"/>
      <c r="BD152" s="105"/>
      <c r="BE152" s="105"/>
    </row>
    <row r="153" spans="1:57" x14ac:dyDescent="0.15">
      <c r="A153" s="101">
        <v>306</v>
      </c>
      <c r="B153" s="98" t="e">
        <f>VLOOKUP($A153,'Rate Calculation'!$A$4:$CS$210,68,FALSE)</f>
        <v>#REF!</v>
      </c>
      <c r="C153" s="98" t="str">
        <f>UPPER(VLOOKUP($A153,'Rate Calculation'!$A$4:$CL$210,69,FALSE))</f>
        <v>276737</v>
      </c>
      <c r="D153" s="104" t="str">
        <f>VLOOKUP($A153,'Rate Calculation'!$A$4:$AJ$210,5,FALSE)</f>
        <v>WASHINGTON METRO</v>
      </c>
      <c r="E153" s="104" t="str">
        <f>VLOOKUP($A153,'Rate Calculation'!$A$4:$AJ$210,6,FALSE)</f>
        <v>WASHINGTON METRO</v>
      </c>
      <c r="F153" s="105">
        <f>VLOOKUP(A153,'Rate Calculation'!$A$3:$AT$210,35,FALSE)</f>
        <v>33863</v>
      </c>
      <c r="G153" s="105">
        <f>VLOOKUP(A153,'Rate Calculation'!$A$3:$AT$210,30,FALSE)</f>
        <v>57828</v>
      </c>
      <c r="H153" s="105">
        <f>VLOOKUP(A153,'Rate Calculation'!$A$3:$AW$210,36,FALSE)+VLOOKUP(A153,'Rate Calculation'!$A$3:$CC$210,42,FALSE)</f>
        <v>456099168</v>
      </c>
      <c r="I153" s="105">
        <f t="shared" si="44"/>
        <v>0</v>
      </c>
      <c r="J153" s="105" t="str">
        <f>VLOOKUP(A153,'Rate Calculation'!$A$3:$BL$210,43,FALSE)</f>
        <v>Montcare at Potomac</v>
      </c>
      <c r="K153" s="105">
        <f t="shared" si="53"/>
        <v>456190859</v>
      </c>
      <c r="L153" s="164">
        <f t="shared" si="37"/>
        <v>0.98772000000000004</v>
      </c>
      <c r="M153" s="105">
        <f t="shared" si="45"/>
        <v>450588835.25</v>
      </c>
      <c r="N153" s="105" t="e">
        <f>VLOOKUP(A153,'Rate Calculation'!$A$4:$DK$210,47,FALSE)</f>
        <v>#DIV/0!</v>
      </c>
      <c r="O153" s="106">
        <f>VLOOKUP(A153,'Rate Calculation'!$A$4:$DK$210,10,FALSE)</f>
        <v>1.0309999999999999</v>
      </c>
      <c r="P153" s="114">
        <f t="shared" si="38"/>
        <v>1.4432</v>
      </c>
      <c r="Q153" s="114">
        <f>VLOOKUP(A153,'CMI Data'!$A$3:$Z$209,7,FALSE)</f>
        <v>0</v>
      </c>
      <c r="R153" s="120" t="e">
        <f>+'CMI Data'!$I$214</f>
        <v>#DIV/0!</v>
      </c>
      <c r="S153" s="106">
        <f>IF(Q153=0,'CMI Data'!$I$213,ROUND(Q153*R153,4))</f>
        <v>1.4061999999999999</v>
      </c>
      <c r="T153" s="105">
        <f>VLOOKUP(A153,'Rate Calculation'!$A$4:$DK$210,16,FALSE)</f>
        <v>173.94</v>
      </c>
      <c r="U153" s="105">
        <f>VLOOKUP(A153,'Rate Calculation'!$A$4:$DK$210,20,FALSE)</f>
        <v>0</v>
      </c>
      <c r="V153" s="113">
        <f t="shared" si="46"/>
        <v>0</v>
      </c>
      <c r="W153" s="105">
        <f t="shared" si="47"/>
        <v>0</v>
      </c>
      <c r="X153" s="111">
        <f t="shared" si="39"/>
        <v>0</v>
      </c>
      <c r="Y153" s="105">
        <f t="shared" si="48"/>
        <v>0</v>
      </c>
      <c r="Z153" s="105">
        <f t="shared" si="49"/>
        <v>237.24</v>
      </c>
      <c r="AA153" s="105">
        <f t="shared" si="50"/>
        <v>0</v>
      </c>
      <c r="AB153" s="111">
        <f t="shared" si="51"/>
        <v>-237.24</v>
      </c>
      <c r="AC153" s="105" t="e">
        <f t="shared" si="52"/>
        <v>#VALUE!</v>
      </c>
      <c r="AD153" s="105" t="e">
        <f t="shared" si="40"/>
        <v>#VALUE!</v>
      </c>
      <c r="AE153" s="105" t="e">
        <f t="shared" si="41"/>
        <v>#DIV/0!</v>
      </c>
      <c r="AF153" s="105" t="e">
        <f t="shared" si="42"/>
        <v>#VALUE!</v>
      </c>
      <c r="AG153" s="105" t="e">
        <f t="shared" si="43"/>
        <v>#VALUE!</v>
      </c>
      <c r="AH153" s="111"/>
      <c r="AI153" s="105"/>
      <c r="AJ153" s="105"/>
      <c r="AK153" s="109"/>
      <c r="AL153" s="109"/>
      <c r="AM153" s="109"/>
      <c r="AN153" s="109"/>
      <c r="AO153" s="105"/>
      <c r="AP153" s="105"/>
      <c r="AQ153" s="109"/>
      <c r="AR153" s="110"/>
      <c r="AS153" s="110"/>
      <c r="AT153" s="110"/>
      <c r="AU153" s="110"/>
      <c r="AV153" s="110"/>
      <c r="AW153" s="112"/>
      <c r="AX153" s="112"/>
      <c r="AY153" s="110"/>
      <c r="AZ153" s="105"/>
      <c r="BA153" s="105"/>
      <c r="BB153" s="105"/>
      <c r="BC153" s="105"/>
      <c r="BD153" s="105"/>
      <c r="BE153" s="105"/>
    </row>
    <row r="154" spans="1:57" x14ac:dyDescent="0.15">
      <c r="A154" s="101">
        <v>308</v>
      </c>
      <c r="B154" s="98" t="e">
        <f>VLOOKUP($A154,'Rate Calculation'!$A$4:$CS$210,68,FALSE)</f>
        <v>#REF!</v>
      </c>
      <c r="C154" s="98" t="str">
        <f>UPPER(VLOOKUP($A154,'Rate Calculation'!$A$4:$CL$210,69,FALSE))</f>
        <v>86083</v>
      </c>
      <c r="D154" s="104" t="str">
        <f>VLOOKUP($A154,'Rate Calculation'!$A$4:$AJ$210,5,FALSE)</f>
        <v>WASHINGTON METRO</v>
      </c>
      <c r="E154" s="104" t="str">
        <f>VLOOKUP($A154,'Rate Calculation'!$A$4:$AJ$210,6,FALSE)</f>
        <v>WASHINGTON METRO</v>
      </c>
      <c r="F154" s="105">
        <f>VLOOKUP(A154,'Rate Calculation'!$A$3:$AT$210,35,FALSE)</f>
        <v>19239</v>
      </c>
      <c r="G154" s="105">
        <f>VLOOKUP(A154,'Rate Calculation'!$A$3:$AT$210,30,FALSE)</f>
        <v>34404</v>
      </c>
      <c r="H154" s="105">
        <f>VLOOKUP(A154,'Rate Calculation'!$A$3:$AW$210,36,FALSE)+VLOOKUP(A154,'Rate Calculation'!$A$3:$CC$210,42,FALSE)</f>
        <v>883430808</v>
      </c>
      <c r="I154" s="105">
        <f t="shared" si="44"/>
        <v>0</v>
      </c>
      <c r="J154" s="105" t="str">
        <f>VLOOKUP(A154,'Rate Calculation'!$A$3:$BL$210,43,FALSE)</f>
        <v>Montcare at Wheaton</v>
      </c>
      <c r="K154" s="105">
        <f t="shared" si="53"/>
        <v>883484451</v>
      </c>
      <c r="L154" s="164">
        <f t="shared" si="37"/>
        <v>0.98772000000000004</v>
      </c>
      <c r="M154" s="105">
        <f t="shared" si="45"/>
        <v>872635261.94000006</v>
      </c>
      <c r="N154" s="105" t="e">
        <f>VLOOKUP(A154,'Rate Calculation'!$A$4:$DK$210,47,FALSE)</f>
        <v>#DIV/0!</v>
      </c>
      <c r="O154" s="106">
        <f>VLOOKUP(A154,'Rate Calculation'!$A$4:$DK$210,10,FALSE)</f>
        <v>1.0309999999999999</v>
      </c>
      <c r="P154" s="114">
        <f t="shared" si="38"/>
        <v>1.4432</v>
      </c>
      <c r="Q154" s="114">
        <f>VLOOKUP(A154,'CMI Data'!$A$3:$Z$209,7,FALSE)</f>
        <v>0</v>
      </c>
      <c r="R154" s="120" t="e">
        <f>+'CMI Data'!$I$214</f>
        <v>#DIV/0!</v>
      </c>
      <c r="S154" s="106">
        <f>IF(Q154=0,'CMI Data'!$I$213,ROUND(Q154*R154,4))</f>
        <v>1.4061999999999999</v>
      </c>
      <c r="T154" s="105">
        <f>VLOOKUP(A154,'Rate Calculation'!$A$4:$DK$210,16,FALSE)</f>
        <v>173.82</v>
      </c>
      <c r="U154" s="105">
        <f>VLOOKUP(A154,'Rate Calculation'!$A$4:$DK$210,20,FALSE)</f>
        <v>0</v>
      </c>
      <c r="V154" s="113">
        <f t="shared" si="46"/>
        <v>0</v>
      </c>
      <c r="W154" s="105">
        <f t="shared" si="47"/>
        <v>0</v>
      </c>
      <c r="X154" s="111">
        <f t="shared" si="39"/>
        <v>0</v>
      </c>
      <c r="Y154" s="105">
        <f t="shared" si="48"/>
        <v>0</v>
      </c>
      <c r="Z154" s="105">
        <f t="shared" si="49"/>
        <v>237.08</v>
      </c>
      <c r="AA154" s="105">
        <f t="shared" si="50"/>
        <v>0</v>
      </c>
      <c r="AB154" s="111">
        <f t="shared" si="51"/>
        <v>-237.08</v>
      </c>
      <c r="AC154" s="105" t="e">
        <f t="shared" si="52"/>
        <v>#VALUE!</v>
      </c>
      <c r="AD154" s="105" t="e">
        <f t="shared" si="40"/>
        <v>#VALUE!</v>
      </c>
      <c r="AE154" s="105" t="e">
        <f t="shared" si="41"/>
        <v>#DIV/0!</v>
      </c>
      <c r="AF154" s="105" t="e">
        <f t="shared" si="42"/>
        <v>#VALUE!</v>
      </c>
      <c r="AG154" s="105" t="e">
        <f t="shared" si="43"/>
        <v>#VALUE!</v>
      </c>
      <c r="AH154" s="111"/>
      <c r="AI154" s="105"/>
      <c r="AJ154" s="105"/>
      <c r="AK154" s="109"/>
      <c r="AL154" s="109"/>
      <c r="AM154" s="109"/>
      <c r="AN154" s="109"/>
      <c r="AO154" s="105"/>
      <c r="AP154" s="105"/>
      <c r="AQ154" s="109"/>
      <c r="AR154" s="110"/>
      <c r="AS154" s="110"/>
      <c r="AT154" s="110"/>
      <c r="AU154" s="110"/>
      <c r="AV154" s="110"/>
      <c r="AW154" s="112"/>
      <c r="AX154" s="112"/>
      <c r="AY154" s="110"/>
      <c r="AZ154" s="105"/>
      <c r="BA154" s="105"/>
      <c r="BB154" s="105"/>
      <c r="BC154" s="105"/>
      <c r="BD154" s="105"/>
      <c r="BE154" s="105"/>
    </row>
    <row r="155" spans="1:57" x14ac:dyDescent="0.15">
      <c r="A155" s="101">
        <v>685</v>
      </c>
      <c r="B155" s="98" t="e">
        <f>VLOOKUP($A155,'Rate Calculation'!$A$4:$CS$210,68,FALSE)</f>
        <v>#REF!</v>
      </c>
      <c r="C155" s="98" t="str">
        <f>UPPER(VLOOKUP($A155,'Rate Calculation'!$A$4:$CL$210,69,FALSE))</f>
        <v>228006</v>
      </c>
      <c r="D155" s="104" t="str">
        <f>VLOOKUP($A155,'Rate Calculation'!$A$4:$AJ$210,5,FALSE)</f>
        <v>WASHINGTON METRO</v>
      </c>
      <c r="E155" s="104" t="str">
        <f>VLOOKUP($A155,'Rate Calculation'!$A$4:$AJ$210,6,FALSE)</f>
        <v>WASHINGTON METRO</v>
      </c>
      <c r="F155" s="105">
        <f>VLOOKUP(A155,'Rate Calculation'!$A$3:$AT$210,35,FALSE)</f>
        <v>34175</v>
      </c>
      <c r="G155" s="105">
        <f>VLOOKUP(A155,'Rate Calculation'!$A$3:$AT$210,30,FALSE)</f>
        <v>57462</v>
      </c>
      <c r="H155" s="105">
        <f>VLOOKUP(A155,'Rate Calculation'!$A$3:$AW$210,36,FALSE)+VLOOKUP(A155,'Rate Calculation'!$A$3:$CC$210,42,FALSE)</f>
        <v>425076051</v>
      </c>
      <c r="I155" s="105">
        <f t="shared" si="44"/>
        <v>-23.84</v>
      </c>
      <c r="J155" s="105" t="str">
        <f>VLOOKUP(A155,'Rate Calculation'!$A$3:$BL$210,43,FALSE)</f>
        <v>Montgomery Village Care Center</v>
      </c>
      <c r="K155" s="105">
        <f t="shared" si="53"/>
        <v>425167664.16000003</v>
      </c>
      <c r="L155" s="164">
        <f t="shared" si="37"/>
        <v>0.98772000000000004</v>
      </c>
      <c r="M155" s="105">
        <f t="shared" si="45"/>
        <v>419946605.24000001</v>
      </c>
      <c r="N155" s="105" t="e">
        <f>VLOOKUP(A155,'Rate Calculation'!$A$4:$DK$210,47,FALSE)</f>
        <v>#DIV/0!</v>
      </c>
      <c r="O155" s="106">
        <f>VLOOKUP(A155,'Rate Calculation'!$A$4:$DK$210,10,FALSE)</f>
        <v>1.0309999999999999</v>
      </c>
      <c r="P155" s="114">
        <f t="shared" si="38"/>
        <v>1.4432</v>
      </c>
      <c r="Q155" s="114">
        <f>VLOOKUP(A155,'CMI Data'!$A$3:$Z$209,7,FALSE)</f>
        <v>0</v>
      </c>
      <c r="R155" s="120" t="e">
        <f>+'CMI Data'!$I$214</f>
        <v>#DIV/0!</v>
      </c>
      <c r="S155" s="106">
        <f>IF(Q155=0,'CMI Data'!$I$213,ROUND(Q155*R155,4))</f>
        <v>1.4061999999999999</v>
      </c>
      <c r="T155" s="105">
        <f>VLOOKUP(A155,'Rate Calculation'!$A$4:$DK$210,16,FALSE)</f>
        <v>180.85</v>
      </c>
      <c r="U155" s="105">
        <f>VLOOKUP(A155,'Rate Calculation'!$A$4:$DK$210,20,FALSE)</f>
        <v>-24.47</v>
      </c>
      <c r="V155" s="113">
        <f t="shared" si="46"/>
        <v>-17.48</v>
      </c>
      <c r="W155" s="105">
        <f t="shared" si="47"/>
        <v>-23.84</v>
      </c>
      <c r="X155" s="111">
        <f t="shared" si="39"/>
        <v>0</v>
      </c>
      <c r="Y155" s="105">
        <f t="shared" si="48"/>
        <v>-23.84</v>
      </c>
      <c r="Z155" s="105">
        <f t="shared" si="49"/>
        <v>246.66</v>
      </c>
      <c r="AA155" s="105">
        <f t="shared" si="50"/>
        <v>-22.65</v>
      </c>
      <c r="AB155" s="111">
        <f t="shared" si="51"/>
        <v>-269.31</v>
      </c>
      <c r="AC155" s="105" t="e">
        <f t="shared" si="52"/>
        <v>#VALUE!</v>
      </c>
      <c r="AD155" s="105" t="e">
        <f t="shared" si="40"/>
        <v>#VALUE!</v>
      </c>
      <c r="AE155" s="105" t="e">
        <f t="shared" si="41"/>
        <v>#DIV/0!</v>
      </c>
      <c r="AF155" s="105" t="e">
        <f t="shared" si="42"/>
        <v>#VALUE!</v>
      </c>
      <c r="AG155" s="105" t="e">
        <f t="shared" si="43"/>
        <v>#VALUE!</v>
      </c>
      <c r="AH155" s="111"/>
      <c r="AI155" s="105"/>
      <c r="AJ155" s="105"/>
      <c r="AK155" s="109"/>
      <c r="AL155" s="109"/>
      <c r="AM155" s="109"/>
      <c r="AN155" s="109"/>
      <c r="AO155" s="105"/>
      <c r="AP155" s="105"/>
      <c r="AQ155" s="109"/>
      <c r="AR155" s="110"/>
      <c r="AS155" s="110"/>
      <c r="AT155" s="110"/>
      <c r="AU155" s="110"/>
      <c r="AV155" s="110"/>
      <c r="AW155" s="112"/>
      <c r="AX155" s="112"/>
      <c r="AY155" s="110"/>
      <c r="AZ155" s="105"/>
      <c r="BA155" s="105"/>
      <c r="BB155" s="105"/>
      <c r="BC155" s="105"/>
      <c r="BD155" s="105"/>
      <c r="BE155" s="105"/>
    </row>
    <row r="156" spans="1:57" x14ac:dyDescent="0.15">
      <c r="A156" s="101">
        <v>340</v>
      </c>
      <c r="B156" s="98" t="e">
        <f>VLOOKUP($A156,'Rate Calculation'!$A$4:$CS$210,68,FALSE)</f>
        <v>#REF!</v>
      </c>
      <c r="C156" s="98" t="str">
        <f>UPPER(VLOOKUP($A156,'Rate Calculation'!$A$4:$CL$210,69,FALSE))</f>
        <v>72290</v>
      </c>
      <c r="D156" s="104" t="str">
        <f>VLOOKUP($A156,'Rate Calculation'!$A$4:$AJ$210,5,FALSE)</f>
        <v>WESTERN REGION</v>
      </c>
      <c r="E156" s="104" t="str">
        <f>VLOOKUP($A156,'Rate Calculation'!$A$4:$AJ$210,6,FALSE)</f>
        <v>NON METRO</v>
      </c>
      <c r="F156" s="105">
        <f>VLOOKUP(A156,'Rate Calculation'!$A$3:$AT$210,35,FALSE)</f>
        <v>21800</v>
      </c>
      <c r="G156" s="105">
        <f>VLOOKUP(A156,'Rate Calculation'!$A$3:$AT$210,30,FALSE)</f>
        <v>43920</v>
      </c>
      <c r="H156" s="105">
        <f>VLOOKUP(A156,'Rate Calculation'!$A$3:$AW$210,36,FALSE)+VLOOKUP(A156,'Rate Calculation'!$A$3:$CC$210,42,FALSE)</f>
        <v>500203686</v>
      </c>
      <c r="I156" s="105">
        <f t="shared" si="44"/>
        <v>0</v>
      </c>
      <c r="J156" s="105" t="str">
        <f>VLOOKUP(A156,'Rate Calculation'!$A$3:$BL$210,43,FALSE)</f>
        <v>Moran Nursing &amp; Rehabilitation Center</v>
      </c>
      <c r="K156" s="105">
        <f t="shared" si="53"/>
        <v>500269406</v>
      </c>
      <c r="L156" s="164">
        <f t="shared" si="37"/>
        <v>0.98772000000000004</v>
      </c>
      <c r="M156" s="105">
        <f t="shared" si="45"/>
        <v>494126097.69</v>
      </c>
      <c r="N156" s="105" t="e">
        <f>VLOOKUP(A156,'Rate Calculation'!$A$4:$DK$210,47,FALSE)</f>
        <v>#DIV/0!</v>
      </c>
      <c r="O156" s="106">
        <f>VLOOKUP(A156,'Rate Calculation'!$A$4:$DK$210,10,FALSE)</f>
        <v>1.0309999999999999</v>
      </c>
      <c r="P156" s="114">
        <f t="shared" si="38"/>
        <v>1.4432</v>
      </c>
      <c r="Q156" s="114">
        <f>VLOOKUP(A156,'CMI Data'!$A$3:$Z$209,7,FALSE)</f>
        <v>0</v>
      </c>
      <c r="R156" s="120" t="e">
        <f>+'CMI Data'!$I$214</f>
        <v>#DIV/0!</v>
      </c>
      <c r="S156" s="106">
        <f>IF(Q156=0,'CMI Data'!$I$213,ROUND(Q156*R156,4))</f>
        <v>1.4061999999999999</v>
      </c>
      <c r="T156" s="105">
        <f>VLOOKUP(A156,'Rate Calculation'!$A$4:$DK$210,16,FALSE)</f>
        <v>141.16</v>
      </c>
      <c r="U156" s="105">
        <f>VLOOKUP(A156,'Rate Calculation'!$A$4:$DK$210,20,FALSE)</f>
        <v>0</v>
      </c>
      <c r="V156" s="113">
        <f t="shared" si="46"/>
        <v>0</v>
      </c>
      <c r="W156" s="105">
        <f t="shared" si="47"/>
        <v>0</v>
      </c>
      <c r="X156" s="111">
        <f t="shared" si="39"/>
        <v>0</v>
      </c>
      <c r="Y156" s="105">
        <f t="shared" si="48"/>
        <v>0</v>
      </c>
      <c r="Z156" s="105">
        <f t="shared" si="49"/>
        <v>192.53</v>
      </c>
      <c r="AA156" s="105">
        <f t="shared" si="50"/>
        <v>0</v>
      </c>
      <c r="AB156" s="111">
        <f t="shared" si="51"/>
        <v>-192.53</v>
      </c>
      <c r="AC156" s="105" t="e">
        <f t="shared" si="52"/>
        <v>#VALUE!</v>
      </c>
      <c r="AD156" s="105" t="e">
        <f t="shared" si="40"/>
        <v>#VALUE!</v>
      </c>
      <c r="AE156" s="105" t="e">
        <f t="shared" si="41"/>
        <v>#DIV/0!</v>
      </c>
      <c r="AF156" s="105" t="e">
        <f t="shared" si="42"/>
        <v>#VALUE!</v>
      </c>
      <c r="AG156" s="105" t="e">
        <f t="shared" si="43"/>
        <v>#VALUE!</v>
      </c>
      <c r="AH156" s="111"/>
      <c r="AI156" s="105"/>
      <c r="AJ156" s="105"/>
      <c r="AK156" s="109"/>
      <c r="AL156" s="109"/>
      <c r="AM156" s="109"/>
      <c r="AN156" s="109"/>
      <c r="AO156" s="105"/>
      <c r="AP156" s="105"/>
      <c r="AQ156" s="109"/>
      <c r="AR156" s="110"/>
      <c r="AS156" s="110"/>
      <c r="AT156" s="110"/>
      <c r="AU156" s="110"/>
      <c r="AV156" s="110"/>
      <c r="AW156" s="112"/>
      <c r="AX156" s="112"/>
      <c r="AY156" s="110"/>
      <c r="AZ156" s="105"/>
      <c r="BA156" s="105"/>
      <c r="BB156" s="105"/>
      <c r="BC156" s="105"/>
      <c r="BD156" s="105"/>
      <c r="BE156" s="105"/>
    </row>
    <row r="157" spans="1:57" x14ac:dyDescent="0.15">
      <c r="A157" s="101">
        <v>348</v>
      </c>
      <c r="B157" s="98" t="e">
        <f>VLOOKUP($A157,'Rate Calculation'!$A$4:$CS$210,68,FALSE)</f>
        <v>#REF!</v>
      </c>
      <c r="C157" s="98" t="str">
        <f>UPPER(VLOOKUP($A157,'Rate Calculation'!$A$4:$CL$210,69,FALSE))</f>
        <v>215173</v>
      </c>
      <c r="D157" s="104" t="str">
        <f>VLOOKUP($A157,'Rate Calculation'!$A$4:$AJ$210,5,FALSE)</f>
        <v>WASHINGTON METRO</v>
      </c>
      <c r="E157" s="104" t="str">
        <f>VLOOKUP($A157,'Rate Calculation'!$A$4:$AJ$210,6,FALSE)</f>
        <v>NON METRO</v>
      </c>
      <c r="F157" s="105">
        <f>VLOOKUP(A157,'Rate Calculation'!$A$3:$AT$210,35,FALSE)</f>
        <v>37217</v>
      </c>
      <c r="G157" s="105">
        <f>VLOOKUP(A157,'Rate Calculation'!$A$3:$AT$210,30,FALSE)</f>
        <v>71736</v>
      </c>
      <c r="H157" s="105">
        <f>VLOOKUP(A157,'Rate Calculation'!$A$3:$AW$210,36,FALSE)+VLOOKUP(A157,'Rate Calculation'!$A$3:$CC$210,42,FALSE)</f>
        <v>200172230</v>
      </c>
      <c r="I157" s="105">
        <f t="shared" si="44"/>
        <v>0</v>
      </c>
      <c r="J157" s="105" t="str">
        <f>VLOOKUP(A157,'Rate Calculation'!$A$3:$BL$210,43,FALSE)</f>
        <v>Northampton Manor Nursing &amp; Rehabilitation Center</v>
      </c>
      <c r="K157" s="105">
        <f t="shared" si="53"/>
        <v>200281183</v>
      </c>
      <c r="L157" s="164">
        <f t="shared" si="37"/>
        <v>0.98772000000000004</v>
      </c>
      <c r="M157" s="105">
        <f t="shared" si="45"/>
        <v>197821730.06999999</v>
      </c>
      <c r="N157" s="105" t="e">
        <f>VLOOKUP(A157,'Rate Calculation'!$A$4:$DK$210,47,FALSE)</f>
        <v>#DIV/0!</v>
      </c>
      <c r="O157" s="106">
        <f>VLOOKUP(A157,'Rate Calculation'!$A$4:$DK$210,10,FALSE)</f>
        <v>1.0309999999999999</v>
      </c>
      <c r="P157" s="114">
        <f t="shared" si="38"/>
        <v>1.4432</v>
      </c>
      <c r="Q157" s="114">
        <f>VLOOKUP(A157,'CMI Data'!$A$3:$Z$209,7,FALSE)</f>
        <v>0</v>
      </c>
      <c r="R157" s="120" t="e">
        <f>+'CMI Data'!$I$214</f>
        <v>#DIV/0!</v>
      </c>
      <c r="S157" s="106">
        <f>IF(Q157=0,'CMI Data'!$I$213,ROUND(Q157*R157,4))</f>
        <v>1.4061999999999999</v>
      </c>
      <c r="T157" s="105">
        <f>VLOOKUP(A157,'Rate Calculation'!$A$4:$DK$210,16,FALSE)</f>
        <v>157.55000000000001</v>
      </c>
      <c r="U157" s="105">
        <f>VLOOKUP(A157,'Rate Calculation'!$A$4:$DK$210,20,FALSE)</f>
        <v>0</v>
      </c>
      <c r="V157" s="113">
        <f t="shared" si="46"/>
        <v>0</v>
      </c>
      <c r="W157" s="105">
        <f t="shared" si="47"/>
        <v>0</v>
      </c>
      <c r="X157" s="111">
        <f t="shared" si="39"/>
        <v>0</v>
      </c>
      <c r="Y157" s="105">
        <f t="shared" si="48"/>
        <v>0</v>
      </c>
      <c r="Z157" s="105">
        <f t="shared" si="49"/>
        <v>214.89</v>
      </c>
      <c r="AA157" s="105">
        <f t="shared" si="50"/>
        <v>0</v>
      </c>
      <c r="AB157" s="111">
        <f t="shared" si="51"/>
        <v>-214.89</v>
      </c>
      <c r="AC157" s="105" t="e">
        <f t="shared" si="52"/>
        <v>#VALUE!</v>
      </c>
      <c r="AD157" s="105" t="e">
        <f t="shared" si="40"/>
        <v>#VALUE!</v>
      </c>
      <c r="AE157" s="105" t="e">
        <f t="shared" si="41"/>
        <v>#DIV/0!</v>
      </c>
      <c r="AF157" s="105" t="e">
        <f t="shared" si="42"/>
        <v>#VALUE!</v>
      </c>
      <c r="AG157" s="105" t="e">
        <f t="shared" si="43"/>
        <v>#VALUE!</v>
      </c>
      <c r="AH157" s="111"/>
      <c r="AI157" s="105"/>
      <c r="AJ157" s="105"/>
      <c r="AK157" s="109"/>
      <c r="AL157" s="109"/>
      <c r="AM157" s="109"/>
      <c r="AN157" s="109"/>
      <c r="AO157" s="105"/>
      <c r="AP157" s="105"/>
      <c r="AQ157" s="109"/>
      <c r="AR157" s="110"/>
      <c r="AS157" s="110"/>
      <c r="AT157" s="110"/>
      <c r="AU157" s="110"/>
      <c r="AV157" s="110"/>
      <c r="AW157" s="112"/>
      <c r="AX157" s="112"/>
      <c r="AY157" s="110"/>
      <c r="AZ157" s="105"/>
      <c r="BA157" s="105"/>
      <c r="BB157" s="105"/>
      <c r="BC157" s="105"/>
      <c r="BD157" s="105"/>
      <c r="BE157" s="105"/>
    </row>
    <row r="158" spans="1:57" x14ac:dyDescent="0.15">
      <c r="A158" s="101">
        <v>719</v>
      </c>
      <c r="B158" s="98" t="e">
        <f>VLOOKUP($A158,'Rate Calculation'!$A$4:$CS$210,68,FALSE)</f>
        <v>#REF!</v>
      </c>
      <c r="C158" s="98" t="str">
        <f>UPPER(VLOOKUP($A158,'Rate Calculation'!$A$4:$CL$210,69,FALSE))</f>
        <v>94564</v>
      </c>
      <c r="D158" s="104" t="str">
        <f>VLOOKUP($A158,'Rate Calculation'!$A$4:$AJ$210,5,FALSE)</f>
        <v>BALTIMORE METRO</v>
      </c>
      <c r="E158" s="104" t="str">
        <f>VLOOKUP($A158,'Rate Calculation'!$A$4:$AJ$210,6,FALSE)</f>
        <v>BALTIMORE CITY</v>
      </c>
      <c r="F158" s="105">
        <f>VLOOKUP(A158,'Rate Calculation'!$A$3:$AT$210,35,FALSE)</f>
        <v>29241</v>
      </c>
      <c r="G158" s="105">
        <f>VLOOKUP(A158,'Rate Calculation'!$A$3:$AT$210,30,FALSE)</f>
        <v>33306</v>
      </c>
      <c r="H158" s="105">
        <f>VLOOKUP(A158,'Rate Calculation'!$A$3:$AW$210,36,FALSE)+VLOOKUP(A158,'Rate Calculation'!$A$3:$CC$210,42,FALSE)</f>
        <v>420866225</v>
      </c>
      <c r="I158" s="105">
        <f t="shared" si="44"/>
        <v>-2.58</v>
      </c>
      <c r="J158" s="105" t="str">
        <f>VLOOKUP(A158,'Rate Calculation'!$A$3:$BL$210,43,FALSE)</f>
        <v>Northwest Nursing and Rehabilitation Center</v>
      </c>
      <c r="K158" s="105">
        <f t="shared" si="53"/>
        <v>420928769.42000002</v>
      </c>
      <c r="L158" s="164">
        <f t="shared" si="37"/>
        <v>0.98772000000000004</v>
      </c>
      <c r="M158" s="105">
        <f t="shared" si="45"/>
        <v>415759764.13</v>
      </c>
      <c r="N158" s="105" t="e">
        <f>VLOOKUP(A158,'Rate Calculation'!$A$4:$DK$210,47,FALSE)</f>
        <v>#DIV/0!</v>
      </c>
      <c r="O158" s="106">
        <f>VLOOKUP(A158,'Rate Calculation'!$A$4:$DK$210,10,FALSE)</f>
        <v>1.0309999999999999</v>
      </c>
      <c r="P158" s="114">
        <f t="shared" si="38"/>
        <v>1.4432</v>
      </c>
      <c r="Q158" s="114">
        <f>VLOOKUP(A158,'CMI Data'!$A$3:$Z$209,7,FALSE)</f>
        <v>0</v>
      </c>
      <c r="R158" s="120" t="e">
        <f>+'CMI Data'!$I$214</f>
        <v>#DIV/0!</v>
      </c>
      <c r="S158" s="106">
        <f>IF(Q158=0,'CMI Data'!$I$213,ROUND(Q158*R158,4))</f>
        <v>1.4061999999999999</v>
      </c>
      <c r="T158" s="105">
        <f>VLOOKUP(A158,'Rate Calculation'!$A$4:$DK$210,16,FALSE)</f>
        <v>153.16</v>
      </c>
      <c r="U158" s="105">
        <f>VLOOKUP(A158,'Rate Calculation'!$A$4:$DK$210,20,FALSE)</f>
        <v>-2.64</v>
      </c>
      <c r="V158" s="113">
        <f t="shared" si="46"/>
        <v>-1.89</v>
      </c>
      <c r="W158" s="105">
        <f t="shared" si="47"/>
        <v>-2.58</v>
      </c>
      <c r="X158" s="111">
        <f t="shared" si="39"/>
        <v>0</v>
      </c>
      <c r="Y158" s="105">
        <f t="shared" si="48"/>
        <v>-2.58</v>
      </c>
      <c r="Z158" s="105">
        <f t="shared" si="49"/>
        <v>208.9</v>
      </c>
      <c r="AA158" s="105">
        <f t="shared" si="50"/>
        <v>-2.4500000000000002</v>
      </c>
      <c r="AB158" s="111">
        <f t="shared" si="51"/>
        <v>-211.35</v>
      </c>
      <c r="AC158" s="105" t="e">
        <f t="shared" si="52"/>
        <v>#VALUE!</v>
      </c>
      <c r="AD158" s="105" t="e">
        <f t="shared" si="40"/>
        <v>#VALUE!</v>
      </c>
      <c r="AE158" s="105" t="e">
        <f t="shared" si="41"/>
        <v>#DIV/0!</v>
      </c>
      <c r="AF158" s="105" t="e">
        <f t="shared" si="42"/>
        <v>#VALUE!</v>
      </c>
      <c r="AG158" s="105" t="e">
        <f t="shared" si="43"/>
        <v>#VALUE!</v>
      </c>
      <c r="AH158" s="111"/>
      <c r="AI158" s="105"/>
      <c r="AJ158" s="105"/>
      <c r="AK158" s="109"/>
      <c r="AL158" s="109"/>
      <c r="AM158" s="109"/>
      <c r="AN158" s="109"/>
      <c r="AO158" s="105"/>
      <c r="AP158" s="105"/>
      <c r="AQ158" s="109"/>
      <c r="AR158" s="110"/>
      <c r="AS158" s="110"/>
      <c r="AT158" s="110"/>
      <c r="AU158" s="110"/>
      <c r="AV158" s="110"/>
      <c r="AW158" s="112"/>
      <c r="AX158" s="112"/>
      <c r="AY158" s="110"/>
      <c r="AZ158" s="105"/>
      <c r="BA158" s="105"/>
      <c r="BB158" s="105"/>
      <c r="BC158" s="105"/>
      <c r="BD158" s="105"/>
      <c r="BE158" s="105"/>
    </row>
    <row r="159" spans="1:57" x14ac:dyDescent="0.15">
      <c r="A159" s="101">
        <v>354</v>
      </c>
      <c r="B159" s="98" t="e">
        <f>VLOOKUP($A159,'Rate Calculation'!$A$4:$CS$210,68,FALSE)</f>
        <v>#REF!</v>
      </c>
      <c r="C159" s="98" t="str">
        <f>UPPER(VLOOKUP($A159,'Rate Calculation'!$A$4:$CL$210,69,FALSE))</f>
        <v>13559</v>
      </c>
      <c r="D159" s="104" t="str">
        <f>VLOOKUP($A159,'Rate Calculation'!$A$4:$AJ$210,5,FALSE)</f>
        <v>BALTIMORE METRO</v>
      </c>
      <c r="E159" s="104" t="str">
        <f>VLOOKUP($A159,'Rate Calculation'!$A$4:$AJ$210,6,FALSE)</f>
        <v>BALTIMORE METRO</v>
      </c>
      <c r="F159" s="105">
        <f>VLOOKUP(A159,'Rate Calculation'!$A$3:$AT$210,35,FALSE)</f>
        <v>0</v>
      </c>
      <c r="G159" s="105">
        <f>VLOOKUP(A159,'Rate Calculation'!$A$3:$AT$210,30,FALSE)</f>
        <v>58560</v>
      </c>
      <c r="H159" s="105">
        <f>VLOOKUP(A159,'Rate Calculation'!$A$3:$AW$210,36,FALSE)+VLOOKUP(A159,'Rate Calculation'!$A$3:$CC$210,42,FALSE)</f>
        <v>189541900</v>
      </c>
      <c r="I159" s="105">
        <f t="shared" si="44"/>
        <v>0</v>
      </c>
      <c r="J159" s="105" t="str">
        <f>VLOOKUP(A159,'Rate Calculation'!$A$3:$BL$210,43,FALSE)</f>
        <v>Oak Crest Village, Inc.</v>
      </c>
      <c r="K159" s="105">
        <f t="shared" si="53"/>
        <v>189600460</v>
      </c>
      <c r="L159" s="164">
        <f t="shared" si="37"/>
        <v>0.98772000000000004</v>
      </c>
      <c r="M159" s="105">
        <f t="shared" si="45"/>
        <v>187272166.34999999</v>
      </c>
      <c r="N159" s="105" t="e">
        <f>VLOOKUP(A159,'Rate Calculation'!$A$4:$DK$210,47,FALSE)</f>
        <v>#DIV/0!</v>
      </c>
      <c r="O159" s="106">
        <f>VLOOKUP(A159,'Rate Calculation'!$A$4:$DK$210,10,FALSE)</f>
        <v>1.0309999999999999</v>
      </c>
      <c r="P159" s="114">
        <f t="shared" si="38"/>
        <v>1.4432</v>
      </c>
      <c r="Q159" s="114">
        <f>VLOOKUP(A159,'CMI Data'!$A$3:$Z$209,7,FALSE)</f>
        <v>0</v>
      </c>
      <c r="R159" s="120" t="e">
        <f>+'CMI Data'!$I$214</f>
        <v>#DIV/0!</v>
      </c>
      <c r="S159" s="106">
        <f>IF(Q159=0,'CMI Data'!$I$213,ROUND(Q159*R159,4))</f>
        <v>1.4061999999999999</v>
      </c>
      <c r="T159" s="105">
        <f>VLOOKUP(A159,'Rate Calculation'!$A$4:$DK$210,16,FALSE)</f>
        <v>175.49</v>
      </c>
      <c r="U159" s="105">
        <f>VLOOKUP(A159,'Rate Calculation'!$A$4:$DK$210,20,FALSE)</f>
        <v>0</v>
      </c>
      <c r="V159" s="113">
        <f t="shared" si="46"/>
        <v>0</v>
      </c>
      <c r="W159" s="105">
        <f t="shared" si="47"/>
        <v>0</v>
      </c>
      <c r="X159" s="111">
        <f t="shared" si="39"/>
        <v>0</v>
      </c>
      <c r="Y159" s="105">
        <f t="shared" si="48"/>
        <v>0</v>
      </c>
      <c r="Z159" s="105">
        <f t="shared" si="49"/>
        <v>239.35</v>
      </c>
      <c r="AA159" s="105">
        <f t="shared" si="50"/>
        <v>0</v>
      </c>
      <c r="AB159" s="111">
        <f t="shared" si="51"/>
        <v>-239.35</v>
      </c>
      <c r="AC159" s="105" t="e">
        <f t="shared" si="52"/>
        <v>#VALUE!</v>
      </c>
      <c r="AD159" s="105" t="e">
        <f t="shared" si="40"/>
        <v>#VALUE!</v>
      </c>
      <c r="AE159" s="105" t="e">
        <f t="shared" si="41"/>
        <v>#DIV/0!</v>
      </c>
      <c r="AF159" s="105" t="e">
        <f t="shared" si="42"/>
        <v>#VALUE!</v>
      </c>
      <c r="AG159" s="105" t="e">
        <f t="shared" si="43"/>
        <v>#VALUE!</v>
      </c>
      <c r="AH159" s="111"/>
      <c r="AI159" s="105"/>
      <c r="AJ159" s="105"/>
      <c r="AK159" s="109"/>
      <c r="AL159" s="109"/>
      <c r="AM159" s="109"/>
      <c r="AN159" s="109"/>
      <c r="AO159" s="105"/>
      <c r="AP159" s="105"/>
      <c r="AQ159" s="109"/>
      <c r="AR159" s="110"/>
      <c r="AS159" s="110"/>
      <c r="AT159" s="110"/>
      <c r="AU159" s="110"/>
      <c r="AV159" s="110"/>
      <c r="AW159" s="112"/>
      <c r="AX159" s="112"/>
      <c r="AY159" s="110"/>
      <c r="AZ159" s="105"/>
      <c r="BA159" s="105"/>
      <c r="BB159" s="105"/>
      <c r="BC159" s="105"/>
      <c r="BD159" s="105"/>
      <c r="BE159" s="105"/>
    </row>
    <row r="160" spans="1:57" x14ac:dyDescent="0.15">
      <c r="A160" s="101">
        <v>675</v>
      </c>
      <c r="B160" s="98" t="e">
        <f>VLOOKUP($A160,'Rate Calculation'!$A$4:$CS$210,68,FALSE)</f>
        <v>#REF!</v>
      </c>
      <c r="C160" s="98" t="str">
        <f>UPPER(VLOOKUP($A160,'Rate Calculation'!$A$4:$CL$210,69,FALSE))</f>
        <v>79953</v>
      </c>
      <c r="D160" s="104" t="str">
        <f>VLOOKUP($A160,'Rate Calculation'!$A$4:$AJ$210,5,FALSE)</f>
        <v>WESTERN REGION</v>
      </c>
      <c r="E160" s="104" t="str">
        <f>VLOOKUP($A160,'Rate Calculation'!$A$4:$AJ$210,6,FALSE)</f>
        <v>NON METRO</v>
      </c>
      <c r="F160" s="105">
        <f>VLOOKUP(A160,'Rate Calculation'!$A$3:$AT$210,35,FALSE)</f>
        <v>15185</v>
      </c>
      <c r="G160" s="105">
        <f>VLOOKUP(A160,'Rate Calculation'!$A$3:$AT$210,30,FALSE)</f>
        <v>36600</v>
      </c>
      <c r="H160" s="105">
        <f>VLOOKUP(A160,'Rate Calculation'!$A$3:$AW$210,36,FALSE)+VLOOKUP(A160,'Rate Calculation'!$A$3:$CC$210,42,FALSE)</f>
        <v>500195927</v>
      </c>
      <c r="I160" s="105">
        <f t="shared" si="44"/>
        <v>0</v>
      </c>
      <c r="J160" s="105" t="str">
        <f>VLOOKUP(A160,'Rate Calculation'!$A$3:$BL$210,43,FALSE)</f>
        <v>Oakland Nursing and Rehabilitation Center</v>
      </c>
      <c r="K160" s="105">
        <f t="shared" si="53"/>
        <v>500247712</v>
      </c>
      <c r="L160" s="164">
        <f t="shared" si="37"/>
        <v>0.98772000000000004</v>
      </c>
      <c r="M160" s="105">
        <f t="shared" si="45"/>
        <v>494104670.10000002</v>
      </c>
      <c r="N160" s="105" t="e">
        <f>VLOOKUP(A160,'Rate Calculation'!$A$4:$DK$210,47,FALSE)</f>
        <v>#DIV/0!</v>
      </c>
      <c r="O160" s="106">
        <f>VLOOKUP(A160,'Rate Calculation'!$A$4:$DK$210,10,FALSE)</f>
        <v>1.0309999999999999</v>
      </c>
      <c r="P160" s="114">
        <f t="shared" si="38"/>
        <v>1.4432</v>
      </c>
      <c r="Q160" s="114">
        <f>VLOOKUP(A160,'CMI Data'!$A$3:$Z$209,7,FALSE)</f>
        <v>0</v>
      </c>
      <c r="R160" s="120" t="e">
        <f>+'CMI Data'!$I$214</f>
        <v>#DIV/0!</v>
      </c>
      <c r="S160" s="106">
        <f>IF(Q160=0,'CMI Data'!$I$213,ROUND(Q160*R160,4))</f>
        <v>1.4061999999999999</v>
      </c>
      <c r="T160" s="105">
        <f>VLOOKUP(A160,'Rate Calculation'!$A$4:$DK$210,16,FALSE)</f>
        <v>145.13</v>
      </c>
      <c r="U160" s="105">
        <f>VLOOKUP(A160,'Rate Calculation'!$A$4:$DK$210,20,FALSE)</f>
        <v>0</v>
      </c>
      <c r="V160" s="113">
        <f t="shared" si="46"/>
        <v>0</v>
      </c>
      <c r="W160" s="105">
        <f t="shared" si="47"/>
        <v>0</v>
      </c>
      <c r="X160" s="111">
        <f t="shared" si="39"/>
        <v>0</v>
      </c>
      <c r="Y160" s="105">
        <f t="shared" si="48"/>
        <v>0</v>
      </c>
      <c r="Z160" s="105">
        <f t="shared" si="49"/>
        <v>197.95</v>
      </c>
      <c r="AA160" s="105">
        <f t="shared" si="50"/>
        <v>0</v>
      </c>
      <c r="AB160" s="111">
        <f t="shared" si="51"/>
        <v>-197.95</v>
      </c>
      <c r="AC160" s="105" t="e">
        <f t="shared" si="52"/>
        <v>#VALUE!</v>
      </c>
      <c r="AD160" s="105" t="e">
        <f t="shared" si="40"/>
        <v>#VALUE!</v>
      </c>
      <c r="AE160" s="105" t="e">
        <f t="shared" si="41"/>
        <v>#DIV/0!</v>
      </c>
      <c r="AF160" s="105" t="e">
        <f t="shared" si="42"/>
        <v>#VALUE!</v>
      </c>
      <c r="AG160" s="105" t="e">
        <f t="shared" si="43"/>
        <v>#VALUE!</v>
      </c>
      <c r="AH160" s="111"/>
      <c r="AI160" s="105"/>
      <c r="AJ160" s="105"/>
      <c r="AK160" s="109"/>
      <c r="AL160" s="109"/>
      <c r="AM160" s="109"/>
      <c r="AN160" s="109"/>
      <c r="AO160" s="105"/>
      <c r="AP160" s="105"/>
      <c r="AQ160" s="109"/>
      <c r="AR160" s="110"/>
      <c r="AS160" s="110"/>
      <c r="AT160" s="110"/>
      <c r="AU160" s="110"/>
      <c r="AV160" s="110"/>
      <c r="AW160" s="112"/>
      <c r="AX160" s="112"/>
      <c r="AY160" s="110"/>
      <c r="AZ160" s="105"/>
      <c r="BA160" s="105"/>
      <c r="BB160" s="105"/>
      <c r="BC160" s="105"/>
      <c r="BD160" s="105"/>
      <c r="BE160" s="105"/>
    </row>
    <row r="161" spans="1:57" x14ac:dyDescent="0.15">
      <c r="A161" s="101">
        <v>248</v>
      </c>
      <c r="B161" s="98" t="e">
        <f>VLOOKUP($A161,'Rate Calculation'!$A$4:$CS$210,68,FALSE)</f>
        <v>#REF!</v>
      </c>
      <c r="C161" s="98" t="str">
        <f>UPPER(VLOOKUP($A161,'Rate Calculation'!$A$4:$CL$210,69,FALSE))</f>
        <v>62557</v>
      </c>
      <c r="D161" s="104" t="str">
        <f>VLOOKUP($A161,'Rate Calculation'!$A$4:$AJ$210,5,FALSE)</f>
        <v>BALTIMORE METRO</v>
      </c>
      <c r="E161" s="104" t="str">
        <f>VLOOKUP($A161,'Rate Calculation'!$A$4:$AJ$210,6,FALSE)</f>
        <v>BALTIMORE METRO</v>
      </c>
      <c r="F161" s="105">
        <f>VLOOKUP(A161,'Rate Calculation'!$A$3:$AT$210,35,FALSE)</f>
        <v>33381</v>
      </c>
      <c r="G161" s="105">
        <f>VLOOKUP(A161,'Rate Calculation'!$A$3:$AT$210,30,FALSE)</f>
        <v>47580</v>
      </c>
      <c r="H161" s="105">
        <f>VLOOKUP(A161,'Rate Calculation'!$A$3:$AW$210,36,FALSE)+VLOOKUP(A161,'Rate Calculation'!$A$3:$CC$210,42,FALSE)</f>
        <v>918265139</v>
      </c>
      <c r="I161" s="105">
        <f t="shared" si="44"/>
        <v>-20.55</v>
      </c>
      <c r="J161" s="105" t="str">
        <f>VLOOKUP(A161,'Rate Calculation'!$A$3:$BL$210,43,FALSE)</f>
        <v>Oakwood Care Center</v>
      </c>
      <c r="K161" s="105">
        <f t="shared" si="53"/>
        <v>918346079.45000005</v>
      </c>
      <c r="L161" s="164">
        <f t="shared" si="37"/>
        <v>0.98772000000000004</v>
      </c>
      <c r="M161" s="105">
        <f t="shared" si="45"/>
        <v>907068789.59000003</v>
      </c>
      <c r="N161" s="105" t="e">
        <f>VLOOKUP(A161,'Rate Calculation'!$A$4:$DK$210,47,FALSE)</f>
        <v>#DIV/0!</v>
      </c>
      <c r="O161" s="106">
        <f>VLOOKUP(A161,'Rate Calculation'!$A$4:$DK$210,10,FALSE)</f>
        <v>1.0309999999999999</v>
      </c>
      <c r="P161" s="114">
        <f t="shared" si="38"/>
        <v>1.4432</v>
      </c>
      <c r="Q161" s="114">
        <f>VLOOKUP(A161,'CMI Data'!$A$3:$Z$209,7,FALSE)</f>
        <v>0</v>
      </c>
      <c r="R161" s="120" t="e">
        <f>+'CMI Data'!$I$214</f>
        <v>#DIV/0!</v>
      </c>
      <c r="S161" s="106">
        <f>IF(Q161=0,'CMI Data'!$I$213,ROUND(Q161*R161,4))</f>
        <v>1.4061999999999999</v>
      </c>
      <c r="T161" s="105">
        <f>VLOOKUP(A161,'Rate Calculation'!$A$4:$DK$210,16,FALSE)</f>
        <v>188.96</v>
      </c>
      <c r="U161" s="105">
        <f>VLOOKUP(A161,'Rate Calculation'!$A$4:$DK$210,20,FALSE)</f>
        <v>-21.1</v>
      </c>
      <c r="V161" s="113">
        <f t="shared" si="46"/>
        <v>-15.07</v>
      </c>
      <c r="W161" s="105">
        <f t="shared" si="47"/>
        <v>-20.55</v>
      </c>
      <c r="X161" s="111">
        <f t="shared" si="39"/>
        <v>0</v>
      </c>
      <c r="Y161" s="105">
        <f t="shared" si="48"/>
        <v>-20.55</v>
      </c>
      <c r="Z161" s="105">
        <f t="shared" si="49"/>
        <v>257.73</v>
      </c>
      <c r="AA161" s="105">
        <f t="shared" si="50"/>
        <v>-19.52</v>
      </c>
      <c r="AB161" s="111">
        <f t="shared" si="51"/>
        <v>-277.25</v>
      </c>
      <c r="AC161" s="105" t="e">
        <f t="shared" si="52"/>
        <v>#VALUE!</v>
      </c>
      <c r="AD161" s="105" t="e">
        <f t="shared" si="40"/>
        <v>#VALUE!</v>
      </c>
      <c r="AE161" s="105" t="e">
        <f t="shared" si="41"/>
        <v>#DIV/0!</v>
      </c>
      <c r="AF161" s="105" t="e">
        <f t="shared" si="42"/>
        <v>#VALUE!</v>
      </c>
      <c r="AG161" s="105" t="e">
        <f t="shared" si="43"/>
        <v>#VALUE!</v>
      </c>
      <c r="AH161" s="111"/>
      <c r="AI161" s="105"/>
      <c r="AJ161" s="105"/>
      <c r="AK161" s="109"/>
      <c r="AL161" s="109"/>
      <c r="AM161" s="109"/>
      <c r="AN161" s="109"/>
      <c r="AO161" s="105"/>
      <c r="AP161" s="105"/>
      <c r="AQ161" s="109"/>
      <c r="AR161" s="110"/>
      <c r="AS161" s="110"/>
      <c r="AT161" s="110"/>
      <c r="AU161" s="110"/>
      <c r="AV161" s="110"/>
      <c r="AW161" s="112"/>
      <c r="AX161" s="112"/>
      <c r="AY161" s="110"/>
      <c r="AZ161" s="105"/>
      <c r="BA161" s="105"/>
      <c r="BB161" s="105"/>
      <c r="BC161" s="105"/>
      <c r="BD161" s="105"/>
      <c r="BE161" s="105"/>
    </row>
    <row r="162" spans="1:57" x14ac:dyDescent="0.15">
      <c r="A162" s="101">
        <v>318</v>
      </c>
      <c r="B162" s="98" t="e">
        <f>VLOOKUP($A162,'Rate Calculation'!$A$4:$CS$210,68,FALSE)</f>
        <v>#REF!</v>
      </c>
      <c r="C162" s="98" t="str">
        <f>UPPER(VLOOKUP($A162,'Rate Calculation'!$A$4:$CL$210,69,FALSE))</f>
        <v>92993</v>
      </c>
      <c r="D162" s="104" t="str">
        <f>VLOOKUP($A162,'Rate Calculation'!$A$4:$AJ$210,5,FALSE)</f>
        <v>BALTIMORE METRO</v>
      </c>
      <c r="E162" s="104" t="str">
        <f>VLOOKUP($A162,'Rate Calculation'!$A$4:$AJ$210,6,FALSE)</f>
        <v>BALTIMORE METRO</v>
      </c>
      <c r="F162" s="105">
        <f>VLOOKUP(A162,'Rate Calculation'!$A$3:$AT$210,35,FALSE)</f>
        <v>34893</v>
      </c>
      <c r="G162" s="105">
        <f>VLOOKUP(A162,'Rate Calculation'!$A$3:$AT$210,30,FALSE)</f>
        <v>50874</v>
      </c>
      <c r="H162" s="105">
        <f>VLOOKUP(A162,'Rate Calculation'!$A$3:$AW$210,36,FALSE)+VLOOKUP(A162,'Rate Calculation'!$A$3:$CC$210,42,FALSE)</f>
        <v>600238526</v>
      </c>
      <c r="I162" s="105">
        <f t="shared" si="44"/>
        <v>-11.01</v>
      </c>
      <c r="J162" s="105" t="str">
        <f>VLOOKUP(A162,'Rate Calculation'!$A$3:$BL$210,43,FALSE)</f>
        <v>Orchard Hill Rehabilitation and Healthcare Center</v>
      </c>
      <c r="K162" s="105">
        <f t="shared" si="53"/>
        <v>600324281.99000001</v>
      </c>
      <c r="L162" s="164">
        <f t="shared" si="37"/>
        <v>0.98772000000000004</v>
      </c>
      <c r="M162" s="105">
        <f t="shared" si="45"/>
        <v>592952299.80999994</v>
      </c>
      <c r="N162" s="105" t="e">
        <f>VLOOKUP(A162,'Rate Calculation'!$A$4:$DK$210,47,FALSE)</f>
        <v>#DIV/0!</v>
      </c>
      <c r="O162" s="106">
        <f>VLOOKUP(A162,'Rate Calculation'!$A$4:$DK$210,10,FALSE)</f>
        <v>1.0309999999999999</v>
      </c>
      <c r="P162" s="114">
        <f t="shared" si="38"/>
        <v>1.4432</v>
      </c>
      <c r="Q162" s="114">
        <f>VLOOKUP(A162,'CMI Data'!$A$3:$Z$209,7,FALSE)</f>
        <v>0</v>
      </c>
      <c r="R162" s="120" t="e">
        <f>+'CMI Data'!$I$214</f>
        <v>#DIV/0!</v>
      </c>
      <c r="S162" s="106">
        <f>IF(Q162=0,'CMI Data'!$I$213,ROUND(Q162*R162,4))</f>
        <v>1.4061999999999999</v>
      </c>
      <c r="T162" s="105">
        <f>VLOOKUP(A162,'Rate Calculation'!$A$4:$DK$210,16,FALSE)</f>
        <v>213.06</v>
      </c>
      <c r="U162" s="105">
        <f>VLOOKUP(A162,'Rate Calculation'!$A$4:$DK$210,20,FALSE)</f>
        <v>-11.3</v>
      </c>
      <c r="V162" s="113">
        <f t="shared" si="46"/>
        <v>-8.07</v>
      </c>
      <c r="W162" s="105">
        <f t="shared" si="47"/>
        <v>-11.01</v>
      </c>
      <c r="X162" s="111">
        <f t="shared" si="39"/>
        <v>0</v>
      </c>
      <c r="Y162" s="105">
        <f t="shared" si="48"/>
        <v>-11.01</v>
      </c>
      <c r="Z162" s="105">
        <f t="shared" si="49"/>
        <v>290.60000000000002</v>
      </c>
      <c r="AA162" s="105">
        <f t="shared" si="50"/>
        <v>-10.46</v>
      </c>
      <c r="AB162" s="111">
        <f t="shared" si="51"/>
        <v>-301.06</v>
      </c>
      <c r="AC162" s="105" t="e">
        <f t="shared" si="52"/>
        <v>#VALUE!</v>
      </c>
      <c r="AD162" s="105" t="e">
        <f t="shared" si="40"/>
        <v>#VALUE!</v>
      </c>
      <c r="AE162" s="105" t="e">
        <f t="shared" si="41"/>
        <v>#DIV/0!</v>
      </c>
      <c r="AF162" s="105" t="e">
        <f t="shared" si="42"/>
        <v>#VALUE!</v>
      </c>
      <c r="AG162" s="105" t="e">
        <f t="shared" si="43"/>
        <v>#VALUE!</v>
      </c>
      <c r="AH162" s="111"/>
      <c r="AI162" s="105"/>
      <c r="AJ162" s="105"/>
      <c r="AK162" s="109"/>
      <c r="AL162" s="109"/>
      <c r="AM162" s="109"/>
      <c r="AN162" s="109"/>
      <c r="AO162" s="105"/>
      <c r="AP162" s="105"/>
      <c r="AQ162" s="109"/>
      <c r="AR162" s="110"/>
      <c r="AS162" s="110"/>
      <c r="AT162" s="110"/>
      <c r="AU162" s="110"/>
      <c r="AV162" s="110"/>
      <c r="AW162" s="112"/>
      <c r="AX162" s="112"/>
      <c r="AY162" s="110"/>
      <c r="AZ162" s="105"/>
      <c r="BA162" s="105"/>
      <c r="BB162" s="105"/>
      <c r="BC162" s="105"/>
      <c r="BD162" s="105"/>
      <c r="BE162" s="105"/>
    </row>
    <row r="163" spans="1:57" x14ac:dyDescent="0.15">
      <c r="A163" s="101">
        <v>370</v>
      </c>
      <c r="B163" s="98" t="e">
        <f>VLOOKUP($A163,'Rate Calculation'!$A$4:$CS$210,68,FALSE)</f>
        <v>#REF!</v>
      </c>
      <c r="C163" s="98" t="str">
        <f>UPPER(VLOOKUP($A163,'Rate Calculation'!$A$4:$CL$210,69,FALSE))</f>
        <v>134698</v>
      </c>
      <c r="D163" s="104" t="str">
        <f>VLOOKUP($A163,'Rate Calculation'!$A$4:$AJ$210,5,FALSE)</f>
        <v>BALTIMORE METRO</v>
      </c>
      <c r="E163" s="104" t="str">
        <f>VLOOKUP($A163,'Rate Calculation'!$A$4:$AJ$210,6,FALSE)</f>
        <v>BALTIMORE METRO</v>
      </c>
      <c r="F163" s="105">
        <f>VLOOKUP(A163,'Rate Calculation'!$A$3:$AT$210,35,FALSE)</f>
        <v>43438</v>
      </c>
      <c r="G163" s="105">
        <f>VLOOKUP(A163,'Rate Calculation'!$A$3:$AT$210,30,FALSE)</f>
        <v>58560</v>
      </c>
      <c r="H163" s="105">
        <f>VLOOKUP(A163,'Rate Calculation'!$A$3:$AW$210,36,FALSE)+VLOOKUP(A163,'Rate Calculation'!$A$3:$CC$210,42,FALSE)</f>
        <v>883471289</v>
      </c>
      <c r="I163" s="105">
        <f t="shared" si="44"/>
        <v>-35.270000000000003</v>
      </c>
      <c r="J163" s="105" t="str">
        <f>VLOOKUP(A163,'Rate Calculation'!$A$3:$BL$210,43,FALSE)</f>
        <v>Patapsco Healthcare</v>
      </c>
      <c r="K163" s="105">
        <f t="shared" si="53"/>
        <v>883573251.73000002</v>
      </c>
      <c r="L163" s="164">
        <f t="shared" si="37"/>
        <v>0.98772000000000004</v>
      </c>
      <c r="M163" s="105">
        <f t="shared" si="45"/>
        <v>872722972.20000005</v>
      </c>
      <c r="N163" s="105" t="e">
        <f>VLOOKUP(A163,'Rate Calculation'!$A$4:$DK$210,47,FALSE)</f>
        <v>#DIV/0!</v>
      </c>
      <c r="O163" s="106">
        <f>VLOOKUP(A163,'Rate Calculation'!$A$4:$DK$210,10,FALSE)</f>
        <v>1.0309999999999999</v>
      </c>
      <c r="P163" s="114">
        <f t="shared" si="38"/>
        <v>1.4432</v>
      </c>
      <c r="Q163" s="114">
        <f>VLOOKUP(A163,'CMI Data'!$A$3:$Z$209,7,FALSE)</f>
        <v>0</v>
      </c>
      <c r="R163" s="120" t="e">
        <f>+'CMI Data'!$I$214</f>
        <v>#DIV/0!</v>
      </c>
      <c r="S163" s="106">
        <f>IF(Q163=0,'CMI Data'!$I$213,ROUND(Q163*R163,4))</f>
        <v>1.4061999999999999</v>
      </c>
      <c r="T163" s="105">
        <f>VLOOKUP(A163,'Rate Calculation'!$A$4:$DK$210,16,FALSE)</f>
        <v>160.81</v>
      </c>
      <c r="U163" s="105">
        <f>VLOOKUP(A163,'Rate Calculation'!$A$4:$DK$210,20,FALSE)</f>
        <v>-36.200000000000003</v>
      </c>
      <c r="V163" s="113">
        <f t="shared" si="46"/>
        <v>-25.86</v>
      </c>
      <c r="W163" s="105">
        <f t="shared" si="47"/>
        <v>-35.270000000000003</v>
      </c>
      <c r="X163" s="111">
        <f t="shared" si="39"/>
        <v>0</v>
      </c>
      <c r="Y163" s="105">
        <f t="shared" si="48"/>
        <v>-35.270000000000003</v>
      </c>
      <c r="Z163" s="105">
        <f t="shared" si="49"/>
        <v>219.33</v>
      </c>
      <c r="AA163" s="105">
        <f t="shared" si="50"/>
        <v>-33.51</v>
      </c>
      <c r="AB163" s="111">
        <f t="shared" si="51"/>
        <v>-252.84</v>
      </c>
      <c r="AC163" s="105" t="e">
        <f t="shared" si="52"/>
        <v>#VALUE!</v>
      </c>
      <c r="AD163" s="105" t="e">
        <f t="shared" si="40"/>
        <v>#VALUE!</v>
      </c>
      <c r="AE163" s="105" t="e">
        <f t="shared" si="41"/>
        <v>#DIV/0!</v>
      </c>
      <c r="AF163" s="105" t="e">
        <f t="shared" si="42"/>
        <v>#VALUE!</v>
      </c>
      <c r="AG163" s="105" t="e">
        <f t="shared" si="43"/>
        <v>#VALUE!</v>
      </c>
      <c r="AH163" s="111"/>
      <c r="AI163" s="105"/>
      <c r="AJ163" s="105"/>
      <c r="AK163" s="109"/>
      <c r="AL163" s="109"/>
      <c r="AM163" s="109"/>
      <c r="AN163" s="109"/>
      <c r="AO163" s="105"/>
      <c r="AP163" s="105"/>
      <c r="AQ163" s="109"/>
      <c r="AR163" s="110"/>
      <c r="AS163" s="110"/>
      <c r="AT163" s="110"/>
      <c r="AU163" s="110"/>
      <c r="AV163" s="110"/>
      <c r="AW163" s="112"/>
      <c r="AX163" s="112"/>
      <c r="AY163" s="110"/>
      <c r="AZ163" s="105"/>
      <c r="BA163" s="105"/>
      <c r="BB163" s="105"/>
      <c r="BC163" s="105"/>
      <c r="BD163" s="105"/>
      <c r="BE163" s="105"/>
    </row>
    <row r="164" spans="1:57" x14ac:dyDescent="0.15">
      <c r="A164" s="101">
        <v>140</v>
      </c>
      <c r="B164" s="98" t="e">
        <f>VLOOKUP($A164,'Rate Calculation'!$A$4:$CS$210,68,FALSE)</f>
        <v>#REF!</v>
      </c>
      <c r="C164" s="98" t="str">
        <f>UPPER(VLOOKUP($A164,'Rate Calculation'!$A$4:$CL$210,69,FALSE))</f>
        <v>24690</v>
      </c>
      <c r="D164" s="104" t="str">
        <f>VLOOKUP($A164,'Rate Calculation'!$A$4:$AJ$210,5,FALSE)</f>
        <v>WESTERN REGION</v>
      </c>
      <c r="E164" s="104" t="str">
        <f>VLOOKUP($A164,'Rate Calculation'!$A$4:$AJ$210,6,FALSE)</f>
        <v>NON METRO</v>
      </c>
      <c r="F164" s="105">
        <f>VLOOKUP(A164,'Rate Calculation'!$A$3:$AT$210,35,FALSE)</f>
        <v>24827</v>
      </c>
      <c r="G164" s="105">
        <f>VLOOKUP(A164,'Rate Calculation'!$A$3:$AT$210,30,FALSE)</f>
        <v>9108</v>
      </c>
      <c r="H164" s="105">
        <f>VLOOKUP(A164,'Rate Calculation'!$A$3:$AW$210,36,FALSE)+VLOOKUP(A164,'Rate Calculation'!$A$3:$CC$210,42,FALSE)</f>
        <v>849039008</v>
      </c>
      <c r="I164" s="105">
        <f t="shared" si="44"/>
        <v>0</v>
      </c>
      <c r="J164" s="105" t="str">
        <f>VLOOKUP(A164,'Rate Calculation'!$A$3:$BL$210,43,FALSE)</f>
        <v>Dennett Rehab Center</v>
      </c>
      <c r="K164" s="105">
        <f t="shared" si="53"/>
        <v>849072943</v>
      </c>
      <c r="L164" s="164">
        <f t="shared" si="37"/>
        <v>0.98772000000000004</v>
      </c>
      <c r="M164" s="105">
        <f t="shared" si="45"/>
        <v>838646327.25999999</v>
      </c>
      <c r="N164" s="105" t="e">
        <f>VLOOKUP(A164,'Rate Calculation'!$A$4:$DK$210,47,FALSE)</f>
        <v>#DIV/0!</v>
      </c>
      <c r="O164" s="106">
        <f>VLOOKUP(A164,'Rate Calculation'!$A$4:$DK$210,10,FALSE)</f>
        <v>1.0309999999999999</v>
      </c>
      <c r="P164" s="114">
        <f t="shared" si="38"/>
        <v>1.4432</v>
      </c>
      <c r="Q164" s="114">
        <f>VLOOKUP(A164,'CMI Data'!$A$3:$Z$209,7,FALSE)</f>
        <v>0</v>
      </c>
      <c r="R164" s="120" t="e">
        <f>+'CMI Data'!$I$214</f>
        <v>#DIV/0!</v>
      </c>
      <c r="S164" s="106">
        <f>IF(Q164=0,'CMI Data'!$I$213,ROUND(Q164*R164,4))</f>
        <v>1.4061999999999999</v>
      </c>
      <c r="T164" s="105">
        <f>VLOOKUP(A164,'Rate Calculation'!$A$4:$DK$210,16,FALSE)</f>
        <v>154.86000000000001</v>
      </c>
      <c r="U164" s="105">
        <f>VLOOKUP(A164,'Rate Calculation'!$A$4:$DK$210,20,FALSE)</f>
        <v>0</v>
      </c>
      <c r="V164" s="113">
        <f t="shared" si="46"/>
        <v>0</v>
      </c>
      <c r="W164" s="105">
        <f t="shared" si="47"/>
        <v>0</v>
      </c>
      <c r="X164" s="111">
        <f t="shared" si="39"/>
        <v>0</v>
      </c>
      <c r="Y164" s="105">
        <f t="shared" si="48"/>
        <v>0</v>
      </c>
      <c r="Z164" s="105">
        <f t="shared" si="49"/>
        <v>211.22</v>
      </c>
      <c r="AA164" s="105">
        <f t="shared" si="50"/>
        <v>0</v>
      </c>
      <c r="AB164" s="111">
        <f t="shared" si="51"/>
        <v>-211.22</v>
      </c>
      <c r="AC164" s="105" t="e">
        <f t="shared" si="52"/>
        <v>#VALUE!</v>
      </c>
      <c r="AD164" s="105" t="e">
        <f t="shared" si="40"/>
        <v>#VALUE!</v>
      </c>
      <c r="AE164" s="105" t="e">
        <f t="shared" si="41"/>
        <v>#DIV/0!</v>
      </c>
      <c r="AF164" s="105" t="e">
        <f t="shared" si="42"/>
        <v>#VALUE!</v>
      </c>
      <c r="AG164" s="105" t="e">
        <f t="shared" si="43"/>
        <v>#VALUE!</v>
      </c>
      <c r="AH164" s="111"/>
      <c r="AI164" s="105"/>
      <c r="AJ164" s="105"/>
      <c r="AK164" s="109"/>
      <c r="AL164" s="109"/>
      <c r="AM164" s="109"/>
      <c r="AN164" s="109"/>
      <c r="AO164" s="105"/>
      <c r="AP164" s="105"/>
      <c r="AQ164" s="109"/>
      <c r="AR164" s="110"/>
      <c r="AS164" s="110"/>
      <c r="AT164" s="110"/>
      <c r="AU164" s="110"/>
      <c r="AV164" s="110"/>
      <c r="AW164" s="112"/>
      <c r="AX164" s="112"/>
      <c r="AY164" s="110"/>
      <c r="AZ164" s="105"/>
      <c r="BA164" s="105"/>
      <c r="BB164" s="105"/>
      <c r="BC164" s="105"/>
      <c r="BD164" s="105"/>
      <c r="BE164" s="105"/>
    </row>
    <row r="165" spans="1:57" x14ac:dyDescent="0.15">
      <c r="A165" s="101">
        <v>274</v>
      </c>
      <c r="B165" s="98" t="e">
        <f>VLOOKUP($A165,'Rate Calculation'!$A$4:$CS$210,68,FALSE)</f>
        <v>#REF!</v>
      </c>
      <c r="C165" s="98" t="str">
        <f>UPPER(VLOOKUP($A165,'Rate Calculation'!$A$4:$CL$210,69,FALSE))</f>
        <v>23280</v>
      </c>
      <c r="D165" s="104" t="str">
        <f>VLOOKUP($A165,'Rate Calculation'!$A$4:$AJ$210,5,FALSE)</f>
        <v>WESTERN REGION</v>
      </c>
      <c r="E165" s="104" t="str">
        <f>VLOOKUP($A165,'Rate Calculation'!$A$4:$AJ$210,6,FALSE)</f>
        <v>NON METRO</v>
      </c>
      <c r="F165" s="105">
        <f>VLOOKUP(A165,'Rate Calculation'!$A$3:$AT$210,35,FALSE)</f>
        <v>22985</v>
      </c>
      <c r="G165" s="105">
        <f>VLOOKUP(A165,'Rate Calculation'!$A$3:$AT$210,30,FALSE)</f>
        <v>9292</v>
      </c>
      <c r="H165" s="105">
        <f>VLOOKUP(A165,'Rate Calculation'!$A$3:$AW$210,36,FALSE)+VLOOKUP(A165,'Rate Calculation'!$A$3:$CC$210,42,FALSE)</f>
        <v>732046072</v>
      </c>
      <c r="I165" s="105">
        <f t="shared" si="44"/>
        <v>0</v>
      </c>
      <c r="J165" s="105" t="str">
        <f>VLOOKUP(A165,'Rate Calculation'!$A$3:$BL$210,43,FALSE)</f>
        <v>Lions Rehab Center</v>
      </c>
      <c r="K165" s="105">
        <f t="shared" si="53"/>
        <v>732078349</v>
      </c>
      <c r="L165" s="164">
        <f t="shared" si="37"/>
        <v>0.98772000000000004</v>
      </c>
      <c r="M165" s="105">
        <f t="shared" si="45"/>
        <v>723088426.87</v>
      </c>
      <c r="N165" s="105" t="e">
        <f>VLOOKUP(A165,'Rate Calculation'!$A$4:$DK$210,47,FALSE)</f>
        <v>#DIV/0!</v>
      </c>
      <c r="O165" s="106">
        <f>VLOOKUP(A165,'Rate Calculation'!$A$4:$DK$210,10,FALSE)</f>
        <v>1.0309999999999999</v>
      </c>
      <c r="P165" s="114">
        <f t="shared" si="38"/>
        <v>1.4432</v>
      </c>
      <c r="Q165" s="114">
        <f>VLOOKUP(A165,'CMI Data'!$A$3:$Z$209,7,FALSE)</f>
        <v>0</v>
      </c>
      <c r="R165" s="120" t="e">
        <f>+'CMI Data'!$I$214</f>
        <v>#DIV/0!</v>
      </c>
      <c r="S165" s="106">
        <f>IF(Q165=0,'CMI Data'!$I$213,ROUND(Q165*R165,4))</f>
        <v>1.4061999999999999</v>
      </c>
      <c r="T165" s="105">
        <f>VLOOKUP(A165,'Rate Calculation'!$A$4:$DK$210,16,FALSE)</f>
        <v>140.38999999999999</v>
      </c>
      <c r="U165" s="105">
        <f>VLOOKUP(A165,'Rate Calculation'!$A$4:$DK$210,20,FALSE)</f>
        <v>0</v>
      </c>
      <c r="V165" s="113">
        <f t="shared" si="46"/>
        <v>0</v>
      </c>
      <c r="W165" s="105">
        <f t="shared" si="47"/>
        <v>0</v>
      </c>
      <c r="X165" s="111">
        <f t="shared" si="39"/>
        <v>0</v>
      </c>
      <c r="Y165" s="105">
        <f t="shared" si="48"/>
        <v>0</v>
      </c>
      <c r="Z165" s="105">
        <f t="shared" si="49"/>
        <v>191.48</v>
      </c>
      <c r="AA165" s="105">
        <f t="shared" si="50"/>
        <v>0</v>
      </c>
      <c r="AB165" s="111">
        <f t="shared" si="51"/>
        <v>-191.48</v>
      </c>
      <c r="AC165" s="105" t="e">
        <f t="shared" si="52"/>
        <v>#VALUE!</v>
      </c>
      <c r="AD165" s="105" t="e">
        <f t="shared" si="40"/>
        <v>#VALUE!</v>
      </c>
      <c r="AE165" s="105" t="e">
        <f t="shared" si="41"/>
        <v>#DIV/0!</v>
      </c>
      <c r="AF165" s="105" t="e">
        <f t="shared" si="42"/>
        <v>#VALUE!</v>
      </c>
      <c r="AG165" s="105" t="e">
        <f t="shared" si="43"/>
        <v>#VALUE!</v>
      </c>
      <c r="AH165" s="111"/>
      <c r="AI165" s="105"/>
      <c r="AJ165" s="105"/>
      <c r="AK165" s="109"/>
      <c r="AL165" s="109"/>
      <c r="AM165" s="109"/>
      <c r="AN165" s="109"/>
      <c r="AO165" s="105"/>
      <c r="AP165" s="105"/>
      <c r="AQ165" s="109"/>
      <c r="AR165" s="110"/>
      <c r="AS165" s="110"/>
      <c r="AT165" s="110"/>
      <c r="AU165" s="110"/>
      <c r="AV165" s="110"/>
      <c r="AW165" s="112"/>
      <c r="AX165" s="112"/>
      <c r="AY165" s="110"/>
      <c r="AZ165" s="105"/>
      <c r="BA165" s="105"/>
      <c r="BB165" s="105"/>
      <c r="BC165" s="105"/>
      <c r="BD165" s="105"/>
      <c r="BE165" s="105"/>
    </row>
    <row r="166" spans="1:57" x14ac:dyDescent="0.15">
      <c r="A166" s="101">
        <v>426</v>
      </c>
      <c r="B166" s="98" t="e">
        <f>VLOOKUP($A166,'Rate Calculation'!$A$4:$CS$210,68,FALSE)</f>
        <v>#REF!</v>
      </c>
      <c r="C166" s="98" t="str">
        <f>UPPER(VLOOKUP($A166,'Rate Calculation'!$A$4:$CL$210,69,FALSE))</f>
        <v>34829</v>
      </c>
      <c r="D166" s="104" t="str">
        <f>VLOOKUP($A166,'Rate Calculation'!$A$4:$AJ$210,5,FALSE)</f>
        <v>WESTERN REGION</v>
      </c>
      <c r="E166" s="104" t="str">
        <f>VLOOKUP($A166,'Rate Calculation'!$A$4:$AJ$210,6,FALSE)</f>
        <v>NON METRO</v>
      </c>
      <c r="F166" s="105">
        <f>VLOOKUP(A166,'Rate Calculation'!$A$3:$AT$210,35,FALSE)</f>
        <v>23821</v>
      </c>
      <c r="G166" s="105">
        <f>VLOOKUP(A166,'Rate Calculation'!$A$3:$AT$210,30,FALSE)</f>
        <v>8096</v>
      </c>
      <c r="H166" s="105">
        <f>VLOOKUP(A166,'Rate Calculation'!$A$3:$AW$210,36,FALSE)+VLOOKUP(A166,'Rate Calculation'!$A$3:$CC$210,42,FALSE)</f>
        <v>953047875</v>
      </c>
      <c r="I166" s="105">
        <f t="shared" si="44"/>
        <v>0</v>
      </c>
      <c r="J166" s="105" t="str">
        <f>VLOOKUP(A166,'Rate Calculation'!$A$3:$BL$210,43,FALSE)</f>
        <v>Mountain City Rehab Center</v>
      </c>
      <c r="K166" s="105">
        <f t="shared" si="53"/>
        <v>953079792</v>
      </c>
      <c r="L166" s="164">
        <f t="shared" si="37"/>
        <v>0.98772000000000004</v>
      </c>
      <c r="M166" s="105">
        <f t="shared" si="45"/>
        <v>941375972.14999998</v>
      </c>
      <c r="N166" s="105" t="e">
        <f>VLOOKUP(A166,'Rate Calculation'!$A$4:$DK$210,47,FALSE)</f>
        <v>#DIV/0!</v>
      </c>
      <c r="O166" s="106">
        <f>VLOOKUP(A166,'Rate Calculation'!$A$4:$DK$210,10,FALSE)</f>
        <v>1.0309999999999999</v>
      </c>
      <c r="P166" s="114">
        <f t="shared" si="38"/>
        <v>1.4432</v>
      </c>
      <c r="Q166" s="114">
        <f>VLOOKUP(A166,'CMI Data'!$A$3:$Z$209,7,FALSE)</f>
        <v>0</v>
      </c>
      <c r="R166" s="120" t="e">
        <f>+'CMI Data'!$I$214</f>
        <v>#DIV/0!</v>
      </c>
      <c r="S166" s="106">
        <f>IF(Q166=0,'CMI Data'!$I$213,ROUND(Q166*R166,4))</f>
        <v>1.4061999999999999</v>
      </c>
      <c r="T166" s="105">
        <f>VLOOKUP(A166,'Rate Calculation'!$A$4:$DK$210,16,FALSE)</f>
        <v>142.79</v>
      </c>
      <c r="U166" s="105">
        <f>VLOOKUP(A166,'Rate Calculation'!$A$4:$DK$210,20,FALSE)</f>
        <v>0</v>
      </c>
      <c r="V166" s="113">
        <f t="shared" si="46"/>
        <v>0</v>
      </c>
      <c r="W166" s="105">
        <f t="shared" si="47"/>
        <v>0</v>
      </c>
      <c r="X166" s="111">
        <f t="shared" si="39"/>
        <v>0</v>
      </c>
      <c r="Y166" s="105">
        <f t="shared" si="48"/>
        <v>0</v>
      </c>
      <c r="Z166" s="105">
        <f t="shared" si="49"/>
        <v>194.75</v>
      </c>
      <c r="AA166" s="105">
        <f t="shared" si="50"/>
        <v>0</v>
      </c>
      <c r="AB166" s="111">
        <f t="shared" si="51"/>
        <v>-194.75</v>
      </c>
      <c r="AC166" s="105" t="e">
        <f t="shared" si="52"/>
        <v>#VALUE!</v>
      </c>
      <c r="AD166" s="105" t="e">
        <f t="shared" si="40"/>
        <v>#VALUE!</v>
      </c>
      <c r="AE166" s="105" t="e">
        <f t="shared" si="41"/>
        <v>#DIV/0!</v>
      </c>
      <c r="AF166" s="105" t="e">
        <f t="shared" si="42"/>
        <v>#VALUE!</v>
      </c>
      <c r="AG166" s="105" t="e">
        <f t="shared" si="43"/>
        <v>#VALUE!</v>
      </c>
      <c r="AH166" s="111"/>
      <c r="AI166" s="105"/>
      <c r="AJ166" s="105"/>
      <c r="AK166" s="109"/>
      <c r="AL166" s="109"/>
      <c r="AM166" s="109"/>
      <c r="AN166" s="109"/>
      <c r="AO166" s="105"/>
      <c r="AP166" s="105"/>
      <c r="AQ166" s="109"/>
      <c r="AR166" s="110"/>
      <c r="AS166" s="110"/>
      <c r="AT166" s="110"/>
      <c r="AU166" s="110"/>
      <c r="AV166" s="110"/>
      <c r="AW166" s="112"/>
      <c r="AX166" s="112"/>
      <c r="AY166" s="110"/>
      <c r="AZ166" s="105"/>
      <c r="BA166" s="105"/>
      <c r="BB166" s="105"/>
      <c r="BC166" s="105"/>
      <c r="BD166" s="105"/>
      <c r="BE166" s="105"/>
    </row>
    <row r="167" spans="1:57" x14ac:dyDescent="0.15">
      <c r="A167" s="101">
        <v>382</v>
      </c>
      <c r="B167" s="98" t="e">
        <f>VLOOKUP($A167,'Rate Calculation'!$A$4:$CS$210,68,FALSE)</f>
        <v>#REF!</v>
      </c>
      <c r="C167" s="98" t="str">
        <f>UPPER(VLOOKUP($A167,'Rate Calculation'!$A$4:$CL$210,69,FALSE))</f>
        <v>5076</v>
      </c>
      <c r="D167" s="104" t="str">
        <f>VLOOKUP($A167,'Rate Calculation'!$A$4:$AJ$210,5,FALSE)</f>
        <v>BALTIMORE METRO</v>
      </c>
      <c r="E167" s="104" t="str">
        <f>VLOOKUP($A167,'Rate Calculation'!$A$4:$AJ$210,6,FALSE)</f>
        <v>BALTIMORE METRO</v>
      </c>
      <c r="F167" s="105">
        <f>VLOOKUP(A167,'Rate Calculation'!$A$3:$AT$210,35,FALSE)</f>
        <v>16718</v>
      </c>
      <c r="G167" s="105">
        <f>VLOOKUP(A167,'Rate Calculation'!$A$3:$AT$210,30,FALSE)</f>
        <v>5612</v>
      </c>
      <c r="H167" s="105">
        <f>VLOOKUP(A167,'Rate Calculation'!$A$3:$AW$210,36,FALSE)+VLOOKUP(A167,'Rate Calculation'!$A$3:$CC$210,42,FALSE)</f>
        <v>198754345</v>
      </c>
      <c r="I167" s="105">
        <f t="shared" si="44"/>
        <v>-30.27</v>
      </c>
      <c r="J167" s="105" t="str">
        <f>VLOOKUP(A167,'Rate Calculation'!$A$3:$BL$210,43,FALSE)</f>
        <v>Ridgeway Rehab Center</v>
      </c>
      <c r="K167" s="105">
        <f t="shared" si="53"/>
        <v>198776644.72999999</v>
      </c>
      <c r="L167" s="164">
        <f t="shared" si="37"/>
        <v>0.98772000000000004</v>
      </c>
      <c r="M167" s="105">
        <f t="shared" si="45"/>
        <v>196335667.53</v>
      </c>
      <c r="N167" s="105" t="e">
        <f>VLOOKUP(A167,'Rate Calculation'!$A$4:$DK$210,47,FALSE)</f>
        <v>#DIV/0!</v>
      </c>
      <c r="O167" s="106">
        <f>VLOOKUP(A167,'Rate Calculation'!$A$4:$DK$210,10,FALSE)</f>
        <v>1.0309999999999999</v>
      </c>
      <c r="P167" s="114">
        <f t="shared" si="38"/>
        <v>1.4432</v>
      </c>
      <c r="Q167" s="114">
        <f>VLOOKUP(A167,'CMI Data'!$A$3:$Z$209,7,FALSE)</f>
        <v>0</v>
      </c>
      <c r="R167" s="120" t="e">
        <f>+'CMI Data'!$I$214</f>
        <v>#DIV/0!</v>
      </c>
      <c r="S167" s="106">
        <f>IF(Q167=0,'CMI Data'!$I$213,ROUND(Q167*R167,4))</f>
        <v>1.4061999999999999</v>
      </c>
      <c r="T167" s="105">
        <f>VLOOKUP(A167,'Rate Calculation'!$A$4:$DK$210,16,FALSE)</f>
        <v>193.56</v>
      </c>
      <c r="U167" s="105">
        <f>VLOOKUP(A167,'Rate Calculation'!$A$4:$DK$210,20,FALSE)</f>
        <v>-31.06</v>
      </c>
      <c r="V167" s="113">
        <f t="shared" si="46"/>
        <v>-22.19</v>
      </c>
      <c r="W167" s="105">
        <f t="shared" si="47"/>
        <v>-30.27</v>
      </c>
      <c r="X167" s="111">
        <f t="shared" si="39"/>
        <v>0</v>
      </c>
      <c r="Y167" s="105">
        <f t="shared" si="48"/>
        <v>-30.27</v>
      </c>
      <c r="Z167" s="105">
        <f t="shared" si="49"/>
        <v>264</v>
      </c>
      <c r="AA167" s="105">
        <f t="shared" si="50"/>
        <v>-28.76</v>
      </c>
      <c r="AB167" s="111">
        <f t="shared" si="51"/>
        <v>-292.76</v>
      </c>
      <c r="AC167" s="105" t="e">
        <f t="shared" si="52"/>
        <v>#VALUE!</v>
      </c>
      <c r="AD167" s="105" t="e">
        <f t="shared" si="40"/>
        <v>#VALUE!</v>
      </c>
      <c r="AE167" s="105" t="e">
        <f t="shared" si="41"/>
        <v>#DIV/0!</v>
      </c>
      <c r="AF167" s="105" t="e">
        <f t="shared" si="42"/>
        <v>#VALUE!</v>
      </c>
      <c r="AG167" s="105" t="e">
        <f t="shared" si="43"/>
        <v>#VALUE!</v>
      </c>
      <c r="AH167" s="111"/>
      <c r="AI167" s="105"/>
      <c r="AJ167" s="105"/>
      <c r="AK167" s="109"/>
      <c r="AL167" s="109"/>
      <c r="AM167" s="109"/>
      <c r="AN167" s="109"/>
      <c r="AO167" s="105"/>
      <c r="AP167" s="105"/>
      <c r="AQ167" s="109"/>
      <c r="AR167" s="110"/>
      <c r="AS167" s="110"/>
      <c r="AT167" s="110"/>
      <c r="AU167" s="110"/>
      <c r="AV167" s="110"/>
      <c r="AW167" s="112"/>
      <c r="AX167" s="112"/>
      <c r="AY167" s="110"/>
      <c r="AZ167" s="105"/>
      <c r="BA167" s="105"/>
      <c r="BB167" s="105"/>
      <c r="BC167" s="105"/>
      <c r="BD167" s="105"/>
      <c r="BE167" s="105"/>
    </row>
    <row r="168" spans="1:57" x14ac:dyDescent="0.15">
      <c r="A168" s="101">
        <v>124</v>
      </c>
      <c r="B168" s="98" t="e">
        <f>VLOOKUP($A168,'Rate Calculation'!$A$4:$CS$210,68,FALSE)</f>
        <v>#REF!</v>
      </c>
      <c r="C168" s="98" t="str">
        <f>UPPER(VLOOKUP($A168,'Rate Calculation'!$A$4:$CL$210,69,FALSE))</f>
        <v>61141</v>
      </c>
      <c r="D168" s="104" t="str">
        <f>VLOOKUP($A168,'Rate Calculation'!$A$4:$AJ$210,5,FALSE)</f>
        <v>BALTIMORE METRO</v>
      </c>
      <c r="E168" s="104" t="str">
        <f>VLOOKUP($A168,'Rate Calculation'!$A$4:$AJ$210,6,FALSE)</f>
        <v>BALTIMORE METRO</v>
      </c>
      <c r="F168" s="105">
        <f>VLOOKUP(A168,'Rate Calculation'!$A$3:$AT$210,35,FALSE)</f>
        <v>17113</v>
      </c>
      <c r="G168" s="105">
        <f>VLOOKUP(A168,'Rate Calculation'!$A$3:$AT$210,30,FALSE)</f>
        <v>22032</v>
      </c>
      <c r="H168" s="105">
        <f>VLOOKUP(A168,'Rate Calculation'!$A$3:$AW$210,36,FALSE)+VLOOKUP(A168,'Rate Calculation'!$A$3:$CC$210,42,FALSE)</f>
        <v>581093272</v>
      </c>
      <c r="I168" s="105">
        <f t="shared" si="44"/>
        <v>0</v>
      </c>
      <c r="J168" s="105" t="str">
        <f>VLOOKUP(A168,'Rate Calculation'!$A$3:$BL$210,43,FALSE)</f>
        <v>Copper Ridge Nursing and Assisted Living Center</v>
      </c>
      <c r="K168" s="105">
        <f t="shared" si="53"/>
        <v>581132417</v>
      </c>
      <c r="L168" s="164">
        <f t="shared" si="37"/>
        <v>0.98772000000000004</v>
      </c>
      <c r="M168" s="105">
        <f t="shared" si="45"/>
        <v>573996110.91999996</v>
      </c>
      <c r="N168" s="105" t="e">
        <f>VLOOKUP(A168,'Rate Calculation'!$A$4:$DK$210,47,FALSE)</f>
        <v>#DIV/0!</v>
      </c>
      <c r="O168" s="106">
        <f>VLOOKUP(A168,'Rate Calculation'!$A$4:$DK$210,10,FALSE)</f>
        <v>1.0309999999999999</v>
      </c>
      <c r="P168" s="114">
        <f t="shared" si="38"/>
        <v>1.4432</v>
      </c>
      <c r="Q168" s="114">
        <f>VLOOKUP(A168,'CMI Data'!$A$3:$Z$209,7,FALSE)</f>
        <v>0</v>
      </c>
      <c r="R168" s="120" t="e">
        <f>+'CMI Data'!$I$214</f>
        <v>#DIV/0!</v>
      </c>
      <c r="S168" s="106">
        <f>IF(Q168=0,'CMI Data'!$I$213,ROUND(Q168*R168,4))</f>
        <v>1.4061999999999999</v>
      </c>
      <c r="T168" s="105">
        <f>VLOOKUP(A168,'Rate Calculation'!$A$4:$DK$210,16,FALSE)</f>
        <v>156.68</v>
      </c>
      <c r="U168" s="105">
        <f>VLOOKUP(A168,'Rate Calculation'!$A$4:$DK$210,20,FALSE)</f>
        <v>0</v>
      </c>
      <c r="V168" s="113">
        <f t="shared" si="46"/>
        <v>0</v>
      </c>
      <c r="W168" s="105">
        <f t="shared" si="47"/>
        <v>0</v>
      </c>
      <c r="X168" s="111">
        <f t="shared" si="39"/>
        <v>0</v>
      </c>
      <c r="Y168" s="105">
        <f t="shared" si="48"/>
        <v>0</v>
      </c>
      <c r="Z168" s="105">
        <f t="shared" si="49"/>
        <v>213.7</v>
      </c>
      <c r="AA168" s="105">
        <f t="shared" si="50"/>
        <v>0</v>
      </c>
      <c r="AB168" s="111">
        <f t="shared" si="51"/>
        <v>-213.7</v>
      </c>
      <c r="AC168" s="105" t="e">
        <f t="shared" si="52"/>
        <v>#VALUE!</v>
      </c>
      <c r="AD168" s="105" t="e">
        <f t="shared" si="40"/>
        <v>#VALUE!</v>
      </c>
      <c r="AE168" s="105" t="e">
        <f t="shared" si="41"/>
        <v>#DIV/0!</v>
      </c>
      <c r="AF168" s="105" t="e">
        <f t="shared" si="42"/>
        <v>#VALUE!</v>
      </c>
      <c r="AG168" s="105" t="e">
        <f t="shared" si="43"/>
        <v>#VALUE!</v>
      </c>
      <c r="AH168" s="111"/>
      <c r="AI168" s="105"/>
      <c r="AJ168" s="105"/>
      <c r="AK168" s="109"/>
      <c r="AL168" s="109"/>
      <c r="AM168" s="109"/>
      <c r="AN168" s="109"/>
      <c r="AO168" s="105"/>
      <c r="AP168" s="105"/>
      <c r="AQ168" s="109"/>
      <c r="AR168" s="110"/>
      <c r="AS168" s="110"/>
      <c r="AT168" s="110"/>
      <c r="AU168" s="110"/>
      <c r="AV168" s="110"/>
      <c r="AW168" s="112"/>
      <c r="AX168" s="112"/>
      <c r="AY168" s="110"/>
      <c r="AZ168" s="105"/>
      <c r="BA168" s="105"/>
      <c r="BB168" s="105"/>
      <c r="BC168" s="105"/>
      <c r="BD168" s="105"/>
      <c r="BE168" s="105"/>
    </row>
    <row r="169" spans="1:57" x14ac:dyDescent="0.15">
      <c r="A169" s="101">
        <v>364</v>
      </c>
      <c r="B169" s="98" t="e">
        <f>VLOOKUP($A169,'Rate Calculation'!$A$4:$CS$210,68,FALSE)</f>
        <v>#REF!</v>
      </c>
      <c r="C169" s="98" t="str">
        <f>UPPER(VLOOKUP($A169,'Rate Calculation'!$A$4:$CL$210,69,FALSE))</f>
        <v>0</v>
      </c>
      <c r="D169" s="104" t="str">
        <f>VLOOKUP($A169,'Rate Calculation'!$A$4:$AJ$210,5,FALSE)</f>
        <v>BALTIMORE METRO</v>
      </c>
      <c r="E169" s="104" t="str">
        <f>VLOOKUP($A169,'Rate Calculation'!$A$4:$AJ$210,6,FALSE)</f>
        <v>BALTIMORE METRO</v>
      </c>
      <c r="F169" s="105">
        <f>VLOOKUP(A169,'Rate Calculation'!$A$3:$AT$210,35,FALSE)</f>
        <v>0</v>
      </c>
      <c r="G169" s="105">
        <f>VLOOKUP(A169,'Rate Calculation'!$A$3:$AT$210,30,FALSE)</f>
        <v>12810</v>
      </c>
      <c r="H169" s="105">
        <f>VLOOKUP(A169,'Rate Calculation'!$A$3:$AW$210,36,FALSE)+VLOOKUP(A169,'Rate Calculation'!$A$3:$CC$210,42,FALSE)</f>
        <v>32007200</v>
      </c>
      <c r="I169" s="105">
        <f t="shared" si="44"/>
        <v>0</v>
      </c>
      <c r="J169" s="105" t="str">
        <f>VLOOKUP(A169,'Rate Calculation'!$A$3:$BL$210,43,FALSE)</f>
        <v>Pickersgill Retirement Community</v>
      </c>
      <c r="K169" s="105">
        <f t="shared" si="53"/>
        <v>32020010</v>
      </c>
      <c r="L169" s="164">
        <f t="shared" si="37"/>
        <v>0.98772000000000004</v>
      </c>
      <c r="M169" s="105">
        <f t="shared" si="45"/>
        <v>31626804.280000001</v>
      </c>
      <c r="N169" s="105" t="e">
        <f>VLOOKUP(A169,'Rate Calculation'!$A$4:$DK$210,47,FALSE)</f>
        <v>#DIV/0!</v>
      </c>
      <c r="O169" s="106">
        <f>VLOOKUP(A169,'Rate Calculation'!$A$4:$DK$210,10,FALSE)</f>
        <v>1.0309999999999999</v>
      </c>
      <c r="P169" s="114">
        <f t="shared" si="38"/>
        <v>1.4432</v>
      </c>
      <c r="Q169" s="114">
        <f>VLOOKUP(A169,'CMI Data'!$A$3:$Z$209,7,FALSE)</f>
        <v>0</v>
      </c>
      <c r="R169" s="120" t="e">
        <f>+'CMI Data'!$I$214</f>
        <v>#DIV/0!</v>
      </c>
      <c r="S169" s="106">
        <f>IF(Q169=0,'CMI Data'!$I$213,ROUND(Q169*R169,4))</f>
        <v>1.4061999999999999</v>
      </c>
      <c r="T169" s="105">
        <f>VLOOKUP(A169,'Rate Calculation'!$A$4:$DK$210,16,FALSE)</f>
        <v>173.79</v>
      </c>
      <c r="U169" s="105">
        <f>VLOOKUP(A169,'Rate Calculation'!$A$4:$DK$210,20,FALSE)</f>
        <v>0</v>
      </c>
      <c r="V169" s="113">
        <f t="shared" si="46"/>
        <v>0</v>
      </c>
      <c r="W169" s="105">
        <f t="shared" si="47"/>
        <v>0</v>
      </c>
      <c r="X169" s="111">
        <f t="shared" si="39"/>
        <v>0</v>
      </c>
      <c r="Y169" s="105">
        <f t="shared" si="48"/>
        <v>0</v>
      </c>
      <c r="Z169" s="105">
        <f t="shared" si="49"/>
        <v>237.04</v>
      </c>
      <c r="AA169" s="105">
        <f t="shared" si="50"/>
        <v>0</v>
      </c>
      <c r="AB169" s="111">
        <f t="shared" si="51"/>
        <v>-237.04</v>
      </c>
      <c r="AC169" s="105" t="e">
        <f t="shared" si="52"/>
        <v>#VALUE!</v>
      </c>
      <c r="AD169" s="105" t="e">
        <f t="shared" si="40"/>
        <v>#VALUE!</v>
      </c>
      <c r="AE169" s="105" t="e">
        <f t="shared" si="41"/>
        <v>#DIV/0!</v>
      </c>
      <c r="AF169" s="105" t="e">
        <f t="shared" si="42"/>
        <v>#VALUE!</v>
      </c>
      <c r="AG169" s="105" t="e">
        <f t="shared" si="43"/>
        <v>#VALUE!</v>
      </c>
      <c r="AH169" s="111"/>
      <c r="AI169" s="105"/>
      <c r="AJ169" s="105"/>
      <c r="AK169" s="109"/>
      <c r="AL169" s="109"/>
      <c r="AM169" s="109"/>
      <c r="AN169" s="109"/>
      <c r="AO169" s="105"/>
      <c r="AP169" s="105"/>
      <c r="AQ169" s="109"/>
      <c r="AR169" s="110"/>
      <c r="AS169" s="110"/>
      <c r="AT169" s="110"/>
      <c r="AU169" s="110"/>
      <c r="AV169" s="110"/>
      <c r="AW169" s="112"/>
      <c r="AX169" s="112"/>
      <c r="AY169" s="110"/>
      <c r="AZ169" s="105"/>
      <c r="BA169" s="105"/>
      <c r="BB169" s="105"/>
      <c r="BC169" s="105"/>
      <c r="BD169" s="105"/>
      <c r="BE169" s="105"/>
    </row>
    <row r="170" spans="1:57" x14ac:dyDescent="0.15">
      <c r="A170" s="101">
        <v>436</v>
      </c>
      <c r="B170" s="98" t="e">
        <f>VLOOKUP($A170,'Rate Calculation'!$A$4:$CS$210,68,FALSE)</f>
        <v>#REF!</v>
      </c>
      <c r="C170" s="98" t="str">
        <f>UPPER(VLOOKUP($A170,'Rate Calculation'!$A$4:$CL$210,69,FALSE))</f>
        <v>65104</v>
      </c>
      <c r="D170" s="104" t="str">
        <f>VLOOKUP($A170,'Rate Calculation'!$A$4:$AJ$210,5,FALSE)</f>
        <v>EASTERN REGION</v>
      </c>
      <c r="E170" s="104" t="str">
        <f>VLOOKUP($A170,'Rate Calculation'!$A$4:$AJ$210,6,FALSE)</f>
        <v>NON METRO</v>
      </c>
      <c r="F170" s="105">
        <f>VLOOKUP(A170,'Rate Calculation'!$A$3:$AT$210,35,FALSE)</f>
        <v>28821</v>
      </c>
      <c r="G170" s="105">
        <f>VLOOKUP(A170,'Rate Calculation'!$A$3:$AT$210,30,FALSE)</f>
        <v>62220</v>
      </c>
      <c r="H170" s="105">
        <f>VLOOKUP(A170,'Rate Calculation'!$A$3:$AW$210,36,FALSE)+VLOOKUP(A170,'Rate Calculation'!$A$3:$CC$210,42,FALSE)</f>
        <v>210823731</v>
      </c>
      <c r="I170" s="105">
        <f t="shared" si="44"/>
        <v>-38.07</v>
      </c>
      <c r="J170" s="105" t="str">
        <f>VLOOKUP(A170,'Rate Calculation'!$A$3:$BL$210,43,FALSE)</f>
        <v>Pines Nursing and Rehab</v>
      </c>
      <c r="K170" s="105">
        <f t="shared" si="53"/>
        <v>210914733.93000001</v>
      </c>
      <c r="L170" s="164">
        <f t="shared" si="37"/>
        <v>0.98772000000000004</v>
      </c>
      <c r="M170" s="105">
        <f t="shared" si="45"/>
        <v>208324701</v>
      </c>
      <c r="N170" s="105" t="e">
        <f>VLOOKUP(A170,'Rate Calculation'!$A$4:$DK$210,47,FALSE)</f>
        <v>#DIV/0!</v>
      </c>
      <c r="O170" s="106">
        <f>VLOOKUP(A170,'Rate Calculation'!$A$4:$DK$210,10,FALSE)</f>
        <v>1.0309999999999999</v>
      </c>
      <c r="P170" s="114">
        <f t="shared" si="38"/>
        <v>1.4432</v>
      </c>
      <c r="Q170" s="114">
        <f>VLOOKUP(A170,'CMI Data'!$A$3:$Z$209,7,FALSE)</f>
        <v>0</v>
      </c>
      <c r="R170" s="120" t="e">
        <f>+'CMI Data'!$I$214</f>
        <v>#DIV/0!</v>
      </c>
      <c r="S170" s="106">
        <f>IF(Q170=0,'CMI Data'!$I$213,ROUND(Q170*R170,4))</f>
        <v>1.4061999999999999</v>
      </c>
      <c r="T170" s="105">
        <f>VLOOKUP(A170,'Rate Calculation'!$A$4:$DK$210,16,FALSE)</f>
        <v>209.04</v>
      </c>
      <c r="U170" s="105">
        <f>VLOOKUP(A170,'Rate Calculation'!$A$4:$DK$210,20,FALSE)</f>
        <v>-39.07</v>
      </c>
      <c r="V170" s="113">
        <f t="shared" si="46"/>
        <v>-27.91</v>
      </c>
      <c r="W170" s="105">
        <f t="shared" si="47"/>
        <v>-38.07</v>
      </c>
      <c r="X170" s="111">
        <f t="shared" si="39"/>
        <v>0</v>
      </c>
      <c r="Y170" s="105">
        <f t="shared" si="48"/>
        <v>-38.07</v>
      </c>
      <c r="Z170" s="105">
        <f t="shared" si="49"/>
        <v>285.11</v>
      </c>
      <c r="AA170" s="105">
        <f t="shared" si="50"/>
        <v>-36.17</v>
      </c>
      <c r="AB170" s="111">
        <f t="shared" si="51"/>
        <v>-321.27999999999997</v>
      </c>
      <c r="AC170" s="105" t="e">
        <f t="shared" si="52"/>
        <v>#VALUE!</v>
      </c>
      <c r="AD170" s="105" t="e">
        <f t="shared" si="40"/>
        <v>#VALUE!</v>
      </c>
      <c r="AE170" s="105" t="e">
        <f t="shared" si="41"/>
        <v>#DIV/0!</v>
      </c>
      <c r="AF170" s="105" t="e">
        <f t="shared" si="42"/>
        <v>#VALUE!</v>
      </c>
      <c r="AG170" s="105" t="e">
        <f t="shared" si="43"/>
        <v>#VALUE!</v>
      </c>
      <c r="AH170" s="111"/>
      <c r="AI170" s="105"/>
      <c r="AJ170" s="105"/>
      <c r="AK170" s="109"/>
      <c r="AL170" s="109"/>
      <c r="AM170" s="109"/>
      <c r="AN170" s="109"/>
      <c r="AO170" s="105"/>
      <c r="AP170" s="105"/>
      <c r="AQ170" s="109"/>
      <c r="AR170" s="110"/>
      <c r="AS170" s="110"/>
      <c r="AT170" s="110"/>
      <c r="AU170" s="110"/>
      <c r="AV170" s="110"/>
      <c r="AW170" s="112"/>
      <c r="AX170" s="112"/>
      <c r="AY170" s="110"/>
      <c r="AZ170" s="105"/>
      <c r="BA170" s="105"/>
      <c r="BB170" s="105"/>
      <c r="BC170" s="105"/>
      <c r="BD170" s="105"/>
      <c r="BE170" s="105"/>
    </row>
    <row r="171" spans="1:57" x14ac:dyDescent="0.15">
      <c r="A171" s="101">
        <v>366</v>
      </c>
      <c r="B171" s="98" t="e">
        <f>VLOOKUP($A171,'Rate Calculation'!$A$4:$CS$210,68,FALSE)</f>
        <v>#REF!</v>
      </c>
      <c r="C171" s="98" t="str">
        <f>UPPER(VLOOKUP($A171,'Rate Calculation'!$A$4:$CL$210,69,FALSE))</f>
        <v>82359</v>
      </c>
      <c r="D171" s="104" t="str">
        <f>VLOOKUP($A171,'Rate Calculation'!$A$4:$AJ$210,5,FALSE)</f>
        <v>BALTIMORE METRO</v>
      </c>
      <c r="E171" s="104" t="str">
        <f>VLOOKUP($A171,'Rate Calculation'!$A$4:$AJ$210,6,FALSE)</f>
        <v>BALTIMORE METRO</v>
      </c>
      <c r="F171" s="105">
        <f>VLOOKUP(A171,'Rate Calculation'!$A$3:$AT$210,35,FALSE)</f>
        <v>25885</v>
      </c>
      <c r="G171" s="105">
        <f>VLOOKUP(A171,'Rate Calculation'!$A$3:$AT$210,30,FALSE)</f>
        <v>38064</v>
      </c>
      <c r="H171" s="105">
        <f>VLOOKUP(A171,'Rate Calculation'!$A$3:$AW$210,36,FALSE)+VLOOKUP(A171,'Rate Calculation'!$A$3:$CC$210,42,FALSE)</f>
        <v>271038088</v>
      </c>
      <c r="I171" s="105">
        <f t="shared" si="44"/>
        <v>-15.39</v>
      </c>
      <c r="J171" s="105" t="str">
        <f>VLOOKUP(A171,'Rate Calculation'!$A$3:$BL$210,43,FALSE)</f>
        <v>Pleasant View Healthcare Center</v>
      </c>
      <c r="K171" s="105">
        <f t="shared" si="53"/>
        <v>271102021.61000001</v>
      </c>
      <c r="L171" s="164">
        <f t="shared" si="37"/>
        <v>0.98772000000000004</v>
      </c>
      <c r="M171" s="105">
        <f t="shared" si="45"/>
        <v>267772888.78</v>
      </c>
      <c r="N171" s="105" t="e">
        <f>VLOOKUP(A171,'Rate Calculation'!$A$4:$DK$210,47,FALSE)</f>
        <v>#DIV/0!</v>
      </c>
      <c r="O171" s="106">
        <f>VLOOKUP(A171,'Rate Calculation'!$A$4:$DK$210,10,FALSE)</f>
        <v>1.0309999999999999</v>
      </c>
      <c r="P171" s="114">
        <f t="shared" si="38"/>
        <v>1.4432</v>
      </c>
      <c r="Q171" s="114">
        <f>VLOOKUP(A171,'CMI Data'!$A$3:$Z$209,7,FALSE)</f>
        <v>0</v>
      </c>
      <c r="R171" s="120" t="e">
        <f>+'CMI Data'!$I$214</f>
        <v>#DIV/0!</v>
      </c>
      <c r="S171" s="106">
        <f>IF(Q171=0,'CMI Data'!$I$213,ROUND(Q171*R171,4))</f>
        <v>1.4061999999999999</v>
      </c>
      <c r="T171" s="105">
        <f>VLOOKUP(A171,'Rate Calculation'!$A$4:$DK$210,16,FALSE)</f>
        <v>164.91</v>
      </c>
      <c r="U171" s="105">
        <f>VLOOKUP(A171,'Rate Calculation'!$A$4:$DK$210,20,FALSE)</f>
        <v>-15.79</v>
      </c>
      <c r="V171" s="113">
        <f t="shared" si="46"/>
        <v>-11.28</v>
      </c>
      <c r="W171" s="105">
        <f t="shared" si="47"/>
        <v>-15.39</v>
      </c>
      <c r="X171" s="111">
        <f t="shared" si="39"/>
        <v>0</v>
      </c>
      <c r="Y171" s="105">
        <f t="shared" si="48"/>
        <v>-15.39</v>
      </c>
      <c r="Z171" s="105">
        <f t="shared" si="49"/>
        <v>224.92</v>
      </c>
      <c r="AA171" s="105">
        <f t="shared" si="50"/>
        <v>-14.62</v>
      </c>
      <c r="AB171" s="111">
        <f t="shared" si="51"/>
        <v>-239.54</v>
      </c>
      <c r="AC171" s="105" t="e">
        <f t="shared" si="52"/>
        <v>#VALUE!</v>
      </c>
      <c r="AD171" s="105" t="e">
        <f t="shared" si="40"/>
        <v>#VALUE!</v>
      </c>
      <c r="AE171" s="105" t="e">
        <f t="shared" si="41"/>
        <v>#DIV/0!</v>
      </c>
      <c r="AF171" s="105" t="e">
        <f t="shared" si="42"/>
        <v>#VALUE!</v>
      </c>
      <c r="AG171" s="105" t="e">
        <f t="shared" si="43"/>
        <v>#VALUE!</v>
      </c>
      <c r="AH171" s="111"/>
      <c r="AI171" s="105"/>
      <c r="AJ171" s="105"/>
      <c r="AK171" s="109"/>
      <c r="AL171" s="109"/>
      <c r="AM171" s="109"/>
      <c r="AN171" s="109"/>
      <c r="AO171" s="105"/>
      <c r="AP171" s="105"/>
      <c r="AQ171" s="109"/>
      <c r="AR171" s="110"/>
      <c r="AS171" s="110"/>
      <c r="AT171" s="110"/>
      <c r="AU171" s="110"/>
      <c r="AV171" s="110"/>
      <c r="AW171" s="112"/>
      <c r="AX171" s="112"/>
      <c r="AY171" s="110"/>
      <c r="AZ171" s="105"/>
      <c r="BA171" s="105"/>
      <c r="BB171" s="105"/>
      <c r="BC171" s="105"/>
      <c r="BD171" s="105"/>
      <c r="BE171" s="105"/>
    </row>
    <row r="172" spans="1:57" x14ac:dyDescent="0.15">
      <c r="A172" s="101">
        <v>294</v>
      </c>
      <c r="B172" s="98" t="e">
        <f>VLOOKUP($A172,'Rate Calculation'!$A$4:$CS$210,68,FALSE)</f>
        <v>#REF!</v>
      </c>
      <c r="C172" s="98" t="str">
        <f>UPPER(VLOOKUP($A172,'Rate Calculation'!$A$4:$CL$210,69,FALSE))</f>
        <v>464203</v>
      </c>
      <c r="D172" s="104" t="str">
        <f>VLOOKUP($A172,'Rate Calculation'!$A$4:$AJ$210,5,FALSE)</f>
        <v>BALTIMORE METRO</v>
      </c>
      <c r="E172" s="104" t="str">
        <f>VLOOKUP($A172,'Rate Calculation'!$A$4:$AJ$210,6,FALSE)</f>
        <v>BALTIMORE CITY</v>
      </c>
      <c r="F172" s="105">
        <f>VLOOKUP(A172,'Rate Calculation'!$A$3:$AT$210,35,FALSE)</f>
        <v>59133</v>
      </c>
      <c r="G172" s="105">
        <f>VLOOKUP(A172,'Rate Calculation'!$A$3:$AT$210,30,FALSE)</f>
        <v>82350</v>
      </c>
      <c r="H172" s="105">
        <f>VLOOKUP(A172,'Rate Calculation'!$A$3:$AW$210,36,FALSE)+VLOOKUP(A172,'Rate Calculation'!$A$3:$CC$210,42,FALSE)</f>
        <v>887204258</v>
      </c>
      <c r="I172" s="105">
        <f t="shared" si="44"/>
        <v>-16.46</v>
      </c>
      <c r="J172" s="105" t="str">
        <f>VLOOKUP(A172,'Rate Calculation'!$A$3:$BL$210,43,FALSE)</f>
        <v>Post-Acute Care Center</v>
      </c>
      <c r="K172" s="105">
        <f t="shared" si="53"/>
        <v>887345724.53999996</v>
      </c>
      <c r="L172" s="164">
        <f t="shared" si="37"/>
        <v>0.98772000000000004</v>
      </c>
      <c r="M172" s="105">
        <f t="shared" si="45"/>
        <v>876449119.03999996</v>
      </c>
      <c r="N172" s="105" t="e">
        <f>VLOOKUP(A172,'Rate Calculation'!$A$4:$DK$210,47,FALSE)</f>
        <v>#DIV/0!</v>
      </c>
      <c r="O172" s="106">
        <f>VLOOKUP(A172,'Rate Calculation'!$A$4:$DK$210,10,FALSE)</f>
        <v>1.0309999999999999</v>
      </c>
      <c r="P172" s="114">
        <f t="shared" si="38"/>
        <v>1.4432</v>
      </c>
      <c r="Q172" s="114">
        <f>VLOOKUP(A172,'CMI Data'!$A$3:$Z$209,7,FALSE)</f>
        <v>0</v>
      </c>
      <c r="R172" s="120" t="e">
        <f>+'CMI Data'!$I$214</f>
        <v>#DIV/0!</v>
      </c>
      <c r="S172" s="106">
        <f>IF(Q172=0,'CMI Data'!$I$213,ROUND(Q172*R172,4))</f>
        <v>1.4061999999999999</v>
      </c>
      <c r="T172" s="105">
        <f>VLOOKUP(A172,'Rate Calculation'!$A$4:$DK$210,16,FALSE)</f>
        <v>205.76</v>
      </c>
      <c r="U172" s="105">
        <f>VLOOKUP(A172,'Rate Calculation'!$A$4:$DK$210,20,FALSE)</f>
        <v>-16.899999999999999</v>
      </c>
      <c r="V172" s="113">
        <f t="shared" si="46"/>
        <v>-12.07</v>
      </c>
      <c r="W172" s="105">
        <f t="shared" si="47"/>
        <v>-16.46</v>
      </c>
      <c r="X172" s="111">
        <f t="shared" si="39"/>
        <v>0</v>
      </c>
      <c r="Y172" s="105">
        <f t="shared" si="48"/>
        <v>-16.46</v>
      </c>
      <c r="Z172" s="105">
        <f t="shared" si="49"/>
        <v>280.64</v>
      </c>
      <c r="AA172" s="105">
        <f t="shared" si="50"/>
        <v>-15.64</v>
      </c>
      <c r="AB172" s="111">
        <f t="shared" si="51"/>
        <v>-296.27999999999997</v>
      </c>
      <c r="AC172" s="105" t="e">
        <f t="shared" si="52"/>
        <v>#VALUE!</v>
      </c>
      <c r="AD172" s="105" t="e">
        <f t="shared" si="40"/>
        <v>#VALUE!</v>
      </c>
      <c r="AE172" s="105" t="e">
        <f t="shared" si="41"/>
        <v>#DIV/0!</v>
      </c>
      <c r="AF172" s="105" t="e">
        <f t="shared" si="42"/>
        <v>#VALUE!</v>
      </c>
      <c r="AG172" s="105" t="e">
        <f t="shared" si="43"/>
        <v>#VALUE!</v>
      </c>
      <c r="AH172" s="111"/>
      <c r="AI172" s="105"/>
      <c r="AJ172" s="105"/>
      <c r="AK172" s="109"/>
      <c r="AL172" s="109"/>
      <c r="AM172" s="109"/>
      <c r="AN172" s="109"/>
      <c r="AO172" s="105"/>
      <c r="AP172" s="105"/>
      <c r="AQ172" s="109"/>
      <c r="AR172" s="110"/>
      <c r="AS172" s="110"/>
      <c r="AT172" s="110"/>
      <c r="AU172" s="110"/>
      <c r="AV172" s="110"/>
      <c r="AW172" s="112"/>
      <c r="AX172" s="112"/>
      <c r="AY172" s="110"/>
      <c r="AZ172" s="105"/>
      <c r="BA172" s="105"/>
      <c r="BB172" s="105"/>
      <c r="BC172" s="105"/>
      <c r="BD172" s="105"/>
      <c r="BE172" s="105"/>
    </row>
    <row r="173" spans="1:57" x14ac:dyDescent="0.15">
      <c r="A173" s="101">
        <v>368</v>
      </c>
      <c r="B173" s="98" t="e">
        <f>VLOOKUP($A173,'Rate Calculation'!$A$4:$CS$210,68,FALSE)</f>
        <v>#REF!</v>
      </c>
      <c r="C173" s="98" t="str">
        <f>UPPER(VLOOKUP($A173,'Rate Calculation'!$A$4:$CL$210,69,FALSE))</f>
        <v>283629</v>
      </c>
      <c r="D173" s="104" t="str">
        <f>VLOOKUP($A173,'Rate Calculation'!$A$4:$AJ$210,5,FALSE)</f>
        <v>WASHINGTON METRO</v>
      </c>
      <c r="E173" s="104" t="str">
        <f>VLOOKUP($A173,'Rate Calculation'!$A$4:$AJ$210,6,FALSE)</f>
        <v>WASHINGTON METRO</v>
      </c>
      <c r="F173" s="105">
        <f>VLOOKUP(A173,'Rate Calculation'!$A$3:$AT$210,35,FALSE)</f>
        <v>48255</v>
      </c>
      <c r="G173" s="105">
        <f>VLOOKUP(A173,'Rate Calculation'!$A$3:$AT$210,30,FALSE)</f>
        <v>64050</v>
      </c>
      <c r="H173" s="105">
        <f>VLOOKUP(A173,'Rate Calculation'!$A$3:$AW$210,36,FALSE)+VLOOKUP(A173,'Rate Calculation'!$A$3:$CC$210,42,FALSE)</f>
        <v>907433190</v>
      </c>
      <c r="I173" s="105">
        <f t="shared" si="44"/>
        <v>-27.35</v>
      </c>
      <c r="J173" s="105" t="str">
        <f>VLOOKUP(A173,'Rate Calculation'!$A$3:$BL$210,43,FALSE)</f>
        <v>Potomac Valley Rehabilitation &amp; Healthcare Center</v>
      </c>
      <c r="K173" s="105">
        <f t="shared" si="53"/>
        <v>907545467.64999998</v>
      </c>
      <c r="L173" s="164">
        <f t="shared" si="37"/>
        <v>0.98772000000000004</v>
      </c>
      <c r="M173" s="105">
        <f t="shared" si="45"/>
        <v>896400809.30999994</v>
      </c>
      <c r="N173" s="105" t="e">
        <f>VLOOKUP(A173,'Rate Calculation'!$A$4:$DK$210,47,FALSE)</f>
        <v>#DIV/0!</v>
      </c>
      <c r="O173" s="106">
        <f>VLOOKUP(A173,'Rate Calculation'!$A$4:$DK$210,10,FALSE)</f>
        <v>1.0309999999999999</v>
      </c>
      <c r="P173" s="114">
        <f t="shared" si="38"/>
        <v>1.4432</v>
      </c>
      <c r="Q173" s="114">
        <f>VLOOKUP(A173,'CMI Data'!$A$3:$Z$209,7,FALSE)</f>
        <v>0</v>
      </c>
      <c r="R173" s="120" t="e">
        <f>+'CMI Data'!$I$214</f>
        <v>#DIV/0!</v>
      </c>
      <c r="S173" s="106">
        <f>IF(Q173=0,'CMI Data'!$I$213,ROUND(Q173*R173,4))</f>
        <v>1.4061999999999999</v>
      </c>
      <c r="T173" s="105">
        <f>VLOOKUP(A173,'Rate Calculation'!$A$4:$DK$210,16,FALSE)</f>
        <v>162.82</v>
      </c>
      <c r="U173" s="105">
        <f>VLOOKUP(A173,'Rate Calculation'!$A$4:$DK$210,20,FALSE)</f>
        <v>-28.07</v>
      </c>
      <c r="V173" s="113">
        <f t="shared" si="46"/>
        <v>-20.05</v>
      </c>
      <c r="W173" s="105">
        <f t="shared" si="47"/>
        <v>-27.35</v>
      </c>
      <c r="X173" s="111">
        <f t="shared" si="39"/>
        <v>0</v>
      </c>
      <c r="Y173" s="105">
        <f t="shared" si="48"/>
        <v>-27.35</v>
      </c>
      <c r="Z173" s="105">
        <f t="shared" si="49"/>
        <v>222.07</v>
      </c>
      <c r="AA173" s="105">
        <f t="shared" si="50"/>
        <v>-25.98</v>
      </c>
      <c r="AB173" s="111">
        <f t="shared" si="51"/>
        <v>-248.05</v>
      </c>
      <c r="AC173" s="105" t="e">
        <f t="shared" si="52"/>
        <v>#VALUE!</v>
      </c>
      <c r="AD173" s="105" t="e">
        <f t="shared" si="40"/>
        <v>#VALUE!</v>
      </c>
      <c r="AE173" s="105" t="e">
        <f t="shared" si="41"/>
        <v>#DIV/0!</v>
      </c>
      <c r="AF173" s="105" t="e">
        <f t="shared" si="42"/>
        <v>#VALUE!</v>
      </c>
      <c r="AG173" s="105" t="e">
        <f t="shared" si="43"/>
        <v>#VALUE!</v>
      </c>
      <c r="AH173" s="111"/>
      <c r="AI173" s="105"/>
      <c r="AJ173" s="105"/>
      <c r="AK173" s="109"/>
      <c r="AL173" s="109"/>
      <c r="AM173" s="109"/>
      <c r="AN173" s="109"/>
      <c r="AO173" s="105"/>
      <c r="AP173" s="105"/>
      <c r="AQ173" s="109"/>
      <c r="AR173" s="110"/>
      <c r="AS173" s="110"/>
      <c r="AT173" s="110"/>
      <c r="AU173" s="110"/>
      <c r="AV173" s="110"/>
      <c r="AW173" s="112"/>
      <c r="AX173" s="112"/>
      <c r="AY173" s="110"/>
      <c r="AZ173" s="105"/>
      <c r="BA173" s="105"/>
      <c r="BB173" s="105"/>
      <c r="BC173" s="105"/>
      <c r="BD173" s="105"/>
      <c r="BE173" s="105"/>
    </row>
    <row r="174" spans="1:57" x14ac:dyDescent="0.15">
      <c r="A174" s="101">
        <v>462</v>
      </c>
      <c r="B174" s="98" t="e">
        <f>VLOOKUP($A174,'Rate Calculation'!$A$4:$CS$210,68,FALSE)</f>
        <v>#REF!</v>
      </c>
      <c r="C174" s="98" t="str">
        <f>UPPER(VLOOKUP($A174,'Rate Calculation'!$A$4:$CL$210,69,FALSE))</f>
        <v>88110</v>
      </c>
      <c r="D174" s="104" t="str">
        <f>VLOOKUP($A174,'Rate Calculation'!$A$4:$AJ$210,5,FALSE)</f>
        <v>WASHINGTON METRO</v>
      </c>
      <c r="E174" s="104" t="str">
        <f>VLOOKUP($A174,'Rate Calculation'!$A$4:$AJ$210,6,FALSE)</f>
        <v>WASHINGTON METRO</v>
      </c>
      <c r="F174" s="105">
        <f>VLOOKUP(A174,'Rate Calculation'!$A$3:$AT$210,35,FALSE)</f>
        <v>20093</v>
      </c>
      <c r="G174" s="105">
        <f>VLOOKUP(A174,'Rate Calculation'!$A$3:$AT$210,30,FALSE)</f>
        <v>33672</v>
      </c>
      <c r="H174" s="105">
        <f>VLOOKUP(A174,'Rate Calculation'!$A$3:$AW$210,36,FALSE)+VLOOKUP(A174,'Rate Calculation'!$A$3:$CC$210,42,FALSE)</f>
        <v>300125645</v>
      </c>
      <c r="I174" s="105">
        <f t="shared" si="44"/>
        <v>-4.0599999999999996</v>
      </c>
      <c r="J174" s="105" t="str">
        <f>VLOOKUP(A174,'Rate Calculation'!$A$3:$BL$210,43,FALSE)</f>
        <v>Regency Care of Silver Spring, LLC</v>
      </c>
      <c r="K174" s="105">
        <f t="shared" si="53"/>
        <v>300179405.94</v>
      </c>
      <c r="L174" s="164">
        <f t="shared" si="37"/>
        <v>0.98772000000000004</v>
      </c>
      <c r="M174" s="105">
        <f t="shared" si="45"/>
        <v>296493202.83999997</v>
      </c>
      <c r="N174" s="105" t="e">
        <f>VLOOKUP(A174,'Rate Calculation'!$A$4:$DK$210,47,FALSE)</f>
        <v>#DIV/0!</v>
      </c>
      <c r="O174" s="106">
        <f>VLOOKUP(A174,'Rate Calculation'!$A$4:$DK$210,10,FALSE)</f>
        <v>1.0309999999999999</v>
      </c>
      <c r="P174" s="114">
        <f t="shared" si="38"/>
        <v>1.4432</v>
      </c>
      <c r="Q174" s="114">
        <f>VLOOKUP(A174,'CMI Data'!$A$3:$Z$209,7,FALSE)</f>
        <v>0</v>
      </c>
      <c r="R174" s="120" t="e">
        <f>+'CMI Data'!$I$214</f>
        <v>#DIV/0!</v>
      </c>
      <c r="S174" s="106">
        <f>IF(Q174=0,'CMI Data'!$I$213,ROUND(Q174*R174,4))</f>
        <v>1.4061999999999999</v>
      </c>
      <c r="T174" s="105">
        <f>VLOOKUP(A174,'Rate Calculation'!$A$4:$DK$210,16,FALSE)</f>
        <v>150.46</v>
      </c>
      <c r="U174" s="105">
        <f>VLOOKUP(A174,'Rate Calculation'!$A$4:$DK$210,20,FALSE)</f>
        <v>-4.17</v>
      </c>
      <c r="V174" s="113">
        <f t="shared" si="46"/>
        <v>-2.98</v>
      </c>
      <c r="W174" s="105">
        <f t="shared" si="47"/>
        <v>-4.0599999999999996</v>
      </c>
      <c r="X174" s="111">
        <f t="shared" si="39"/>
        <v>0</v>
      </c>
      <c r="Y174" s="105">
        <f t="shared" si="48"/>
        <v>-4.0599999999999996</v>
      </c>
      <c r="Z174" s="105">
        <f t="shared" si="49"/>
        <v>205.22</v>
      </c>
      <c r="AA174" s="105">
        <f t="shared" si="50"/>
        <v>-3.86</v>
      </c>
      <c r="AB174" s="111">
        <f t="shared" si="51"/>
        <v>-209.08</v>
      </c>
      <c r="AC174" s="105" t="e">
        <f t="shared" si="52"/>
        <v>#VALUE!</v>
      </c>
      <c r="AD174" s="105" t="e">
        <f t="shared" si="40"/>
        <v>#VALUE!</v>
      </c>
      <c r="AE174" s="105" t="e">
        <f t="shared" si="41"/>
        <v>#DIV/0!</v>
      </c>
      <c r="AF174" s="105" t="e">
        <f t="shared" si="42"/>
        <v>#VALUE!</v>
      </c>
      <c r="AG174" s="105" t="e">
        <f t="shared" si="43"/>
        <v>#VALUE!</v>
      </c>
      <c r="AH174" s="111"/>
      <c r="AI174" s="105"/>
      <c r="AJ174" s="105"/>
      <c r="AK174" s="109"/>
      <c r="AL174" s="109"/>
      <c r="AM174" s="109"/>
      <c r="AN174" s="109"/>
      <c r="AO174" s="105"/>
      <c r="AP174" s="105"/>
      <c r="AQ174" s="109"/>
      <c r="AR174" s="110"/>
      <c r="AS174" s="110"/>
      <c r="AT174" s="110"/>
      <c r="AU174" s="110"/>
      <c r="AV174" s="110"/>
      <c r="AW174" s="112"/>
      <c r="AX174" s="112"/>
      <c r="AY174" s="110"/>
      <c r="AZ174" s="105"/>
      <c r="BA174" s="105"/>
      <c r="BB174" s="105"/>
      <c r="BC174" s="105"/>
      <c r="BD174" s="105"/>
      <c r="BE174" s="105"/>
    </row>
    <row r="175" spans="1:57" x14ac:dyDescent="0.15">
      <c r="A175" s="101">
        <v>102</v>
      </c>
      <c r="B175" s="98" t="e">
        <f>VLOOKUP($A175,'Rate Calculation'!$A$4:$CS$210,68,FALSE)</f>
        <v>#REF!</v>
      </c>
      <c r="C175" s="98" t="str">
        <f>UPPER(VLOOKUP($A175,'Rate Calculation'!$A$4:$CL$210,69,FALSE))</f>
        <v>36115</v>
      </c>
      <c r="D175" s="104" t="str">
        <f>VLOOKUP($A175,'Rate Calculation'!$A$4:$AJ$210,5,FALSE)</f>
        <v>EASTERN REGION</v>
      </c>
      <c r="E175" s="104" t="str">
        <f>VLOOKUP($A175,'Rate Calculation'!$A$4:$AJ$210,6,FALSE)</f>
        <v>NON METRO</v>
      </c>
      <c r="F175" s="105">
        <f>VLOOKUP(A175,'Rate Calculation'!$A$3:$AT$210,35,FALSE)</f>
        <v>27669</v>
      </c>
      <c r="G175" s="105">
        <f>VLOOKUP(A175,'Rate Calculation'!$A$3:$AT$210,30,FALSE)</f>
        <v>35868</v>
      </c>
      <c r="H175" s="105">
        <f>VLOOKUP(A175,'Rate Calculation'!$A$3:$AW$210,36,FALSE)+VLOOKUP(A175,'Rate Calculation'!$A$3:$CC$210,42,FALSE)</f>
        <v>700200663</v>
      </c>
      <c r="I175" s="105">
        <f t="shared" si="44"/>
        <v>0</v>
      </c>
      <c r="J175" s="105" t="str">
        <f>VLOOKUP(A175,'Rate Calculation'!$A$3:$BL$210,43,FALSE)</f>
        <v>Resorts at Chester River Manor Corp</v>
      </c>
      <c r="K175" s="105">
        <f t="shared" si="53"/>
        <v>700264200</v>
      </c>
      <c r="L175" s="164">
        <f t="shared" si="37"/>
        <v>0.98772000000000004</v>
      </c>
      <c r="M175" s="105">
        <f t="shared" si="45"/>
        <v>691664955.62</v>
      </c>
      <c r="N175" s="105" t="e">
        <f>VLOOKUP(A175,'Rate Calculation'!$A$4:$DK$210,47,FALSE)</f>
        <v>#DIV/0!</v>
      </c>
      <c r="O175" s="106">
        <f>VLOOKUP(A175,'Rate Calculation'!$A$4:$DK$210,10,FALSE)</f>
        <v>1.0309999999999999</v>
      </c>
      <c r="P175" s="114">
        <f t="shared" si="38"/>
        <v>1.4432</v>
      </c>
      <c r="Q175" s="114">
        <f>VLOOKUP(A175,'CMI Data'!$A$3:$Z$209,7,FALSE)</f>
        <v>0</v>
      </c>
      <c r="R175" s="120" t="e">
        <f>+'CMI Data'!$I$214</f>
        <v>#DIV/0!</v>
      </c>
      <c r="S175" s="106">
        <f>IF(Q175=0,'CMI Data'!$I$213,ROUND(Q175*R175,4))</f>
        <v>1.4061999999999999</v>
      </c>
      <c r="T175" s="105">
        <f>VLOOKUP(A175,'Rate Calculation'!$A$4:$DK$210,16,FALSE)</f>
        <v>184.67</v>
      </c>
      <c r="U175" s="105">
        <f>VLOOKUP(A175,'Rate Calculation'!$A$4:$DK$210,20,FALSE)</f>
        <v>0</v>
      </c>
      <c r="V175" s="113">
        <f t="shared" si="46"/>
        <v>0</v>
      </c>
      <c r="W175" s="105">
        <f t="shared" si="47"/>
        <v>0</v>
      </c>
      <c r="X175" s="111">
        <f t="shared" si="39"/>
        <v>0</v>
      </c>
      <c r="Y175" s="105">
        <f t="shared" si="48"/>
        <v>0</v>
      </c>
      <c r="Z175" s="105">
        <f t="shared" si="49"/>
        <v>251.87</v>
      </c>
      <c r="AA175" s="105">
        <f t="shared" si="50"/>
        <v>0</v>
      </c>
      <c r="AB175" s="111">
        <f t="shared" si="51"/>
        <v>-251.87</v>
      </c>
      <c r="AC175" s="105" t="e">
        <f t="shared" si="52"/>
        <v>#VALUE!</v>
      </c>
      <c r="AD175" s="105" t="e">
        <f t="shared" si="40"/>
        <v>#VALUE!</v>
      </c>
      <c r="AE175" s="105" t="e">
        <f t="shared" si="41"/>
        <v>#DIV/0!</v>
      </c>
      <c r="AF175" s="105" t="e">
        <f t="shared" si="42"/>
        <v>#VALUE!</v>
      </c>
      <c r="AG175" s="105" t="e">
        <f t="shared" si="43"/>
        <v>#VALUE!</v>
      </c>
      <c r="AH175" s="111"/>
      <c r="AI175" s="105"/>
      <c r="AJ175" s="105"/>
      <c r="AK175" s="109"/>
      <c r="AL175" s="109"/>
      <c r="AM175" s="109"/>
      <c r="AN175" s="109"/>
      <c r="AO175" s="105"/>
      <c r="AP175" s="105"/>
      <c r="AQ175" s="109"/>
      <c r="AR175" s="110"/>
      <c r="AS175" s="110"/>
      <c r="AT175" s="110"/>
      <c r="AU175" s="110"/>
      <c r="AV175" s="110"/>
      <c r="AW175" s="112"/>
      <c r="AX175" s="112"/>
      <c r="AY175" s="110"/>
      <c r="AZ175" s="105"/>
      <c r="BA175" s="105"/>
      <c r="BB175" s="105"/>
      <c r="BC175" s="105"/>
      <c r="BD175" s="105"/>
      <c r="BE175" s="105"/>
    </row>
    <row r="176" spans="1:57" x14ac:dyDescent="0.15">
      <c r="A176" s="101">
        <v>1282</v>
      </c>
      <c r="B176" s="98" t="e">
        <f>VLOOKUP($A176,'Rate Calculation'!$A$4:$CS$210,68,FALSE)</f>
        <v>#REF!</v>
      </c>
      <c r="C176" s="98" t="str">
        <f>UPPER(VLOOKUP($A176,'Rate Calculation'!$A$4:$CL$210,69,FALSE))</f>
        <v>132948</v>
      </c>
      <c r="D176" s="104" t="str">
        <f>VLOOKUP($A176,'Rate Calculation'!$A$4:$AJ$210,5,FALSE)</f>
        <v>WASHINGTON METRO</v>
      </c>
      <c r="E176" s="104" t="str">
        <f>VLOOKUP($A176,'Rate Calculation'!$A$4:$AJ$210,6,FALSE)</f>
        <v>WASHINGTON METRO</v>
      </c>
      <c r="F176" s="105">
        <f>VLOOKUP(A176,'Rate Calculation'!$A$3:$AT$210,35,FALSE)</f>
        <v>11132</v>
      </c>
      <c r="G176" s="105">
        <f>VLOOKUP(A176,'Rate Calculation'!$A$3:$AT$210,30,FALSE)</f>
        <v>29280</v>
      </c>
      <c r="H176" s="105">
        <f>VLOOKUP(A176,'Rate Calculation'!$A$3:$AW$210,36,FALSE)+VLOOKUP(A176,'Rate Calculation'!$A$3:$CC$210,42,FALSE)</f>
        <v>424444310</v>
      </c>
      <c r="I176" s="105">
        <f t="shared" si="44"/>
        <v>-7.32</v>
      </c>
      <c r="J176" s="105" t="str">
        <f>VLOOKUP(A176,'Rate Calculation'!$A$3:$BL$210,43,FALSE)</f>
        <v>Restore Health Rehabilitation Center</v>
      </c>
      <c r="K176" s="105">
        <f t="shared" si="53"/>
        <v>424484714.68000001</v>
      </c>
      <c r="L176" s="164">
        <f t="shared" si="37"/>
        <v>0.98772000000000004</v>
      </c>
      <c r="M176" s="105">
        <f t="shared" si="45"/>
        <v>419272042.38</v>
      </c>
      <c r="N176" s="105" t="e">
        <f>VLOOKUP(A176,'Rate Calculation'!$A$4:$DK$210,47,FALSE)</f>
        <v>#DIV/0!</v>
      </c>
      <c r="O176" s="106">
        <f>VLOOKUP(A176,'Rate Calculation'!$A$4:$DK$210,10,FALSE)</f>
        <v>1.0309999999999999</v>
      </c>
      <c r="P176" s="114">
        <f t="shared" si="38"/>
        <v>1.4432</v>
      </c>
      <c r="Q176" s="114">
        <f>VLOOKUP(A176,'CMI Data'!$A$3:$Z$209,7,FALSE)</f>
        <v>0</v>
      </c>
      <c r="R176" s="120" t="e">
        <f>+'CMI Data'!$I$214</f>
        <v>#DIV/0!</v>
      </c>
      <c r="S176" s="106">
        <f>IF(Q176=0,'CMI Data'!$I$213,ROUND(Q176*R176,4))</f>
        <v>1.4061999999999999</v>
      </c>
      <c r="T176" s="105">
        <f>VLOOKUP(A176,'Rate Calculation'!$A$4:$DK$210,16,FALSE)</f>
        <v>157.61000000000001</v>
      </c>
      <c r="U176" s="105">
        <f>VLOOKUP(A176,'Rate Calculation'!$A$4:$DK$210,20,FALSE)</f>
        <v>-7.51</v>
      </c>
      <c r="V176" s="113">
        <f t="shared" si="46"/>
        <v>-5.37</v>
      </c>
      <c r="W176" s="105">
        <f t="shared" si="47"/>
        <v>-7.32</v>
      </c>
      <c r="X176" s="111">
        <f t="shared" si="39"/>
        <v>0</v>
      </c>
      <c r="Y176" s="105">
        <f t="shared" si="48"/>
        <v>-7.32</v>
      </c>
      <c r="Z176" s="105">
        <f t="shared" si="49"/>
        <v>214.97</v>
      </c>
      <c r="AA176" s="105">
        <f t="shared" si="50"/>
        <v>-6.95</v>
      </c>
      <c r="AB176" s="111">
        <f t="shared" si="51"/>
        <v>-221.92</v>
      </c>
      <c r="AC176" s="105" t="e">
        <f t="shared" si="52"/>
        <v>#VALUE!</v>
      </c>
      <c r="AD176" s="105" t="e">
        <f t="shared" si="40"/>
        <v>#VALUE!</v>
      </c>
      <c r="AE176" s="105" t="e">
        <f t="shared" si="41"/>
        <v>#DIV/0!</v>
      </c>
      <c r="AF176" s="105" t="e">
        <f t="shared" si="42"/>
        <v>#VALUE!</v>
      </c>
      <c r="AG176" s="105" t="e">
        <f t="shared" si="43"/>
        <v>#VALUE!</v>
      </c>
      <c r="AH176" s="111"/>
      <c r="AI176" s="105"/>
      <c r="AJ176" s="105"/>
      <c r="AK176" s="109"/>
      <c r="AL176" s="109"/>
      <c r="AM176" s="109"/>
      <c r="AN176" s="109"/>
      <c r="AO176" s="105"/>
      <c r="AP176" s="105"/>
      <c r="AQ176" s="109"/>
      <c r="AR176" s="110"/>
      <c r="AS176" s="110"/>
      <c r="AT176" s="110"/>
      <c r="AU176" s="110"/>
      <c r="AV176" s="110"/>
      <c r="AW176" s="112"/>
      <c r="AX176" s="112"/>
      <c r="AY176" s="110"/>
      <c r="AZ176" s="105"/>
      <c r="BA176" s="105"/>
      <c r="BB176" s="105"/>
      <c r="BC176" s="105"/>
      <c r="BD176" s="105"/>
      <c r="BE176" s="105"/>
    </row>
    <row r="177" spans="1:57" x14ac:dyDescent="0.15">
      <c r="A177" s="101">
        <v>380</v>
      </c>
      <c r="B177" s="98" t="e">
        <f>VLOOKUP($A177,'Rate Calculation'!$A$4:$CS$210,68,FALSE)</f>
        <v>#REF!</v>
      </c>
      <c r="C177" s="98" t="str">
        <f>UPPER(VLOOKUP($A177,'Rate Calculation'!$A$4:$CL$210,69,FALSE))</f>
        <v>14858</v>
      </c>
      <c r="D177" s="104" t="str">
        <f>VLOOKUP($A177,'Rate Calculation'!$A$4:$AJ$210,5,FALSE)</f>
        <v>WASHINGTON METRO</v>
      </c>
      <c r="E177" s="104" t="str">
        <f>VLOOKUP($A177,'Rate Calculation'!$A$4:$AJ$210,6,FALSE)</f>
        <v>WASHINGTON METRO</v>
      </c>
      <c r="F177" s="105">
        <f>VLOOKUP(A177,'Rate Calculation'!$A$3:$AT$210,35,FALSE)</f>
        <v>0</v>
      </c>
      <c r="G177" s="105">
        <f>VLOOKUP(A177,'Rate Calculation'!$A$3:$AT$210,30,FALSE)</f>
        <v>42822</v>
      </c>
      <c r="H177" s="105">
        <f>VLOOKUP(A177,'Rate Calculation'!$A$3:$AW$210,36,FALSE)+VLOOKUP(A177,'Rate Calculation'!$A$3:$CC$210,42,FALSE)</f>
        <v>407335500</v>
      </c>
      <c r="I177" s="105">
        <f t="shared" si="44"/>
        <v>0</v>
      </c>
      <c r="J177" s="105" t="str">
        <f>VLOOKUP(A177,'Rate Calculation'!$A$3:$BL$210,43,FALSE)</f>
        <v>Riderwood Village, Inc.</v>
      </c>
      <c r="K177" s="105">
        <f t="shared" si="53"/>
        <v>407378322</v>
      </c>
      <c r="L177" s="164">
        <f t="shared" si="37"/>
        <v>0.98772000000000004</v>
      </c>
      <c r="M177" s="105">
        <f t="shared" si="45"/>
        <v>402375716.20999998</v>
      </c>
      <c r="N177" s="105" t="e">
        <f>VLOOKUP(A177,'Rate Calculation'!$A$4:$DK$210,47,FALSE)</f>
        <v>#DIV/0!</v>
      </c>
      <c r="O177" s="106">
        <f>VLOOKUP(A177,'Rate Calculation'!$A$4:$DK$210,10,FALSE)</f>
        <v>1.0309999999999999</v>
      </c>
      <c r="P177" s="114">
        <f t="shared" si="38"/>
        <v>1.4432</v>
      </c>
      <c r="Q177" s="114">
        <f>VLOOKUP(A177,'CMI Data'!$A$3:$Z$209,7,FALSE)</f>
        <v>0</v>
      </c>
      <c r="R177" s="120" t="e">
        <f>+'CMI Data'!$I$214</f>
        <v>#DIV/0!</v>
      </c>
      <c r="S177" s="106">
        <f>IF(Q177=0,'CMI Data'!$I$213,ROUND(Q177*R177,4))</f>
        <v>1.4061999999999999</v>
      </c>
      <c r="T177" s="105">
        <f>VLOOKUP(A177,'Rate Calculation'!$A$4:$DK$210,16,FALSE)</f>
        <v>161.69999999999999</v>
      </c>
      <c r="U177" s="105">
        <f>VLOOKUP(A177,'Rate Calculation'!$A$4:$DK$210,20,FALSE)</f>
        <v>0</v>
      </c>
      <c r="V177" s="113">
        <f t="shared" si="46"/>
        <v>0</v>
      </c>
      <c r="W177" s="105">
        <f t="shared" si="47"/>
        <v>0</v>
      </c>
      <c r="X177" s="111">
        <f t="shared" si="39"/>
        <v>0</v>
      </c>
      <c r="Y177" s="105">
        <f t="shared" si="48"/>
        <v>0</v>
      </c>
      <c r="Z177" s="105">
        <f t="shared" si="49"/>
        <v>220.55</v>
      </c>
      <c r="AA177" s="105">
        <f t="shared" si="50"/>
        <v>0</v>
      </c>
      <c r="AB177" s="111">
        <f t="shared" si="51"/>
        <v>-220.55</v>
      </c>
      <c r="AC177" s="105" t="e">
        <f t="shared" si="52"/>
        <v>#VALUE!</v>
      </c>
      <c r="AD177" s="105" t="e">
        <f t="shared" si="40"/>
        <v>#VALUE!</v>
      </c>
      <c r="AE177" s="105" t="e">
        <f t="shared" si="41"/>
        <v>#DIV/0!</v>
      </c>
      <c r="AF177" s="105" t="e">
        <f t="shared" si="42"/>
        <v>#VALUE!</v>
      </c>
      <c r="AG177" s="105" t="e">
        <f t="shared" si="43"/>
        <v>#VALUE!</v>
      </c>
      <c r="AH177" s="111"/>
      <c r="AI177" s="105"/>
      <c r="AJ177" s="105"/>
      <c r="AK177" s="109"/>
      <c r="AL177" s="109"/>
      <c r="AM177" s="109"/>
      <c r="AN177" s="109"/>
      <c r="AO177" s="105"/>
      <c r="AP177" s="105"/>
      <c r="AQ177" s="109"/>
      <c r="AR177" s="110"/>
      <c r="AS177" s="110"/>
      <c r="AT177" s="110"/>
      <c r="AU177" s="110"/>
      <c r="AV177" s="110"/>
      <c r="AW177" s="112"/>
      <c r="AX177" s="112"/>
      <c r="AY177" s="110"/>
      <c r="AZ177" s="105"/>
      <c r="BA177" s="105"/>
      <c r="BB177" s="105"/>
      <c r="BC177" s="105"/>
      <c r="BD177" s="105"/>
      <c r="BE177" s="105"/>
    </row>
    <row r="178" spans="1:57" x14ac:dyDescent="0.15">
      <c r="A178" s="101">
        <v>394</v>
      </c>
      <c r="B178" s="98" t="e">
        <f>VLOOKUP($A178,'Rate Calculation'!$A$4:$CS$210,68,FALSE)</f>
        <v>#REF!</v>
      </c>
      <c r="C178" s="98" t="str">
        <f>UPPER(VLOOKUP($A178,'Rate Calculation'!$A$4:$CL$210,69,FALSE))</f>
        <v>0</v>
      </c>
      <c r="D178" s="104" t="str">
        <f>VLOOKUP($A178,'Rate Calculation'!$A$4:$AJ$210,5,FALSE)</f>
        <v>WASHINGTON METRO</v>
      </c>
      <c r="E178" s="104" t="str">
        <f>VLOOKUP($A178,'Rate Calculation'!$A$4:$AJ$210,6,FALSE)</f>
        <v>WASHINGTON METRO</v>
      </c>
      <c r="F178" s="105">
        <f>VLOOKUP(A178,'Rate Calculation'!$A$3:$AT$210,35,FALSE)</f>
        <v>0</v>
      </c>
      <c r="G178" s="105">
        <f>VLOOKUP(A178,'Rate Calculation'!$A$3:$AT$210,30,FALSE)</f>
        <v>16104</v>
      </c>
      <c r="H178" s="105">
        <f>VLOOKUP(A178,'Rate Calculation'!$A$3:$AW$210,36,FALSE)+VLOOKUP(A178,'Rate Calculation'!$A$3:$CC$210,42,FALSE)</f>
        <v>166737800</v>
      </c>
      <c r="I178" s="105">
        <f t="shared" si="44"/>
        <v>0</v>
      </c>
      <c r="J178" s="105" t="str">
        <f>VLOOKUP(A178,'Rate Calculation'!$A$3:$BL$210,43,FALSE)</f>
        <v>Sacred Heart Home, Inc.</v>
      </c>
      <c r="K178" s="105">
        <f t="shared" si="53"/>
        <v>166753904</v>
      </c>
      <c r="L178" s="164">
        <f t="shared" si="37"/>
        <v>0.98772000000000004</v>
      </c>
      <c r="M178" s="105">
        <f t="shared" si="45"/>
        <v>164706166.06</v>
      </c>
      <c r="N178" s="105" t="e">
        <f>VLOOKUP(A178,'Rate Calculation'!$A$4:$DK$210,47,FALSE)</f>
        <v>#DIV/0!</v>
      </c>
      <c r="O178" s="106">
        <f>VLOOKUP(A178,'Rate Calculation'!$A$4:$DK$210,10,FALSE)</f>
        <v>1.0309999999999999</v>
      </c>
      <c r="P178" s="114">
        <f t="shared" si="38"/>
        <v>1.4432</v>
      </c>
      <c r="Q178" s="114">
        <f>VLOOKUP(A178,'CMI Data'!$A$3:$Z$209,7,FALSE)</f>
        <v>0</v>
      </c>
      <c r="R178" s="120" t="e">
        <f>+'CMI Data'!$I$214</f>
        <v>#DIV/0!</v>
      </c>
      <c r="S178" s="106">
        <f>IF(Q178=0,'CMI Data'!$I$213,ROUND(Q178*R178,4))</f>
        <v>1.4061999999999999</v>
      </c>
      <c r="T178" s="105">
        <f>VLOOKUP(A178,'Rate Calculation'!$A$4:$DK$210,16,FALSE)</f>
        <v>139.74</v>
      </c>
      <c r="U178" s="105">
        <f>VLOOKUP(A178,'Rate Calculation'!$A$4:$DK$210,20,FALSE)</f>
        <v>0</v>
      </c>
      <c r="V178" s="113">
        <f t="shared" si="46"/>
        <v>0</v>
      </c>
      <c r="W178" s="105">
        <f t="shared" si="47"/>
        <v>0</v>
      </c>
      <c r="X178" s="111">
        <f t="shared" si="39"/>
        <v>0</v>
      </c>
      <c r="Y178" s="105">
        <f t="shared" si="48"/>
        <v>0</v>
      </c>
      <c r="Z178" s="105">
        <f t="shared" si="49"/>
        <v>190.59</v>
      </c>
      <c r="AA178" s="105">
        <f t="shared" si="50"/>
        <v>0</v>
      </c>
      <c r="AB178" s="111">
        <f t="shared" si="51"/>
        <v>-190.59</v>
      </c>
      <c r="AC178" s="105" t="e">
        <f t="shared" si="52"/>
        <v>#VALUE!</v>
      </c>
      <c r="AD178" s="105" t="e">
        <f t="shared" si="40"/>
        <v>#VALUE!</v>
      </c>
      <c r="AE178" s="105" t="e">
        <f t="shared" si="41"/>
        <v>#DIV/0!</v>
      </c>
      <c r="AF178" s="105" t="e">
        <f t="shared" si="42"/>
        <v>#VALUE!</v>
      </c>
      <c r="AG178" s="105" t="e">
        <f t="shared" si="43"/>
        <v>#VALUE!</v>
      </c>
      <c r="AH178" s="111"/>
      <c r="AI178" s="105"/>
      <c r="AJ178" s="105"/>
      <c r="AK178" s="109"/>
      <c r="AL178" s="109"/>
      <c r="AM178" s="109"/>
      <c r="AN178" s="109"/>
      <c r="AO178" s="105"/>
      <c r="AP178" s="105"/>
      <c r="AQ178" s="109"/>
      <c r="AR178" s="110"/>
      <c r="AS178" s="110"/>
      <c r="AT178" s="110"/>
      <c r="AU178" s="110"/>
      <c r="AV178" s="110"/>
      <c r="AW178" s="112"/>
      <c r="AX178" s="112"/>
      <c r="AY178" s="110"/>
      <c r="AZ178" s="105"/>
      <c r="BA178" s="105"/>
      <c r="BB178" s="105"/>
      <c r="BC178" s="105"/>
      <c r="BD178" s="105"/>
      <c r="BE178" s="105"/>
    </row>
    <row r="179" spans="1:57" x14ac:dyDescent="0.15">
      <c r="A179" s="101">
        <v>92</v>
      </c>
      <c r="B179" s="98" t="e">
        <f>VLOOKUP($A179,'Rate Calculation'!$A$4:$CS$210,68,FALSE)</f>
        <v>#REF!</v>
      </c>
      <c r="C179" s="98" t="str">
        <f>UPPER(VLOOKUP($A179,'Rate Calculation'!$A$4:$CL$210,69,FALSE))</f>
        <v>0</v>
      </c>
      <c r="D179" s="104" t="str">
        <f>VLOOKUP($A179,'Rate Calculation'!$A$4:$AJ$210,5,FALSE)</f>
        <v>WASHINGTON METRO</v>
      </c>
      <c r="E179" s="104" t="str">
        <f>VLOOKUP($A179,'Rate Calculation'!$A$4:$AJ$210,6,FALSE)</f>
        <v>WASHINGTON METRO</v>
      </c>
      <c r="F179" s="105">
        <f>VLOOKUP(A179,'Rate Calculation'!$A$3:$AT$210,35,FALSE)</f>
        <v>37453</v>
      </c>
      <c r="G179" s="105">
        <f>VLOOKUP(A179,'Rate Calculation'!$A$3:$AT$210,30,FALSE)</f>
        <v>46750</v>
      </c>
      <c r="H179" s="105">
        <f>VLOOKUP(A179,'Rate Calculation'!$A$3:$AW$210,36,FALSE)+VLOOKUP(A179,'Rate Calculation'!$A$3:$CC$210,42,FALSE)</f>
        <v>699446084</v>
      </c>
      <c r="I179" s="105">
        <f t="shared" si="44"/>
        <v>0</v>
      </c>
      <c r="J179" s="105" t="str">
        <f>VLOOKUP(A179,'Rate Calculation'!$A$3:$BL$210,43,FALSE)</f>
        <v>Green Acres Nursing and Rehab</v>
      </c>
      <c r="K179" s="105">
        <f t="shared" si="53"/>
        <v>699530287</v>
      </c>
      <c r="L179" s="164">
        <f t="shared" si="37"/>
        <v>0.98772000000000004</v>
      </c>
      <c r="M179" s="105">
        <f t="shared" si="45"/>
        <v>690940055.08000004</v>
      </c>
      <c r="N179" s="105" t="e">
        <f>VLOOKUP(A179,'Rate Calculation'!$A$4:$DK$210,47,FALSE)</f>
        <v>#DIV/0!</v>
      </c>
      <c r="O179" s="106">
        <f>VLOOKUP(A179,'Rate Calculation'!$A$4:$DK$210,10,FALSE)</f>
        <v>1.0309999999999999</v>
      </c>
      <c r="P179" s="114">
        <f t="shared" si="38"/>
        <v>1.4432</v>
      </c>
      <c r="Q179" s="114">
        <f>VLOOKUP(A179,'CMI Data'!$A$3:$Z$209,7,FALSE)</f>
        <v>0</v>
      </c>
      <c r="R179" s="120" t="e">
        <f>+'CMI Data'!$I$214</f>
        <v>#DIV/0!</v>
      </c>
      <c r="S179" s="106">
        <f>IF(Q179=0,'CMI Data'!$I$213,ROUND(Q179*R179,4))</f>
        <v>1.4061999999999999</v>
      </c>
      <c r="T179" s="105">
        <f>VLOOKUP(A179,'Rate Calculation'!$A$4:$DK$210,16,FALSE)</f>
        <v>178.42</v>
      </c>
      <c r="U179" s="105">
        <f>VLOOKUP(A179,'Rate Calculation'!$A$4:$DK$210,20,FALSE)</f>
        <v>0</v>
      </c>
      <c r="V179" s="113">
        <f t="shared" si="46"/>
        <v>0</v>
      </c>
      <c r="W179" s="105">
        <f t="shared" si="47"/>
        <v>0</v>
      </c>
      <c r="X179" s="111">
        <f t="shared" si="39"/>
        <v>0</v>
      </c>
      <c r="Y179" s="105">
        <f t="shared" si="48"/>
        <v>0</v>
      </c>
      <c r="Z179" s="105">
        <f t="shared" si="49"/>
        <v>243.35</v>
      </c>
      <c r="AA179" s="105">
        <f t="shared" si="50"/>
        <v>0</v>
      </c>
      <c r="AB179" s="111">
        <f t="shared" si="51"/>
        <v>-243.35</v>
      </c>
      <c r="AC179" s="105" t="e">
        <f t="shared" si="52"/>
        <v>#VALUE!</v>
      </c>
      <c r="AD179" s="105" t="e">
        <f t="shared" si="40"/>
        <v>#VALUE!</v>
      </c>
      <c r="AE179" s="105" t="e">
        <f t="shared" si="41"/>
        <v>#DIV/0!</v>
      </c>
      <c r="AF179" s="105" t="e">
        <f t="shared" si="42"/>
        <v>#VALUE!</v>
      </c>
      <c r="AG179" s="105" t="e">
        <f t="shared" si="43"/>
        <v>#VALUE!</v>
      </c>
      <c r="AH179" s="111"/>
      <c r="AI179" s="105"/>
      <c r="AJ179" s="105"/>
      <c r="AK179" s="109"/>
      <c r="AL179" s="109"/>
      <c r="AM179" s="109"/>
      <c r="AN179" s="109"/>
      <c r="AO179" s="105"/>
      <c r="AP179" s="105"/>
      <c r="AQ179" s="109"/>
      <c r="AR179" s="110"/>
      <c r="AS179" s="110"/>
      <c r="AT179" s="110"/>
      <c r="AU179" s="110"/>
      <c r="AV179" s="110"/>
      <c r="AW179" s="112"/>
      <c r="AX179" s="112"/>
      <c r="AY179" s="110"/>
      <c r="AZ179" s="105"/>
      <c r="BA179" s="105"/>
      <c r="BB179" s="105"/>
      <c r="BC179" s="105"/>
      <c r="BD179" s="105"/>
      <c r="BE179" s="105"/>
    </row>
    <row r="180" spans="1:57" x14ac:dyDescent="0.15">
      <c r="A180" s="101">
        <v>398</v>
      </c>
      <c r="B180" s="98" t="e">
        <f>VLOOKUP($A180,'Rate Calculation'!$A$4:$CS$210,68,FALSE)</f>
        <v>#REF!</v>
      </c>
      <c r="C180" s="98" t="str">
        <f>UPPER(VLOOKUP($A180,'Rate Calculation'!$A$4:$CL$210,69,FALSE))</f>
        <v>29174</v>
      </c>
      <c r="D180" s="104" t="str">
        <f>VLOOKUP($A180,'Rate Calculation'!$A$4:$AJ$210,5,FALSE)</f>
        <v>EASTERN REGION</v>
      </c>
      <c r="E180" s="104" t="str">
        <f>VLOOKUP($A180,'Rate Calculation'!$A$4:$AJ$210,6,FALSE)</f>
        <v>NON METRO</v>
      </c>
      <c r="F180" s="105">
        <f>VLOOKUP(A180,'Rate Calculation'!$A$3:$AT$210,35,FALSE)</f>
        <v>53760</v>
      </c>
      <c r="G180" s="105">
        <f>VLOOKUP(A180,'Rate Calculation'!$A$3:$AT$210,30,FALSE)</f>
        <v>56120</v>
      </c>
      <c r="H180" s="105">
        <f>VLOOKUP(A180,'Rate Calculation'!$A$3:$AW$210,36,FALSE)+VLOOKUP(A180,'Rate Calculation'!$A$3:$CC$210,42,FALSE)</f>
        <v>966100618</v>
      </c>
      <c r="I180" s="105">
        <f t="shared" si="44"/>
        <v>-4.72</v>
      </c>
      <c r="J180" s="105" t="str">
        <f>VLOOKUP(A180,'Rate Calculation'!$A$3:$BL$210,43,FALSE)</f>
        <v>Bay Harbor Post Acute and Healthcare Center</v>
      </c>
      <c r="K180" s="105">
        <f t="shared" si="53"/>
        <v>966210493.27999997</v>
      </c>
      <c r="L180" s="164">
        <f t="shared" si="37"/>
        <v>0.98772000000000004</v>
      </c>
      <c r="M180" s="105">
        <f t="shared" si="45"/>
        <v>954345428.41999996</v>
      </c>
      <c r="N180" s="105" t="e">
        <f>VLOOKUP(A180,'Rate Calculation'!$A$4:$DK$210,47,FALSE)</f>
        <v>#DIV/0!</v>
      </c>
      <c r="O180" s="106">
        <f>VLOOKUP(A180,'Rate Calculation'!$A$4:$DK$210,10,FALSE)</f>
        <v>1.0309999999999999</v>
      </c>
      <c r="P180" s="114">
        <f t="shared" si="38"/>
        <v>1.4432</v>
      </c>
      <c r="Q180" s="114">
        <f>VLOOKUP(A180,'CMI Data'!$A$3:$Z$209,7,FALSE)</f>
        <v>0</v>
      </c>
      <c r="R180" s="120" t="e">
        <f>+'CMI Data'!$I$214</f>
        <v>#DIV/0!</v>
      </c>
      <c r="S180" s="106">
        <f>IF(Q180=0,'CMI Data'!$I$213,ROUND(Q180*R180,4))</f>
        <v>1.4061999999999999</v>
      </c>
      <c r="T180" s="105">
        <f>VLOOKUP(A180,'Rate Calculation'!$A$4:$DK$210,16,FALSE)</f>
        <v>179.27</v>
      </c>
      <c r="U180" s="105">
        <f>VLOOKUP(A180,'Rate Calculation'!$A$4:$DK$210,20,FALSE)</f>
        <v>-4.84</v>
      </c>
      <c r="V180" s="113">
        <f t="shared" si="46"/>
        <v>-3.46</v>
      </c>
      <c r="W180" s="105">
        <f t="shared" si="47"/>
        <v>-4.72</v>
      </c>
      <c r="X180" s="111">
        <f t="shared" si="39"/>
        <v>0</v>
      </c>
      <c r="Y180" s="105">
        <f t="shared" si="48"/>
        <v>-4.72</v>
      </c>
      <c r="Z180" s="105">
        <f t="shared" si="49"/>
        <v>244.51</v>
      </c>
      <c r="AA180" s="105">
        <f t="shared" si="50"/>
        <v>-4.4800000000000004</v>
      </c>
      <c r="AB180" s="111">
        <f t="shared" si="51"/>
        <v>-248.99</v>
      </c>
      <c r="AC180" s="105" t="e">
        <f t="shared" si="52"/>
        <v>#VALUE!</v>
      </c>
      <c r="AD180" s="105" t="e">
        <f t="shared" si="40"/>
        <v>#VALUE!</v>
      </c>
      <c r="AE180" s="105" t="e">
        <f t="shared" si="41"/>
        <v>#DIV/0!</v>
      </c>
      <c r="AF180" s="105" t="e">
        <f t="shared" si="42"/>
        <v>#VALUE!</v>
      </c>
      <c r="AG180" s="105" t="e">
        <f t="shared" si="43"/>
        <v>#VALUE!</v>
      </c>
      <c r="AH180" s="111"/>
      <c r="AI180" s="105"/>
      <c r="AJ180" s="105"/>
      <c r="AK180" s="109"/>
      <c r="AL180" s="109"/>
      <c r="AM180" s="109"/>
      <c r="AN180" s="109"/>
      <c r="AO180" s="105"/>
      <c r="AP180" s="105"/>
      <c r="AQ180" s="109"/>
      <c r="AR180" s="110"/>
      <c r="AS180" s="110"/>
      <c r="AT180" s="110"/>
      <c r="AU180" s="110"/>
      <c r="AV180" s="110"/>
      <c r="AW180" s="112"/>
      <c r="AX180" s="112"/>
      <c r="AY180" s="110"/>
      <c r="AZ180" s="105"/>
      <c r="BA180" s="105"/>
      <c r="BB180" s="105"/>
      <c r="BC180" s="105"/>
      <c r="BD180" s="105"/>
      <c r="BE180" s="105"/>
    </row>
    <row r="181" spans="1:57" x14ac:dyDescent="0.15">
      <c r="A181" s="101">
        <v>402</v>
      </c>
      <c r="B181" s="98" t="e">
        <f>VLOOKUP($A181,'Rate Calculation'!$A$4:$CS$210,68,FALSE)</f>
        <v>#REF!</v>
      </c>
      <c r="C181" s="98" t="str">
        <f>UPPER(VLOOKUP($A181,'Rate Calculation'!$A$4:$CL$210,69,FALSE))</f>
        <v>187883</v>
      </c>
      <c r="D181" s="104" t="str">
        <f>VLOOKUP($A181,'Rate Calculation'!$A$4:$AJ$210,5,FALSE)</f>
        <v>WASHINGTON METRO</v>
      </c>
      <c r="E181" s="104" t="str">
        <f>VLOOKUP($A181,'Rate Calculation'!$A$4:$AJ$210,6,FALSE)</f>
        <v>WASHINGTON METRO</v>
      </c>
      <c r="F181" s="105">
        <f>VLOOKUP(A181,'Rate Calculation'!$A$3:$AT$210,35,FALSE)</f>
        <v>38161</v>
      </c>
      <c r="G181" s="105">
        <f>VLOOKUP(A181,'Rate Calculation'!$A$3:$AT$210,30,FALSE)</f>
        <v>52704</v>
      </c>
      <c r="H181" s="105">
        <f>VLOOKUP(A181,'Rate Calculation'!$A$3:$AW$210,36,FALSE)+VLOOKUP(A181,'Rate Calculation'!$A$3:$CC$210,42,FALSE)</f>
        <v>270072636</v>
      </c>
      <c r="I181" s="105">
        <f t="shared" si="44"/>
        <v>-18.45</v>
      </c>
      <c r="J181" s="105" t="str">
        <f>VLOOKUP(A181,'Rate Calculation'!$A$3:$BL$210,43,FALSE)</f>
        <v>Shady Grove Nursing and Rehabilitation Center</v>
      </c>
      <c r="K181" s="105">
        <f t="shared" si="53"/>
        <v>270163482.55000001</v>
      </c>
      <c r="L181" s="164">
        <f t="shared" si="37"/>
        <v>0.98772000000000004</v>
      </c>
      <c r="M181" s="105">
        <f t="shared" si="45"/>
        <v>266845874.97999999</v>
      </c>
      <c r="N181" s="105" t="e">
        <f>VLOOKUP(A181,'Rate Calculation'!$A$4:$DK$210,47,FALSE)</f>
        <v>#DIV/0!</v>
      </c>
      <c r="O181" s="106">
        <f>VLOOKUP(A181,'Rate Calculation'!$A$4:$DK$210,10,FALSE)</f>
        <v>1.0309999999999999</v>
      </c>
      <c r="P181" s="114">
        <f t="shared" si="38"/>
        <v>1.4432</v>
      </c>
      <c r="Q181" s="114">
        <f>VLOOKUP(A181,'CMI Data'!$A$3:$Z$209,7,FALSE)</f>
        <v>0</v>
      </c>
      <c r="R181" s="120" t="e">
        <f>+'CMI Data'!$I$214</f>
        <v>#DIV/0!</v>
      </c>
      <c r="S181" s="106">
        <f>IF(Q181=0,'CMI Data'!$I$213,ROUND(Q181*R181,4))</f>
        <v>1.4061999999999999</v>
      </c>
      <c r="T181" s="105">
        <f>VLOOKUP(A181,'Rate Calculation'!$A$4:$DK$210,16,FALSE)</f>
        <v>172.72</v>
      </c>
      <c r="U181" s="105">
        <f>VLOOKUP(A181,'Rate Calculation'!$A$4:$DK$210,20,FALSE)</f>
        <v>-18.940000000000001</v>
      </c>
      <c r="V181" s="113">
        <f t="shared" si="46"/>
        <v>-13.53</v>
      </c>
      <c r="W181" s="105">
        <f t="shared" si="47"/>
        <v>-18.45</v>
      </c>
      <c r="X181" s="111">
        <f t="shared" si="39"/>
        <v>0</v>
      </c>
      <c r="Y181" s="105">
        <f t="shared" si="48"/>
        <v>-18.45</v>
      </c>
      <c r="Z181" s="105">
        <f t="shared" si="49"/>
        <v>235.58</v>
      </c>
      <c r="AA181" s="105">
        <f t="shared" si="50"/>
        <v>-17.53</v>
      </c>
      <c r="AB181" s="111">
        <f t="shared" si="51"/>
        <v>-253.11</v>
      </c>
      <c r="AC181" s="105" t="e">
        <f t="shared" si="52"/>
        <v>#VALUE!</v>
      </c>
      <c r="AD181" s="105" t="e">
        <f t="shared" si="40"/>
        <v>#VALUE!</v>
      </c>
      <c r="AE181" s="105" t="e">
        <f t="shared" si="41"/>
        <v>#DIV/0!</v>
      </c>
      <c r="AF181" s="105" t="e">
        <f t="shared" si="42"/>
        <v>#VALUE!</v>
      </c>
      <c r="AG181" s="105" t="e">
        <f t="shared" si="43"/>
        <v>#VALUE!</v>
      </c>
      <c r="AH181" s="111"/>
      <c r="AI181" s="105"/>
      <c r="AJ181" s="105"/>
      <c r="AK181" s="109"/>
      <c r="AL181" s="109"/>
      <c r="AM181" s="109"/>
      <c r="AN181" s="109"/>
      <c r="AO181" s="105"/>
      <c r="AP181" s="105"/>
      <c r="AQ181" s="109"/>
      <c r="AR181" s="110"/>
      <c r="AS181" s="110"/>
      <c r="AT181" s="110"/>
      <c r="AU181" s="110"/>
      <c r="AV181" s="110"/>
      <c r="AW181" s="112"/>
      <c r="AX181" s="112"/>
      <c r="AY181" s="110"/>
      <c r="AZ181" s="105"/>
      <c r="BA181" s="105"/>
      <c r="BB181" s="105"/>
      <c r="BC181" s="105"/>
      <c r="BD181" s="105"/>
      <c r="BE181" s="105"/>
    </row>
    <row r="182" spans="1:57" x14ac:dyDescent="0.15">
      <c r="A182" s="101">
        <v>28</v>
      </c>
      <c r="B182" s="98" t="e">
        <f>VLOOKUP($A182,'Rate Calculation'!$A$4:$CS$210,68,FALSE)</f>
        <v>#REF!</v>
      </c>
      <c r="C182" s="98" t="str">
        <f>UPPER(VLOOKUP($A182,'Rate Calculation'!$A$4:$CL$210,69,FALSE))</f>
        <v>114538</v>
      </c>
      <c r="D182" s="104" t="str">
        <f>VLOOKUP($A182,'Rate Calculation'!$A$4:$AJ$210,5,FALSE)</f>
        <v>WASHINGTON METRO</v>
      </c>
      <c r="E182" s="104" t="str">
        <f>VLOOKUP($A182,'Rate Calculation'!$A$4:$AJ$210,6,FALSE)</f>
        <v>WASHINGTON METRO</v>
      </c>
      <c r="F182" s="105">
        <f>VLOOKUP(A182,'Rate Calculation'!$A$3:$AT$210,35,FALSE)</f>
        <v>26481</v>
      </c>
      <c r="G182" s="105">
        <f>VLOOKUP(A182,'Rate Calculation'!$A$3:$AT$210,30,FALSE)</f>
        <v>37332</v>
      </c>
      <c r="H182" s="105">
        <f>VLOOKUP(A182,'Rate Calculation'!$A$3:$AW$210,36,FALSE)+VLOOKUP(A182,'Rate Calculation'!$A$3:$CC$210,42,FALSE)</f>
        <v>883532653</v>
      </c>
      <c r="I182" s="105">
        <f t="shared" si="44"/>
        <v>-24.76</v>
      </c>
      <c r="J182" s="105" t="str">
        <f>VLOOKUP(A182,'Rate Calculation'!$A$3:$BL$210,43,FALSE)</f>
        <v>Sligo Creek Healthcare</v>
      </c>
      <c r="K182" s="105">
        <f t="shared" si="53"/>
        <v>883596441.24000001</v>
      </c>
      <c r="L182" s="164">
        <f t="shared" si="37"/>
        <v>0.98772000000000004</v>
      </c>
      <c r="M182" s="105">
        <f t="shared" si="45"/>
        <v>872745876.94000006</v>
      </c>
      <c r="N182" s="105" t="e">
        <f>VLOOKUP(A182,'Rate Calculation'!$A$4:$DK$210,47,FALSE)</f>
        <v>#DIV/0!</v>
      </c>
      <c r="O182" s="106">
        <f>VLOOKUP(A182,'Rate Calculation'!$A$4:$DK$210,10,FALSE)</f>
        <v>1.0309999999999999</v>
      </c>
      <c r="P182" s="114">
        <f t="shared" si="38"/>
        <v>1.4432</v>
      </c>
      <c r="Q182" s="114">
        <f>VLOOKUP(A182,'CMI Data'!$A$3:$Z$209,7,FALSE)</f>
        <v>0</v>
      </c>
      <c r="R182" s="120" t="e">
        <f>+'CMI Data'!$I$214</f>
        <v>#DIV/0!</v>
      </c>
      <c r="S182" s="106">
        <f>IF(Q182=0,'CMI Data'!$I$213,ROUND(Q182*R182,4))</f>
        <v>1.4061999999999999</v>
      </c>
      <c r="T182" s="105">
        <f>VLOOKUP(A182,'Rate Calculation'!$A$4:$DK$210,16,FALSE)</f>
        <v>164.82</v>
      </c>
      <c r="U182" s="105">
        <f>VLOOKUP(A182,'Rate Calculation'!$A$4:$DK$210,20,FALSE)</f>
        <v>-25.41</v>
      </c>
      <c r="V182" s="113">
        <f t="shared" si="46"/>
        <v>-18.149999999999999</v>
      </c>
      <c r="W182" s="105">
        <f t="shared" si="47"/>
        <v>-24.76</v>
      </c>
      <c r="X182" s="111">
        <f t="shared" si="39"/>
        <v>0</v>
      </c>
      <c r="Y182" s="105">
        <f t="shared" si="48"/>
        <v>-24.76</v>
      </c>
      <c r="Z182" s="105">
        <f t="shared" si="49"/>
        <v>224.8</v>
      </c>
      <c r="AA182" s="105">
        <f t="shared" si="50"/>
        <v>-23.52</v>
      </c>
      <c r="AB182" s="111">
        <f t="shared" si="51"/>
        <v>-248.32</v>
      </c>
      <c r="AC182" s="105" t="e">
        <f t="shared" si="52"/>
        <v>#VALUE!</v>
      </c>
      <c r="AD182" s="105" t="e">
        <f t="shared" si="40"/>
        <v>#VALUE!</v>
      </c>
      <c r="AE182" s="105" t="e">
        <f t="shared" si="41"/>
        <v>#DIV/0!</v>
      </c>
      <c r="AF182" s="105" t="e">
        <f t="shared" si="42"/>
        <v>#VALUE!</v>
      </c>
      <c r="AG182" s="105" t="e">
        <f t="shared" si="43"/>
        <v>#VALUE!</v>
      </c>
      <c r="AH182" s="111"/>
      <c r="AI182" s="105"/>
      <c r="AJ182" s="105"/>
      <c r="AK182" s="109"/>
      <c r="AL182" s="109"/>
      <c r="AM182" s="109"/>
      <c r="AN182" s="109"/>
      <c r="AO182" s="105"/>
      <c r="AP182" s="105"/>
      <c r="AQ182" s="109"/>
      <c r="AR182" s="110"/>
      <c r="AS182" s="110"/>
      <c r="AT182" s="110"/>
      <c r="AU182" s="110"/>
      <c r="AV182" s="110"/>
      <c r="AW182" s="112"/>
      <c r="AX182" s="112"/>
      <c r="AY182" s="110"/>
      <c r="AZ182" s="105"/>
      <c r="BA182" s="105"/>
      <c r="BB182" s="105"/>
      <c r="BC182" s="105"/>
      <c r="BD182" s="105"/>
      <c r="BE182" s="105"/>
    </row>
    <row r="183" spans="1:57" x14ac:dyDescent="0.15">
      <c r="A183" s="101">
        <v>709</v>
      </c>
      <c r="B183" s="98" t="e">
        <f>VLOOKUP($A183,'Rate Calculation'!$A$4:$CS$210,68,FALSE)</f>
        <v>#REF!</v>
      </c>
      <c r="C183" s="98" t="str">
        <f>UPPER(VLOOKUP($A183,'Rate Calculation'!$A$4:$CL$210,69,FALSE))</f>
        <v>62024</v>
      </c>
      <c r="D183" s="104" t="str">
        <f>VLOOKUP($A183,'Rate Calculation'!$A$4:$AJ$210,5,FALSE)</f>
        <v>EASTERN REGION</v>
      </c>
      <c r="E183" s="104" t="str">
        <f>VLOOKUP($A183,'Rate Calculation'!$A$4:$AJ$210,6,FALSE)</f>
        <v>NON METRO</v>
      </c>
      <c r="F183" s="105">
        <f>VLOOKUP(A183,'Rate Calculation'!$A$3:$AT$210,35,FALSE)</f>
        <v>16608</v>
      </c>
      <c r="G183" s="105">
        <f>VLOOKUP(A183,'Rate Calculation'!$A$3:$AT$210,30,FALSE)</f>
        <v>18906</v>
      </c>
      <c r="H183" s="105">
        <f>VLOOKUP(A183,'Rate Calculation'!$A$3:$AW$210,36,FALSE)+VLOOKUP(A183,'Rate Calculation'!$A$3:$CC$210,42,FALSE)</f>
        <v>403874161</v>
      </c>
      <c r="I183" s="105">
        <f t="shared" si="44"/>
        <v>-8.7799999999999994</v>
      </c>
      <c r="J183" s="105" t="str">
        <f>VLOOKUP(A183,'Rate Calculation'!$A$3:$BL$210,43,FALSE)</f>
        <v>Snow Hill Nursing and Rehabilitation Center, LLC</v>
      </c>
      <c r="K183" s="105">
        <f t="shared" si="53"/>
        <v>403909666.22000003</v>
      </c>
      <c r="L183" s="164">
        <f t="shared" si="37"/>
        <v>0.98772000000000004</v>
      </c>
      <c r="M183" s="105">
        <f t="shared" si="45"/>
        <v>398949655.51999998</v>
      </c>
      <c r="N183" s="105" t="e">
        <f>VLOOKUP(A183,'Rate Calculation'!$A$4:$DK$210,47,FALSE)</f>
        <v>#DIV/0!</v>
      </c>
      <c r="O183" s="106">
        <f>VLOOKUP(A183,'Rate Calculation'!$A$4:$DK$210,10,FALSE)</f>
        <v>1.0309999999999999</v>
      </c>
      <c r="P183" s="114">
        <f t="shared" si="38"/>
        <v>1.4432</v>
      </c>
      <c r="Q183" s="114">
        <f>VLOOKUP(A183,'CMI Data'!$A$3:$Z$209,7,FALSE)</f>
        <v>0</v>
      </c>
      <c r="R183" s="120" t="e">
        <f>+'CMI Data'!$I$214</f>
        <v>#DIV/0!</v>
      </c>
      <c r="S183" s="106">
        <f>IF(Q183=0,'CMI Data'!$I$213,ROUND(Q183*R183,4))</f>
        <v>1.4061999999999999</v>
      </c>
      <c r="T183" s="105">
        <f>VLOOKUP(A183,'Rate Calculation'!$A$4:$DK$210,16,FALSE)</f>
        <v>167.78</v>
      </c>
      <c r="U183" s="105">
        <f>VLOOKUP(A183,'Rate Calculation'!$A$4:$DK$210,20,FALSE)</f>
        <v>-9.01</v>
      </c>
      <c r="V183" s="113">
        <f t="shared" si="46"/>
        <v>-6.44</v>
      </c>
      <c r="W183" s="105">
        <f t="shared" si="47"/>
        <v>-8.7799999999999994</v>
      </c>
      <c r="X183" s="111">
        <f t="shared" si="39"/>
        <v>0</v>
      </c>
      <c r="Y183" s="105">
        <f t="shared" si="48"/>
        <v>-8.7799999999999994</v>
      </c>
      <c r="Z183" s="105">
        <f t="shared" si="49"/>
        <v>228.84</v>
      </c>
      <c r="AA183" s="105">
        <f t="shared" si="50"/>
        <v>-8.34</v>
      </c>
      <c r="AB183" s="111">
        <f t="shared" si="51"/>
        <v>-237.18</v>
      </c>
      <c r="AC183" s="105" t="e">
        <f t="shared" si="52"/>
        <v>#VALUE!</v>
      </c>
      <c r="AD183" s="105" t="e">
        <f t="shared" si="40"/>
        <v>#VALUE!</v>
      </c>
      <c r="AE183" s="105" t="e">
        <f t="shared" si="41"/>
        <v>#DIV/0!</v>
      </c>
      <c r="AF183" s="105" t="e">
        <f t="shared" si="42"/>
        <v>#VALUE!</v>
      </c>
      <c r="AG183" s="105" t="e">
        <f t="shared" si="43"/>
        <v>#VALUE!</v>
      </c>
      <c r="AH183" s="111"/>
      <c r="AI183" s="105"/>
      <c r="AJ183" s="105"/>
      <c r="AK183" s="109"/>
      <c r="AL183" s="109"/>
      <c r="AM183" s="109"/>
      <c r="AN183" s="109"/>
      <c r="AO183" s="105"/>
      <c r="AP183" s="105"/>
      <c r="AQ183" s="109"/>
      <c r="AR183" s="110"/>
      <c r="AS183" s="110"/>
      <c r="AT183" s="110"/>
      <c r="AU183" s="110"/>
      <c r="AV183" s="110"/>
      <c r="AW183" s="112"/>
      <c r="AX183" s="112"/>
      <c r="AY183" s="110"/>
      <c r="AZ183" s="105"/>
      <c r="BA183" s="105"/>
      <c r="BB183" s="105"/>
      <c r="BC183" s="105"/>
      <c r="BD183" s="105"/>
      <c r="BE183" s="105"/>
    </row>
    <row r="184" spans="1:57" x14ac:dyDescent="0.15">
      <c r="A184" s="101">
        <v>406</v>
      </c>
      <c r="B184" s="98" t="e">
        <f>VLOOKUP($A184,'Rate Calculation'!$A$4:$CS$210,68,FALSE)</f>
        <v>#REF!</v>
      </c>
      <c r="C184" s="98" t="str">
        <f>UPPER(VLOOKUP($A184,'Rate Calculation'!$A$4:$CL$210,69,FALSE))</f>
        <v>85085</v>
      </c>
      <c r="D184" s="104" t="str">
        <f>VLOOKUP($A184,'Rate Calculation'!$A$4:$AJ$210,5,FALSE)</f>
        <v>WASHINGTON METRO</v>
      </c>
      <c r="E184" s="104" t="str">
        <f>VLOOKUP($A184,'Rate Calculation'!$A$4:$AJ$210,6,FALSE)</f>
        <v>NON METRO</v>
      </c>
      <c r="F184" s="105">
        <f>VLOOKUP(A184,'Rate Calculation'!$A$3:$AT$210,35,FALSE)</f>
        <v>22924</v>
      </c>
      <c r="G184" s="105">
        <f>VLOOKUP(A184,'Rate Calculation'!$A$3:$AT$210,30,FALSE)</f>
        <v>34770</v>
      </c>
      <c r="H184" s="105">
        <f>VLOOKUP(A184,'Rate Calculation'!$A$3:$AW$210,36,FALSE)+VLOOKUP(A184,'Rate Calculation'!$A$3:$CC$210,42,FALSE)</f>
        <v>205242181</v>
      </c>
      <c r="I184" s="105">
        <f t="shared" si="44"/>
        <v>-15.1</v>
      </c>
      <c r="J184" s="105" t="str">
        <f>VLOOKUP(A184,'Rate Calculation'!$A$3:$BL$210,43,FALSE)</f>
        <v>Solomons Rehabilitation and Care Center</v>
      </c>
      <c r="K184" s="105">
        <f t="shared" si="53"/>
        <v>205299859.90000001</v>
      </c>
      <c r="L184" s="164">
        <f t="shared" si="37"/>
        <v>0.98772000000000004</v>
      </c>
      <c r="M184" s="105">
        <f t="shared" si="45"/>
        <v>202778777.62</v>
      </c>
      <c r="N184" s="105" t="e">
        <f>VLOOKUP(A184,'Rate Calculation'!$A$4:$DK$210,47,FALSE)</f>
        <v>#DIV/0!</v>
      </c>
      <c r="O184" s="106">
        <f>VLOOKUP(A184,'Rate Calculation'!$A$4:$DK$210,10,FALSE)</f>
        <v>1.0309999999999999</v>
      </c>
      <c r="P184" s="114">
        <f t="shared" si="38"/>
        <v>1.4432</v>
      </c>
      <c r="Q184" s="114">
        <f>VLOOKUP(A184,'CMI Data'!$A$3:$Z$209,7,FALSE)</f>
        <v>0</v>
      </c>
      <c r="R184" s="120" t="e">
        <f>+'CMI Data'!$I$214</f>
        <v>#DIV/0!</v>
      </c>
      <c r="S184" s="106">
        <f>IF(Q184=0,'CMI Data'!$I$213,ROUND(Q184*R184,4))</f>
        <v>1.4061999999999999</v>
      </c>
      <c r="T184" s="105">
        <f>VLOOKUP(A184,'Rate Calculation'!$A$4:$DK$210,16,FALSE)</f>
        <v>165.9</v>
      </c>
      <c r="U184" s="105">
        <f>VLOOKUP(A184,'Rate Calculation'!$A$4:$DK$210,20,FALSE)</f>
        <v>-15.5</v>
      </c>
      <c r="V184" s="113">
        <f t="shared" si="46"/>
        <v>-11.07</v>
      </c>
      <c r="W184" s="105">
        <f t="shared" si="47"/>
        <v>-15.1</v>
      </c>
      <c r="X184" s="111">
        <f t="shared" si="39"/>
        <v>0</v>
      </c>
      <c r="Y184" s="105">
        <f t="shared" si="48"/>
        <v>-15.1</v>
      </c>
      <c r="Z184" s="105">
        <f t="shared" si="49"/>
        <v>226.27</v>
      </c>
      <c r="AA184" s="105">
        <f t="shared" si="50"/>
        <v>-14.35</v>
      </c>
      <c r="AB184" s="111">
        <f t="shared" si="51"/>
        <v>-240.62</v>
      </c>
      <c r="AC184" s="105" t="e">
        <f t="shared" si="52"/>
        <v>#VALUE!</v>
      </c>
      <c r="AD184" s="105" t="e">
        <f t="shared" si="40"/>
        <v>#VALUE!</v>
      </c>
      <c r="AE184" s="105" t="e">
        <f t="shared" si="41"/>
        <v>#DIV/0!</v>
      </c>
      <c r="AF184" s="105" t="e">
        <f t="shared" si="42"/>
        <v>#VALUE!</v>
      </c>
      <c r="AG184" s="105" t="e">
        <f t="shared" si="43"/>
        <v>#VALUE!</v>
      </c>
      <c r="AH184" s="111"/>
      <c r="AI184" s="105"/>
      <c r="AJ184" s="105"/>
      <c r="AK184" s="109"/>
      <c r="AL184" s="109"/>
      <c r="AM184" s="109"/>
      <c r="AN184" s="109"/>
      <c r="AO184" s="105"/>
      <c r="AP184" s="105"/>
      <c r="AQ184" s="109"/>
      <c r="AR184" s="110"/>
      <c r="AS184" s="110"/>
      <c r="AT184" s="110"/>
      <c r="AU184" s="110"/>
      <c r="AV184" s="110"/>
      <c r="AW184" s="112"/>
      <c r="AX184" s="112"/>
      <c r="AY184" s="110"/>
      <c r="AZ184" s="105"/>
      <c r="BA184" s="105"/>
      <c r="BB184" s="105"/>
      <c r="BC184" s="105"/>
      <c r="BD184" s="105"/>
      <c r="BE184" s="105"/>
    </row>
    <row r="185" spans="1:57" x14ac:dyDescent="0.15">
      <c r="A185" s="101">
        <v>715</v>
      </c>
      <c r="B185" s="98" t="e">
        <f>VLOOKUP($A185,'Rate Calculation'!$A$4:$CS$210,68,FALSE)</f>
        <v>#REF!</v>
      </c>
      <c r="C185" s="98" t="str">
        <f>UPPER(VLOOKUP($A185,'Rate Calculation'!$A$4:$CL$210,69,FALSE))</f>
        <v>52244</v>
      </c>
      <c r="D185" s="104" t="str">
        <f>VLOOKUP($A185,'Rate Calculation'!$A$4:$AJ$210,5,FALSE)</f>
        <v>BALTIMORE METRO</v>
      </c>
      <c r="E185" s="104" t="str">
        <f>VLOOKUP($A185,'Rate Calculation'!$A$4:$AJ$210,6,FALSE)</f>
        <v>BALTIMORE METRO</v>
      </c>
      <c r="F185" s="105">
        <f>VLOOKUP(A185,'Rate Calculation'!$A$3:$AT$210,35,FALSE)</f>
        <v>32255</v>
      </c>
      <c r="G185" s="105">
        <f>VLOOKUP(A185,'Rate Calculation'!$A$3:$AT$210,30,FALSE)</f>
        <v>40626</v>
      </c>
      <c r="H185" s="105">
        <f>VLOOKUP(A185,'Rate Calculation'!$A$3:$AW$210,36,FALSE)+VLOOKUP(A185,'Rate Calculation'!$A$3:$CC$210,42,FALSE)</f>
        <v>414463728</v>
      </c>
      <c r="I185" s="105">
        <f t="shared" si="44"/>
        <v>0</v>
      </c>
      <c r="J185" s="105" t="str">
        <f>VLOOKUP(A185,'Rate Calculation'!$A$3:$BL$210,43,FALSE)</f>
        <v>South River Health and Rehabilitation Center</v>
      </c>
      <c r="K185" s="105">
        <f t="shared" si="53"/>
        <v>414536609</v>
      </c>
      <c r="L185" s="164">
        <f t="shared" si="37"/>
        <v>0.98772000000000004</v>
      </c>
      <c r="M185" s="105">
        <f t="shared" si="45"/>
        <v>409446099.44</v>
      </c>
      <c r="N185" s="105" t="e">
        <f>VLOOKUP(A185,'Rate Calculation'!$A$4:$DK$210,47,FALSE)</f>
        <v>#DIV/0!</v>
      </c>
      <c r="O185" s="106">
        <f>VLOOKUP(A185,'Rate Calculation'!$A$4:$DK$210,10,FALSE)</f>
        <v>1.0309999999999999</v>
      </c>
      <c r="P185" s="114">
        <f t="shared" si="38"/>
        <v>1.4432</v>
      </c>
      <c r="Q185" s="114">
        <f>VLOOKUP(A185,'CMI Data'!$A$3:$Z$209,7,FALSE)</f>
        <v>0</v>
      </c>
      <c r="R185" s="120" t="e">
        <f>+'CMI Data'!$I$214</f>
        <v>#DIV/0!</v>
      </c>
      <c r="S185" s="106">
        <f>IF(Q185=0,'CMI Data'!$I$213,ROUND(Q185*R185,4))</f>
        <v>1.4061999999999999</v>
      </c>
      <c r="T185" s="105">
        <f>VLOOKUP(A185,'Rate Calculation'!$A$4:$DK$210,16,FALSE)</f>
        <v>177.62</v>
      </c>
      <c r="U185" s="105">
        <f>VLOOKUP(A185,'Rate Calculation'!$A$4:$DK$210,20,FALSE)</f>
        <v>0</v>
      </c>
      <c r="V185" s="113">
        <f t="shared" si="46"/>
        <v>0</v>
      </c>
      <c r="W185" s="105">
        <f t="shared" si="47"/>
        <v>0</v>
      </c>
      <c r="X185" s="111">
        <f t="shared" si="39"/>
        <v>0</v>
      </c>
      <c r="Y185" s="105">
        <f t="shared" si="48"/>
        <v>0</v>
      </c>
      <c r="Z185" s="105">
        <f t="shared" si="49"/>
        <v>242.26</v>
      </c>
      <c r="AA185" s="105">
        <f t="shared" si="50"/>
        <v>0</v>
      </c>
      <c r="AB185" s="111">
        <f t="shared" si="51"/>
        <v>-242.26</v>
      </c>
      <c r="AC185" s="105" t="e">
        <f t="shared" si="52"/>
        <v>#VALUE!</v>
      </c>
      <c r="AD185" s="105" t="e">
        <f t="shared" si="40"/>
        <v>#VALUE!</v>
      </c>
      <c r="AE185" s="105" t="e">
        <f t="shared" si="41"/>
        <v>#DIV/0!</v>
      </c>
      <c r="AF185" s="105" t="e">
        <f t="shared" si="42"/>
        <v>#VALUE!</v>
      </c>
      <c r="AG185" s="105" t="e">
        <f t="shared" si="43"/>
        <v>#VALUE!</v>
      </c>
      <c r="AH185" s="111"/>
      <c r="AI185" s="105"/>
      <c r="AJ185" s="105"/>
      <c r="AK185" s="109"/>
      <c r="AL185" s="109"/>
      <c r="AM185" s="109"/>
      <c r="AN185" s="109"/>
      <c r="AO185" s="105"/>
      <c r="AP185" s="105"/>
      <c r="AQ185" s="109"/>
      <c r="AR185" s="110"/>
      <c r="AS185" s="110"/>
      <c r="AT185" s="110"/>
      <c r="AU185" s="110"/>
      <c r="AV185" s="110"/>
      <c r="AW185" s="112"/>
      <c r="AX185" s="112"/>
      <c r="AY185" s="110"/>
      <c r="AZ185" s="105"/>
      <c r="BA185" s="105"/>
      <c r="BB185" s="105"/>
      <c r="BC185" s="105"/>
      <c r="BD185" s="105"/>
      <c r="BE185" s="105"/>
    </row>
    <row r="186" spans="1:57" x14ac:dyDescent="0.15">
      <c r="A186" s="101">
        <v>416</v>
      </c>
      <c r="B186" s="98" t="e">
        <f>VLOOKUP($A186,'Rate Calculation'!$A$4:$CS$210,68,FALSE)</f>
        <v>#REF!</v>
      </c>
      <c r="C186" s="98" t="str">
        <f>UPPER(VLOOKUP($A186,'Rate Calculation'!$A$4:$CL$210,69,FALSE))</f>
        <v>0</v>
      </c>
      <c r="D186" s="104" t="str">
        <f>VLOOKUP($A186,'Rate Calculation'!$A$4:$AJ$210,5,FALSE)</f>
        <v>BALTIMORE METRO</v>
      </c>
      <c r="E186" s="104" t="str">
        <f>VLOOKUP($A186,'Rate Calculation'!$A$4:$AJ$210,6,FALSE)</f>
        <v>BALTIMORE CITY</v>
      </c>
      <c r="F186" s="105">
        <f>VLOOKUP(A186,'Rate Calculation'!$A$3:$AT$210,35,FALSE)</f>
        <v>34996</v>
      </c>
      <c r="G186" s="105">
        <f>VLOOKUP(A186,'Rate Calculation'!$A$3:$AT$210,30,FALSE)</f>
        <v>24786</v>
      </c>
      <c r="H186" s="105">
        <f>VLOOKUP(A186,'Rate Calculation'!$A$3:$AW$210,36,FALSE)+VLOOKUP(A186,'Rate Calculation'!$A$3:$CC$210,42,FALSE)</f>
        <v>300861460</v>
      </c>
      <c r="I186" s="105">
        <f t="shared" si="44"/>
        <v>0</v>
      </c>
      <c r="J186" s="105" t="str">
        <f>VLOOKUP(A186,'Rate Calculation'!$A$3:$BL$210,43,FALSE)</f>
        <v>St. Elizabeth Rehabilitation and Nursing Center</v>
      </c>
      <c r="K186" s="105">
        <f t="shared" si="53"/>
        <v>300921242</v>
      </c>
      <c r="L186" s="164">
        <f t="shared" si="37"/>
        <v>0.98772000000000004</v>
      </c>
      <c r="M186" s="105">
        <f t="shared" si="45"/>
        <v>297225929.14999998</v>
      </c>
      <c r="N186" s="105" t="e">
        <f>VLOOKUP(A186,'Rate Calculation'!$A$4:$DK$210,47,FALSE)</f>
        <v>#DIV/0!</v>
      </c>
      <c r="O186" s="106">
        <f>VLOOKUP(A186,'Rate Calculation'!$A$4:$DK$210,10,FALSE)</f>
        <v>1.0309999999999999</v>
      </c>
      <c r="P186" s="114">
        <f t="shared" si="38"/>
        <v>1.4432</v>
      </c>
      <c r="Q186" s="114">
        <f>VLOOKUP(A186,'CMI Data'!$A$3:$Z$209,7,FALSE)</f>
        <v>0</v>
      </c>
      <c r="R186" s="120" t="e">
        <f>+'CMI Data'!$I$214</f>
        <v>#DIV/0!</v>
      </c>
      <c r="S186" s="106">
        <f>IF(Q186=0,'CMI Data'!$I$213,ROUND(Q186*R186,4))</f>
        <v>1.4061999999999999</v>
      </c>
      <c r="T186" s="105">
        <f>VLOOKUP(A186,'Rate Calculation'!$A$4:$DK$210,16,FALSE)</f>
        <v>175.94</v>
      </c>
      <c r="U186" s="105">
        <f>VLOOKUP(A186,'Rate Calculation'!$A$4:$DK$210,20,FALSE)</f>
        <v>0</v>
      </c>
      <c r="V186" s="113">
        <f t="shared" si="46"/>
        <v>0</v>
      </c>
      <c r="W186" s="105">
        <f t="shared" si="47"/>
        <v>0</v>
      </c>
      <c r="X186" s="111">
        <f t="shared" si="39"/>
        <v>0</v>
      </c>
      <c r="Y186" s="105">
        <f t="shared" si="48"/>
        <v>0</v>
      </c>
      <c r="Z186" s="105">
        <f t="shared" si="49"/>
        <v>239.97</v>
      </c>
      <c r="AA186" s="105">
        <f t="shared" si="50"/>
        <v>0</v>
      </c>
      <c r="AB186" s="111">
        <f t="shared" si="51"/>
        <v>-239.97</v>
      </c>
      <c r="AC186" s="105" t="e">
        <f t="shared" si="52"/>
        <v>#VALUE!</v>
      </c>
      <c r="AD186" s="105" t="e">
        <f t="shared" si="40"/>
        <v>#VALUE!</v>
      </c>
      <c r="AE186" s="105" t="e">
        <f t="shared" si="41"/>
        <v>#DIV/0!</v>
      </c>
      <c r="AF186" s="105" t="e">
        <f t="shared" si="42"/>
        <v>#VALUE!</v>
      </c>
      <c r="AG186" s="105" t="e">
        <f t="shared" si="43"/>
        <v>#VALUE!</v>
      </c>
      <c r="AH186" s="111"/>
      <c r="AI186" s="105"/>
      <c r="AJ186" s="105"/>
      <c r="AK186" s="109"/>
      <c r="AL186" s="109"/>
      <c r="AM186" s="109"/>
      <c r="AN186" s="109"/>
      <c r="AO186" s="105"/>
      <c r="AP186" s="105"/>
      <c r="AQ186" s="109"/>
      <c r="AR186" s="110"/>
      <c r="AS186" s="110"/>
      <c r="AT186" s="110"/>
      <c r="AU186" s="110"/>
      <c r="AV186" s="110"/>
      <c r="AW186" s="112"/>
      <c r="AX186" s="112"/>
      <c r="AY186" s="110"/>
      <c r="AZ186" s="105"/>
      <c r="BA186" s="105"/>
      <c r="BB186" s="105"/>
      <c r="BC186" s="105"/>
      <c r="BD186" s="105"/>
      <c r="BE186" s="105"/>
    </row>
    <row r="187" spans="1:57" x14ac:dyDescent="0.15">
      <c r="A187" s="101">
        <v>418</v>
      </c>
      <c r="B187" s="98" t="e">
        <f>VLOOKUP($A187,'Rate Calculation'!$A$4:$CS$210,68,FALSE)</f>
        <v>#REF!</v>
      </c>
      <c r="C187" s="98" t="str">
        <f>UPPER(VLOOKUP($A187,'Rate Calculation'!$A$4:$CL$210,69,FALSE))</f>
        <v>0</v>
      </c>
      <c r="D187" s="104" t="str">
        <f>VLOOKUP($A187,'Rate Calculation'!$A$4:$AJ$210,5,FALSE)</f>
        <v>BALTIMORE METRO</v>
      </c>
      <c r="E187" s="104" t="str">
        <f>VLOOKUP($A187,'Rate Calculation'!$A$4:$AJ$210,6,FALSE)</f>
        <v>BALTIMORE METRO</v>
      </c>
      <c r="F187" s="105">
        <f>VLOOKUP(A187,'Rate Calculation'!$A$3:$AT$210,35,FALSE)</f>
        <v>0</v>
      </c>
      <c r="G187" s="105">
        <f>VLOOKUP(A187,'Rate Calculation'!$A$3:$AT$210,30,FALSE)</f>
        <v>16104</v>
      </c>
      <c r="H187" s="105">
        <f>VLOOKUP(A187,'Rate Calculation'!$A$3:$AW$210,36,FALSE)+VLOOKUP(A187,'Rate Calculation'!$A$3:$CC$210,42,FALSE)</f>
        <v>73434900</v>
      </c>
      <c r="I187" s="105">
        <f t="shared" si="44"/>
        <v>-14.03</v>
      </c>
      <c r="J187" s="105" t="str">
        <f>VLOOKUP(A187,'Rate Calculation'!$A$3:$BL$210,43,FALSE)</f>
        <v>St. Joseph's Nursing Home, Inc.</v>
      </c>
      <c r="K187" s="105">
        <f t="shared" si="53"/>
        <v>73450989.969999999</v>
      </c>
      <c r="L187" s="164">
        <f t="shared" si="37"/>
        <v>0.98772000000000004</v>
      </c>
      <c r="M187" s="105">
        <f t="shared" si="45"/>
        <v>72549011.810000002</v>
      </c>
      <c r="N187" s="105" t="e">
        <f>VLOOKUP(A187,'Rate Calculation'!$A$4:$DK$210,47,FALSE)</f>
        <v>#DIV/0!</v>
      </c>
      <c r="O187" s="106">
        <f>VLOOKUP(A187,'Rate Calculation'!$A$4:$DK$210,10,FALSE)</f>
        <v>1.0309999999999999</v>
      </c>
      <c r="P187" s="114">
        <f t="shared" si="38"/>
        <v>1.4432</v>
      </c>
      <c r="Q187" s="114">
        <f>VLOOKUP(A187,'CMI Data'!$A$3:$Z$209,7,FALSE)</f>
        <v>0</v>
      </c>
      <c r="R187" s="120" t="e">
        <f>+'CMI Data'!$I$214</f>
        <v>#DIV/0!</v>
      </c>
      <c r="S187" s="106">
        <f>IF(Q187=0,'CMI Data'!$I$213,ROUND(Q187*R187,4))</f>
        <v>1.4061999999999999</v>
      </c>
      <c r="T187" s="105">
        <f>VLOOKUP(A187,'Rate Calculation'!$A$4:$DK$210,16,FALSE)</f>
        <v>141.44999999999999</v>
      </c>
      <c r="U187" s="105">
        <f>VLOOKUP(A187,'Rate Calculation'!$A$4:$DK$210,20,FALSE)</f>
        <v>-14.4</v>
      </c>
      <c r="V187" s="113">
        <f t="shared" si="46"/>
        <v>-10.29</v>
      </c>
      <c r="W187" s="105">
        <f t="shared" si="47"/>
        <v>-14.03</v>
      </c>
      <c r="X187" s="111">
        <f t="shared" si="39"/>
        <v>0</v>
      </c>
      <c r="Y187" s="105">
        <f t="shared" si="48"/>
        <v>-14.03</v>
      </c>
      <c r="Z187" s="105">
        <f t="shared" si="49"/>
        <v>192.93</v>
      </c>
      <c r="AA187" s="105">
        <f t="shared" si="50"/>
        <v>-13.33</v>
      </c>
      <c r="AB187" s="111">
        <f t="shared" si="51"/>
        <v>-206.26</v>
      </c>
      <c r="AC187" s="105" t="e">
        <f t="shared" si="52"/>
        <v>#VALUE!</v>
      </c>
      <c r="AD187" s="105" t="e">
        <f t="shared" si="40"/>
        <v>#VALUE!</v>
      </c>
      <c r="AE187" s="105" t="e">
        <f t="shared" si="41"/>
        <v>#DIV/0!</v>
      </c>
      <c r="AF187" s="105" t="e">
        <f t="shared" si="42"/>
        <v>#VALUE!</v>
      </c>
      <c r="AG187" s="105" t="e">
        <f t="shared" si="43"/>
        <v>#VALUE!</v>
      </c>
      <c r="AH187" s="111"/>
      <c r="AI187" s="105"/>
      <c r="AJ187" s="105"/>
      <c r="AK187" s="109"/>
      <c r="AL187" s="109"/>
      <c r="AM187" s="109"/>
      <c r="AN187" s="109"/>
      <c r="AO187" s="105"/>
      <c r="AP187" s="105"/>
      <c r="AQ187" s="109"/>
      <c r="AR187" s="110"/>
      <c r="AS187" s="110"/>
      <c r="AT187" s="110"/>
      <c r="AU187" s="110"/>
      <c r="AV187" s="110"/>
      <c r="AW187" s="112"/>
      <c r="AX187" s="112"/>
      <c r="AY187" s="110"/>
      <c r="AZ187" s="105"/>
      <c r="BA187" s="105"/>
      <c r="BB187" s="105"/>
      <c r="BC187" s="105"/>
      <c r="BD187" s="105"/>
      <c r="BE187" s="105"/>
    </row>
    <row r="188" spans="1:57" x14ac:dyDescent="0.15">
      <c r="A188" s="101">
        <v>767</v>
      </c>
      <c r="B188" s="98" t="e">
        <f>VLOOKUP($A188,'Rate Calculation'!$A$4:$CS$210,68,FALSE)</f>
        <v>#REF!</v>
      </c>
      <c r="C188" s="98" t="str">
        <f>UPPER(VLOOKUP($A188,'Rate Calculation'!$A$4:$CL$210,69,FALSE))</f>
        <v>0</v>
      </c>
      <c r="D188" s="104" t="str">
        <f>VLOOKUP($A188,'Rate Calculation'!$A$4:$AJ$210,5,FALSE)</f>
        <v>WASHINGTON METRO</v>
      </c>
      <c r="E188" s="104" t="str">
        <f>VLOOKUP($A188,'Rate Calculation'!$A$4:$AJ$210,6,FALSE)</f>
        <v>NON METRO</v>
      </c>
      <c r="F188" s="105">
        <f>VLOOKUP(A188,'Rate Calculation'!$A$3:$AT$210,35,FALSE)</f>
        <v>34702</v>
      </c>
      <c r="G188" s="105">
        <f>VLOOKUP(A188,'Rate Calculation'!$A$3:$AT$210,30,FALSE)</f>
        <v>58560</v>
      </c>
      <c r="H188" s="105">
        <f>VLOOKUP(A188,'Rate Calculation'!$A$3:$AW$210,36,FALSE)+VLOOKUP(A188,'Rate Calculation'!$A$3:$CC$210,42,FALSE)</f>
        <v>695541895</v>
      </c>
      <c r="I188" s="105">
        <f t="shared" si="44"/>
        <v>-31.1</v>
      </c>
      <c r="J188" s="105" t="str">
        <f>VLOOKUP(A188,'Rate Calculation'!$A$3:$BL$210,43,FALSE)</f>
        <v>St. Mary's Nursing Center, Inc.</v>
      </c>
      <c r="K188" s="105">
        <f t="shared" si="53"/>
        <v>695635125.89999998</v>
      </c>
      <c r="L188" s="164">
        <f t="shared" si="37"/>
        <v>0.98772000000000004</v>
      </c>
      <c r="M188" s="105">
        <f t="shared" si="45"/>
        <v>687092726.54999995</v>
      </c>
      <c r="N188" s="105" t="e">
        <f>VLOOKUP(A188,'Rate Calculation'!$A$4:$DK$210,47,FALSE)</f>
        <v>#DIV/0!</v>
      </c>
      <c r="O188" s="106">
        <f>VLOOKUP(A188,'Rate Calculation'!$A$4:$DK$210,10,FALSE)</f>
        <v>1.0309999999999999</v>
      </c>
      <c r="P188" s="114">
        <f t="shared" si="38"/>
        <v>1.4432</v>
      </c>
      <c r="Q188" s="114">
        <f>VLOOKUP(A188,'CMI Data'!$A$3:$Z$209,7,FALSE)</f>
        <v>0</v>
      </c>
      <c r="R188" s="120" t="e">
        <f>+'CMI Data'!$I$214</f>
        <v>#DIV/0!</v>
      </c>
      <c r="S188" s="106">
        <f>IF(Q188=0,'CMI Data'!$I$213,ROUND(Q188*R188,4))</f>
        <v>1.4061999999999999</v>
      </c>
      <c r="T188" s="105">
        <f>VLOOKUP(A188,'Rate Calculation'!$A$4:$DK$210,16,FALSE)</f>
        <v>160.69</v>
      </c>
      <c r="U188" s="105">
        <f>VLOOKUP(A188,'Rate Calculation'!$A$4:$DK$210,20,FALSE)</f>
        <v>-31.92</v>
      </c>
      <c r="V188" s="113">
        <f t="shared" si="46"/>
        <v>-22.8</v>
      </c>
      <c r="W188" s="105">
        <f t="shared" si="47"/>
        <v>-31.1</v>
      </c>
      <c r="X188" s="111">
        <f t="shared" si="39"/>
        <v>0</v>
      </c>
      <c r="Y188" s="105">
        <f t="shared" si="48"/>
        <v>-31.1</v>
      </c>
      <c r="Z188" s="105">
        <f t="shared" si="49"/>
        <v>219.17</v>
      </c>
      <c r="AA188" s="105">
        <f t="shared" si="50"/>
        <v>-29.55</v>
      </c>
      <c r="AB188" s="111">
        <f t="shared" si="51"/>
        <v>-248.72</v>
      </c>
      <c r="AC188" s="105" t="e">
        <f t="shared" si="52"/>
        <v>#VALUE!</v>
      </c>
      <c r="AD188" s="105" t="e">
        <f t="shared" si="40"/>
        <v>#VALUE!</v>
      </c>
      <c r="AE188" s="105" t="e">
        <f t="shared" si="41"/>
        <v>#DIV/0!</v>
      </c>
      <c r="AF188" s="105" t="e">
        <f t="shared" si="42"/>
        <v>#VALUE!</v>
      </c>
      <c r="AG188" s="105" t="e">
        <f t="shared" si="43"/>
        <v>#VALUE!</v>
      </c>
      <c r="AH188" s="111"/>
      <c r="AI188" s="105"/>
      <c r="AJ188" s="105"/>
      <c r="AK188" s="109"/>
      <c r="AL188" s="109"/>
      <c r="AM188" s="109"/>
      <c r="AN188" s="109"/>
      <c r="AO188" s="105"/>
      <c r="AP188" s="105"/>
      <c r="AQ188" s="109"/>
      <c r="AR188" s="110"/>
      <c r="AS188" s="110"/>
      <c r="AT188" s="110"/>
      <c r="AU188" s="110"/>
      <c r="AV188" s="110"/>
      <c r="AW188" s="112"/>
      <c r="AX188" s="112"/>
      <c r="AY188" s="110"/>
      <c r="AZ188" s="105"/>
      <c r="BA188" s="105"/>
      <c r="BB188" s="105"/>
      <c r="BC188" s="105"/>
      <c r="BD188" s="105"/>
      <c r="BE188" s="105"/>
    </row>
    <row r="189" spans="1:57" x14ac:dyDescent="0.15">
      <c r="A189" s="101">
        <v>428</v>
      </c>
      <c r="B189" s="98" t="e">
        <f>VLOOKUP($A189,'Rate Calculation'!$A$4:$CS$210,68,FALSE)</f>
        <v>#REF!</v>
      </c>
      <c r="C189" s="98" t="str">
        <f>UPPER(VLOOKUP($A189,'Rate Calculation'!$A$4:$CL$210,69,FALSE))</f>
        <v>36799</v>
      </c>
      <c r="D189" s="104" t="str">
        <f>VLOOKUP($A189,'Rate Calculation'!$A$4:$AJ$210,5,FALSE)</f>
        <v>BALTIMORE METRO</v>
      </c>
      <c r="E189" s="104" t="str">
        <f>VLOOKUP($A189,'Rate Calculation'!$A$4:$AJ$210,6,FALSE)</f>
        <v>BALTIMORE METRO</v>
      </c>
      <c r="F189" s="105">
        <f>VLOOKUP(A189,'Rate Calculation'!$A$3:$AT$210,35,FALSE)</f>
        <v>97265</v>
      </c>
      <c r="G189" s="105">
        <f>VLOOKUP(A189,'Rate Calculation'!$A$3:$AT$210,30,FALSE)</f>
        <v>142740</v>
      </c>
      <c r="H189" s="105">
        <f>VLOOKUP(A189,'Rate Calculation'!$A$3:$AW$210,36,FALSE)+VLOOKUP(A189,'Rate Calculation'!$A$3:$CC$210,42,FALSE)</f>
        <v>960325968</v>
      </c>
      <c r="I189" s="105">
        <f t="shared" si="44"/>
        <v>-17.510000000000002</v>
      </c>
      <c r="J189" s="105" t="str">
        <f>VLOOKUP(A189,'Rate Calculation'!$A$3:$BL$210,43,FALSE)</f>
        <v>Stella Maris, Inc.</v>
      </c>
      <c r="K189" s="105">
        <f t="shared" si="53"/>
        <v>960565955.49000001</v>
      </c>
      <c r="L189" s="164">
        <f t="shared" si="37"/>
        <v>0.98772000000000004</v>
      </c>
      <c r="M189" s="105">
        <f t="shared" si="45"/>
        <v>948770205.55999994</v>
      </c>
      <c r="N189" s="105" t="e">
        <f>VLOOKUP(A189,'Rate Calculation'!$A$4:$DK$210,47,FALSE)</f>
        <v>#DIV/0!</v>
      </c>
      <c r="O189" s="106">
        <f>VLOOKUP(A189,'Rate Calculation'!$A$4:$DK$210,10,FALSE)</f>
        <v>1.0309999999999999</v>
      </c>
      <c r="P189" s="114">
        <f t="shared" si="38"/>
        <v>1.4432</v>
      </c>
      <c r="Q189" s="114">
        <f>VLOOKUP(A189,'CMI Data'!$A$3:$Z$209,7,FALSE)</f>
        <v>0</v>
      </c>
      <c r="R189" s="120" t="e">
        <f>+'CMI Data'!$I$214</f>
        <v>#DIV/0!</v>
      </c>
      <c r="S189" s="106">
        <f>IF(Q189=0,'CMI Data'!$I$213,ROUND(Q189*R189,4))</f>
        <v>1.4061999999999999</v>
      </c>
      <c r="T189" s="105">
        <f>VLOOKUP(A189,'Rate Calculation'!$A$4:$DK$210,16,FALSE)</f>
        <v>196.61</v>
      </c>
      <c r="U189" s="105">
        <f>VLOOKUP(A189,'Rate Calculation'!$A$4:$DK$210,20,FALSE)</f>
        <v>-17.97</v>
      </c>
      <c r="V189" s="113">
        <f t="shared" si="46"/>
        <v>-12.84</v>
      </c>
      <c r="W189" s="105">
        <f t="shared" si="47"/>
        <v>-17.510000000000002</v>
      </c>
      <c r="X189" s="111">
        <f t="shared" si="39"/>
        <v>0</v>
      </c>
      <c r="Y189" s="105">
        <f t="shared" si="48"/>
        <v>-17.510000000000002</v>
      </c>
      <c r="Z189" s="105">
        <f t="shared" si="49"/>
        <v>268.16000000000003</v>
      </c>
      <c r="AA189" s="105">
        <f t="shared" si="50"/>
        <v>-16.63</v>
      </c>
      <c r="AB189" s="111">
        <f t="shared" si="51"/>
        <v>-284.79000000000002</v>
      </c>
      <c r="AC189" s="105" t="e">
        <f t="shared" si="52"/>
        <v>#VALUE!</v>
      </c>
      <c r="AD189" s="105" t="e">
        <f t="shared" si="40"/>
        <v>#VALUE!</v>
      </c>
      <c r="AE189" s="105" t="e">
        <f t="shared" si="41"/>
        <v>#DIV/0!</v>
      </c>
      <c r="AF189" s="105" t="e">
        <f t="shared" si="42"/>
        <v>#VALUE!</v>
      </c>
      <c r="AG189" s="105" t="e">
        <f t="shared" si="43"/>
        <v>#VALUE!</v>
      </c>
      <c r="AH189" s="111"/>
      <c r="AI189" s="105"/>
      <c r="AJ189" s="105"/>
      <c r="AK189" s="109"/>
      <c r="AL189" s="109"/>
      <c r="AM189" s="109"/>
      <c r="AN189" s="109"/>
      <c r="AO189" s="105"/>
      <c r="AP189" s="105"/>
      <c r="AQ189" s="109"/>
      <c r="AR189" s="110"/>
      <c r="AS189" s="110"/>
      <c r="AT189" s="110"/>
      <c r="AU189" s="110"/>
      <c r="AV189" s="110"/>
      <c r="AW189" s="112"/>
      <c r="AX189" s="112"/>
      <c r="AY189" s="110"/>
      <c r="AZ189" s="105"/>
      <c r="BA189" s="105"/>
      <c r="BB189" s="105"/>
      <c r="BC189" s="105"/>
      <c r="BD189" s="105"/>
      <c r="BE189" s="105"/>
    </row>
    <row r="190" spans="1:57" x14ac:dyDescent="0.15">
      <c r="A190" s="101">
        <v>176</v>
      </c>
      <c r="B190" s="98" t="e">
        <f>VLOOKUP($A190,'Rate Calculation'!$A$4:$CS$210,68,FALSE)</f>
        <v>#REF!</v>
      </c>
      <c r="C190" s="98" t="str">
        <f>UPPER(VLOOKUP($A190,'Rate Calculation'!$A$4:$CL$210,69,FALSE))</f>
        <v>108592</v>
      </c>
      <c r="D190" s="104" t="str">
        <f>VLOOKUP($A190,'Rate Calculation'!$A$4:$AJ$210,5,FALSE)</f>
        <v>WESTERN REGION</v>
      </c>
      <c r="E190" s="104" t="str">
        <f>VLOOKUP($A190,'Rate Calculation'!$A$4:$AJ$210,6,FALSE)</f>
        <v>NON METRO</v>
      </c>
      <c r="F190" s="105">
        <f>VLOOKUP(A190,'Rate Calculation'!$A$3:$AT$210,35,FALSE)</f>
        <v>32042</v>
      </c>
      <c r="G190" s="105">
        <f>VLOOKUP(A190,'Rate Calculation'!$A$3:$AT$210,30,FALSE)</f>
        <v>48312</v>
      </c>
      <c r="H190" s="105">
        <f>VLOOKUP(A190,'Rate Calculation'!$A$3:$AW$210,36,FALSE)+VLOOKUP(A190,'Rate Calculation'!$A$3:$CC$210,42,FALSE)</f>
        <v>199772679</v>
      </c>
      <c r="I190" s="105">
        <f t="shared" si="44"/>
        <v>-4.04</v>
      </c>
      <c r="J190" s="105" t="str">
        <f>VLOOKUP(A190,'Rate Calculation'!$A$3:$BL$210,43,FALSE)</f>
        <v>Frostburg Village Rehab Center</v>
      </c>
      <c r="K190" s="105">
        <f t="shared" si="53"/>
        <v>199853028.96000001</v>
      </c>
      <c r="L190" s="164">
        <f t="shared" si="37"/>
        <v>0.98772000000000004</v>
      </c>
      <c r="M190" s="105">
        <f t="shared" si="45"/>
        <v>197398833.75999999</v>
      </c>
      <c r="N190" s="105" t="e">
        <f>VLOOKUP(A190,'Rate Calculation'!$A$4:$DK$210,47,FALSE)</f>
        <v>#DIV/0!</v>
      </c>
      <c r="O190" s="106">
        <f>VLOOKUP(A190,'Rate Calculation'!$A$4:$DK$210,10,FALSE)</f>
        <v>1.0309999999999999</v>
      </c>
      <c r="P190" s="114">
        <f t="shared" si="38"/>
        <v>1.4432</v>
      </c>
      <c r="Q190" s="114">
        <f>VLOOKUP(A190,'CMI Data'!$A$3:$Z$209,7,FALSE)</f>
        <v>0</v>
      </c>
      <c r="R190" s="120" t="e">
        <f>+'CMI Data'!$I$214</f>
        <v>#DIV/0!</v>
      </c>
      <c r="S190" s="106">
        <f>IF(Q190=0,'CMI Data'!$I$213,ROUND(Q190*R190,4))</f>
        <v>1.4061999999999999</v>
      </c>
      <c r="T190" s="105">
        <f>VLOOKUP(A190,'Rate Calculation'!$A$4:$DK$210,16,FALSE)</f>
        <v>150.06</v>
      </c>
      <c r="U190" s="105">
        <f>VLOOKUP(A190,'Rate Calculation'!$A$4:$DK$210,20,FALSE)</f>
        <v>-4.1399999999999997</v>
      </c>
      <c r="V190" s="113">
        <f t="shared" si="46"/>
        <v>-2.96</v>
      </c>
      <c r="W190" s="105">
        <f t="shared" si="47"/>
        <v>-4.04</v>
      </c>
      <c r="X190" s="111">
        <f t="shared" si="39"/>
        <v>0</v>
      </c>
      <c r="Y190" s="105">
        <f t="shared" si="48"/>
        <v>-4.04</v>
      </c>
      <c r="Z190" s="105">
        <f t="shared" si="49"/>
        <v>204.67</v>
      </c>
      <c r="AA190" s="105">
        <f t="shared" si="50"/>
        <v>-3.84</v>
      </c>
      <c r="AB190" s="111">
        <f t="shared" si="51"/>
        <v>-208.51</v>
      </c>
      <c r="AC190" s="105" t="e">
        <f t="shared" si="52"/>
        <v>#VALUE!</v>
      </c>
      <c r="AD190" s="105" t="e">
        <f t="shared" si="40"/>
        <v>#VALUE!</v>
      </c>
      <c r="AE190" s="105" t="e">
        <f t="shared" si="41"/>
        <v>#DIV/0!</v>
      </c>
      <c r="AF190" s="105" t="e">
        <f t="shared" si="42"/>
        <v>#VALUE!</v>
      </c>
      <c r="AG190" s="105" t="e">
        <f t="shared" si="43"/>
        <v>#VALUE!</v>
      </c>
      <c r="AH190" s="111"/>
      <c r="AI190" s="105"/>
      <c r="AJ190" s="105"/>
      <c r="AK190" s="109"/>
      <c r="AL190" s="109"/>
      <c r="AM190" s="109"/>
      <c r="AN190" s="109"/>
      <c r="AO190" s="105"/>
      <c r="AP190" s="105"/>
      <c r="AQ190" s="109"/>
      <c r="AR190" s="110"/>
      <c r="AS190" s="110"/>
      <c r="AT190" s="110"/>
      <c r="AU190" s="110"/>
      <c r="AV190" s="110"/>
      <c r="AW190" s="112"/>
      <c r="AX190" s="112"/>
      <c r="AY190" s="110"/>
      <c r="AZ190" s="105"/>
      <c r="BA190" s="105"/>
      <c r="BB190" s="105"/>
      <c r="BC190" s="105"/>
      <c r="BD190" s="105"/>
      <c r="BE190" s="105"/>
    </row>
    <row r="191" spans="1:57" x14ac:dyDescent="0.15">
      <c r="A191" s="101">
        <v>378</v>
      </c>
      <c r="B191" s="98" t="e">
        <f>VLOOKUP($A191,'Rate Calculation'!$A$4:$CS$210,68,FALSE)</f>
        <v>#REF!</v>
      </c>
      <c r="C191" s="98" t="str">
        <f>UPPER(VLOOKUP($A191,'Rate Calculation'!$A$4:$CL$210,69,FALSE))</f>
        <v>154509</v>
      </c>
      <c r="D191" s="104" t="str">
        <f>VLOOKUP($A191,'Rate Calculation'!$A$4:$AJ$210,5,FALSE)</f>
        <v>WESTERN REGION</v>
      </c>
      <c r="E191" s="104" t="str">
        <f>VLOOKUP($A191,'Rate Calculation'!$A$4:$AJ$210,6,FALSE)</f>
        <v>NON METRO</v>
      </c>
      <c r="F191" s="105">
        <f>VLOOKUP(A191,'Rate Calculation'!$A$3:$AT$210,35,FALSE)</f>
        <v>34629</v>
      </c>
      <c r="G191" s="105">
        <f>VLOOKUP(A191,'Rate Calculation'!$A$3:$AT$210,30,FALSE)</f>
        <v>54168</v>
      </c>
      <c r="H191" s="105">
        <f>VLOOKUP(A191,'Rate Calculation'!$A$3:$AW$210,36,FALSE)+VLOOKUP(A191,'Rate Calculation'!$A$3:$CC$210,42,FALSE)</f>
        <v>280065263</v>
      </c>
      <c r="I191" s="105">
        <f t="shared" si="44"/>
        <v>-9.02</v>
      </c>
      <c r="J191" s="105" t="str">
        <f>VLOOKUP(A191,'Rate Calculation'!$A$3:$BL$210,43,FALSE)</f>
        <v>Sterling Care at South Mountain</v>
      </c>
      <c r="K191" s="105">
        <f t="shared" si="53"/>
        <v>280154050.98000002</v>
      </c>
      <c r="L191" s="164">
        <f t="shared" si="37"/>
        <v>0.98772000000000004</v>
      </c>
      <c r="M191" s="105">
        <f t="shared" si="45"/>
        <v>276713759.23000002</v>
      </c>
      <c r="N191" s="105" t="e">
        <f>VLOOKUP(A191,'Rate Calculation'!$A$4:$DK$210,47,FALSE)</f>
        <v>#DIV/0!</v>
      </c>
      <c r="O191" s="106">
        <f>VLOOKUP(A191,'Rate Calculation'!$A$4:$DK$210,10,FALSE)</f>
        <v>1.0309999999999999</v>
      </c>
      <c r="P191" s="114">
        <f t="shared" si="38"/>
        <v>1.4432</v>
      </c>
      <c r="Q191" s="114">
        <f>VLOOKUP(A191,'CMI Data'!$A$3:$Z$209,7,FALSE)</f>
        <v>0</v>
      </c>
      <c r="R191" s="120" t="e">
        <f>+'CMI Data'!$I$214</f>
        <v>#DIV/0!</v>
      </c>
      <c r="S191" s="106">
        <f>IF(Q191=0,'CMI Data'!$I$213,ROUND(Q191*R191,4))</f>
        <v>1.4061999999999999</v>
      </c>
      <c r="T191" s="105">
        <f>VLOOKUP(A191,'Rate Calculation'!$A$4:$DK$210,16,FALSE)</f>
        <v>155.56</v>
      </c>
      <c r="U191" s="105">
        <f>VLOOKUP(A191,'Rate Calculation'!$A$4:$DK$210,20,FALSE)</f>
        <v>-9.25</v>
      </c>
      <c r="V191" s="113">
        <f t="shared" si="46"/>
        <v>-6.61</v>
      </c>
      <c r="W191" s="105">
        <f t="shared" si="47"/>
        <v>-9.02</v>
      </c>
      <c r="X191" s="111">
        <f t="shared" si="39"/>
        <v>0</v>
      </c>
      <c r="Y191" s="105">
        <f t="shared" si="48"/>
        <v>-9.02</v>
      </c>
      <c r="Z191" s="105">
        <f t="shared" si="49"/>
        <v>212.17</v>
      </c>
      <c r="AA191" s="105">
        <f t="shared" si="50"/>
        <v>-8.57</v>
      </c>
      <c r="AB191" s="111">
        <f t="shared" si="51"/>
        <v>-220.74</v>
      </c>
      <c r="AC191" s="105" t="e">
        <f t="shared" si="52"/>
        <v>#VALUE!</v>
      </c>
      <c r="AD191" s="105" t="e">
        <f t="shared" si="40"/>
        <v>#VALUE!</v>
      </c>
      <c r="AE191" s="105" t="e">
        <f t="shared" si="41"/>
        <v>#DIV/0!</v>
      </c>
      <c r="AF191" s="105" t="e">
        <f t="shared" si="42"/>
        <v>#VALUE!</v>
      </c>
      <c r="AG191" s="105" t="e">
        <f t="shared" si="43"/>
        <v>#VALUE!</v>
      </c>
      <c r="AH191" s="111"/>
      <c r="AI191" s="105"/>
      <c r="AJ191" s="105"/>
      <c r="AK191" s="109"/>
      <c r="AL191" s="109"/>
      <c r="AM191" s="109"/>
      <c r="AN191" s="109"/>
      <c r="AO191" s="105"/>
      <c r="AP191" s="105"/>
      <c r="AQ191" s="109"/>
      <c r="AR191" s="110"/>
      <c r="AS191" s="110"/>
      <c r="AT191" s="110"/>
      <c r="AU191" s="110"/>
      <c r="AV191" s="110"/>
      <c r="AW191" s="112"/>
      <c r="AX191" s="112"/>
      <c r="AY191" s="110"/>
      <c r="AZ191" s="105"/>
      <c r="BA191" s="105"/>
      <c r="BB191" s="105"/>
      <c r="BC191" s="105"/>
      <c r="BD191" s="105"/>
      <c r="BE191" s="105"/>
    </row>
    <row r="192" spans="1:57" x14ac:dyDescent="0.15">
      <c r="A192" s="101">
        <v>54</v>
      </c>
      <c r="B192" s="98" t="e">
        <f>VLOOKUP($A192,'Rate Calculation'!$A$4:$CS$210,68,FALSE)</f>
        <v>#REF!</v>
      </c>
      <c r="C192" s="98" t="str">
        <f>UPPER(VLOOKUP($A192,'Rate Calculation'!$A$4:$CL$210,69,FALSE))</f>
        <v>75719</v>
      </c>
      <c r="D192" s="104" t="str">
        <f>VLOOKUP($A192,'Rate Calculation'!$A$4:$AJ$210,5,FALSE)</f>
        <v>BALTIMORE METRO</v>
      </c>
      <c r="E192" s="104" t="str">
        <f>VLOOKUP($A192,'Rate Calculation'!$A$4:$AJ$210,6,FALSE)</f>
        <v>BALTIMORE METRO</v>
      </c>
      <c r="F192" s="105">
        <f>VLOOKUP(A192,'Rate Calculation'!$A$3:$AT$210,35,FALSE)</f>
        <v>37341</v>
      </c>
      <c r="G192" s="105">
        <f>VLOOKUP(A192,'Rate Calculation'!$A$3:$AT$210,30,FALSE)</f>
        <v>56730</v>
      </c>
      <c r="H192" s="105">
        <f>VLOOKUP(A192,'Rate Calculation'!$A$3:$AW$210,36,FALSE)+VLOOKUP(A192,'Rate Calculation'!$A$3:$CC$210,42,FALSE)</f>
        <v>425088739</v>
      </c>
      <c r="I192" s="105">
        <f t="shared" si="44"/>
        <v>0</v>
      </c>
      <c r="J192" s="105" t="str">
        <f>VLOOKUP(A192,'Rate Calculation'!$A$3:$BL$210,43,FALSE)</f>
        <v>Sterling Care Bel Air</v>
      </c>
      <c r="K192" s="105">
        <f t="shared" si="53"/>
        <v>425182810</v>
      </c>
      <c r="L192" s="164">
        <f t="shared" si="37"/>
        <v>0.98772000000000004</v>
      </c>
      <c r="M192" s="105">
        <f t="shared" si="45"/>
        <v>419961565.08999997</v>
      </c>
      <c r="N192" s="105" t="e">
        <f>VLOOKUP(A192,'Rate Calculation'!$A$4:$DK$210,47,FALSE)</f>
        <v>#DIV/0!</v>
      </c>
      <c r="O192" s="106">
        <f>VLOOKUP(A192,'Rate Calculation'!$A$4:$DK$210,10,FALSE)</f>
        <v>1.0309999999999999</v>
      </c>
      <c r="P192" s="114">
        <f t="shared" si="38"/>
        <v>1.4432</v>
      </c>
      <c r="Q192" s="114">
        <f>VLOOKUP(A192,'CMI Data'!$A$3:$Z$209,7,FALSE)</f>
        <v>0</v>
      </c>
      <c r="R192" s="120" t="e">
        <f>+'CMI Data'!$I$214</f>
        <v>#DIV/0!</v>
      </c>
      <c r="S192" s="106">
        <f>IF(Q192=0,'CMI Data'!$I$213,ROUND(Q192*R192,4))</f>
        <v>1.4061999999999999</v>
      </c>
      <c r="T192" s="105">
        <f>VLOOKUP(A192,'Rate Calculation'!$A$4:$DK$210,16,FALSE)</f>
        <v>187.08</v>
      </c>
      <c r="U192" s="105">
        <f>VLOOKUP(A192,'Rate Calculation'!$A$4:$DK$210,20,FALSE)</f>
        <v>0</v>
      </c>
      <c r="V192" s="113">
        <f t="shared" si="46"/>
        <v>0</v>
      </c>
      <c r="W192" s="105">
        <f t="shared" si="47"/>
        <v>0</v>
      </c>
      <c r="X192" s="111">
        <f t="shared" si="39"/>
        <v>0</v>
      </c>
      <c r="Y192" s="105">
        <f t="shared" si="48"/>
        <v>0</v>
      </c>
      <c r="Z192" s="105">
        <f t="shared" si="49"/>
        <v>255.16</v>
      </c>
      <c r="AA192" s="105">
        <f t="shared" si="50"/>
        <v>0</v>
      </c>
      <c r="AB192" s="111">
        <f t="shared" si="51"/>
        <v>-255.16</v>
      </c>
      <c r="AC192" s="105" t="e">
        <f t="shared" si="52"/>
        <v>#VALUE!</v>
      </c>
      <c r="AD192" s="105" t="e">
        <f t="shared" si="40"/>
        <v>#VALUE!</v>
      </c>
      <c r="AE192" s="105" t="e">
        <f t="shared" si="41"/>
        <v>#DIV/0!</v>
      </c>
      <c r="AF192" s="105" t="e">
        <f t="shared" si="42"/>
        <v>#VALUE!</v>
      </c>
      <c r="AG192" s="105" t="e">
        <f t="shared" si="43"/>
        <v>#VALUE!</v>
      </c>
      <c r="AH192" s="111"/>
      <c r="AI192" s="105"/>
      <c r="AJ192" s="105"/>
      <c r="AK192" s="109"/>
      <c r="AL192" s="109"/>
      <c r="AM192" s="109"/>
      <c r="AN192" s="109"/>
      <c r="AO192" s="105"/>
      <c r="AP192" s="105"/>
      <c r="AQ192" s="109"/>
      <c r="AR192" s="110"/>
      <c r="AS192" s="110"/>
      <c r="AT192" s="110"/>
      <c r="AU192" s="110"/>
      <c r="AV192" s="110"/>
      <c r="AW192" s="112"/>
      <c r="AX192" s="112"/>
      <c r="AY192" s="110"/>
      <c r="AZ192" s="105"/>
      <c r="BA192" s="105"/>
      <c r="BB192" s="105"/>
      <c r="BC192" s="105"/>
      <c r="BD192" s="105"/>
      <c r="BE192" s="105"/>
    </row>
    <row r="193" spans="1:67" x14ac:dyDescent="0.15">
      <c r="A193" s="101">
        <v>60</v>
      </c>
      <c r="B193" s="98" t="e">
        <f>VLOOKUP($A193,'Rate Calculation'!$A$4:$CS$210,68,FALSE)</f>
        <v>#REF!</v>
      </c>
      <c r="C193" s="98" t="str">
        <f>UPPER(VLOOKUP($A193,'Rate Calculation'!$A$4:$CL$210,69,FALSE))</f>
        <v>236859</v>
      </c>
      <c r="D193" s="104" t="str">
        <f>VLOOKUP($A193,'Rate Calculation'!$A$4:$AJ$210,5,FALSE)</f>
        <v>WASHINGTON METRO</v>
      </c>
      <c r="E193" s="104" t="str">
        <f>VLOOKUP($A193,'Rate Calculation'!$A$4:$AJ$210,6,FALSE)</f>
        <v>WASHINGTON METRO</v>
      </c>
      <c r="F193" s="105">
        <f>VLOOKUP(A193,'Rate Calculation'!$A$3:$AT$210,35,FALSE)</f>
        <v>58931</v>
      </c>
      <c r="G193" s="105">
        <f>VLOOKUP(A193,'Rate Calculation'!$A$3:$AT$210,30,FALSE)</f>
        <v>71370</v>
      </c>
      <c r="H193" s="105">
        <f>VLOOKUP(A193,'Rate Calculation'!$A$3:$AW$210,36,FALSE)+VLOOKUP(A193,'Rate Calculation'!$A$3:$CC$210,42,FALSE)</f>
        <v>425107332</v>
      </c>
      <c r="I193" s="105">
        <f t="shared" si="44"/>
        <v>0</v>
      </c>
      <c r="J193" s="105" t="str">
        <f>VLOOKUP(A193,'Rate Calculation'!$A$3:$BL$210,43,FALSE)</f>
        <v>Sterling Care Bethesda</v>
      </c>
      <c r="K193" s="105">
        <f t="shared" si="53"/>
        <v>425237633</v>
      </c>
      <c r="L193" s="164">
        <f t="shared" ref="L193:L206" si="54">+_baf</f>
        <v>0.98772000000000004</v>
      </c>
      <c r="M193" s="105">
        <f t="shared" si="45"/>
        <v>420015714.87</v>
      </c>
      <c r="N193" s="105" t="e">
        <f>VLOOKUP(A193,'Rate Calculation'!$A$4:$DK$210,47,FALSE)</f>
        <v>#DIV/0!</v>
      </c>
      <c r="O193" s="106">
        <f>VLOOKUP(A193,'Rate Calculation'!$A$4:$DK$210,10,FALSE)</f>
        <v>1.0309999999999999</v>
      </c>
      <c r="P193" s="114">
        <f t="shared" ref="P193:P206" si="55">+SW_CR_CMI</f>
        <v>1.4432</v>
      </c>
      <c r="Q193" s="114">
        <f>VLOOKUP(A193,'CMI Data'!$A$3:$Z$209,7,FALSE)</f>
        <v>0</v>
      </c>
      <c r="R193" s="120" t="e">
        <f>+'CMI Data'!$I$214</f>
        <v>#DIV/0!</v>
      </c>
      <c r="S193" s="106">
        <f>IF(Q193=0,'CMI Data'!$I$213,ROUND(Q193*R193,4))</f>
        <v>1.4061999999999999</v>
      </c>
      <c r="T193" s="105">
        <f>VLOOKUP(A193,'Rate Calculation'!$A$4:$DK$210,16,FALSE)</f>
        <v>157.22</v>
      </c>
      <c r="U193" s="105">
        <f>VLOOKUP(A193,'Rate Calculation'!$A$4:$DK$210,20,FALSE)</f>
        <v>0</v>
      </c>
      <c r="V193" s="113">
        <f t="shared" si="46"/>
        <v>0</v>
      </c>
      <c r="W193" s="105">
        <f t="shared" si="47"/>
        <v>0</v>
      </c>
      <c r="X193" s="111">
        <f t="shared" ref="X193:X206" si="56">IF(O193="NA","NA",ROUND(MAX(0,AB193)*-1,2))</f>
        <v>0</v>
      </c>
      <c r="Y193" s="105">
        <f t="shared" si="48"/>
        <v>0</v>
      </c>
      <c r="Z193" s="105">
        <f t="shared" si="49"/>
        <v>214.44</v>
      </c>
      <c r="AA193" s="105">
        <f t="shared" si="50"/>
        <v>0</v>
      </c>
      <c r="AB193" s="111">
        <f t="shared" si="51"/>
        <v>-214.44</v>
      </c>
      <c r="AC193" s="105" t="e">
        <f t="shared" si="52"/>
        <v>#VALUE!</v>
      </c>
      <c r="AD193" s="105" t="e">
        <f t="shared" ref="AD193:AD206" si="57">+F193+G193+H193+J193</f>
        <v>#VALUE!</v>
      </c>
      <c r="AE193" s="105" t="e">
        <f t="shared" ref="AE193:AE206" si="58">+M193+N193</f>
        <v>#DIV/0!</v>
      </c>
      <c r="AF193" s="105" t="e">
        <f t="shared" ref="AF193:AF206" si="59">+AC193+N193</f>
        <v>#VALUE!</v>
      </c>
      <c r="AG193" s="105" t="e">
        <f t="shared" ref="AG193:AG206" si="60">+AD193+N193</f>
        <v>#VALUE!</v>
      </c>
      <c r="AH193" s="111"/>
      <c r="AI193" s="105"/>
      <c r="AJ193" s="105"/>
      <c r="AK193" s="109"/>
      <c r="AL193" s="109"/>
      <c r="AM193" s="109"/>
      <c r="AN193" s="109"/>
      <c r="AO193" s="105"/>
      <c r="AP193" s="105"/>
      <c r="AQ193" s="109"/>
      <c r="AR193" s="110"/>
      <c r="AS193" s="110"/>
      <c r="AT193" s="110"/>
      <c r="AU193" s="110"/>
      <c r="AV193" s="110"/>
      <c r="AW193" s="112"/>
      <c r="AX193" s="112"/>
      <c r="AY193" s="110"/>
      <c r="AZ193" s="105"/>
      <c r="BA193" s="105"/>
      <c r="BB193" s="105"/>
      <c r="BC193" s="105"/>
      <c r="BD193" s="105"/>
      <c r="BE193" s="105"/>
    </row>
    <row r="194" spans="1:67" x14ac:dyDescent="0.15">
      <c r="A194" s="101">
        <v>663</v>
      </c>
      <c r="B194" s="98" t="e">
        <f>VLOOKUP($A194,'Rate Calculation'!$A$4:$CS$210,68,FALSE)</f>
        <v>#REF!</v>
      </c>
      <c r="C194" s="98" t="str">
        <f>UPPER(VLOOKUP($A194,'Rate Calculation'!$A$4:$CL$210,69,FALSE))</f>
        <v>143095</v>
      </c>
      <c r="D194" s="104" t="str">
        <f>VLOOKUP($A194,'Rate Calculation'!$A$4:$AJ$210,5,FALSE)</f>
        <v>BALTIMORE METRO</v>
      </c>
      <c r="E194" s="104" t="str">
        <f>VLOOKUP($A194,'Rate Calculation'!$A$4:$AJ$210,6,FALSE)</f>
        <v>BALTIMORE METRO</v>
      </c>
      <c r="F194" s="105">
        <f>VLOOKUP(A194,'Rate Calculation'!$A$3:$AT$210,35,FALSE)</f>
        <v>33644</v>
      </c>
      <c r="G194" s="105">
        <f>VLOOKUP(A194,'Rate Calculation'!$A$3:$AT$210,30,FALSE)</f>
        <v>57096</v>
      </c>
      <c r="H194" s="105">
        <f>VLOOKUP(A194,'Rate Calculation'!$A$3:$AW$210,36,FALSE)+VLOOKUP(A194,'Rate Calculation'!$A$3:$CC$210,42,FALSE)</f>
        <v>888715281</v>
      </c>
      <c r="I194" s="105">
        <f t="shared" ref="I194:I206" si="61">+Y194</f>
        <v>0</v>
      </c>
      <c r="J194" s="105" t="str">
        <f>VLOOKUP(A194,'Rate Calculation'!$A$3:$BL$210,43,FALSE)</f>
        <v>Sterling Care Forest Hill</v>
      </c>
      <c r="K194" s="105">
        <f t="shared" ref="K194:K206" si="62">SUM(F194:J194)</f>
        <v>888806021</v>
      </c>
      <c r="L194" s="164">
        <f t="shared" si="54"/>
        <v>0.98772000000000004</v>
      </c>
      <c r="M194" s="105">
        <f t="shared" ref="M194:M206" si="63">ROUND(K194*L194,2)</f>
        <v>877891483.05999994</v>
      </c>
      <c r="N194" s="105" t="e">
        <f>VLOOKUP(A194,'Rate Calculation'!$A$4:$DK$210,47,FALSE)</f>
        <v>#DIV/0!</v>
      </c>
      <c r="O194" s="106">
        <f>VLOOKUP(A194,'Rate Calculation'!$A$4:$DK$210,10,FALSE)</f>
        <v>1.0309999999999999</v>
      </c>
      <c r="P194" s="114">
        <f t="shared" si="55"/>
        <v>1.4432</v>
      </c>
      <c r="Q194" s="114">
        <f>VLOOKUP(A194,'CMI Data'!$A$3:$Z$209,7,FALSE)</f>
        <v>0</v>
      </c>
      <c r="R194" s="120" t="e">
        <f>+'CMI Data'!$I$214</f>
        <v>#DIV/0!</v>
      </c>
      <c r="S194" s="106">
        <f>IF(Q194=0,'CMI Data'!$I$213,ROUND(Q194*R194,4))</f>
        <v>1.4061999999999999</v>
      </c>
      <c r="T194" s="105">
        <f>VLOOKUP(A194,'Rate Calculation'!$A$4:$DK$210,16,FALSE)</f>
        <v>203.93</v>
      </c>
      <c r="U194" s="105">
        <f>VLOOKUP(A194,'Rate Calculation'!$A$4:$DK$210,20,FALSE)</f>
        <v>0</v>
      </c>
      <c r="V194" s="113">
        <f t="shared" ref="V194:V206" si="64">IF($O194="NA","NA",ROUND(U194*(O194/P194),2))</f>
        <v>0</v>
      </c>
      <c r="W194" s="105">
        <f t="shared" ref="W194:W206" si="65">IF(O194="NA",ROUND(U194*S194,2),ROUND(V194*(S194/O194),2))</f>
        <v>0</v>
      </c>
      <c r="X194" s="111">
        <f t="shared" si="56"/>
        <v>0</v>
      </c>
      <c r="Y194" s="105">
        <f t="shared" ref="Y194:Y206" si="66">IF(O194="NA", W194,W194+X194)</f>
        <v>0</v>
      </c>
      <c r="Z194" s="105">
        <f t="shared" ref="Z194:Z206" si="67">IF(O194="NA","NA",ROUND(T194*(S194/O194),2))</f>
        <v>278.14</v>
      </c>
      <c r="AA194" s="105">
        <f t="shared" ref="AA194:AA206" si="68">IF(O194="NA","NA",ROUND(W194*0.95,2))</f>
        <v>0</v>
      </c>
      <c r="AB194" s="111">
        <f t="shared" ref="AB194:AB206" si="69">IF(O194="NA","NA",AA194-Z194)</f>
        <v>-278.14</v>
      </c>
      <c r="AC194" s="105" t="e">
        <f t="shared" ref="AC194:AC206" si="70">+F194+G194+H194+ROUND((I194*0.5),2)+J194</f>
        <v>#VALUE!</v>
      </c>
      <c r="AD194" s="105" t="e">
        <f t="shared" si="57"/>
        <v>#VALUE!</v>
      </c>
      <c r="AE194" s="105" t="e">
        <f t="shared" si="58"/>
        <v>#DIV/0!</v>
      </c>
      <c r="AF194" s="105" t="e">
        <f t="shared" si="59"/>
        <v>#VALUE!</v>
      </c>
      <c r="AG194" s="105" t="e">
        <f t="shared" si="60"/>
        <v>#VALUE!</v>
      </c>
      <c r="AH194" s="111"/>
      <c r="AI194" s="105"/>
      <c r="AJ194" s="105"/>
      <c r="AK194" s="109"/>
      <c r="AL194" s="109"/>
      <c r="AM194" s="109"/>
      <c r="AN194" s="109"/>
      <c r="AO194" s="105"/>
      <c r="AP194" s="105"/>
      <c r="AQ194" s="109"/>
      <c r="AR194" s="110"/>
      <c r="AS194" s="110"/>
      <c r="AT194" s="110"/>
      <c r="AU194" s="110"/>
      <c r="AV194" s="110"/>
      <c r="AW194" s="112"/>
      <c r="AX194" s="112"/>
      <c r="AY194" s="110"/>
      <c r="AZ194" s="105"/>
      <c r="BA194" s="105"/>
      <c r="BB194" s="105"/>
      <c r="BC194" s="105"/>
      <c r="BD194" s="105"/>
      <c r="BE194" s="105"/>
    </row>
    <row r="195" spans="1:67" x14ac:dyDescent="0.15">
      <c r="A195" s="101">
        <v>236</v>
      </c>
      <c r="B195" s="98" t="e">
        <f>VLOOKUP($A195,'Rate Calculation'!$A$4:$CS$210,68,FALSE)</f>
        <v>#REF!</v>
      </c>
      <c r="C195" s="98" t="str">
        <f>UPPER(VLOOKUP($A195,'Rate Calculation'!$A$4:$CL$210,69,FALSE))</f>
        <v>159166</v>
      </c>
      <c r="D195" s="104" t="str">
        <f>VLOOKUP($A195,'Rate Calculation'!$A$4:$AJ$210,5,FALSE)</f>
        <v>WASHINGTON METRO</v>
      </c>
      <c r="E195" s="104" t="str">
        <f>VLOOKUP($A195,'Rate Calculation'!$A$4:$AJ$210,6,FALSE)</f>
        <v>WASHINGTON METRO</v>
      </c>
      <c r="F195" s="105">
        <f>VLOOKUP(A195,'Rate Calculation'!$A$3:$AT$210,35,FALSE)</f>
        <v>12282</v>
      </c>
      <c r="G195" s="105">
        <f>VLOOKUP(A195,'Rate Calculation'!$A$3:$AT$210,30,FALSE)</f>
        <v>24156</v>
      </c>
      <c r="H195" s="105">
        <f>VLOOKUP(A195,'Rate Calculation'!$A$3:$AW$210,36,FALSE)+VLOOKUP(A195,'Rate Calculation'!$A$3:$CC$210,42,FALSE)</f>
        <v>447078423</v>
      </c>
      <c r="I195" s="105">
        <f t="shared" si="61"/>
        <v>-7.23</v>
      </c>
      <c r="J195" s="105" t="str">
        <f>VLOOKUP(A195,'Rate Calculation'!$A$3:$BL$210,43,FALSE)</f>
        <v>Sterling Care Hillhaven</v>
      </c>
      <c r="K195" s="105">
        <f t="shared" si="62"/>
        <v>447114853.76999998</v>
      </c>
      <c r="L195" s="164">
        <f t="shared" si="54"/>
        <v>0.98772000000000004</v>
      </c>
      <c r="M195" s="105">
        <f t="shared" si="63"/>
        <v>441624283.37</v>
      </c>
      <c r="N195" s="105" t="e">
        <f>VLOOKUP(A195,'Rate Calculation'!$A$4:$DK$210,47,FALSE)</f>
        <v>#DIV/0!</v>
      </c>
      <c r="O195" s="106">
        <f>VLOOKUP(A195,'Rate Calculation'!$A$4:$DK$210,10,FALSE)</f>
        <v>1.0309999999999999</v>
      </c>
      <c r="P195" s="114">
        <f t="shared" si="55"/>
        <v>1.4432</v>
      </c>
      <c r="Q195" s="114">
        <f>VLOOKUP(A195,'CMI Data'!$A$3:$Z$209,7,FALSE)</f>
        <v>0</v>
      </c>
      <c r="R195" s="120" t="e">
        <f>+'CMI Data'!$I$214</f>
        <v>#DIV/0!</v>
      </c>
      <c r="S195" s="106">
        <f>IF(Q195=0,'CMI Data'!$I$213,ROUND(Q195*R195,4))</f>
        <v>1.4061999999999999</v>
      </c>
      <c r="T195" s="105">
        <f>VLOOKUP(A195,'Rate Calculation'!$A$4:$DK$210,16,FALSE)</f>
        <v>170.66</v>
      </c>
      <c r="U195" s="105">
        <f>VLOOKUP(A195,'Rate Calculation'!$A$4:$DK$210,20,FALSE)</f>
        <v>-7.42</v>
      </c>
      <c r="V195" s="113">
        <f t="shared" si="64"/>
        <v>-5.3</v>
      </c>
      <c r="W195" s="105">
        <f t="shared" si="65"/>
        <v>-7.23</v>
      </c>
      <c r="X195" s="111">
        <f t="shared" si="56"/>
        <v>0</v>
      </c>
      <c r="Y195" s="105">
        <f t="shared" si="66"/>
        <v>-7.23</v>
      </c>
      <c r="Z195" s="105">
        <f t="shared" si="67"/>
        <v>232.77</v>
      </c>
      <c r="AA195" s="105">
        <f t="shared" si="68"/>
        <v>-6.87</v>
      </c>
      <c r="AB195" s="111">
        <f t="shared" si="69"/>
        <v>-239.64</v>
      </c>
      <c r="AC195" s="105" t="e">
        <f t="shared" si="70"/>
        <v>#VALUE!</v>
      </c>
      <c r="AD195" s="105" t="e">
        <f t="shared" si="57"/>
        <v>#VALUE!</v>
      </c>
      <c r="AE195" s="105" t="e">
        <f t="shared" si="58"/>
        <v>#DIV/0!</v>
      </c>
      <c r="AF195" s="105" t="e">
        <f t="shared" si="59"/>
        <v>#VALUE!</v>
      </c>
      <c r="AG195" s="105" t="e">
        <f t="shared" si="60"/>
        <v>#VALUE!</v>
      </c>
      <c r="AH195" s="111"/>
      <c r="AI195" s="105"/>
      <c r="AJ195" s="105"/>
      <c r="AK195" s="109"/>
      <c r="AL195" s="109"/>
      <c r="AM195" s="109"/>
      <c r="AN195" s="109"/>
      <c r="AO195" s="105"/>
      <c r="AP195" s="105"/>
      <c r="AQ195" s="109"/>
      <c r="AR195" s="110"/>
      <c r="AS195" s="110"/>
      <c r="AT195" s="110"/>
      <c r="AU195" s="110"/>
      <c r="AV195" s="110"/>
      <c r="AW195" s="112"/>
      <c r="AX195" s="112"/>
      <c r="AY195" s="110"/>
      <c r="AZ195" s="105"/>
      <c r="BA195" s="105"/>
      <c r="BB195" s="105"/>
      <c r="BC195" s="105"/>
      <c r="BD195" s="105"/>
      <c r="BE195" s="105"/>
    </row>
    <row r="196" spans="1:67" x14ac:dyDescent="0.15">
      <c r="A196" s="101">
        <v>288</v>
      </c>
      <c r="B196" s="98" t="e">
        <f>VLOOKUP($A196,'Rate Calculation'!$A$4:$CS$210,68,FALSE)</f>
        <v>#REF!</v>
      </c>
      <c r="C196" s="98" t="str">
        <f>UPPER(VLOOKUP($A196,'Rate Calculation'!$A$4:$CL$210,69,FALSE))</f>
        <v>126627</v>
      </c>
      <c r="D196" s="104" t="str">
        <f>VLOOKUP($A196,'Rate Calculation'!$A$4:$AJ$210,5,FALSE)</f>
        <v>BALTIMORE METRO</v>
      </c>
      <c r="E196" s="104" t="str">
        <f>VLOOKUP($A196,'Rate Calculation'!$A$4:$AJ$210,6,FALSE)</f>
        <v>BALTIMORE METRO</v>
      </c>
      <c r="F196" s="105">
        <f>VLOOKUP(A196,'Rate Calculation'!$A$3:$AT$210,35,FALSE)</f>
        <v>27906</v>
      </c>
      <c r="G196" s="105">
        <f>VLOOKUP(A196,'Rate Calculation'!$A$3:$AT$210,30,FALSE)</f>
        <v>46482</v>
      </c>
      <c r="H196" s="105">
        <f>VLOOKUP(A196,'Rate Calculation'!$A$3:$AW$210,36,FALSE)+VLOOKUP(A196,'Rate Calculation'!$A$3:$CC$210,42,FALSE)</f>
        <v>302115202</v>
      </c>
      <c r="I196" s="105">
        <f t="shared" si="61"/>
        <v>-9.02</v>
      </c>
      <c r="J196" s="105" t="str">
        <f>VLOOKUP(A196,'Rate Calculation'!$A$3:$BL$210,43,FALSE)</f>
        <v>Sterling Care Riverside</v>
      </c>
      <c r="K196" s="105">
        <f t="shared" si="62"/>
        <v>302189580.98000002</v>
      </c>
      <c r="L196" s="164">
        <f t="shared" si="54"/>
        <v>0.98772000000000004</v>
      </c>
      <c r="M196" s="105">
        <f t="shared" si="63"/>
        <v>298478692.93000001</v>
      </c>
      <c r="N196" s="105" t="e">
        <f>VLOOKUP(A196,'Rate Calculation'!$A$4:$DK$210,47,FALSE)</f>
        <v>#DIV/0!</v>
      </c>
      <c r="O196" s="106">
        <f>VLOOKUP(A196,'Rate Calculation'!$A$4:$DK$210,10,FALSE)</f>
        <v>1.0309999999999999</v>
      </c>
      <c r="P196" s="114">
        <f t="shared" si="55"/>
        <v>1.4432</v>
      </c>
      <c r="Q196" s="114">
        <f>VLOOKUP(A196,'CMI Data'!$A$3:$Z$209,7,FALSE)</f>
        <v>0</v>
      </c>
      <c r="R196" s="120" t="e">
        <f>+'CMI Data'!$I$214</f>
        <v>#DIV/0!</v>
      </c>
      <c r="S196" s="106">
        <f>IF(Q196=0,'CMI Data'!$I$213,ROUND(Q196*R196,4))</f>
        <v>1.4061999999999999</v>
      </c>
      <c r="T196" s="105">
        <f>VLOOKUP(A196,'Rate Calculation'!$A$4:$DK$210,16,FALSE)</f>
        <v>212.05</v>
      </c>
      <c r="U196" s="105">
        <f>VLOOKUP(A196,'Rate Calculation'!$A$4:$DK$210,20,FALSE)</f>
        <v>-9.25</v>
      </c>
      <c r="V196" s="113">
        <f t="shared" si="64"/>
        <v>-6.61</v>
      </c>
      <c r="W196" s="105">
        <f t="shared" si="65"/>
        <v>-9.02</v>
      </c>
      <c r="X196" s="111">
        <f t="shared" si="56"/>
        <v>0</v>
      </c>
      <c r="Y196" s="105">
        <f t="shared" si="66"/>
        <v>-9.02</v>
      </c>
      <c r="Z196" s="105">
        <f t="shared" si="67"/>
        <v>289.22000000000003</v>
      </c>
      <c r="AA196" s="105">
        <f t="shared" si="68"/>
        <v>-8.57</v>
      </c>
      <c r="AB196" s="111">
        <f t="shared" si="69"/>
        <v>-297.79000000000002</v>
      </c>
      <c r="AC196" s="105" t="e">
        <f t="shared" si="70"/>
        <v>#VALUE!</v>
      </c>
      <c r="AD196" s="105" t="e">
        <f t="shared" si="57"/>
        <v>#VALUE!</v>
      </c>
      <c r="AE196" s="105" t="e">
        <f t="shared" si="58"/>
        <v>#DIV/0!</v>
      </c>
      <c r="AF196" s="105" t="e">
        <f t="shared" si="59"/>
        <v>#VALUE!</v>
      </c>
      <c r="AG196" s="105" t="e">
        <f t="shared" si="60"/>
        <v>#VALUE!</v>
      </c>
      <c r="AH196" s="111"/>
      <c r="AI196" s="105"/>
      <c r="AJ196" s="105"/>
      <c r="AK196" s="109"/>
      <c r="AL196" s="109"/>
      <c r="AM196" s="109"/>
      <c r="AN196" s="109"/>
      <c r="AO196" s="105"/>
      <c r="AP196" s="105"/>
      <c r="AQ196" s="109"/>
      <c r="AR196" s="110"/>
      <c r="AS196" s="110"/>
      <c r="AT196" s="110"/>
      <c r="AU196" s="110"/>
      <c r="AV196" s="110"/>
      <c r="AW196" s="112"/>
      <c r="AX196" s="112"/>
      <c r="AY196" s="110"/>
      <c r="AZ196" s="105"/>
      <c r="BA196" s="105"/>
      <c r="BB196" s="105"/>
      <c r="BC196" s="105"/>
      <c r="BD196" s="105"/>
      <c r="BE196" s="105"/>
    </row>
    <row r="197" spans="1:67" x14ac:dyDescent="0.15">
      <c r="A197" s="101">
        <v>388</v>
      </c>
      <c r="B197" s="98" t="e">
        <f>VLOOKUP($A197,'Rate Calculation'!$A$4:$CS$210,68,FALSE)</f>
        <v>#REF!</v>
      </c>
      <c r="C197" s="98" t="str">
        <f>UPPER(VLOOKUP($A197,'Rate Calculation'!$A$4:$CL$210,69,FALSE))</f>
        <v>108675</v>
      </c>
      <c r="D197" s="104" t="str">
        <f>VLOOKUP($A197,'Rate Calculation'!$A$4:$AJ$210,5,FALSE)</f>
        <v>WASHINGTON METRO</v>
      </c>
      <c r="E197" s="104" t="str">
        <f>VLOOKUP($A197,'Rate Calculation'!$A$4:$AJ$210,6,FALSE)</f>
        <v>WASHINGTON METRO</v>
      </c>
      <c r="F197" s="105">
        <f>VLOOKUP(A197,'Rate Calculation'!$A$3:$AT$210,35,FALSE)</f>
        <v>22326</v>
      </c>
      <c r="G197" s="105">
        <f>VLOOKUP(A197,'Rate Calculation'!$A$3:$AT$210,30,FALSE)</f>
        <v>36600</v>
      </c>
      <c r="H197" s="105">
        <f>VLOOKUP(A197,'Rate Calculation'!$A$3:$AW$210,36,FALSE)+VLOOKUP(A197,'Rate Calculation'!$A$3:$CC$210,42,FALSE)</f>
        <v>655080135</v>
      </c>
      <c r="I197" s="105">
        <f t="shared" si="61"/>
        <v>-18.02</v>
      </c>
      <c r="J197" s="105" t="str">
        <f>VLOOKUP(A197,'Rate Calculation'!$A$3:$BL$210,43,FALSE)</f>
        <v>Sterling Care Rockville Nursing</v>
      </c>
      <c r="K197" s="105">
        <f t="shared" si="62"/>
        <v>655139042.98000002</v>
      </c>
      <c r="L197" s="164">
        <f t="shared" si="54"/>
        <v>0.98772000000000004</v>
      </c>
      <c r="M197" s="105">
        <f t="shared" si="63"/>
        <v>647093935.52999997</v>
      </c>
      <c r="N197" s="105" t="e">
        <f>VLOOKUP(A197,'Rate Calculation'!$A$4:$DK$210,47,FALSE)</f>
        <v>#DIV/0!</v>
      </c>
      <c r="O197" s="106">
        <f>VLOOKUP(A197,'Rate Calculation'!$A$4:$DK$210,10,FALSE)</f>
        <v>1.0309999999999999</v>
      </c>
      <c r="P197" s="114">
        <f t="shared" si="55"/>
        <v>1.4432</v>
      </c>
      <c r="Q197" s="114">
        <f>VLOOKUP(A197,'CMI Data'!$A$3:$Z$209,7,FALSE)</f>
        <v>0</v>
      </c>
      <c r="R197" s="120" t="e">
        <f>+'CMI Data'!$I$214</f>
        <v>#DIV/0!</v>
      </c>
      <c r="S197" s="106">
        <f>IF(Q197=0,'CMI Data'!$I$213,ROUND(Q197*R197,4))</f>
        <v>1.4061999999999999</v>
      </c>
      <c r="T197" s="105">
        <f>VLOOKUP(A197,'Rate Calculation'!$A$4:$DK$210,16,FALSE)</f>
        <v>186.44</v>
      </c>
      <c r="U197" s="105">
        <f>VLOOKUP(A197,'Rate Calculation'!$A$4:$DK$210,20,FALSE)</f>
        <v>-18.489999999999998</v>
      </c>
      <c r="V197" s="113">
        <f t="shared" si="64"/>
        <v>-13.21</v>
      </c>
      <c r="W197" s="105">
        <f t="shared" si="65"/>
        <v>-18.02</v>
      </c>
      <c r="X197" s="111">
        <f t="shared" si="56"/>
        <v>0</v>
      </c>
      <c r="Y197" s="105">
        <f t="shared" si="66"/>
        <v>-18.02</v>
      </c>
      <c r="Z197" s="105">
        <f t="shared" si="67"/>
        <v>254.29</v>
      </c>
      <c r="AA197" s="105">
        <f t="shared" si="68"/>
        <v>-17.12</v>
      </c>
      <c r="AB197" s="111">
        <f t="shared" si="69"/>
        <v>-271.41000000000003</v>
      </c>
      <c r="AC197" s="105" t="e">
        <f t="shared" si="70"/>
        <v>#VALUE!</v>
      </c>
      <c r="AD197" s="105" t="e">
        <f t="shared" si="57"/>
        <v>#VALUE!</v>
      </c>
      <c r="AE197" s="105" t="e">
        <f t="shared" si="58"/>
        <v>#DIV/0!</v>
      </c>
      <c r="AF197" s="105" t="e">
        <f t="shared" si="59"/>
        <v>#VALUE!</v>
      </c>
      <c r="AG197" s="105" t="e">
        <f t="shared" si="60"/>
        <v>#VALUE!</v>
      </c>
      <c r="AH197" s="111"/>
      <c r="AI197" s="105"/>
      <c r="AJ197" s="105"/>
      <c r="AK197" s="109"/>
      <c r="AL197" s="109"/>
      <c r="AM197" s="109"/>
      <c r="AN197" s="109"/>
      <c r="AO197" s="105"/>
      <c r="AP197" s="105"/>
      <c r="AQ197" s="109"/>
      <c r="AR197" s="110"/>
      <c r="AS197" s="110"/>
      <c r="AT197" s="110"/>
      <c r="AU197" s="110"/>
      <c r="AV197" s="110"/>
      <c r="AW197" s="112"/>
      <c r="AX197" s="112"/>
      <c r="AY197" s="110"/>
      <c r="AZ197" s="105"/>
      <c r="BA197" s="105"/>
      <c r="BB197" s="105"/>
      <c r="BC197" s="105"/>
      <c r="BD197" s="105"/>
      <c r="BE197" s="105"/>
    </row>
    <row r="198" spans="1:67" x14ac:dyDescent="0.15">
      <c r="A198" s="101">
        <v>1203</v>
      </c>
      <c r="B198" s="98" t="e">
        <f>VLOOKUP($A198,'Rate Calculation'!$A$4:$CS$210,68,FALSE)</f>
        <v>#REF!</v>
      </c>
      <c r="C198" s="98" t="str">
        <f>UPPER(VLOOKUP($A198,'Rate Calculation'!$A$4:$CL$210,69,FALSE))</f>
        <v>70715</v>
      </c>
      <c r="D198" s="104" t="str">
        <f>VLOOKUP($A198,'Rate Calculation'!$A$4:$AJ$210,5,FALSE)</f>
        <v>BALTIMORE METRO</v>
      </c>
      <c r="E198" s="104" t="str">
        <f>VLOOKUP($A198,'Rate Calculation'!$A$4:$AJ$210,6,FALSE)</f>
        <v>BALTIMORE CITY</v>
      </c>
      <c r="F198" s="105">
        <f>VLOOKUP(A198,'Rate Calculation'!$A$3:$AT$210,35,FALSE)</f>
        <v>9933</v>
      </c>
      <c r="G198" s="105">
        <f>VLOOKUP(A198,'Rate Calculation'!$A$3:$AT$210,30,FALSE)</f>
        <v>19398</v>
      </c>
      <c r="H198" s="105">
        <f>VLOOKUP(A198,'Rate Calculation'!$A$3:$AW$210,36,FALSE)+VLOOKUP(A198,'Rate Calculation'!$A$3:$CC$210,42,FALSE)</f>
        <v>600153985</v>
      </c>
      <c r="I198" s="105">
        <f t="shared" si="61"/>
        <v>-41.83</v>
      </c>
      <c r="J198" s="105" t="str">
        <f>VLOOKUP(A198,'Rate Calculation'!$A$3:$BL$210,43,FALSE)</f>
        <v>The Nursing &amp; Rehab. Center at Stadium Place</v>
      </c>
      <c r="K198" s="105">
        <f t="shared" si="62"/>
        <v>600183274.16999996</v>
      </c>
      <c r="L198" s="164">
        <f t="shared" si="54"/>
        <v>0.98772000000000004</v>
      </c>
      <c r="M198" s="105">
        <f t="shared" si="63"/>
        <v>592813023.55999994</v>
      </c>
      <c r="N198" s="105" t="e">
        <f>VLOOKUP(A198,'Rate Calculation'!$A$4:$DK$210,47,FALSE)</f>
        <v>#DIV/0!</v>
      </c>
      <c r="O198" s="106">
        <f>VLOOKUP(A198,'Rate Calculation'!$A$4:$DK$210,10,FALSE)</f>
        <v>1.0309999999999999</v>
      </c>
      <c r="P198" s="114">
        <f t="shared" si="55"/>
        <v>1.4432</v>
      </c>
      <c r="Q198" s="114">
        <f>VLOOKUP(A198,'CMI Data'!$A$3:$Z$209,7,FALSE)</f>
        <v>0</v>
      </c>
      <c r="R198" s="120" t="e">
        <f>+'CMI Data'!$I$214</f>
        <v>#DIV/0!</v>
      </c>
      <c r="S198" s="106">
        <f>IF(Q198=0,'CMI Data'!$I$213,ROUND(Q198*R198,4))</f>
        <v>1.4061999999999999</v>
      </c>
      <c r="T198" s="105">
        <f>VLOOKUP(A198,'Rate Calculation'!$A$4:$DK$210,16,FALSE)</f>
        <v>192.21</v>
      </c>
      <c r="U198" s="105">
        <f>VLOOKUP(A198,'Rate Calculation'!$A$4:$DK$210,20,FALSE)</f>
        <v>-42.93</v>
      </c>
      <c r="V198" s="113">
        <f t="shared" si="64"/>
        <v>-30.67</v>
      </c>
      <c r="W198" s="105">
        <f t="shared" si="65"/>
        <v>-41.83</v>
      </c>
      <c r="X198" s="111">
        <f t="shared" si="56"/>
        <v>0</v>
      </c>
      <c r="Y198" s="105">
        <f t="shared" si="66"/>
        <v>-41.83</v>
      </c>
      <c r="Z198" s="105">
        <f t="shared" si="67"/>
        <v>262.16000000000003</v>
      </c>
      <c r="AA198" s="105">
        <f t="shared" si="68"/>
        <v>-39.74</v>
      </c>
      <c r="AB198" s="111">
        <f t="shared" si="69"/>
        <v>-301.89999999999998</v>
      </c>
      <c r="AC198" s="105" t="e">
        <f t="shared" si="70"/>
        <v>#VALUE!</v>
      </c>
      <c r="AD198" s="105" t="e">
        <f t="shared" si="57"/>
        <v>#VALUE!</v>
      </c>
      <c r="AE198" s="105" t="e">
        <f t="shared" si="58"/>
        <v>#DIV/0!</v>
      </c>
      <c r="AF198" s="105" t="e">
        <f t="shared" si="59"/>
        <v>#VALUE!</v>
      </c>
      <c r="AG198" s="105" t="e">
        <f t="shared" si="60"/>
        <v>#VALUE!</v>
      </c>
      <c r="AH198" s="111"/>
      <c r="AI198" s="105"/>
      <c r="AJ198" s="105"/>
      <c r="AK198" s="109"/>
      <c r="AL198" s="109"/>
      <c r="AM198" s="109"/>
      <c r="AN198" s="109"/>
      <c r="AO198" s="105"/>
      <c r="AP198" s="105"/>
      <c r="AQ198" s="109"/>
      <c r="AR198" s="110"/>
      <c r="AS198" s="110"/>
      <c r="AT198" s="110"/>
      <c r="AU198" s="110"/>
      <c r="AV198" s="110"/>
      <c r="AW198" s="112"/>
      <c r="AX198" s="112"/>
      <c r="AY198" s="110"/>
      <c r="AZ198" s="105"/>
      <c r="BA198" s="105"/>
      <c r="BB198" s="105"/>
      <c r="BC198" s="105"/>
      <c r="BD198" s="105"/>
      <c r="BE198" s="105"/>
    </row>
    <row r="199" spans="1:67" x14ac:dyDescent="0.15">
      <c r="A199" s="101">
        <v>344</v>
      </c>
      <c r="B199" s="98" t="e">
        <f>VLOOKUP($A199,'Rate Calculation'!$A$4:$CS$210,68,FALSE)</f>
        <v>#REF!</v>
      </c>
      <c r="C199" s="98" t="str">
        <f>UPPER(VLOOKUP($A199,'Rate Calculation'!$A$4:$CL$210,69,FALSE))</f>
        <v>0</v>
      </c>
      <c r="D199" s="104" t="str">
        <f>VLOOKUP($A199,'Rate Calculation'!$A$4:$AJ$210,5,FALSE)</f>
        <v>WASHINGTON METRO</v>
      </c>
      <c r="E199" s="104" t="str">
        <f>VLOOKUP($A199,'Rate Calculation'!$A$4:$AJ$210,6,FALSE)</f>
        <v>WASHINGTON METRO</v>
      </c>
      <c r="F199" s="105">
        <f>VLOOKUP(A199,'Rate Calculation'!$A$3:$AT$210,35,FALSE)</f>
        <v>0</v>
      </c>
      <c r="G199" s="105">
        <f>VLOOKUP(A199,'Rate Calculation'!$A$3:$AT$210,30,FALSE)</f>
        <v>58560</v>
      </c>
      <c r="H199" s="105">
        <f>VLOOKUP(A199,'Rate Calculation'!$A$3:$AW$210,36,FALSE)+VLOOKUP(A199,'Rate Calculation'!$A$3:$CC$210,42,FALSE)</f>
        <v>155757200</v>
      </c>
      <c r="I199" s="105">
        <f t="shared" si="61"/>
        <v>0</v>
      </c>
      <c r="J199" s="105" t="str">
        <f>VLOOKUP(A199,'Rate Calculation'!$A$3:$BL$210,43,FALSE)</f>
        <v>The Village at Rockville</v>
      </c>
      <c r="K199" s="105">
        <f t="shared" si="62"/>
        <v>155815760</v>
      </c>
      <c r="L199" s="164">
        <f t="shared" si="54"/>
        <v>0.98772000000000004</v>
      </c>
      <c r="M199" s="105">
        <f t="shared" si="63"/>
        <v>153902342.47</v>
      </c>
      <c r="N199" s="105" t="e">
        <f>VLOOKUP(A199,'Rate Calculation'!$A$4:$DK$210,47,FALSE)</f>
        <v>#DIV/0!</v>
      </c>
      <c r="O199" s="106">
        <f>VLOOKUP(A199,'Rate Calculation'!$A$4:$DK$210,10,FALSE)</f>
        <v>1.0309999999999999</v>
      </c>
      <c r="P199" s="114">
        <f t="shared" si="55"/>
        <v>1.4432</v>
      </c>
      <c r="Q199" s="114">
        <f>VLOOKUP(A199,'CMI Data'!$A$3:$Z$209,7,FALSE)</f>
        <v>0</v>
      </c>
      <c r="R199" s="120" t="e">
        <f>+'CMI Data'!$I$214</f>
        <v>#DIV/0!</v>
      </c>
      <c r="S199" s="106">
        <f>IF(Q199=0,'CMI Data'!$I$213,ROUND(Q199*R199,4))</f>
        <v>1.4061999999999999</v>
      </c>
      <c r="T199" s="105">
        <f>VLOOKUP(A199,'Rate Calculation'!$A$4:$DK$210,16,FALSE)</f>
        <v>173.05</v>
      </c>
      <c r="U199" s="105">
        <f>VLOOKUP(A199,'Rate Calculation'!$A$4:$DK$210,20,FALSE)</f>
        <v>0</v>
      </c>
      <c r="V199" s="113">
        <f t="shared" si="64"/>
        <v>0</v>
      </c>
      <c r="W199" s="105">
        <f t="shared" si="65"/>
        <v>0</v>
      </c>
      <c r="X199" s="111">
        <f t="shared" si="56"/>
        <v>0</v>
      </c>
      <c r="Y199" s="105">
        <f t="shared" si="66"/>
        <v>0</v>
      </c>
      <c r="Z199" s="105">
        <f t="shared" si="67"/>
        <v>236.03</v>
      </c>
      <c r="AA199" s="105">
        <f t="shared" si="68"/>
        <v>0</v>
      </c>
      <c r="AB199" s="111">
        <f t="shared" si="69"/>
        <v>-236.03</v>
      </c>
      <c r="AC199" s="105" t="e">
        <f t="shared" si="70"/>
        <v>#VALUE!</v>
      </c>
      <c r="AD199" s="105" t="e">
        <f t="shared" si="57"/>
        <v>#VALUE!</v>
      </c>
      <c r="AE199" s="105" t="e">
        <f t="shared" si="58"/>
        <v>#DIV/0!</v>
      </c>
      <c r="AF199" s="105" t="e">
        <f t="shared" si="59"/>
        <v>#VALUE!</v>
      </c>
      <c r="AG199" s="105" t="e">
        <f t="shared" si="60"/>
        <v>#VALUE!</v>
      </c>
      <c r="AH199" s="111"/>
      <c r="AI199" s="105"/>
      <c r="AJ199" s="105"/>
      <c r="AK199" s="109"/>
      <c r="AL199" s="109"/>
      <c r="AM199" s="109"/>
      <c r="AN199" s="109"/>
      <c r="AO199" s="105"/>
      <c r="AP199" s="105"/>
      <c r="AQ199" s="109"/>
      <c r="AR199" s="110"/>
      <c r="AS199" s="110"/>
      <c r="AT199" s="110"/>
      <c r="AU199" s="110"/>
      <c r="AV199" s="110"/>
      <c r="AW199" s="112"/>
      <c r="AX199" s="112"/>
      <c r="AY199" s="110"/>
      <c r="AZ199" s="105"/>
      <c r="BA199" s="105"/>
      <c r="BB199" s="105"/>
      <c r="BC199" s="105"/>
      <c r="BD199" s="105"/>
      <c r="BE199" s="105"/>
    </row>
    <row r="200" spans="1:67" x14ac:dyDescent="0.15">
      <c r="A200" s="101">
        <v>703</v>
      </c>
      <c r="B200" s="98" t="e">
        <f>VLOOKUP($A200,'Rate Calculation'!$A$4:$CS$210,68,FALSE)</f>
        <v>#REF!</v>
      </c>
      <c r="C200" s="98" t="str">
        <f>UPPER(VLOOKUP($A200,'Rate Calculation'!$A$4:$CL$210,69,FALSE))</f>
        <v>43485</v>
      </c>
      <c r="D200" s="104" t="str">
        <f>VLOOKUP($A200,'Rate Calculation'!$A$4:$AJ$210,5,FALSE)</f>
        <v>WASHINGTON METRO</v>
      </c>
      <c r="E200" s="104" t="str">
        <f>VLOOKUP($A200,'Rate Calculation'!$A$4:$AJ$210,6,FALSE)</f>
        <v>WASHINGTON METRO</v>
      </c>
      <c r="F200" s="105">
        <f>VLOOKUP(A200,'Rate Calculation'!$A$3:$AT$210,35,FALSE)</f>
        <v>0</v>
      </c>
      <c r="G200" s="105">
        <f>VLOOKUP(A200,'Rate Calculation'!$A$3:$AT$210,30,FALSE)</f>
        <v>14274</v>
      </c>
      <c r="H200" s="105">
        <f>VLOOKUP(A200,'Rate Calculation'!$A$3:$AW$210,36,FALSE)+VLOOKUP(A200,'Rate Calculation'!$A$3:$CC$210,42,FALSE)</f>
        <v>882695100</v>
      </c>
      <c r="I200" s="105">
        <f t="shared" si="61"/>
        <v>0</v>
      </c>
      <c r="J200" s="105" t="str">
        <f>VLOOKUP(A200,'Rate Calculation'!$A$3:$BL$210,43,FALSE)</f>
        <v>Tuckerman Rehabilitation and Healthcare Center</v>
      </c>
      <c r="K200" s="105">
        <f t="shared" si="62"/>
        <v>882709374</v>
      </c>
      <c r="L200" s="164">
        <f t="shared" si="54"/>
        <v>0.98772000000000004</v>
      </c>
      <c r="M200" s="105">
        <f t="shared" si="63"/>
        <v>871869702.88999999</v>
      </c>
      <c r="N200" s="105" t="e">
        <f>VLOOKUP(A200,'Rate Calculation'!$A$4:$DK$210,47,FALSE)</f>
        <v>#DIV/0!</v>
      </c>
      <c r="O200" s="106">
        <f>VLOOKUP(A200,'Rate Calculation'!$A$4:$DK$210,10,FALSE)</f>
        <v>1.0309999999999999</v>
      </c>
      <c r="P200" s="114">
        <f t="shared" si="55"/>
        <v>1.4432</v>
      </c>
      <c r="Q200" s="114">
        <f>VLOOKUP(A200,'CMI Data'!$A$3:$Z$209,7,FALSE)</f>
        <v>0</v>
      </c>
      <c r="R200" s="120" t="e">
        <f>+'CMI Data'!$I$214</f>
        <v>#DIV/0!</v>
      </c>
      <c r="S200" s="106">
        <f>IF(Q200=0,'CMI Data'!$I$213,ROUND(Q200*R200,4))</f>
        <v>1.4061999999999999</v>
      </c>
      <c r="T200" s="105">
        <f>VLOOKUP(A200,'Rate Calculation'!$A$4:$DK$210,16,FALSE)</f>
        <v>179.52</v>
      </c>
      <c r="U200" s="105">
        <f>VLOOKUP(A200,'Rate Calculation'!$A$4:$DK$210,20,FALSE)</f>
        <v>0</v>
      </c>
      <c r="V200" s="113">
        <f t="shared" si="64"/>
        <v>0</v>
      </c>
      <c r="W200" s="105">
        <f t="shared" si="65"/>
        <v>0</v>
      </c>
      <c r="X200" s="111">
        <f t="shared" si="56"/>
        <v>0</v>
      </c>
      <c r="Y200" s="105">
        <f t="shared" si="66"/>
        <v>0</v>
      </c>
      <c r="Z200" s="105">
        <f t="shared" si="67"/>
        <v>244.85</v>
      </c>
      <c r="AA200" s="105">
        <f t="shared" si="68"/>
        <v>0</v>
      </c>
      <c r="AB200" s="111">
        <f t="shared" si="69"/>
        <v>-244.85</v>
      </c>
      <c r="AC200" s="105" t="e">
        <f t="shared" si="70"/>
        <v>#VALUE!</v>
      </c>
      <c r="AD200" s="105" t="e">
        <f t="shared" si="57"/>
        <v>#VALUE!</v>
      </c>
      <c r="AE200" s="105" t="e">
        <f t="shared" si="58"/>
        <v>#DIV/0!</v>
      </c>
      <c r="AF200" s="105" t="e">
        <f t="shared" si="59"/>
        <v>#VALUE!</v>
      </c>
      <c r="AG200" s="105" t="e">
        <f t="shared" si="60"/>
        <v>#VALUE!</v>
      </c>
      <c r="AH200" s="111"/>
      <c r="AI200" s="105"/>
      <c r="AJ200" s="105"/>
      <c r="AK200" s="109"/>
      <c r="AL200" s="109"/>
      <c r="AM200" s="109"/>
      <c r="AN200" s="109"/>
      <c r="AO200" s="105"/>
      <c r="AP200" s="105"/>
      <c r="AQ200" s="109"/>
      <c r="AR200" s="110"/>
      <c r="AS200" s="110"/>
      <c r="AT200" s="110"/>
      <c r="AU200" s="110"/>
      <c r="AV200" s="110"/>
      <c r="AW200" s="112"/>
      <c r="AX200" s="112"/>
      <c r="AY200" s="110"/>
      <c r="AZ200" s="105"/>
      <c r="BA200" s="105"/>
      <c r="BB200" s="105"/>
      <c r="BC200" s="105"/>
      <c r="BD200" s="105"/>
      <c r="BE200" s="105"/>
    </row>
    <row r="201" spans="1:67" x14ac:dyDescent="0.15">
      <c r="A201" s="101">
        <v>444</v>
      </c>
      <c r="B201" s="98" t="e">
        <f>VLOOKUP($A201,'Rate Calculation'!$A$4:$CS$210,68,FALSE)</f>
        <v>#REF!</v>
      </c>
      <c r="C201" s="98" t="str">
        <f>UPPER(VLOOKUP($A201,'Rate Calculation'!$A$4:$CL$210,69,FALSE))</f>
        <v>654</v>
      </c>
      <c r="D201" s="104" t="str">
        <f>VLOOKUP($A201,'Rate Calculation'!$A$4:$AJ$210,5,FALSE)</f>
        <v>WASHINGTON METRO</v>
      </c>
      <c r="E201" s="104" t="str">
        <f>VLOOKUP($A201,'Rate Calculation'!$A$4:$AJ$210,6,FALSE)</f>
        <v>WASHINGTON METRO</v>
      </c>
      <c r="F201" s="105">
        <f>VLOOKUP(A201,'Rate Calculation'!$A$3:$AT$210,35,FALSE)</f>
        <v>24443</v>
      </c>
      <c r="G201" s="105">
        <f>VLOOKUP(A201,'Rate Calculation'!$A$3:$AT$210,30,FALSE)</f>
        <v>39162</v>
      </c>
      <c r="H201" s="105">
        <f>VLOOKUP(A201,'Rate Calculation'!$A$3:$AW$210,36,FALSE)+VLOOKUP(A201,'Rate Calculation'!$A$3:$CC$210,42,FALSE)</f>
        <v>300187969</v>
      </c>
      <c r="I201" s="105">
        <f t="shared" si="61"/>
        <v>-5.03</v>
      </c>
      <c r="J201" s="105" t="str">
        <f>VLOOKUP(A201,'Rate Calculation'!$A$3:$BL$210,43,FALSE)</f>
        <v>Villa Rosa Nursing and Rehabilitation</v>
      </c>
      <c r="K201" s="105">
        <f t="shared" si="62"/>
        <v>300251568.97000003</v>
      </c>
      <c r="L201" s="164">
        <f t="shared" si="54"/>
        <v>0.98772000000000004</v>
      </c>
      <c r="M201" s="105">
        <f t="shared" si="63"/>
        <v>296564479.69999999</v>
      </c>
      <c r="N201" s="105" t="e">
        <f>VLOOKUP(A201,'Rate Calculation'!$A$4:$DK$210,47,FALSE)</f>
        <v>#DIV/0!</v>
      </c>
      <c r="O201" s="106">
        <f>VLOOKUP(A201,'Rate Calculation'!$A$4:$DK$210,10,FALSE)</f>
        <v>1.0309999999999999</v>
      </c>
      <c r="P201" s="114">
        <f t="shared" si="55"/>
        <v>1.4432</v>
      </c>
      <c r="Q201" s="114">
        <f>VLOOKUP(A201,'CMI Data'!$A$3:$Z$209,7,FALSE)</f>
        <v>0</v>
      </c>
      <c r="R201" s="120" t="e">
        <f>+'CMI Data'!$I$214</f>
        <v>#DIV/0!</v>
      </c>
      <c r="S201" s="106">
        <f>IF(Q201=0,'CMI Data'!$I$213,ROUND(Q201*R201,4))</f>
        <v>1.4061999999999999</v>
      </c>
      <c r="T201" s="105">
        <f>VLOOKUP(A201,'Rate Calculation'!$A$4:$DK$210,16,FALSE)</f>
        <v>172.79</v>
      </c>
      <c r="U201" s="105">
        <f>VLOOKUP(A201,'Rate Calculation'!$A$4:$DK$210,20,FALSE)</f>
        <v>-5.17</v>
      </c>
      <c r="V201" s="113">
        <f t="shared" si="64"/>
        <v>-3.69</v>
      </c>
      <c r="W201" s="105">
        <f t="shared" si="65"/>
        <v>-5.03</v>
      </c>
      <c r="X201" s="111">
        <f t="shared" si="56"/>
        <v>0</v>
      </c>
      <c r="Y201" s="105">
        <f t="shared" si="66"/>
        <v>-5.03</v>
      </c>
      <c r="Z201" s="105">
        <f t="shared" si="67"/>
        <v>235.67</v>
      </c>
      <c r="AA201" s="105">
        <f t="shared" si="68"/>
        <v>-4.78</v>
      </c>
      <c r="AB201" s="111">
        <f t="shared" si="69"/>
        <v>-240.45</v>
      </c>
      <c r="AC201" s="105" t="e">
        <f t="shared" si="70"/>
        <v>#VALUE!</v>
      </c>
      <c r="AD201" s="105" t="e">
        <f t="shared" si="57"/>
        <v>#VALUE!</v>
      </c>
      <c r="AE201" s="105" t="e">
        <f t="shared" si="58"/>
        <v>#DIV/0!</v>
      </c>
      <c r="AF201" s="105" t="e">
        <f t="shared" si="59"/>
        <v>#VALUE!</v>
      </c>
      <c r="AG201" s="105" t="e">
        <f t="shared" si="60"/>
        <v>#VALUE!</v>
      </c>
      <c r="AH201" s="111"/>
      <c r="AI201" s="105"/>
      <c r="AJ201" s="105"/>
      <c r="AK201" s="109"/>
      <c r="AL201" s="109"/>
      <c r="AM201" s="109"/>
      <c r="AN201" s="109"/>
      <c r="AO201" s="105"/>
      <c r="AP201" s="105"/>
      <c r="AQ201" s="109"/>
      <c r="AR201" s="110"/>
      <c r="AS201" s="110"/>
      <c r="AT201" s="110"/>
      <c r="AU201" s="110"/>
      <c r="AV201" s="110"/>
      <c r="AW201" s="112"/>
      <c r="AX201" s="112"/>
      <c r="AY201" s="110"/>
      <c r="AZ201" s="105"/>
      <c r="BA201" s="105"/>
      <c r="BB201" s="105"/>
      <c r="BC201" s="105"/>
      <c r="BD201" s="105"/>
      <c r="BE201" s="105"/>
    </row>
    <row r="202" spans="1:67" x14ac:dyDescent="0.15">
      <c r="A202" s="101">
        <v>448</v>
      </c>
      <c r="B202" s="98" t="e">
        <f>VLOOKUP($A202,'Rate Calculation'!$A$4:$CS$210,68,FALSE)</f>
        <v>#REF!</v>
      </c>
      <c r="C202" s="98" t="str">
        <f>UPPER(VLOOKUP($A202,'Rate Calculation'!$A$4:$CL$210,69,FALSE))</f>
        <v>169340</v>
      </c>
      <c r="D202" s="104" t="str">
        <f>VLOOKUP($A202,'Rate Calculation'!$A$4:$AJ$210,5,FALSE)</f>
        <v>WASHINGTON METRO</v>
      </c>
      <c r="E202" s="104" t="str">
        <f>VLOOKUP($A202,'Rate Calculation'!$A$4:$AJ$210,6,FALSE)</f>
        <v>WASHINGTON METRO</v>
      </c>
      <c r="F202" s="105">
        <f>VLOOKUP(A202,'Rate Calculation'!$A$3:$AT$210,35,FALSE)</f>
        <v>28779</v>
      </c>
      <c r="G202" s="105">
        <f>VLOOKUP(A202,'Rate Calculation'!$A$3:$AT$210,30,FALSE)</f>
        <v>42090</v>
      </c>
      <c r="H202" s="105">
        <f>VLOOKUP(A202,'Rate Calculation'!$A$3:$AW$210,36,FALSE)+VLOOKUP(A202,'Rate Calculation'!$A$3:$CC$210,42,FALSE)</f>
        <v>414016386</v>
      </c>
      <c r="I202" s="105">
        <f t="shared" si="61"/>
        <v>-3.14</v>
      </c>
      <c r="J202" s="105" t="str">
        <f>VLOOKUP(A202,'Rate Calculation'!$A$3:$BL$210,43,FALSE)</f>
        <v>Waldorf Center</v>
      </c>
      <c r="K202" s="105">
        <f t="shared" si="62"/>
        <v>414087251.86000001</v>
      </c>
      <c r="L202" s="164">
        <f t="shared" si="54"/>
        <v>0.98772000000000004</v>
      </c>
      <c r="M202" s="105">
        <f t="shared" si="63"/>
        <v>409002260.41000003</v>
      </c>
      <c r="N202" s="105" t="e">
        <f>VLOOKUP(A202,'Rate Calculation'!$A$4:$DK$210,47,FALSE)</f>
        <v>#DIV/0!</v>
      </c>
      <c r="O202" s="106">
        <f>VLOOKUP(A202,'Rate Calculation'!$A$4:$DK$210,10,FALSE)</f>
        <v>1.0309999999999999</v>
      </c>
      <c r="P202" s="114">
        <f t="shared" si="55"/>
        <v>1.4432</v>
      </c>
      <c r="Q202" s="114">
        <f>VLOOKUP(A202,'CMI Data'!$A$3:$Z$209,7,FALSE)</f>
        <v>0</v>
      </c>
      <c r="R202" s="120" t="e">
        <f>+'CMI Data'!$I$214</f>
        <v>#DIV/0!</v>
      </c>
      <c r="S202" s="106">
        <f>IF(Q202=0,'CMI Data'!$I$213,ROUND(Q202*R202,4))</f>
        <v>1.4061999999999999</v>
      </c>
      <c r="T202" s="105">
        <f>VLOOKUP(A202,'Rate Calculation'!$A$4:$DK$210,16,FALSE)</f>
        <v>161.94</v>
      </c>
      <c r="U202" s="105">
        <f>VLOOKUP(A202,'Rate Calculation'!$A$4:$DK$210,20,FALSE)</f>
        <v>-3.22</v>
      </c>
      <c r="V202" s="113">
        <f t="shared" si="64"/>
        <v>-2.2999999999999998</v>
      </c>
      <c r="W202" s="105">
        <f t="shared" si="65"/>
        <v>-3.14</v>
      </c>
      <c r="X202" s="111">
        <f t="shared" si="56"/>
        <v>0</v>
      </c>
      <c r="Y202" s="105">
        <f t="shared" si="66"/>
        <v>-3.14</v>
      </c>
      <c r="Z202" s="105">
        <f t="shared" si="67"/>
        <v>220.87</v>
      </c>
      <c r="AA202" s="105">
        <f t="shared" si="68"/>
        <v>-2.98</v>
      </c>
      <c r="AB202" s="111">
        <f t="shared" si="69"/>
        <v>-223.85</v>
      </c>
      <c r="AC202" s="105" t="e">
        <f t="shared" si="70"/>
        <v>#VALUE!</v>
      </c>
      <c r="AD202" s="105" t="e">
        <f t="shared" si="57"/>
        <v>#VALUE!</v>
      </c>
      <c r="AE202" s="105" t="e">
        <f t="shared" si="58"/>
        <v>#DIV/0!</v>
      </c>
      <c r="AF202" s="105" t="e">
        <f t="shared" si="59"/>
        <v>#VALUE!</v>
      </c>
      <c r="AG202" s="105" t="e">
        <f t="shared" si="60"/>
        <v>#VALUE!</v>
      </c>
      <c r="AH202" s="111"/>
      <c r="AI202" s="105"/>
      <c r="AJ202" s="105"/>
      <c r="AK202" s="109"/>
      <c r="AL202" s="109"/>
      <c r="AM202" s="109"/>
      <c r="AN202" s="109"/>
      <c r="AO202" s="105"/>
      <c r="AP202" s="105"/>
      <c r="AQ202" s="109"/>
      <c r="AR202" s="110"/>
      <c r="AS202" s="110"/>
      <c r="AT202" s="110"/>
      <c r="AU202" s="110"/>
      <c r="AV202" s="110"/>
      <c r="AW202" s="112"/>
      <c r="AX202" s="112"/>
      <c r="AY202" s="110"/>
      <c r="AZ202" s="105"/>
      <c r="BA202" s="105"/>
      <c r="BB202" s="105"/>
      <c r="BC202" s="105"/>
      <c r="BD202" s="105"/>
      <c r="BE202" s="105"/>
    </row>
    <row r="203" spans="1:67" x14ac:dyDescent="0.15">
      <c r="A203" s="101">
        <v>386</v>
      </c>
      <c r="B203" s="98" t="e">
        <f>VLOOKUP($A203,'Rate Calculation'!$A$4:$CS$210,68,FALSE)</f>
        <v>#REF!</v>
      </c>
      <c r="C203" s="98" t="str">
        <f>UPPER(VLOOKUP($A203,'Rate Calculation'!$A$4:$CL$210,69,FALSE))</f>
        <v>156821</v>
      </c>
      <c r="D203" s="104" t="str">
        <f>VLOOKUP($A203,'Rate Calculation'!$A$4:$AJ$210,5,FALSE)</f>
        <v>BALTIMORE METRO</v>
      </c>
      <c r="E203" s="104" t="str">
        <f>VLOOKUP($A203,'Rate Calculation'!$A$4:$AJ$210,6,FALSE)</f>
        <v>BALTIMORE CITY</v>
      </c>
      <c r="F203" s="105">
        <f>VLOOKUP(A203,'Rate Calculation'!$A$3:$AT$210,35,FALSE)</f>
        <v>35221</v>
      </c>
      <c r="G203" s="105">
        <f>VLOOKUP(A203,'Rate Calculation'!$A$3:$AT$210,30,FALSE)</f>
        <v>43920</v>
      </c>
      <c r="H203" s="105">
        <f>VLOOKUP(A203,'Rate Calculation'!$A$3:$AW$210,36,FALSE)+VLOOKUP(A203,'Rate Calculation'!$A$3:$CC$210,42,FALSE)</f>
        <v>423325992</v>
      </c>
      <c r="I203" s="105">
        <f t="shared" si="61"/>
        <v>-39.65</v>
      </c>
      <c r="J203" s="105" t="str">
        <f>VLOOKUP(A203,'Rate Calculation'!$A$3:$BL$210,43,FALSE)</f>
        <v>Westgate Hills Rehabilitation &amp; Healthcare Center</v>
      </c>
      <c r="K203" s="105">
        <f t="shared" si="62"/>
        <v>423405093.35000002</v>
      </c>
      <c r="L203" s="164">
        <f t="shared" si="54"/>
        <v>0.98772000000000004</v>
      </c>
      <c r="M203" s="105">
        <f t="shared" si="63"/>
        <v>418205678.80000001</v>
      </c>
      <c r="N203" s="105" t="e">
        <f>VLOOKUP(A203,'Rate Calculation'!$A$4:$DK$210,47,FALSE)</f>
        <v>#DIV/0!</v>
      </c>
      <c r="O203" s="106">
        <f>VLOOKUP(A203,'Rate Calculation'!$A$4:$DK$210,10,FALSE)</f>
        <v>1.0309999999999999</v>
      </c>
      <c r="P203" s="114">
        <f t="shared" si="55"/>
        <v>1.4432</v>
      </c>
      <c r="Q203" s="114">
        <f>VLOOKUP(A203,'CMI Data'!$A$3:$Z$209,7,FALSE)</f>
        <v>0</v>
      </c>
      <c r="R203" s="120" t="e">
        <f>+'CMI Data'!$I$214</f>
        <v>#DIV/0!</v>
      </c>
      <c r="S203" s="106">
        <f>IF(Q203=0,'CMI Data'!$I$213,ROUND(Q203*R203,4))</f>
        <v>1.4061999999999999</v>
      </c>
      <c r="T203" s="105">
        <f>VLOOKUP(A203,'Rate Calculation'!$A$4:$DK$210,16,FALSE)</f>
        <v>203.21</v>
      </c>
      <c r="U203" s="105">
        <f>VLOOKUP(A203,'Rate Calculation'!$A$4:$DK$210,20,FALSE)</f>
        <v>-40.69</v>
      </c>
      <c r="V203" s="113">
        <f t="shared" si="64"/>
        <v>-29.07</v>
      </c>
      <c r="W203" s="105">
        <f t="shared" si="65"/>
        <v>-39.65</v>
      </c>
      <c r="X203" s="111">
        <f t="shared" si="56"/>
        <v>0</v>
      </c>
      <c r="Y203" s="105">
        <f t="shared" si="66"/>
        <v>-39.65</v>
      </c>
      <c r="Z203" s="105">
        <f t="shared" si="67"/>
        <v>277.16000000000003</v>
      </c>
      <c r="AA203" s="105">
        <f t="shared" si="68"/>
        <v>-37.67</v>
      </c>
      <c r="AB203" s="111">
        <f t="shared" si="69"/>
        <v>-314.83</v>
      </c>
      <c r="AC203" s="105" t="e">
        <f t="shared" si="70"/>
        <v>#VALUE!</v>
      </c>
      <c r="AD203" s="105" t="e">
        <f t="shared" si="57"/>
        <v>#VALUE!</v>
      </c>
      <c r="AE203" s="105" t="e">
        <f t="shared" si="58"/>
        <v>#DIV/0!</v>
      </c>
      <c r="AF203" s="105" t="e">
        <f t="shared" si="59"/>
        <v>#VALUE!</v>
      </c>
      <c r="AG203" s="105" t="e">
        <f t="shared" si="60"/>
        <v>#VALUE!</v>
      </c>
      <c r="AH203" s="111"/>
      <c r="AI203" s="105"/>
      <c r="AJ203" s="105"/>
      <c r="AK203" s="109"/>
      <c r="AL203" s="109"/>
      <c r="AM203" s="109"/>
      <c r="AN203" s="109"/>
      <c r="AO203" s="105"/>
      <c r="AP203" s="105"/>
      <c r="AQ203" s="109"/>
      <c r="AR203" s="110"/>
      <c r="AS203" s="110"/>
      <c r="AT203" s="110"/>
      <c r="AU203" s="110"/>
      <c r="AV203" s="110"/>
      <c r="AW203" s="112"/>
      <c r="AX203" s="112"/>
      <c r="AY203" s="110"/>
      <c r="AZ203" s="105"/>
      <c r="BA203" s="105"/>
      <c r="BB203" s="105"/>
      <c r="BC203" s="105"/>
      <c r="BD203" s="105"/>
      <c r="BE203" s="105"/>
    </row>
    <row r="204" spans="1:67" x14ac:dyDescent="0.15">
      <c r="A204" s="101">
        <v>452</v>
      </c>
      <c r="B204" s="98" t="e">
        <f>VLOOKUP($A204,'Rate Calculation'!$A$4:$CS$210,68,FALSE)</f>
        <v>#REF!</v>
      </c>
      <c r="C204" s="98" t="str">
        <f>UPPER(VLOOKUP($A204,'Rate Calculation'!$A$4:$CL$210,69,FALSE))</f>
        <v>104780</v>
      </c>
      <c r="D204" s="104" t="str">
        <f>VLOOKUP($A204,'Rate Calculation'!$A$4:$AJ$210,5,FALSE)</f>
        <v>BALTIMORE METRO</v>
      </c>
      <c r="E204" s="104" t="str">
        <f>VLOOKUP($A204,'Rate Calculation'!$A$4:$AJ$210,6,FALSE)</f>
        <v>BALTIMORE METRO</v>
      </c>
      <c r="F204" s="105">
        <f>VLOOKUP(A204,'Rate Calculation'!$A$3:$AT$210,35,FALSE)</f>
        <v>36102</v>
      </c>
      <c r="G204" s="105">
        <f>VLOOKUP(A204,'Rate Calculation'!$A$3:$AT$210,30,FALSE)</f>
        <v>57828</v>
      </c>
      <c r="H204" s="105">
        <f>VLOOKUP(A204,'Rate Calculation'!$A$3:$AW$210,36,FALSE)+VLOOKUP(A204,'Rate Calculation'!$A$3:$CC$210,42,FALSE)</f>
        <v>500261659</v>
      </c>
      <c r="I204" s="105">
        <f t="shared" si="61"/>
        <v>0</v>
      </c>
      <c r="J204" s="105" t="str">
        <f>VLOOKUP(A204,'Rate Calculation'!$A$3:$BL$210,43,FALSE)</f>
        <v>Westminster Healthcare Center</v>
      </c>
      <c r="K204" s="105">
        <f t="shared" si="62"/>
        <v>500355589</v>
      </c>
      <c r="L204" s="164">
        <f t="shared" si="54"/>
        <v>0.98772000000000004</v>
      </c>
      <c r="M204" s="105">
        <f t="shared" si="63"/>
        <v>494211222.37</v>
      </c>
      <c r="N204" s="105" t="e">
        <f>VLOOKUP(A204,'Rate Calculation'!$A$4:$DK$210,47,FALSE)</f>
        <v>#DIV/0!</v>
      </c>
      <c r="O204" s="106">
        <f>VLOOKUP(A204,'Rate Calculation'!$A$4:$DK$210,10,FALSE)</f>
        <v>1.0309999999999999</v>
      </c>
      <c r="P204" s="114">
        <f t="shared" si="55"/>
        <v>1.4432</v>
      </c>
      <c r="Q204" s="114">
        <f>VLOOKUP(A204,'CMI Data'!$A$3:$Z$209,7,FALSE)</f>
        <v>0</v>
      </c>
      <c r="R204" s="120" t="e">
        <f>+'CMI Data'!$I$214</f>
        <v>#DIV/0!</v>
      </c>
      <c r="S204" s="106">
        <f>IF(Q204=0,'CMI Data'!$I$213,ROUND(Q204*R204,4))</f>
        <v>1.4061999999999999</v>
      </c>
      <c r="T204" s="105">
        <f>VLOOKUP(A204,'Rate Calculation'!$A$4:$DK$210,16,FALSE)</f>
        <v>181.21</v>
      </c>
      <c r="U204" s="105">
        <f>VLOOKUP(A204,'Rate Calculation'!$A$4:$DK$210,20,FALSE)</f>
        <v>0</v>
      </c>
      <c r="V204" s="113">
        <f t="shared" si="64"/>
        <v>0</v>
      </c>
      <c r="W204" s="105">
        <f t="shared" si="65"/>
        <v>0</v>
      </c>
      <c r="X204" s="111">
        <f t="shared" si="56"/>
        <v>0</v>
      </c>
      <c r="Y204" s="105">
        <f t="shared" si="66"/>
        <v>0</v>
      </c>
      <c r="Z204" s="105">
        <f t="shared" si="67"/>
        <v>247.16</v>
      </c>
      <c r="AA204" s="105">
        <f t="shared" si="68"/>
        <v>0</v>
      </c>
      <c r="AB204" s="111">
        <f t="shared" si="69"/>
        <v>-247.16</v>
      </c>
      <c r="AC204" s="105" t="e">
        <f t="shared" si="70"/>
        <v>#VALUE!</v>
      </c>
      <c r="AD204" s="105" t="e">
        <f t="shared" si="57"/>
        <v>#VALUE!</v>
      </c>
      <c r="AE204" s="105" t="e">
        <f t="shared" si="58"/>
        <v>#DIV/0!</v>
      </c>
      <c r="AF204" s="105" t="e">
        <f t="shared" si="59"/>
        <v>#VALUE!</v>
      </c>
      <c r="AG204" s="105" t="e">
        <f t="shared" si="60"/>
        <v>#VALUE!</v>
      </c>
      <c r="AH204" s="111"/>
      <c r="AI204" s="105"/>
      <c r="AJ204" s="105"/>
      <c r="AK204" s="109"/>
      <c r="AL204" s="109"/>
      <c r="AM204" s="109"/>
      <c r="AN204" s="109"/>
      <c r="AO204" s="105"/>
      <c r="AP204" s="105"/>
      <c r="AQ204" s="109"/>
      <c r="AR204" s="110"/>
      <c r="AS204" s="110"/>
      <c r="AT204" s="110"/>
      <c r="AU204" s="110"/>
      <c r="AV204" s="110"/>
      <c r="AW204" s="112"/>
      <c r="AX204" s="112"/>
      <c r="AY204" s="110"/>
      <c r="AZ204" s="105"/>
      <c r="BA204" s="105"/>
      <c r="BB204" s="105"/>
      <c r="BC204" s="105"/>
      <c r="BD204" s="105"/>
      <c r="BE204" s="105"/>
    </row>
    <row r="205" spans="1:67" x14ac:dyDescent="0.15">
      <c r="A205" s="101">
        <v>454</v>
      </c>
      <c r="B205" s="98" t="e">
        <f>VLOOKUP($A205,'Rate Calculation'!$A$4:$CS$210,68,FALSE)</f>
        <v>#REF!</v>
      </c>
      <c r="C205" s="98" t="str">
        <f>UPPER(VLOOKUP($A205,'Rate Calculation'!$A$4:$CL$210,69,FALSE))</f>
        <v>0</v>
      </c>
      <c r="D205" s="104" t="str">
        <f>VLOOKUP($A205,'Rate Calculation'!$A$4:$AJ$210,5,FALSE)</f>
        <v>EASTERN REGION</v>
      </c>
      <c r="E205" s="104" t="str">
        <f>VLOOKUP($A205,'Rate Calculation'!$A$4:$AJ$210,6,FALSE)</f>
        <v>NON METRO</v>
      </c>
      <c r="F205" s="105">
        <f>VLOOKUP(A205,'Rate Calculation'!$A$3:$AT$210,35,FALSE)</f>
        <v>20227</v>
      </c>
      <c r="G205" s="105">
        <f>VLOOKUP(A205,'Rate Calculation'!$A$3:$AT$210,30,FALSE)</f>
        <v>37332</v>
      </c>
      <c r="H205" s="105">
        <f>VLOOKUP(A205,'Rate Calculation'!$A$3:$AW$210,36,FALSE)+VLOOKUP(A205,'Rate Calculation'!$A$3:$CC$210,42,FALSE)</f>
        <v>228710961</v>
      </c>
      <c r="I205" s="105">
        <f t="shared" si="61"/>
        <v>0</v>
      </c>
      <c r="J205" s="105" t="str">
        <f>VLOOKUP(A205,'Rate Calculation'!$A$3:$BL$210,43,FALSE)</f>
        <v>Wicomico Nursing Home</v>
      </c>
      <c r="K205" s="105">
        <f t="shared" si="62"/>
        <v>228768520</v>
      </c>
      <c r="L205" s="164">
        <f t="shared" si="54"/>
        <v>0.98772000000000004</v>
      </c>
      <c r="M205" s="105">
        <f t="shared" si="63"/>
        <v>225959242.56999999</v>
      </c>
      <c r="N205" s="105" t="e">
        <f>VLOOKUP(A205,'Rate Calculation'!$A$4:$DK$210,47,FALSE)</f>
        <v>#DIV/0!</v>
      </c>
      <c r="O205" s="106">
        <f>VLOOKUP(A205,'Rate Calculation'!$A$4:$DK$210,10,FALSE)</f>
        <v>1.0309999999999999</v>
      </c>
      <c r="P205" s="114">
        <f t="shared" si="55"/>
        <v>1.4432</v>
      </c>
      <c r="Q205" s="114">
        <f>VLOOKUP(A205,'CMI Data'!$A$3:$Z$209,7,FALSE)</f>
        <v>0</v>
      </c>
      <c r="R205" s="120" t="e">
        <f>+'CMI Data'!$I$214</f>
        <v>#DIV/0!</v>
      </c>
      <c r="S205" s="106">
        <f>IF(Q205=0,'CMI Data'!$I$213,ROUND(Q205*R205,4))</f>
        <v>1.4061999999999999</v>
      </c>
      <c r="T205" s="105">
        <f>VLOOKUP(A205,'Rate Calculation'!$A$4:$DK$210,16,FALSE)</f>
        <v>173.01</v>
      </c>
      <c r="U205" s="105">
        <f>VLOOKUP(A205,'Rate Calculation'!$A$4:$DK$210,20,FALSE)</f>
        <v>0</v>
      </c>
      <c r="V205" s="113">
        <f t="shared" si="64"/>
        <v>0</v>
      </c>
      <c r="W205" s="105">
        <f t="shared" si="65"/>
        <v>0</v>
      </c>
      <c r="X205" s="111">
        <f t="shared" si="56"/>
        <v>0</v>
      </c>
      <c r="Y205" s="105">
        <f t="shared" si="66"/>
        <v>0</v>
      </c>
      <c r="Z205" s="105">
        <f t="shared" si="67"/>
        <v>235.97</v>
      </c>
      <c r="AA205" s="105">
        <f t="shared" si="68"/>
        <v>0</v>
      </c>
      <c r="AB205" s="111">
        <f t="shared" si="69"/>
        <v>-235.97</v>
      </c>
      <c r="AC205" s="105" t="e">
        <f t="shared" si="70"/>
        <v>#VALUE!</v>
      </c>
      <c r="AD205" s="105" t="e">
        <f t="shared" si="57"/>
        <v>#VALUE!</v>
      </c>
      <c r="AE205" s="105" t="e">
        <f t="shared" si="58"/>
        <v>#DIV/0!</v>
      </c>
      <c r="AF205" s="105" t="e">
        <f t="shared" si="59"/>
        <v>#VALUE!</v>
      </c>
      <c r="AG205" s="105" t="e">
        <f t="shared" si="60"/>
        <v>#VALUE!</v>
      </c>
      <c r="AH205" s="111"/>
      <c r="AI205" s="105"/>
      <c r="AJ205" s="105"/>
      <c r="AK205" s="109"/>
      <c r="AL205" s="109"/>
      <c r="AM205" s="109"/>
      <c r="AN205" s="109"/>
      <c r="AO205" s="105"/>
      <c r="AP205" s="105"/>
      <c r="AQ205" s="109"/>
      <c r="AR205" s="110"/>
      <c r="AS205" s="110"/>
      <c r="AT205" s="110"/>
      <c r="AU205" s="110"/>
      <c r="AV205" s="110"/>
      <c r="AW205" s="112"/>
      <c r="AX205" s="112"/>
      <c r="AY205" s="110"/>
      <c r="AZ205" s="105"/>
      <c r="BA205" s="105"/>
      <c r="BB205" s="105"/>
      <c r="BC205" s="105"/>
      <c r="BD205" s="105"/>
      <c r="BE205" s="105"/>
    </row>
    <row r="206" spans="1:67" x14ac:dyDescent="0.15">
      <c r="A206" s="101">
        <v>458</v>
      </c>
      <c r="B206" s="98" t="e">
        <f>VLOOKUP($A206,'Rate Calculation'!$A$4:$CS$210,68,FALSE)</f>
        <v>#REF!</v>
      </c>
      <c r="C206" s="98" t="str">
        <f>UPPER(VLOOKUP($A206,'Rate Calculation'!$A$4:$CL$210,69,FALSE))</f>
        <v>227</v>
      </c>
      <c r="D206" s="104" t="str">
        <f>VLOOKUP($A206,'Rate Calculation'!$A$4:$AJ$210,5,FALSE)</f>
        <v>WESTERN REGION</v>
      </c>
      <c r="E206" s="104" t="str">
        <f>VLOOKUP($A206,'Rate Calculation'!$A$4:$AJ$210,6,FALSE)</f>
        <v>NON METRO</v>
      </c>
      <c r="F206" s="105">
        <f>VLOOKUP(A206,'Rate Calculation'!$A$3:$AT$210,35,FALSE)</f>
        <v>30599</v>
      </c>
      <c r="G206" s="105">
        <f>VLOOKUP(A206,'Rate Calculation'!$A$3:$AT$210,30,FALSE)</f>
        <v>7808</v>
      </c>
      <c r="H206" s="105">
        <f>VLOOKUP(A206,'Rate Calculation'!$A$3:$AW$210,36,FALSE)+VLOOKUP(A206,'Rate Calculation'!$A$3:$CC$210,42,FALSE)</f>
        <v>265263471</v>
      </c>
      <c r="I206" s="105">
        <f t="shared" si="61"/>
        <v>0</v>
      </c>
      <c r="J206" s="105" t="str">
        <f>VLOOKUP(A206,'Rate Calculation'!$A$3:$BL$210,43,FALSE)</f>
        <v>Williamsport Health and Rehabilitation Center</v>
      </c>
      <c r="K206" s="105">
        <f t="shared" si="62"/>
        <v>265301878</v>
      </c>
      <c r="L206" s="164">
        <f t="shared" si="54"/>
        <v>0.98772000000000004</v>
      </c>
      <c r="M206" s="105">
        <f t="shared" si="63"/>
        <v>262043970.94</v>
      </c>
      <c r="N206" s="105" t="e">
        <f>VLOOKUP(A206,'Rate Calculation'!$A$4:$DK$210,47,FALSE)</f>
        <v>#DIV/0!</v>
      </c>
      <c r="O206" s="106">
        <f>VLOOKUP(A206,'Rate Calculation'!$A$4:$DK$210,10,FALSE)</f>
        <v>1.0309999999999999</v>
      </c>
      <c r="P206" s="114">
        <f t="shared" si="55"/>
        <v>1.4432</v>
      </c>
      <c r="Q206" s="114">
        <f>VLOOKUP(A206,'CMI Data'!$A$3:$Z$209,7,FALSE)</f>
        <v>0</v>
      </c>
      <c r="R206" s="120" t="e">
        <f>+'CMI Data'!$I$214</f>
        <v>#DIV/0!</v>
      </c>
      <c r="S206" s="106">
        <f>IF(Q206=0,'CMI Data'!$I$213,ROUND(Q206*R206,4))</f>
        <v>1.4061999999999999</v>
      </c>
      <c r="T206" s="105">
        <f>VLOOKUP(A206,'Rate Calculation'!$A$4:$DK$210,16,FALSE)</f>
        <v>181.74</v>
      </c>
      <c r="U206" s="105">
        <f>VLOOKUP(A206,'Rate Calculation'!$A$4:$DK$210,20,FALSE)</f>
        <v>0</v>
      </c>
      <c r="V206" s="113">
        <f t="shared" si="64"/>
        <v>0</v>
      </c>
      <c r="W206" s="105">
        <f t="shared" si="65"/>
        <v>0</v>
      </c>
      <c r="X206" s="111">
        <f t="shared" si="56"/>
        <v>0</v>
      </c>
      <c r="Y206" s="105">
        <f t="shared" si="66"/>
        <v>0</v>
      </c>
      <c r="Z206" s="105">
        <f t="shared" si="67"/>
        <v>247.88</v>
      </c>
      <c r="AA206" s="105">
        <f t="shared" si="68"/>
        <v>0</v>
      </c>
      <c r="AB206" s="111">
        <f t="shared" si="69"/>
        <v>-247.88</v>
      </c>
      <c r="AC206" s="105" t="e">
        <f t="shared" si="70"/>
        <v>#VALUE!</v>
      </c>
      <c r="AD206" s="105" t="e">
        <f t="shared" si="57"/>
        <v>#VALUE!</v>
      </c>
      <c r="AE206" s="105" t="e">
        <f t="shared" si="58"/>
        <v>#DIV/0!</v>
      </c>
      <c r="AF206" s="105" t="e">
        <f t="shared" si="59"/>
        <v>#VALUE!</v>
      </c>
      <c r="AG206" s="105" t="e">
        <f t="shared" si="60"/>
        <v>#VALUE!</v>
      </c>
      <c r="AH206" s="111"/>
      <c r="AI206" s="105"/>
      <c r="AJ206" s="105"/>
      <c r="AK206" s="109"/>
      <c r="AL206" s="109"/>
      <c r="AM206" s="109"/>
      <c r="AN206" s="109"/>
      <c r="AO206" s="105"/>
      <c r="AP206" s="105"/>
      <c r="AQ206" s="109"/>
      <c r="AR206" s="110"/>
      <c r="AS206" s="110"/>
      <c r="AT206" s="110"/>
      <c r="AU206" s="110"/>
      <c r="AV206" s="110"/>
      <c r="AW206" s="112"/>
      <c r="AX206" s="112"/>
      <c r="AY206" s="110"/>
      <c r="AZ206" s="105"/>
      <c r="BA206" s="105"/>
      <c r="BB206" s="105"/>
      <c r="BC206" s="105"/>
      <c r="BD206" s="105"/>
      <c r="BE206" s="105"/>
    </row>
    <row r="207" spans="1:67" x14ac:dyDescent="0.15">
      <c r="AB207" s="108"/>
      <c r="AC207" s="108"/>
      <c r="AD207" s="107"/>
      <c r="AH207" s="111"/>
      <c r="AI207" s="105"/>
      <c r="AJ207" s="105"/>
      <c r="AK207" s="109"/>
      <c r="AL207" s="109"/>
      <c r="AM207" s="109"/>
      <c r="AT207" s="107"/>
      <c r="AU207" s="107"/>
      <c r="AX207" s="107"/>
      <c r="AY207" s="107"/>
      <c r="AZ207" s="105"/>
      <c r="BA207" s="105"/>
      <c r="BB207" s="105"/>
      <c r="BD207" s="108"/>
      <c r="BE207" s="108"/>
      <c r="BF207" s="107"/>
      <c r="BM207" s="98">
        <f>SUM(BF3:BF206)</f>
        <v>0</v>
      </c>
      <c r="BN207" s="98">
        <f>SUM(BG3:BG206)</f>
        <v>0</v>
      </c>
      <c r="BO207" s="98">
        <f>SUM(BH3:BH206)</f>
        <v>0</v>
      </c>
    </row>
    <row r="208" spans="1:67" ht="140" x14ac:dyDescent="0.15">
      <c r="B208" s="354" t="s">
        <v>789</v>
      </c>
      <c r="C208" s="354"/>
      <c r="D208" s="99" t="s">
        <v>320</v>
      </c>
      <c r="E208" s="99" t="s">
        <v>321</v>
      </c>
      <c r="F208" s="99" t="str">
        <f>VLOOKUP(F209,'Vent Profile'!$A$116:$E$143,2,FALSE)</f>
        <v>Administrative and Routine (See July 2024 Rate Letter)</v>
      </c>
      <c r="G208" s="99" t="str">
        <f>VLOOKUP(G209,'Vent Profile'!$A$116:$E$143,2,FALSE)</f>
        <v>Other Patient Care (See July 2024 Rate Letter)</v>
      </c>
      <c r="H208" s="99" t="str">
        <f>VLOOKUP(H209,'Vent Profile'!$A$116:$E$143,2,FALSE)</f>
        <v>Capital (See July 2024 Rate Letter)</v>
      </c>
      <c r="I208" s="99" t="str">
        <f>VLOOKUP(I209,'Vent Profile'!$A$116:$E$143,2,FALSE)</f>
        <v>Nursing Service (Line 18)</v>
      </c>
      <c r="J208" s="99" t="str">
        <f>VLOOKUP(J209,'Vent Profile'!$A$116:$E$143,2,FALSE)</f>
        <v>Total Kosher Kitchen Add On (See July 2024 Rate Letter)</v>
      </c>
      <c r="K208" s="99" t="str">
        <f>VLOOKUP(K209,'Vent Profile'!$A$116:$E$143,2,FALSE)</f>
        <v xml:space="preserve">   Total Rate for All Levels (Sum of Lines 1 - 5) </v>
      </c>
      <c r="L208" s="99" t="str">
        <f>VLOOKUP(L209,'Vent Profile'!$A$116:$E$143,2,FALSE)</f>
        <v>Budget Adjustment Factor</v>
      </c>
      <c r="M208" s="99" t="str">
        <f>VLOOKUP(M209,'Vent Profile'!$A$116:$E$143,2,FALSE)</f>
        <v xml:space="preserve">   Final Adjusted Rate  (Line 6 x Line 7)</v>
      </c>
      <c r="N208" s="99" t="s">
        <v>313</v>
      </c>
      <c r="O208" s="99" t="s">
        <v>314</v>
      </c>
      <c r="P208" s="99" t="str">
        <f>VLOOKUP(P209,'Vent Profile'!$A$116:$E$143,2,FALSE)</f>
        <v>Quality Assessment Add On</v>
      </c>
      <c r="Q208" s="99" t="str">
        <f>VLOOKUP(Q209,'Vent Profile'!$A$116:$E$143,2,FALSE)</f>
        <v>Cost Report Period CMI (See July 2024 letter)</v>
      </c>
      <c r="R208" s="99" t="str">
        <f>VLOOKUP(R209,'Vent Profile'!$A$116:$E$143,2,FALSE)</f>
        <v>Statewide Average CMI</v>
      </c>
      <c r="S208" s="99" t="str">
        <f>VLOOKUP(S209,'Vent Profile'!$A$116:$E$143,2,FALSE)</f>
        <v>Quarter Ending 06/30/2024 Facility Average Medicaid CMI</v>
      </c>
      <c r="T208" s="99" t="str">
        <f>VLOOKUP(T209,'Vent Profile'!$A$116:$E$143,2,FALSE)</f>
        <v>Indexed Nursing Service Cost Per Diem (See July 2024 Rate Letter)</v>
      </c>
      <c r="U208" s="99" t="str">
        <f>VLOOKUP(U209,'Vent Profile'!$A$116:$E$143,2,FALSE)</f>
        <v>Indexed Regional Price (See July 2024 Rate Letter)</v>
      </c>
      <c r="V208" s="99" t="str">
        <f>VLOOKUP(V209,'Vent Profile'!$A$116:$E$143,2,FALSE)</f>
        <v>Adjusted to Facility Total Facility CMI (Line 14 x Line 10 ÷ Line 11)</v>
      </c>
      <c r="W208" s="99" t="str">
        <f>VLOOKUP(W209,'Vent Profile'!$A$116:$E$143,2,FALSE)</f>
        <v>Initial Nursing Service Rate (Line 15 x Line 12 ÷ Line 10)</v>
      </c>
      <c r="X208" s="99" t="str">
        <f>VLOOKUP(X209,'Vent Profile'!$A$116:$E$143,2,FALSE)</f>
        <v>Less Positive Difference Between Line 20 and Initial Nursing Service Rate (max(0,Line 21))</v>
      </c>
      <c r="Y208" s="99" t="str">
        <f>VLOOKUP(Y209,'Vent Profile'!$A$116:$E$143,2,FALSE)</f>
        <v>Final Nursing Service Rate Per Day (Line 16 + Line 17)</v>
      </c>
      <c r="Z208" s="99" t="str">
        <f>VLOOKUP(Z209,'Vent Profile'!$A$116:$E$143,2,FALSE)</f>
        <v>Medicaid Adjusted Nursing Service Cost Per Diem (Line 13 x Line 12 ÷ Line 10)</v>
      </c>
      <c r="AA208" s="99" t="str">
        <f>VLOOKUP(AA209,'Vent Profile'!$A$116:$E$143,2,FALSE)</f>
        <v>95% of Initial Nursing Service Rate (Line 16 x .95)</v>
      </c>
      <c r="AB208" s="99" t="str">
        <f>VLOOKUP(AB209,'Vent Profile'!$A$116:$E$143,2,FALSE)</f>
        <v>Difference Between Line 20 and Medicaid Adjusted Nursing Service Cost Per Diem (Line 20 - Line 19)</v>
      </c>
      <c r="AC208" s="99" t="s">
        <v>579</v>
      </c>
      <c r="AD208" s="99"/>
      <c r="AE208" s="99"/>
      <c r="AF208" s="99"/>
      <c r="AG208" s="99"/>
      <c r="AH208" s="111"/>
      <c r="AI208" s="105"/>
      <c r="AJ208" s="105"/>
      <c r="AK208" s="109"/>
      <c r="AL208" s="109"/>
      <c r="AM208" s="109"/>
    </row>
    <row r="209" spans="1:39" x14ac:dyDescent="0.15">
      <c r="A209" s="101" t="s">
        <v>145</v>
      </c>
      <c r="B209" s="101" t="s">
        <v>325</v>
      </c>
      <c r="C209" s="101" t="s">
        <v>265</v>
      </c>
      <c r="D209" s="101"/>
      <c r="E209" s="104" t="s">
        <v>326</v>
      </c>
      <c r="F209" s="101">
        <v>1</v>
      </c>
      <c r="G209" s="101">
        <f>+F209+1</f>
        <v>2</v>
      </c>
      <c r="H209" s="101">
        <f t="shared" ref="H209:K209" si="71">+G209+1</f>
        <v>3</v>
      </c>
      <c r="I209" s="101">
        <f t="shared" si="71"/>
        <v>4</v>
      </c>
      <c r="J209" s="101">
        <f t="shared" si="71"/>
        <v>5</v>
      </c>
      <c r="K209" s="101">
        <f t="shared" si="71"/>
        <v>6</v>
      </c>
      <c r="L209" s="101">
        <v>7</v>
      </c>
      <c r="M209" s="101">
        <v>8</v>
      </c>
      <c r="N209" s="101" t="s">
        <v>538</v>
      </c>
      <c r="O209" s="101" t="s">
        <v>539</v>
      </c>
      <c r="P209" s="101">
        <v>9</v>
      </c>
      <c r="Q209" s="101">
        <f>+P209+1</f>
        <v>10</v>
      </c>
      <c r="R209" s="101">
        <f t="shared" ref="R209:AB209" si="72">+Q209+1</f>
        <v>11</v>
      </c>
      <c r="S209" s="101">
        <f>+R209+1</f>
        <v>12</v>
      </c>
      <c r="T209" s="101">
        <f t="shared" si="72"/>
        <v>13</v>
      </c>
      <c r="U209" s="101">
        <f t="shared" si="72"/>
        <v>14</v>
      </c>
      <c r="V209" s="101">
        <f t="shared" si="72"/>
        <v>15</v>
      </c>
      <c r="W209" s="101">
        <f t="shared" si="72"/>
        <v>16</v>
      </c>
      <c r="X209" s="101">
        <f t="shared" si="72"/>
        <v>17</v>
      </c>
      <c r="Y209" s="101">
        <f t="shared" si="72"/>
        <v>18</v>
      </c>
      <c r="Z209" s="101">
        <f t="shared" si="72"/>
        <v>19</v>
      </c>
      <c r="AA209" s="101">
        <f t="shared" si="72"/>
        <v>20</v>
      </c>
      <c r="AB209" s="101">
        <f t="shared" si="72"/>
        <v>21</v>
      </c>
      <c r="AC209" s="101"/>
      <c r="AD209" s="101"/>
      <c r="AH209" s="111"/>
      <c r="AI209" s="105"/>
      <c r="AJ209" s="105"/>
      <c r="AK209" s="109"/>
      <c r="AL209" s="109"/>
      <c r="AM209" s="109"/>
    </row>
    <row r="210" spans="1:39" x14ac:dyDescent="0.15">
      <c r="A210" s="220">
        <v>741</v>
      </c>
      <c r="B210" s="98" t="e">
        <f>VLOOKUP($A210,'Vent Rate Calculation'!$A$4:$CS$209,68,FALSE)</f>
        <v>#REF!</v>
      </c>
      <c r="C210" s="98" t="str">
        <f>UPPER(VLOOKUP($A210,'Vent Rate Calculation'!$A$4:$CL$209,69,FALSE))</f>
        <v>129076</v>
      </c>
      <c r="D210" s="104" t="str">
        <f>VLOOKUP($A210,'Vent Rate Calculation'!$A$4:$AJ$209,5,FALSE)</f>
        <v>BALTIMORE METRO</v>
      </c>
      <c r="E210" s="104" t="str">
        <f>VLOOKUP($A210,'Vent Rate Calculation'!$A$4:$AJ$209,6,FALSE)</f>
        <v>BALTIMORE CITY</v>
      </c>
      <c r="F210" s="105">
        <f>VLOOKUP(A210,'Rate Calculation'!$A$3:$AT$210,35,FALSE)</f>
        <v>26031</v>
      </c>
      <c r="G210" s="105">
        <f>VLOOKUP(A210,'Rate Calculation'!$A$3:$AT$210,30,FALSE)</f>
        <v>36234</v>
      </c>
      <c r="H210" s="105">
        <f>VLOOKUP(A210,'Vent Rate Calculation'!$A$3:$AW$209,36,FALSE)+VLOOKUP(A210,'Vent Rate Calculation'!$A$3:$CC$209,42,FALSE)</f>
        <v>510675341</v>
      </c>
      <c r="I210" s="105" t="e">
        <f t="shared" ref="I210:I225" si="73">+Y210</f>
        <v>#REF!</v>
      </c>
      <c r="J210" s="105" t="str">
        <f>VLOOKUP(A210,'Rate Calculation'!$A$3:$BL$210,43,FALSE)</f>
        <v>Autumn Lake Healthcare at Bridgepark</v>
      </c>
      <c r="K210" s="105" t="e">
        <f>SUM(F210:J210)</f>
        <v>#REF!</v>
      </c>
      <c r="L210" s="164">
        <f t="shared" ref="L210:L227" si="74">+_baf</f>
        <v>0.98772000000000004</v>
      </c>
      <c r="M210" s="105" t="e">
        <f>ROUND(K210*L210,2)</f>
        <v>#REF!</v>
      </c>
      <c r="N210" s="105">
        <v>285</v>
      </c>
      <c r="O210" s="105" t="e">
        <f>M210+N210</f>
        <v>#REF!</v>
      </c>
      <c r="P210" s="105" t="e">
        <f>VLOOKUP(A210,'Rate Calculation'!$A$4:$DK$210,47,FALSE)</f>
        <v>#DIV/0!</v>
      </c>
      <c r="Q210" s="106">
        <f>VLOOKUP(A210,'Rate Calculation'!$A$4:$DK$210,10,FALSE)</f>
        <v>1.0309999999999999</v>
      </c>
      <c r="R210" s="114">
        <f t="shared" ref="R210:R227" si="75">+SW_CR_CMI</f>
        <v>1.4432</v>
      </c>
      <c r="S210" s="106">
        <f>VLOOKUP(A210,'CMI Data'!$A$4:$K$209,11,FALSE)</f>
        <v>0</v>
      </c>
      <c r="T210" s="121">
        <f>VLOOKUP(A210,'Vent Rate Calculation'!$A$4:$P$210,16,FALSE)</f>
        <v>509.06</v>
      </c>
      <c r="U210" s="121" t="e">
        <f>VLOOKUP(A210,'Rate Calculation'!$A$4:$P$211,20,FALSE)</f>
        <v>#REF!</v>
      </c>
      <c r="V210" s="113" t="e">
        <f>IF($Q210="NA","NA",ROUND(U210*(Q210/R210),2))</f>
        <v>#REF!</v>
      </c>
      <c r="W210" s="105" t="e">
        <f>IF(Q210="NA",ROUND(U210*S210,2),ROUND(V210*(S210/Q210),2))</f>
        <v>#REF!</v>
      </c>
      <c r="X210" s="111" t="e">
        <f t="shared" ref="X210:X225" si="76">IF(Q210="NA","NA",ROUND(MAX(0,AB210)*-1,2))</f>
        <v>#REF!</v>
      </c>
      <c r="Y210" s="105" t="e">
        <f t="shared" ref="Y210:Y225" si="77">IF(Q210="NA", W210,W210+X210)</f>
        <v>#REF!</v>
      </c>
      <c r="Z210" s="105">
        <f t="shared" ref="Z210:Z225" si="78">IF(Q210="NA","NA",ROUND(T210*(S210/Q210),2))</f>
        <v>0</v>
      </c>
      <c r="AA210" s="105" t="e">
        <f t="shared" ref="AA210:AA225" si="79">IF(Q210="NA","NA",ROUND(W210*0.95,2))</f>
        <v>#REF!</v>
      </c>
      <c r="AB210" s="111" t="e">
        <f t="shared" ref="AB210:AB225" si="80">IF(Q210="NA","NA",AA210-Z210)</f>
        <v>#REF!</v>
      </c>
      <c r="AC210" s="111" t="e">
        <f t="shared" ref="AC210:AC225" si="81">+O210+P210</f>
        <v>#REF!</v>
      </c>
      <c r="AD210" s="105"/>
      <c r="AE210" s="111"/>
      <c r="AF210" s="111"/>
      <c r="AG210" s="105"/>
      <c r="AH210" s="111"/>
      <c r="AI210" s="105"/>
      <c r="AJ210" s="105"/>
      <c r="AK210" s="109"/>
      <c r="AL210" s="109"/>
      <c r="AM210" s="109"/>
    </row>
    <row r="211" spans="1:39" x14ac:dyDescent="0.15">
      <c r="A211" s="220">
        <v>58</v>
      </c>
      <c r="B211" s="98" t="e">
        <f>VLOOKUP($A211,'Vent Rate Calculation'!$A$4:$CS$209,68,FALSE)</f>
        <v>#REF!</v>
      </c>
      <c r="C211" s="98" t="str">
        <f>UPPER(VLOOKUP($A211,'Vent Rate Calculation'!$A$4:$CL$209,69,FALSE))</f>
        <v>214114</v>
      </c>
      <c r="D211" s="104" t="str">
        <f>VLOOKUP($A211,'Vent Rate Calculation'!$A$4:$AJ$209,5,FALSE)</f>
        <v>EASTERN REGION</v>
      </c>
      <c r="E211" s="104" t="str">
        <f>VLOOKUP($A211,'Vent Rate Calculation'!$A$4:$AJ$209,6,FALSE)</f>
        <v>NON METRO</v>
      </c>
      <c r="F211" s="105">
        <f>VLOOKUP(A211,'Rate Calculation'!$A$3:$AT$210,35,FALSE)</f>
        <v>26034</v>
      </c>
      <c r="G211" s="105">
        <f>VLOOKUP(A211,'Rate Calculation'!$A$3:$AT$210,30,FALSE)</f>
        <v>57462</v>
      </c>
      <c r="H211" s="105">
        <f>VLOOKUP(A211,'Vent Rate Calculation'!$A$3:$AW$209,36,FALSE)+VLOOKUP(A211,'Vent Rate Calculation'!$A$3:$CC$209,42,FALSE)</f>
        <v>900067876</v>
      </c>
      <c r="I211" s="105" t="e">
        <f t="shared" si="73"/>
        <v>#REF!</v>
      </c>
      <c r="J211" s="105" t="str">
        <f>VLOOKUP(A211,'Rate Calculation'!$A$3:$BL$210,43,FALSE)</f>
        <v>Berlin Nursing and Rehabilitation Center</v>
      </c>
      <c r="K211" s="105" t="e">
        <f>SUM(F211:J211)</f>
        <v>#REF!</v>
      </c>
      <c r="L211" s="164">
        <f t="shared" si="74"/>
        <v>0.98772000000000004</v>
      </c>
      <c r="M211" s="105" t="e">
        <f t="shared" ref="M211:M225" si="82">ROUND(K211*L211,2)</f>
        <v>#REF!</v>
      </c>
      <c r="N211" s="105">
        <v>285</v>
      </c>
      <c r="O211" s="105" t="e">
        <f t="shared" ref="O211:O225" si="83">M211+N211</f>
        <v>#REF!</v>
      </c>
      <c r="P211" s="105" t="e">
        <f>VLOOKUP(A211,'Rate Calculation'!$A$4:$DK$210,47,FALSE)</f>
        <v>#DIV/0!</v>
      </c>
      <c r="Q211" s="106">
        <f>VLOOKUP(A211,'Rate Calculation'!$A$4:$DK$210,10,FALSE)</f>
        <v>1.0309999999999999</v>
      </c>
      <c r="R211" s="114">
        <f t="shared" si="75"/>
        <v>1.4432</v>
      </c>
      <c r="S211" s="106">
        <f>VLOOKUP(A211,'CMI Data'!$A$4:$K$209,11,FALSE)</f>
        <v>0</v>
      </c>
      <c r="T211" s="121">
        <f>VLOOKUP(A211,'Vent Rate Calculation'!$A$4:$P$210,16,FALSE)</f>
        <v>485.56</v>
      </c>
      <c r="U211" s="121" t="e">
        <f>VLOOKUP(A211,'Rate Calculation'!$A$4:$P$211,20,FALSE)</f>
        <v>#REF!</v>
      </c>
      <c r="V211" s="113" t="e">
        <f t="shared" ref="V211:V225" si="84">IF($Q211="NA","NA",ROUND(U211*(Q211/R211),2))</f>
        <v>#REF!</v>
      </c>
      <c r="W211" s="105" t="e">
        <f t="shared" ref="W211:W225" si="85">IF(Q211="NA",ROUND(U211*S211,2),ROUND(V211*(S211/Q211),2))</f>
        <v>#REF!</v>
      </c>
      <c r="X211" s="111" t="e">
        <f t="shared" si="76"/>
        <v>#REF!</v>
      </c>
      <c r="Y211" s="105" t="e">
        <f t="shared" si="77"/>
        <v>#REF!</v>
      </c>
      <c r="Z211" s="105">
        <f t="shared" si="78"/>
        <v>0</v>
      </c>
      <c r="AA211" s="105" t="e">
        <f t="shared" si="79"/>
        <v>#REF!</v>
      </c>
      <c r="AB211" s="111" t="e">
        <f t="shared" si="80"/>
        <v>#REF!</v>
      </c>
      <c r="AC211" s="111" t="e">
        <f t="shared" si="81"/>
        <v>#REF!</v>
      </c>
      <c r="AD211" s="105"/>
      <c r="AE211" s="111"/>
      <c r="AF211" s="111"/>
      <c r="AG211" s="105"/>
      <c r="AH211" s="111"/>
      <c r="AI211" s="105"/>
      <c r="AJ211" s="105"/>
      <c r="AK211" s="109"/>
      <c r="AL211" s="109"/>
      <c r="AM211" s="109"/>
    </row>
    <row r="212" spans="1:39" x14ac:dyDescent="0.15">
      <c r="A212" s="220">
        <v>108</v>
      </c>
      <c r="B212" s="98" t="e">
        <f>VLOOKUP($A212,'Vent Rate Calculation'!$A$4:$CS$209,68,FALSE)</f>
        <v>#REF!</v>
      </c>
      <c r="C212" s="98" t="str">
        <f>UPPER(VLOOKUP($A212,'Vent Rate Calculation'!$A$4:$CL$209,69,FALSE))</f>
        <v>0</v>
      </c>
      <c r="D212" s="104" t="str">
        <f>VLOOKUP($A212,'Vent Rate Calculation'!$A$4:$AJ$209,5,FALSE)</f>
        <v>WASHINGTON METRO</v>
      </c>
      <c r="E212" s="104" t="str">
        <f>VLOOKUP($A212,'Vent Rate Calculation'!$A$4:$AJ$209,6,FALSE)</f>
        <v>NON METRO</v>
      </c>
      <c r="F212" s="105">
        <f>VLOOKUP(A212,'Rate Calculation'!$A$3:$AT$210,35,FALSE)</f>
        <v>47755</v>
      </c>
      <c r="G212" s="105">
        <f>VLOOKUP(A212,'Rate Calculation'!$A$3:$AT$210,30,FALSE)</f>
        <v>62952</v>
      </c>
      <c r="H212" s="105">
        <f>VLOOKUP(A212,'Vent Rate Calculation'!$A$3:$AW$209,36,FALSE)+VLOOKUP(A212,'Vent Rate Calculation'!$A$3:$CC$209,42,FALSE)</f>
        <v>104015982</v>
      </c>
      <c r="I212" s="105" t="e">
        <f t="shared" si="73"/>
        <v>#REF!</v>
      </c>
      <c r="J212" s="105" t="str">
        <f>VLOOKUP(A212,'Rate Calculation'!$A$3:$BL$210,43,FALSE)</f>
        <v>Citizens Care and Rehab. Center of Frederick</v>
      </c>
      <c r="K212" s="105" t="e">
        <f t="shared" ref="K212:K225" si="86">SUM(F212:J212)</f>
        <v>#REF!</v>
      </c>
      <c r="L212" s="164">
        <f t="shared" si="74"/>
        <v>0.98772000000000004</v>
      </c>
      <c r="M212" s="105" t="e">
        <f t="shared" si="82"/>
        <v>#REF!</v>
      </c>
      <c r="N212" s="105">
        <v>285</v>
      </c>
      <c r="O212" s="105" t="e">
        <f t="shared" si="83"/>
        <v>#REF!</v>
      </c>
      <c r="P212" s="105" t="e">
        <f>VLOOKUP(A212,'Rate Calculation'!$A$4:$DK$210,47,FALSE)</f>
        <v>#DIV/0!</v>
      </c>
      <c r="Q212" s="106">
        <f>VLOOKUP(A212,'Rate Calculation'!$A$4:$DK$210,10,FALSE)</f>
        <v>1.0309999999999999</v>
      </c>
      <c r="R212" s="114">
        <f t="shared" si="75"/>
        <v>1.4432</v>
      </c>
      <c r="S212" s="106">
        <f>VLOOKUP(A212,'CMI Data'!$A$4:$K$209,11,FALSE)</f>
        <v>0</v>
      </c>
      <c r="T212" s="121">
        <f>VLOOKUP(A212,'Vent Rate Calculation'!$A$4:$P$210,16,FALSE)</f>
        <v>458.7</v>
      </c>
      <c r="U212" s="121" t="e">
        <f>VLOOKUP(A212,'Rate Calculation'!$A$4:$P$211,20,FALSE)</f>
        <v>#REF!</v>
      </c>
      <c r="V212" s="113" t="e">
        <f t="shared" si="84"/>
        <v>#REF!</v>
      </c>
      <c r="W212" s="105" t="e">
        <f t="shared" si="85"/>
        <v>#REF!</v>
      </c>
      <c r="X212" s="111" t="e">
        <f t="shared" si="76"/>
        <v>#REF!</v>
      </c>
      <c r="Y212" s="105" t="e">
        <f t="shared" si="77"/>
        <v>#REF!</v>
      </c>
      <c r="Z212" s="105">
        <f t="shared" si="78"/>
        <v>0</v>
      </c>
      <c r="AA212" s="105" t="e">
        <f t="shared" si="79"/>
        <v>#REF!</v>
      </c>
      <c r="AB212" s="111" t="e">
        <f t="shared" si="80"/>
        <v>#REF!</v>
      </c>
      <c r="AC212" s="111" t="e">
        <f t="shared" si="81"/>
        <v>#REF!</v>
      </c>
      <c r="AD212" s="105"/>
      <c r="AE212" s="111"/>
      <c r="AF212" s="111"/>
      <c r="AG212" s="105"/>
      <c r="AH212" s="111"/>
      <c r="AI212" s="105"/>
      <c r="AJ212" s="105"/>
      <c r="AK212" s="109"/>
      <c r="AL212" s="109"/>
      <c r="AM212" s="109"/>
    </row>
    <row r="213" spans="1:39" x14ac:dyDescent="0.15">
      <c r="A213" s="101">
        <v>118</v>
      </c>
      <c r="B213" s="98" t="e">
        <f>VLOOKUP($A213,'Vent Rate Calculation'!$A$4:$CS$209,68,FALSE)</f>
        <v>#REF!</v>
      </c>
      <c r="C213" s="98" t="str">
        <f>UPPER(VLOOKUP($A213,'Vent Rate Calculation'!$A$4:$CL$209,69,FALSE))</f>
        <v>212928</v>
      </c>
      <c r="D213" s="104" t="str">
        <f>VLOOKUP($A213,'Vent Rate Calculation'!$A$4:$AJ$209,5,FALSE)</f>
        <v>WASHINGTON METRO</v>
      </c>
      <c r="E213" s="104" t="str">
        <f>VLOOKUP($A213,'Vent Rate Calculation'!$A$4:$AJ$209,6,FALSE)</f>
        <v>WASHINGTON METRO</v>
      </c>
      <c r="F213" s="105">
        <f>VLOOKUP(A213,'Rate Calculation'!$A$3:$AT$210,35,FALSE)</f>
        <v>42078</v>
      </c>
      <c r="G213" s="105">
        <f>VLOOKUP(A213,'Rate Calculation'!$A$3:$AT$210,30,FALSE)</f>
        <v>58560</v>
      </c>
      <c r="H213" s="105">
        <f>VLOOKUP(A213,'Vent Rate Calculation'!$A$3:$AW$209,36,FALSE)+VLOOKUP(A213,'Vent Rate Calculation'!$A$3:$CC$209,42,FALSE)</f>
        <v>729065351</v>
      </c>
      <c r="I213" s="105" t="e">
        <f t="shared" si="73"/>
        <v>#REF!</v>
      </c>
      <c r="J213" s="105" t="str">
        <f>VLOOKUP(A213,'Rate Calculation'!$A$3:$BL$210,43,FALSE)</f>
        <v>Collingswood Rehabilitation and Healthcare Center</v>
      </c>
      <c r="K213" s="105" t="e">
        <f t="shared" si="86"/>
        <v>#REF!</v>
      </c>
      <c r="L213" s="164">
        <f t="shared" si="74"/>
        <v>0.98772000000000004</v>
      </c>
      <c r="M213" s="105" t="e">
        <f t="shared" si="82"/>
        <v>#REF!</v>
      </c>
      <c r="N213" s="105">
        <v>285</v>
      </c>
      <c r="O213" s="105" t="e">
        <f t="shared" si="83"/>
        <v>#REF!</v>
      </c>
      <c r="P213" s="105" t="e">
        <f>VLOOKUP(A213,'Rate Calculation'!$A$4:$DK$210,47,FALSE)</f>
        <v>#DIV/0!</v>
      </c>
      <c r="Q213" s="106">
        <f>VLOOKUP(A213,'Rate Calculation'!$A$4:$DK$210,10,FALSE)</f>
        <v>1.0309999999999999</v>
      </c>
      <c r="R213" s="114">
        <f t="shared" si="75"/>
        <v>1.4432</v>
      </c>
      <c r="S213" s="106">
        <f>VLOOKUP(A213,'CMI Data'!$A$4:$K$209,11,FALSE)</f>
        <v>0</v>
      </c>
      <c r="T213" s="121">
        <f>VLOOKUP(A213,'Vent Rate Calculation'!$A$4:$P$210,16,FALSE)</f>
        <v>458.7</v>
      </c>
      <c r="U213" s="121" t="e">
        <f>VLOOKUP(A213,'Rate Calculation'!$A$4:$P$211,20,FALSE)</f>
        <v>#REF!</v>
      </c>
      <c r="V213" s="113" t="e">
        <f t="shared" si="84"/>
        <v>#REF!</v>
      </c>
      <c r="W213" s="105" t="e">
        <f t="shared" si="85"/>
        <v>#REF!</v>
      </c>
      <c r="X213" s="111" t="e">
        <f t="shared" si="76"/>
        <v>#REF!</v>
      </c>
      <c r="Y213" s="105" t="e">
        <f t="shared" si="77"/>
        <v>#REF!</v>
      </c>
      <c r="Z213" s="105">
        <f t="shared" si="78"/>
        <v>0</v>
      </c>
      <c r="AA213" s="105" t="e">
        <f t="shared" si="79"/>
        <v>#REF!</v>
      </c>
      <c r="AB213" s="111" t="e">
        <f t="shared" si="80"/>
        <v>#REF!</v>
      </c>
      <c r="AC213" s="111" t="e">
        <f t="shared" si="81"/>
        <v>#REF!</v>
      </c>
      <c r="AD213" s="105"/>
      <c r="AE213" s="111"/>
      <c r="AF213" s="111"/>
      <c r="AG213" s="105"/>
      <c r="AH213" s="111"/>
      <c r="AI213" s="105"/>
      <c r="AJ213" s="105"/>
      <c r="AK213" s="109"/>
      <c r="AL213" s="109"/>
      <c r="AM213" s="109"/>
    </row>
    <row r="214" spans="1:39" x14ac:dyDescent="0.15">
      <c r="A214" s="220">
        <v>665</v>
      </c>
      <c r="B214" s="98" t="e">
        <f>VLOOKUP($A214,'Vent Rate Calculation'!$A$4:$CS$209,68,FALSE)</f>
        <v>#REF!</v>
      </c>
      <c r="C214" s="98" t="str">
        <f>UPPER(VLOOKUP($A214,'Vent Rate Calculation'!$A$4:$CL$209,69,FALSE))</f>
        <v>101060</v>
      </c>
      <c r="D214" s="104" t="str">
        <f>VLOOKUP($A214,'Vent Rate Calculation'!$A$4:$AJ$209,5,FALSE)</f>
        <v>BALTIMORE METRO</v>
      </c>
      <c r="E214" s="104" t="str">
        <f>VLOOKUP($A214,'Vent Rate Calculation'!$A$4:$AJ$209,6,FALSE)</f>
        <v>BALTIMORE METRO</v>
      </c>
      <c r="F214" s="105">
        <f>VLOOKUP(A214,'Rate Calculation'!$A$3:$AT$210,35,FALSE)</f>
        <v>23887</v>
      </c>
      <c r="G214" s="105">
        <f>VLOOKUP(A214,'Rate Calculation'!$A$3:$AT$210,30,FALSE)</f>
        <v>35502</v>
      </c>
      <c r="H214" s="105">
        <f>VLOOKUP(A214,'Vent Rate Calculation'!$A$3:$AW$209,36,FALSE)+VLOOKUP(A214,'Vent Rate Calculation'!$A$3:$CC$209,42,FALSE)</f>
        <v>882375064</v>
      </c>
      <c r="I214" s="105" t="e">
        <f t="shared" si="73"/>
        <v>#REF!</v>
      </c>
      <c r="J214" s="105" t="str">
        <f>VLOOKUP(A214,'Rate Calculation'!$A$3:$BL$210,43,FALSE)</f>
        <v>Complete Care at Annapolis LLC</v>
      </c>
      <c r="K214" s="105" t="e">
        <f t="shared" si="86"/>
        <v>#REF!</v>
      </c>
      <c r="L214" s="164">
        <f t="shared" si="74"/>
        <v>0.98772000000000004</v>
      </c>
      <c r="M214" s="105" t="e">
        <f t="shared" si="82"/>
        <v>#REF!</v>
      </c>
      <c r="N214" s="105">
        <v>285</v>
      </c>
      <c r="O214" s="105" t="e">
        <f t="shared" si="83"/>
        <v>#REF!</v>
      </c>
      <c r="P214" s="105" t="e">
        <f>VLOOKUP(A214,'Rate Calculation'!$A$4:$DK$210,47,FALSE)</f>
        <v>#DIV/0!</v>
      </c>
      <c r="Q214" s="106">
        <f>VLOOKUP(A214,'Rate Calculation'!$A$4:$DK$210,10,FALSE)</f>
        <v>1.0309999999999999</v>
      </c>
      <c r="R214" s="114">
        <f t="shared" si="75"/>
        <v>1.4432</v>
      </c>
      <c r="S214" s="106">
        <f>VLOOKUP(A214,'CMI Data'!$A$4:$K$209,11,FALSE)</f>
        <v>0</v>
      </c>
      <c r="T214" s="121">
        <f>VLOOKUP(A214,'Vent Rate Calculation'!$A$4:$P$210,16,FALSE)</f>
        <v>509.06</v>
      </c>
      <c r="U214" s="121" t="e">
        <f>VLOOKUP(A214,'Rate Calculation'!$A$4:$P$211,20,FALSE)</f>
        <v>#REF!</v>
      </c>
      <c r="V214" s="113" t="e">
        <f t="shared" si="84"/>
        <v>#REF!</v>
      </c>
      <c r="W214" s="105" t="e">
        <f t="shared" si="85"/>
        <v>#REF!</v>
      </c>
      <c r="X214" s="111" t="e">
        <f t="shared" si="76"/>
        <v>#REF!</v>
      </c>
      <c r="Y214" s="105" t="e">
        <f t="shared" si="77"/>
        <v>#REF!</v>
      </c>
      <c r="Z214" s="105">
        <f t="shared" si="78"/>
        <v>0</v>
      </c>
      <c r="AA214" s="105" t="e">
        <f t="shared" si="79"/>
        <v>#REF!</v>
      </c>
      <c r="AB214" s="111" t="e">
        <f t="shared" si="80"/>
        <v>#REF!</v>
      </c>
      <c r="AC214" s="111" t="e">
        <f t="shared" si="81"/>
        <v>#REF!</v>
      </c>
      <c r="AD214" s="105"/>
      <c r="AE214" s="111"/>
      <c r="AF214" s="111"/>
      <c r="AG214" s="105"/>
      <c r="AH214" s="111"/>
      <c r="AI214" s="105"/>
      <c r="AJ214" s="105"/>
      <c r="AK214" s="109"/>
      <c r="AL214" s="109"/>
      <c r="AM214" s="109"/>
    </row>
    <row r="215" spans="1:39" x14ac:dyDescent="0.15">
      <c r="A215" s="220">
        <v>48</v>
      </c>
      <c r="B215" s="98" t="e">
        <f>VLOOKUP($A215,'Vent Rate Calculation'!$A$4:$CS$209,68,FALSE)</f>
        <v>#REF!</v>
      </c>
      <c r="C215" s="98" t="str">
        <f>UPPER(VLOOKUP($A215,'Vent Rate Calculation'!$A$4:$CL$209,69,FALSE))</f>
        <v>91423</v>
      </c>
      <c r="D215" s="104" t="str">
        <f>VLOOKUP($A215,'Vent Rate Calculation'!$A$4:$AJ$209,5,FALSE)</f>
        <v>WESTERN REGION</v>
      </c>
      <c r="E215" s="104" t="str">
        <f>VLOOKUP($A215,'Vent Rate Calculation'!$A$4:$AJ$209,6,FALSE)</f>
        <v>NON METRO</v>
      </c>
      <c r="F215" s="105">
        <f>VLOOKUP(A215,'Rate Calculation'!$A$3:$AT$210,35,FALSE)</f>
        <v>22255</v>
      </c>
      <c r="G215" s="105">
        <f>VLOOKUP(A215,'Rate Calculation'!$A$3:$AT$210,30,FALSE)</f>
        <v>62952</v>
      </c>
      <c r="H215" s="105">
        <f>VLOOKUP(A215,'Vent Rate Calculation'!$A$3:$AW$209,36,FALSE)+VLOOKUP(A215,'Vent Rate Calculation'!$A$3:$CC$209,42,FALSE)</f>
        <v>882378648</v>
      </c>
      <c r="I215" s="105" t="e">
        <f t="shared" si="73"/>
        <v>#REF!</v>
      </c>
      <c r="J215" s="105" t="str">
        <f>VLOOKUP(A215,'Rate Calculation'!$A$3:$BL$210,43,FALSE)</f>
        <v>Complete Care at Hagerstown LLC</v>
      </c>
      <c r="K215" s="105" t="e">
        <f t="shared" si="86"/>
        <v>#REF!</v>
      </c>
      <c r="L215" s="164">
        <f t="shared" si="74"/>
        <v>0.98772000000000004</v>
      </c>
      <c r="M215" s="105" t="e">
        <f t="shared" si="82"/>
        <v>#REF!</v>
      </c>
      <c r="N215" s="105">
        <v>285</v>
      </c>
      <c r="O215" s="105" t="e">
        <f t="shared" si="83"/>
        <v>#REF!</v>
      </c>
      <c r="P215" s="105" t="e">
        <f>VLOOKUP(A215,'Rate Calculation'!$A$4:$DK$210,47,FALSE)</f>
        <v>#DIV/0!</v>
      </c>
      <c r="Q215" s="106">
        <f>VLOOKUP(A215,'Rate Calculation'!$A$4:$DK$210,10,FALSE)</f>
        <v>1.0309999999999999</v>
      </c>
      <c r="R215" s="114">
        <f t="shared" si="75"/>
        <v>1.4432</v>
      </c>
      <c r="S215" s="106">
        <f>VLOOKUP(A215,'CMI Data'!$A$4:$K$209,11,FALSE)</f>
        <v>0</v>
      </c>
      <c r="T215" s="121">
        <f>VLOOKUP(A215,'Vent Rate Calculation'!$A$4:$P$210,16,FALSE)</f>
        <v>433.28</v>
      </c>
      <c r="U215" s="121" t="e">
        <f>VLOOKUP(A215,'Rate Calculation'!$A$4:$P$211,20,FALSE)</f>
        <v>#REF!</v>
      </c>
      <c r="V215" s="113" t="e">
        <f t="shared" si="84"/>
        <v>#REF!</v>
      </c>
      <c r="W215" s="105" t="e">
        <f t="shared" si="85"/>
        <v>#REF!</v>
      </c>
      <c r="X215" s="111" t="e">
        <f t="shared" si="76"/>
        <v>#REF!</v>
      </c>
      <c r="Y215" s="105" t="e">
        <f t="shared" si="77"/>
        <v>#REF!</v>
      </c>
      <c r="Z215" s="105">
        <f t="shared" si="78"/>
        <v>0</v>
      </c>
      <c r="AA215" s="105" t="e">
        <f t="shared" si="79"/>
        <v>#REF!</v>
      </c>
      <c r="AB215" s="111" t="e">
        <f t="shared" si="80"/>
        <v>#REF!</v>
      </c>
      <c r="AC215" s="111" t="e">
        <f t="shared" si="81"/>
        <v>#REF!</v>
      </c>
      <c r="AD215" s="105"/>
      <c r="AE215" s="111"/>
      <c r="AF215" s="111"/>
      <c r="AG215" s="105"/>
      <c r="AH215" s="111"/>
      <c r="AI215" s="105"/>
      <c r="AJ215" s="105"/>
      <c r="AK215" s="109"/>
      <c r="AL215" s="109"/>
      <c r="AM215" s="109"/>
    </row>
    <row r="216" spans="1:39" x14ac:dyDescent="0.15">
      <c r="A216" s="220">
        <v>735</v>
      </c>
      <c r="B216" s="98" t="e">
        <f>VLOOKUP($A216,'Vent Rate Calculation'!$A$4:$CS$209,68,FALSE)</f>
        <v>#REF!</v>
      </c>
      <c r="C216" s="98" t="str">
        <f>UPPER(VLOOKUP($A216,'Vent Rate Calculation'!$A$4:$CL$209,69,FALSE))</f>
        <v>409948</v>
      </c>
      <c r="D216" s="104" t="str">
        <f>VLOOKUP($A216,'Vent Rate Calculation'!$A$4:$AJ$209,5,FALSE)</f>
        <v>WASHINGTON METRO</v>
      </c>
      <c r="E216" s="104" t="str">
        <f>VLOOKUP($A216,'Vent Rate Calculation'!$A$4:$AJ$209,6,FALSE)</f>
        <v>WASHINGTON METRO</v>
      </c>
      <c r="F216" s="105">
        <f>VLOOKUP(A216,'Rate Calculation'!$A$3:$AT$210,35,FALSE)</f>
        <v>82314</v>
      </c>
      <c r="G216" s="105">
        <f>VLOOKUP(A216,'Rate Calculation'!$A$3:$AT$210,30,FALSE)</f>
        <v>102480</v>
      </c>
      <c r="H216" s="105">
        <f>VLOOKUP(A216,'Vent Rate Calculation'!$A$3:$AW$209,36,FALSE)+VLOOKUP(A216,'Vent Rate Calculation'!$A$3:$CC$209,42,FALSE)</f>
        <v>882444392</v>
      </c>
      <c r="I216" s="105" t="e">
        <f t="shared" si="73"/>
        <v>#REF!</v>
      </c>
      <c r="J216" s="105" t="str">
        <f>VLOOKUP(A216,'Rate Calculation'!$A$3:$BL$210,43,FALSE)</f>
        <v>Complete Care at Hyattsville LLC</v>
      </c>
      <c r="K216" s="105" t="e">
        <f t="shared" si="86"/>
        <v>#REF!</v>
      </c>
      <c r="L216" s="164">
        <f t="shared" si="74"/>
        <v>0.98772000000000004</v>
      </c>
      <c r="M216" s="105" t="e">
        <f t="shared" si="82"/>
        <v>#REF!</v>
      </c>
      <c r="N216" s="105">
        <v>285</v>
      </c>
      <c r="O216" s="105" t="e">
        <f t="shared" si="83"/>
        <v>#REF!</v>
      </c>
      <c r="P216" s="105" t="e">
        <f>VLOOKUP(A216,'Rate Calculation'!$A$4:$DK$210,47,FALSE)</f>
        <v>#DIV/0!</v>
      </c>
      <c r="Q216" s="106">
        <f>VLOOKUP(A216,'Rate Calculation'!$A$4:$DK$210,10,FALSE)</f>
        <v>1.0309999999999999</v>
      </c>
      <c r="R216" s="114">
        <f t="shared" si="75"/>
        <v>1.4432</v>
      </c>
      <c r="S216" s="106">
        <f>VLOOKUP(A216,'CMI Data'!$A$4:$K$209,11,FALSE)</f>
        <v>0</v>
      </c>
      <c r="T216" s="121">
        <f>VLOOKUP(A216,'Vent Rate Calculation'!$A$4:$P$210,16,FALSE)</f>
        <v>458.71</v>
      </c>
      <c r="U216" s="121" t="e">
        <f>VLOOKUP(A216,'Rate Calculation'!$A$4:$P$211,20,FALSE)</f>
        <v>#REF!</v>
      </c>
      <c r="V216" s="113" t="e">
        <f t="shared" si="84"/>
        <v>#REF!</v>
      </c>
      <c r="W216" s="105" t="e">
        <f t="shared" si="85"/>
        <v>#REF!</v>
      </c>
      <c r="X216" s="111" t="e">
        <f t="shared" si="76"/>
        <v>#REF!</v>
      </c>
      <c r="Y216" s="105" t="e">
        <f t="shared" si="77"/>
        <v>#REF!</v>
      </c>
      <c r="Z216" s="105">
        <f t="shared" si="78"/>
        <v>0</v>
      </c>
      <c r="AA216" s="105" t="e">
        <f t="shared" si="79"/>
        <v>#REF!</v>
      </c>
      <c r="AB216" s="111" t="e">
        <f t="shared" si="80"/>
        <v>#REF!</v>
      </c>
      <c r="AC216" s="111" t="e">
        <f t="shared" si="81"/>
        <v>#REF!</v>
      </c>
      <c r="AD216" s="105"/>
      <c r="AE216" s="111"/>
      <c r="AF216" s="111"/>
      <c r="AG216" s="105"/>
      <c r="AH216" s="111"/>
      <c r="AI216" s="105"/>
      <c r="AJ216" s="105"/>
      <c r="AK216" s="109"/>
      <c r="AL216" s="109"/>
      <c r="AM216" s="109"/>
    </row>
    <row r="217" spans="1:39" x14ac:dyDescent="0.15">
      <c r="A217" s="220">
        <v>342</v>
      </c>
      <c r="B217" s="98" t="e">
        <f>VLOOKUP($A217,'Vent Rate Calculation'!$A$4:$CS$209,68,FALSE)</f>
        <v>#REF!</v>
      </c>
      <c r="C217" s="98" t="str">
        <f>UPPER(VLOOKUP($A217,'Vent Rate Calculation'!$A$4:$CL$209,69,FALSE))</f>
        <v>69654</v>
      </c>
      <c r="D217" s="104" t="str">
        <f>VLOOKUP($A217,'Vent Rate Calculation'!$A$4:$AJ$209,5,FALSE)</f>
        <v>BALTIMORE METRO</v>
      </c>
      <c r="E217" s="104" t="str">
        <f>VLOOKUP($A217,'Vent Rate Calculation'!$A$4:$AJ$209,6,FALSE)</f>
        <v>BALTIMORE METRO</v>
      </c>
      <c r="F217" s="105">
        <f>VLOOKUP(A217,'Rate Calculation'!$A$3:$AT$210,35,FALSE)</f>
        <v>23965</v>
      </c>
      <c r="G217" s="105">
        <f>VLOOKUP(A217,'Rate Calculation'!$A$3:$AT$210,30,FALSE)</f>
        <v>43188</v>
      </c>
      <c r="H217" s="105">
        <f>VLOOKUP(A217,'Vent Rate Calculation'!$A$3:$AW$209,36,FALSE)+VLOOKUP(A217,'Vent Rate Calculation'!$A$3:$CC$209,42,FALSE)</f>
        <v>999715404</v>
      </c>
      <c r="I217" s="105" t="e">
        <f t="shared" si="73"/>
        <v>#REF!</v>
      </c>
      <c r="J217" s="105" t="str">
        <f>VLOOKUP(A217,'Rate Calculation'!$A$3:$BL$210,43,FALSE)</f>
        <v>Complete Care at Multi Medical Center, LLC</v>
      </c>
      <c r="K217" s="105" t="e">
        <f t="shared" si="86"/>
        <v>#REF!</v>
      </c>
      <c r="L217" s="164">
        <f t="shared" si="74"/>
        <v>0.98772000000000004</v>
      </c>
      <c r="M217" s="105" t="e">
        <f t="shared" si="82"/>
        <v>#REF!</v>
      </c>
      <c r="N217" s="105">
        <v>285</v>
      </c>
      <c r="O217" s="105" t="e">
        <f t="shared" si="83"/>
        <v>#REF!</v>
      </c>
      <c r="P217" s="105" t="e">
        <f>VLOOKUP(A217,'Rate Calculation'!$A$4:$DK$210,47,FALSE)</f>
        <v>#DIV/0!</v>
      </c>
      <c r="Q217" s="106">
        <f>VLOOKUP(A217,'Rate Calculation'!$A$4:$DK$210,10,FALSE)</f>
        <v>1.0309999999999999</v>
      </c>
      <c r="R217" s="114">
        <f t="shared" si="75"/>
        <v>1.4432</v>
      </c>
      <c r="S217" s="106">
        <f>VLOOKUP(A217,'CMI Data'!$A$4:$K$209,11,FALSE)</f>
        <v>0</v>
      </c>
      <c r="T217" s="121">
        <f>VLOOKUP(A217,'Vent Rate Calculation'!$A$4:$P$210,16,FALSE)</f>
        <v>509.06</v>
      </c>
      <c r="U217" s="121" t="e">
        <f>VLOOKUP(A217,'Rate Calculation'!$A$4:$P$211,20,FALSE)</f>
        <v>#REF!</v>
      </c>
      <c r="V217" s="113" t="e">
        <f t="shared" si="84"/>
        <v>#REF!</v>
      </c>
      <c r="W217" s="105" t="e">
        <f t="shared" si="85"/>
        <v>#REF!</v>
      </c>
      <c r="X217" s="111" t="e">
        <f t="shared" si="76"/>
        <v>#REF!</v>
      </c>
      <c r="Y217" s="105" t="e">
        <f t="shared" si="77"/>
        <v>#REF!</v>
      </c>
      <c r="Z217" s="105">
        <f t="shared" si="78"/>
        <v>0</v>
      </c>
      <c r="AA217" s="105" t="e">
        <f t="shared" si="79"/>
        <v>#REF!</v>
      </c>
      <c r="AB217" s="111" t="e">
        <f t="shared" si="80"/>
        <v>#REF!</v>
      </c>
      <c r="AC217" s="111" t="e">
        <f t="shared" si="81"/>
        <v>#REF!</v>
      </c>
      <c r="AD217" s="105"/>
      <c r="AE217" s="111"/>
      <c r="AF217" s="111"/>
      <c r="AG217" s="105"/>
      <c r="AH217" s="111"/>
      <c r="AI217" s="105"/>
      <c r="AJ217" s="105"/>
      <c r="AK217" s="109"/>
      <c r="AL217" s="109"/>
      <c r="AM217" s="109"/>
    </row>
    <row r="218" spans="1:39" x14ac:dyDescent="0.15">
      <c r="A218" s="220">
        <v>26</v>
      </c>
      <c r="B218" s="98" t="e">
        <f>VLOOKUP($A218,'Vent Rate Calculation'!$A$4:$CS$209,68,FALSE)</f>
        <v>#REF!</v>
      </c>
      <c r="C218" s="98" t="str">
        <f>UPPER(VLOOKUP($A218,'Vent Rate Calculation'!$A$4:$CL$209,69,FALSE))</f>
        <v>102106</v>
      </c>
      <c r="D218" s="104" t="str">
        <f>VLOOKUP($A218,'Vent Rate Calculation'!$A$4:$AJ$209,5,FALSE)</f>
        <v>WASHINGTON METRO</v>
      </c>
      <c r="E218" s="104" t="str">
        <f>VLOOKUP($A218,'Vent Rate Calculation'!$A$4:$AJ$209,6,FALSE)</f>
        <v>WASHINGTON METRO</v>
      </c>
      <c r="F218" s="105">
        <f>VLOOKUP(A218,'Rate Calculation'!$A$3:$AT$210,35,FALSE)</f>
        <v>26860</v>
      </c>
      <c r="G218" s="105">
        <f>VLOOKUP(A218,'Rate Calculation'!$A$3:$AT$210,30,FALSE)</f>
        <v>33672</v>
      </c>
      <c r="H218" s="105">
        <f>VLOOKUP(A218,'Vent Rate Calculation'!$A$3:$AW$209,36,FALSE)+VLOOKUP(A218,'Vent Rate Calculation'!$A$3:$CC$209,42,FALSE)</f>
        <v>553236574</v>
      </c>
      <c r="I218" s="105" t="e">
        <f t="shared" si="73"/>
        <v>#REF!</v>
      </c>
      <c r="J218" s="105" t="str">
        <f>VLOOKUP(A218,'Rate Calculation'!$A$3:$BL$210,43,FALSE)</f>
        <v>Fairland Center</v>
      </c>
      <c r="K218" s="105" t="e">
        <f t="shared" si="86"/>
        <v>#REF!</v>
      </c>
      <c r="L218" s="164">
        <f t="shared" si="74"/>
        <v>0.98772000000000004</v>
      </c>
      <c r="M218" s="105" t="e">
        <f t="shared" si="82"/>
        <v>#REF!</v>
      </c>
      <c r="N218" s="105">
        <v>285</v>
      </c>
      <c r="O218" s="105" t="e">
        <f t="shared" si="83"/>
        <v>#REF!</v>
      </c>
      <c r="P218" s="105" t="e">
        <f>VLOOKUP(A218,'Rate Calculation'!$A$4:$DK$210,47,FALSE)</f>
        <v>#DIV/0!</v>
      </c>
      <c r="Q218" s="106">
        <f>VLOOKUP(A218,'Rate Calculation'!$A$4:$DK$210,10,FALSE)</f>
        <v>1.0309999999999999</v>
      </c>
      <c r="R218" s="114">
        <f t="shared" si="75"/>
        <v>1.4432</v>
      </c>
      <c r="S218" s="106">
        <f>VLOOKUP(A218,'CMI Data'!$A$4:$K$209,11,FALSE)</f>
        <v>0</v>
      </c>
      <c r="T218" s="121">
        <f>VLOOKUP(A218,'Vent Rate Calculation'!$A$4:$P$210,16,FALSE)</f>
        <v>458.71</v>
      </c>
      <c r="U218" s="121" t="e">
        <f>VLOOKUP(A218,'Rate Calculation'!$A$4:$P$211,20,FALSE)</f>
        <v>#REF!</v>
      </c>
      <c r="V218" s="113" t="e">
        <f t="shared" si="84"/>
        <v>#REF!</v>
      </c>
      <c r="W218" s="105" t="e">
        <f t="shared" si="85"/>
        <v>#REF!</v>
      </c>
      <c r="X218" s="111" t="e">
        <f t="shared" si="76"/>
        <v>#REF!</v>
      </c>
      <c r="Y218" s="105" t="e">
        <f t="shared" si="77"/>
        <v>#REF!</v>
      </c>
      <c r="Z218" s="105">
        <f t="shared" si="78"/>
        <v>0</v>
      </c>
      <c r="AA218" s="105" t="e">
        <f t="shared" si="79"/>
        <v>#REF!</v>
      </c>
      <c r="AB218" s="111" t="e">
        <f t="shared" si="80"/>
        <v>#REF!</v>
      </c>
      <c r="AC218" s="111" t="e">
        <f t="shared" si="81"/>
        <v>#REF!</v>
      </c>
      <c r="AD218" s="105"/>
      <c r="AE218" s="111"/>
      <c r="AF218" s="111"/>
      <c r="AG218" s="105"/>
      <c r="AH218" s="111"/>
      <c r="AI218" s="105"/>
      <c r="AJ218" s="105"/>
      <c r="AK218" s="109"/>
      <c r="AL218" s="109"/>
      <c r="AM218" s="109"/>
    </row>
    <row r="219" spans="1:39" x14ac:dyDescent="0.15">
      <c r="A219" s="220">
        <v>1366</v>
      </c>
      <c r="B219" s="98" t="e">
        <f>VLOOKUP($A219,'Vent Rate Calculation'!$A$4:$CS$209,68,FALSE)</f>
        <v>#REF!</v>
      </c>
      <c r="C219" s="98" t="str">
        <f>UPPER(VLOOKUP($A219,'Vent Rate Calculation'!$A$4:$CL$209,69,FALSE))</f>
        <v>291027</v>
      </c>
      <c r="D219" s="104" t="str">
        <f>VLOOKUP($A219,'Vent Rate Calculation'!$A$4:$AJ$209,5,FALSE)</f>
        <v>WASHINGTON METRO</v>
      </c>
      <c r="E219" s="104" t="str">
        <f>VLOOKUP($A219,'Vent Rate Calculation'!$A$4:$AJ$209,6,FALSE)</f>
        <v>WASHINGTON METRO</v>
      </c>
      <c r="F219" s="105">
        <f>VLOOKUP(A219,'Rate Calculation'!$A$3:$AT$210,35,FALSE)</f>
        <v>27327</v>
      </c>
      <c r="G219" s="105">
        <f>VLOOKUP(A219,'Rate Calculation'!$A$3:$AT$210,30,FALSE)</f>
        <v>54900</v>
      </c>
      <c r="H219" s="105">
        <f>VLOOKUP(A219,'Vent Rate Calculation'!$A$3:$AW$209,36,FALSE)+VLOOKUP(A219,'Vent Rate Calculation'!$A$3:$CC$209,42,FALSE)</f>
        <v>280075857</v>
      </c>
      <c r="I219" s="105" t="e">
        <f t="shared" si="73"/>
        <v>#REF!</v>
      </c>
      <c r="J219" s="105" t="str">
        <f>VLOOKUP(A219,'Rate Calculation'!$A$3:$BL$210,43,FALSE)</f>
        <v>FutureCare - Capital Region</v>
      </c>
      <c r="K219" s="105" t="e">
        <f t="shared" si="86"/>
        <v>#REF!</v>
      </c>
      <c r="L219" s="164">
        <f t="shared" si="74"/>
        <v>0.98772000000000004</v>
      </c>
      <c r="M219" s="105" t="e">
        <f t="shared" si="82"/>
        <v>#REF!</v>
      </c>
      <c r="N219" s="105">
        <v>285</v>
      </c>
      <c r="O219" s="105" t="e">
        <f t="shared" si="83"/>
        <v>#REF!</v>
      </c>
      <c r="P219" s="105" t="e">
        <f>VLOOKUP(A219,'Rate Calculation'!$A$4:$DK$210,47,FALSE)</f>
        <v>#DIV/0!</v>
      </c>
      <c r="Q219" s="106">
        <f>VLOOKUP(A219,'Rate Calculation'!$A$4:$DK$210,10,FALSE)</f>
        <v>1.0309999999999999</v>
      </c>
      <c r="R219" s="114">
        <f t="shared" si="75"/>
        <v>1.4432</v>
      </c>
      <c r="S219" s="106">
        <f>VLOOKUP(A219,'CMI Data'!$A$4:$K$209,11,FALSE)</f>
        <v>0</v>
      </c>
      <c r="T219" s="121">
        <f>VLOOKUP(A219,'Vent Rate Calculation'!$A$4:$P$210,16,FALSE)</f>
        <v>458.7</v>
      </c>
      <c r="U219" s="121" t="e">
        <f>VLOOKUP(A219,'Rate Calculation'!$A$4:$P$211,20,FALSE)</f>
        <v>#REF!</v>
      </c>
      <c r="V219" s="113" t="e">
        <f t="shared" si="84"/>
        <v>#REF!</v>
      </c>
      <c r="W219" s="105" t="e">
        <f t="shared" si="85"/>
        <v>#REF!</v>
      </c>
      <c r="X219" s="111" t="e">
        <f t="shared" si="76"/>
        <v>#REF!</v>
      </c>
      <c r="Y219" s="105" t="e">
        <f t="shared" si="77"/>
        <v>#REF!</v>
      </c>
      <c r="Z219" s="105">
        <f t="shared" si="78"/>
        <v>0</v>
      </c>
      <c r="AA219" s="105" t="e">
        <f t="shared" si="79"/>
        <v>#REF!</v>
      </c>
      <c r="AB219" s="111" t="e">
        <f t="shared" si="80"/>
        <v>#REF!</v>
      </c>
      <c r="AC219" s="111" t="e">
        <f t="shared" si="81"/>
        <v>#REF!</v>
      </c>
      <c r="AD219" s="105"/>
      <c r="AE219" s="111"/>
      <c r="AF219" s="111"/>
      <c r="AG219" s="105"/>
      <c r="AH219" s="111"/>
      <c r="AI219" s="105"/>
      <c r="AJ219" s="105"/>
      <c r="AK219" s="109"/>
      <c r="AL219" s="109"/>
      <c r="AM219" s="109"/>
    </row>
    <row r="220" spans="1:39" x14ac:dyDescent="0.15">
      <c r="A220" s="220">
        <v>186</v>
      </c>
      <c r="B220" s="98" t="e">
        <f>VLOOKUP($A220,'Vent Rate Calculation'!$A$4:$CS$209,68,FALSE)</f>
        <v>#REF!</v>
      </c>
      <c r="C220" s="98" t="str">
        <f>UPPER(VLOOKUP($A220,'Vent Rate Calculation'!$A$4:$CL$209,69,FALSE))</f>
        <v>149998</v>
      </c>
      <c r="D220" s="104" t="str">
        <f>VLOOKUP($A220,'Vent Rate Calculation'!$A$4:$AJ$209,5,FALSE)</f>
        <v>BALTIMORE METRO</v>
      </c>
      <c r="E220" s="104" t="str">
        <f>VLOOKUP($A220,'Vent Rate Calculation'!$A$4:$AJ$209,6,FALSE)</f>
        <v>BALTIMORE CITY</v>
      </c>
      <c r="F220" s="105">
        <f>VLOOKUP(A220,'Rate Calculation'!$A$3:$AT$210,35,FALSE)</f>
        <v>38478</v>
      </c>
      <c r="G220" s="105">
        <f>VLOOKUP(A220,'Rate Calculation'!$A$3:$AT$210,30,FALSE)</f>
        <v>54168</v>
      </c>
      <c r="H220" s="105">
        <f>VLOOKUP(A220,'Vent Rate Calculation'!$A$3:$AW$209,36,FALSE)+VLOOKUP(A220,'Vent Rate Calculation'!$A$3:$CC$209,42,FALSE)</f>
        <v>842873728</v>
      </c>
      <c r="I220" s="105" t="e">
        <f t="shared" si="73"/>
        <v>#REF!</v>
      </c>
      <c r="J220" s="105" t="str">
        <f>VLOOKUP(A220,'Rate Calculation'!$A$3:$BL$210,43,FALSE)</f>
        <v>FutureCare - Homewood</v>
      </c>
      <c r="K220" s="105" t="e">
        <f t="shared" si="86"/>
        <v>#REF!</v>
      </c>
      <c r="L220" s="164">
        <f t="shared" si="74"/>
        <v>0.98772000000000004</v>
      </c>
      <c r="M220" s="105" t="e">
        <f t="shared" si="82"/>
        <v>#REF!</v>
      </c>
      <c r="N220" s="105">
        <v>285</v>
      </c>
      <c r="O220" s="105" t="e">
        <f t="shared" si="83"/>
        <v>#REF!</v>
      </c>
      <c r="P220" s="105" t="e">
        <f>VLOOKUP(A220,'Rate Calculation'!$A$4:$DK$210,47,FALSE)</f>
        <v>#DIV/0!</v>
      </c>
      <c r="Q220" s="106">
        <f>VLOOKUP(A220,'Rate Calculation'!$A$4:$DK$210,10,FALSE)</f>
        <v>1.0309999999999999</v>
      </c>
      <c r="R220" s="114">
        <f t="shared" si="75"/>
        <v>1.4432</v>
      </c>
      <c r="S220" s="106">
        <f>VLOOKUP(A220,'CMI Data'!$A$4:$K$209,11,FALSE)</f>
        <v>0</v>
      </c>
      <c r="T220" s="121">
        <f>VLOOKUP(A220,'Vent Rate Calculation'!$A$4:$P$210,16,FALSE)</f>
        <v>487.07</v>
      </c>
      <c r="U220" s="121" t="e">
        <f>VLOOKUP(A220,'Rate Calculation'!$A$4:$P$211,20,FALSE)</f>
        <v>#REF!</v>
      </c>
      <c r="V220" s="113" t="e">
        <f t="shared" si="84"/>
        <v>#REF!</v>
      </c>
      <c r="W220" s="105" t="e">
        <f t="shared" si="85"/>
        <v>#REF!</v>
      </c>
      <c r="X220" s="111" t="e">
        <f t="shared" si="76"/>
        <v>#REF!</v>
      </c>
      <c r="Y220" s="105" t="e">
        <f t="shared" si="77"/>
        <v>#REF!</v>
      </c>
      <c r="Z220" s="105">
        <f t="shared" si="78"/>
        <v>0</v>
      </c>
      <c r="AA220" s="105" t="e">
        <f t="shared" si="79"/>
        <v>#REF!</v>
      </c>
      <c r="AB220" s="111" t="e">
        <f t="shared" si="80"/>
        <v>#REF!</v>
      </c>
      <c r="AC220" s="111" t="e">
        <f t="shared" si="81"/>
        <v>#REF!</v>
      </c>
      <c r="AD220" s="105"/>
      <c r="AE220" s="111"/>
      <c r="AF220" s="111"/>
      <c r="AG220" s="105"/>
      <c r="AH220" s="111"/>
      <c r="AI220" s="105"/>
      <c r="AJ220" s="105"/>
      <c r="AK220" s="109"/>
      <c r="AL220" s="109"/>
      <c r="AM220" s="109"/>
    </row>
    <row r="221" spans="1:39" x14ac:dyDescent="0.15">
      <c r="A221" s="220">
        <v>713</v>
      </c>
      <c r="B221" s="98" t="e">
        <f>VLOOKUP($A221,'Vent Rate Calculation'!$A$4:$CS$209,68,FALSE)</f>
        <v>#REF!</v>
      </c>
      <c r="C221" s="98" t="str">
        <f>UPPER(VLOOKUP($A221,'Vent Rate Calculation'!$A$4:$CL$209,69,FALSE))</f>
        <v>72127</v>
      </c>
      <c r="D221" s="104" t="str">
        <f>VLOOKUP($A221,'Vent Rate Calculation'!$A$4:$AJ$209,5,FALSE)</f>
        <v>BALTIMORE METRO</v>
      </c>
      <c r="E221" s="104" t="str">
        <f>VLOOKUP($A221,'Vent Rate Calculation'!$A$4:$AJ$209,6,FALSE)</f>
        <v>BALTIMORE CITY</v>
      </c>
      <c r="F221" s="105">
        <f>VLOOKUP(A221,'Rate Calculation'!$A$3:$AT$210,35,FALSE)</f>
        <v>56395</v>
      </c>
      <c r="G221" s="105">
        <f>VLOOKUP(A221,'Rate Calculation'!$A$3:$AT$210,30,FALSE)</f>
        <v>73200</v>
      </c>
      <c r="H221" s="105">
        <f>VLOOKUP(A221,'Vent Rate Calculation'!$A$3:$AW$209,36,FALSE)+VLOOKUP(A221,'Vent Rate Calculation'!$A$3:$CC$209,42,FALSE)</f>
        <v>400515444</v>
      </c>
      <c r="I221" s="105" t="e">
        <f t="shared" si="73"/>
        <v>#REF!</v>
      </c>
      <c r="J221" s="105" t="str">
        <f>VLOOKUP(A221,'Rate Calculation'!$A$3:$BL$210,43,FALSE)</f>
        <v>FutureCare - Irvington, LLC</v>
      </c>
      <c r="K221" s="105" t="e">
        <f t="shared" si="86"/>
        <v>#REF!</v>
      </c>
      <c r="L221" s="164">
        <f t="shared" si="74"/>
        <v>0.98772000000000004</v>
      </c>
      <c r="M221" s="105" t="e">
        <f t="shared" si="82"/>
        <v>#REF!</v>
      </c>
      <c r="N221" s="105">
        <v>285</v>
      </c>
      <c r="O221" s="105" t="e">
        <f t="shared" si="83"/>
        <v>#REF!</v>
      </c>
      <c r="P221" s="105" t="e">
        <f>VLOOKUP(A221,'Rate Calculation'!$A$4:$DK$210,47,FALSE)</f>
        <v>#DIV/0!</v>
      </c>
      <c r="Q221" s="106">
        <f>VLOOKUP(A221,'Rate Calculation'!$A$4:$DK$210,10,FALSE)</f>
        <v>1.0309999999999999</v>
      </c>
      <c r="R221" s="114">
        <f t="shared" si="75"/>
        <v>1.4432</v>
      </c>
      <c r="S221" s="106">
        <f>VLOOKUP(A221,'CMI Data'!$A$4:$K$209,11,FALSE)</f>
        <v>0</v>
      </c>
      <c r="T221" s="121">
        <f>VLOOKUP(A221,'Vent Rate Calculation'!$A$4:$P$210,16,FALSE)</f>
        <v>509.05</v>
      </c>
      <c r="U221" s="121" t="e">
        <f>VLOOKUP(A221,'Rate Calculation'!$A$4:$P$211,20,FALSE)</f>
        <v>#REF!</v>
      </c>
      <c r="V221" s="113" t="e">
        <f t="shared" si="84"/>
        <v>#REF!</v>
      </c>
      <c r="W221" s="105" t="e">
        <f t="shared" si="85"/>
        <v>#REF!</v>
      </c>
      <c r="X221" s="111" t="e">
        <f t="shared" si="76"/>
        <v>#REF!</v>
      </c>
      <c r="Y221" s="105" t="e">
        <f t="shared" si="77"/>
        <v>#REF!</v>
      </c>
      <c r="Z221" s="105">
        <f t="shared" si="78"/>
        <v>0</v>
      </c>
      <c r="AA221" s="105" t="e">
        <f t="shared" si="79"/>
        <v>#REF!</v>
      </c>
      <c r="AB221" s="111" t="e">
        <f t="shared" si="80"/>
        <v>#REF!</v>
      </c>
      <c r="AC221" s="111" t="e">
        <f t="shared" si="81"/>
        <v>#REF!</v>
      </c>
      <c r="AD221" s="105"/>
      <c r="AE221" s="111"/>
      <c r="AF221" s="111"/>
      <c r="AG221" s="105"/>
      <c r="AH221" s="111"/>
      <c r="AI221" s="105"/>
      <c r="AJ221" s="105"/>
      <c r="AK221" s="109"/>
      <c r="AL221" s="109"/>
      <c r="AM221" s="109"/>
    </row>
    <row r="222" spans="1:39" x14ac:dyDescent="0.15">
      <c r="A222" s="220">
        <v>192</v>
      </c>
      <c r="B222" s="98" t="e">
        <f>VLOOKUP($A222,'Vent Rate Calculation'!$A$4:$CS$209,68,FALSE)</f>
        <v>#REF!</v>
      </c>
      <c r="C222" s="98" t="str">
        <f>UPPER(VLOOKUP($A222,'Vent Rate Calculation'!$A$4:$CL$209,69,FALSE))</f>
        <v>235454</v>
      </c>
      <c r="D222" s="104" t="str">
        <f>VLOOKUP($A222,'Vent Rate Calculation'!$A$4:$AJ$209,5,FALSE)</f>
        <v>WASHINGTON METRO</v>
      </c>
      <c r="E222" s="104" t="str">
        <f>VLOOKUP($A222,'Vent Rate Calculation'!$A$4:$AJ$209,6,FALSE)</f>
        <v>WASHINGTON METRO</v>
      </c>
      <c r="F222" s="105">
        <f>VLOOKUP(A222,'Rate Calculation'!$A$3:$AT$210,35,FALSE)</f>
        <v>50894</v>
      </c>
      <c r="G222" s="105">
        <f>VLOOKUP(A222,'Rate Calculation'!$A$3:$AT$210,30,FALSE)</f>
        <v>65880</v>
      </c>
      <c r="H222" s="105">
        <f>VLOOKUP(A222,'Vent Rate Calculation'!$A$3:$AW$209,36,FALSE)+VLOOKUP(A222,'Vent Rate Calculation'!$A$3:$CC$209,42,FALSE)</f>
        <v>160138713</v>
      </c>
      <c r="I222" s="105" t="e">
        <f t="shared" si="73"/>
        <v>#REF!</v>
      </c>
      <c r="J222" s="105" t="str">
        <f>VLOOKUP(A222,'Rate Calculation'!$A$3:$BL$210,43,FALSE)</f>
        <v>FutureCare - Pineview</v>
      </c>
      <c r="K222" s="105" t="e">
        <f t="shared" si="86"/>
        <v>#REF!</v>
      </c>
      <c r="L222" s="164">
        <f t="shared" si="74"/>
        <v>0.98772000000000004</v>
      </c>
      <c r="M222" s="105" t="e">
        <f t="shared" si="82"/>
        <v>#REF!</v>
      </c>
      <c r="N222" s="105">
        <v>285</v>
      </c>
      <c r="O222" s="105" t="e">
        <f t="shared" si="83"/>
        <v>#REF!</v>
      </c>
      <c r="P222" s="105" t="e">
        <f>VLOOKUP(A222,'Rate Calculation'!$A$4:$DK$210,47,FALSE)</f>
        <v>#DIV/0!</v>
      </c>
      <c r="Q222" s="106">
        <f>VLOOKUP(A222,'Rate Calculation'!$A$4:$DK$210,10,FALSE)</f>
        <v>1.0309999999999999</v>
      </c>
      <c r="R222" s="114">
        <f t="shared" si="75"/>
        <v>1.4432</v>
      </c>
      <c r="S222" s="106">
        <f>VLOOKUP(A222,'CMI Data'!$A$4:$K$209,11,FALSE)</f>
        <v>0</v>
      </c>
      <c r="T222" s="121">
        <f>VLOOKUP(A222,'Vent Rate Calculation'!$A$4:$P$210,16,FALSE)</f>
        <v>448.95</v>
      </c>
      <c r="U222" s="121" t="e">
        <f>VLOOKUP(A222,'Rate Calculation'!$A$4:$P$211,20,FALSE)</f>
        <v>#REF!</v>
      </c>
      <c r="V222" s="113" t="e">
        <f t="shared" si="84"/>
        <v>#REF!</v>
      </c>
      <c r="W222" s="105" t="e">
        <f t="shared" si="85"/>
        <v>#REF!</v>
      </c>
      <c r="X222" s="111" t="e">
        <f t="shared" si="76"/>
        <v>#REF!</v>
      </c>
      <c r="Y222" s="105" t="e">
        <f t="shared" si="77"/>
        <v>#REF!</v>
      </c>
      <c r="Z222" s="105">
        <f t="shared" si="78"/>
        <v>0</v>
      </c>
      <c r="AA222" s="105" t="e">
        <f t="shared" si="79"/>
        <v>#REF!</v>
      </c>
      <c r="AB222" s="111" t="e">
        <f t="shared" si="80"/>
        <v>#REF!</v>
      </c>
      <c r="AC222" s="111" t="e">
        <f t="shared" si="81"/>
        <v>#REF!</v>
      </c>
      <c r="AD222" s="105"/>
      <c r="AE222" s="111"/>
      <c r="AF222" s="111"/>
      <c r="AG222" s="105"/>
      <c r="AH222" s="111"/>
      <c r="AI222" s="105"/>
      <c r="AJ222" s="105"/>
      <c r="AK222" s="109"/>
      <c r="AL222" s="109"/>
      <c r="AM222" s="109"/>
    </row>
    <row r="223" spans="1:39" x14ac:dyDescent="0.15">
      <c r="A223" s="220">
        <v>270</v>
      </c>
      <c r="B223" s="98" t="e">
        <f>VLOOKUP($A223,'Vent Rate Calculation'!$A$4:$CS$209,68,FALSE)</f>
        <v>#REF!</v>
      </c>
      <c r="C223" s="98" t="str">
        <f>UPPER(VLOOKUP($A223,'Vent Rate Calculation'!$A$4:$CL$209,69,FALSE))</f>
        <v>0</v>
      </c>
      <c r="D223" s="104" t="str">
        <f>VLOOKUP($A223,'Vent Rate Calculation'!$A$4:$AJ$209,5,FALSE)</f>
        <v>BALTIMORE METRO</v>
      </c>
      <c r="E223" s="104" t="str">
        <f>VLOOKUP($A223,'Vent Rate Calculation'!$A$4:$AJ$209,6,FALSE)</f>
        <v>BALTIMORE CITY</v>
      </c>
      <c r="F223" s="105">
        <f>VLOOKUP(A223,'Rate Calculation'!$A$3:$AT$210,35,FALSE)</f>
        <v>56205</v>
      </c>
      <c r="G223" s="105">
        <f>VLOOKUP(A223,'Rate Calculation'!$A$3:$AT$210,30,FALSE)</f>
        <v>76860</v>
      </c>
      <c r="H223" s="105">
        <f>VLOOKUP(A223,'Vent Rate Calculation'!$A$3:$AW$209,36,FALSE)+VLOOKUP(A223,'Vent Rate Calculation'!$A$3:$CC$209,42,FALSE)</f>
        <v>139696494</v>
      </c>
      <c r="I223" s="105" t="e">
        <f t="shared" si="73"/>
        <v>#REF!</v>
      </c>
      <c r="J223" s="105" t="str">
        <f>VLOOKUP(A223,'Rate Calculation'!$A$3:$BL$210,43,FALSE)</f>
        <v>Levindale Hebrew Geriatric Center &amp; Hospital, Inc.</v>
      </c>
      <c r="K223" s="105" t="e">
        <f t="shared" si="86"/>
        <v>#REF!</v>
      </c>
      <c r="L223" s="164">
        <f t="shared" si="74"/>
        <v>0.98772000000000004</v>
      </c>
      <c r="M223" s="105" t="e">
        <f t="shared" si="82"/>
        <v>#REF!</v>
      </c>
      <c r="N223" s="105">
        <v>285</v>
      </c>
      <c r="O223" s="105" t="e">
        <f t="shared" si="83"/>
        <v>#REF!</v>
      </c>
      <c r="P223" s="105" t="e">
        <f>VLOOKUP(A223,'Rate Calculation'!$A$4:$DK$210,47,FALSE)</f>
        <v>#DIV/0!</v>
      </c>
      <c r="Q223" s="106">
        <f>VLOOKUP(A223,'Rate Calculation'!$A$4:$DK$210,10,FALSE)</f>
        <v>1.0309999999999999</v>
      </c>
      <c r="R223" s="114">
        <f t="shared" si="75"/>
        <v>1.4432</v>
      </c>
      <c r="S223" s="106">
        <f>VLOOKUP(A223,'CMI Data'!$A$4:$K$209,11,FALSE)</f>
        <v>0</v>
      </c>
      <c r="T223" s="121">
        <f>VLOOKUP(A223,'Vent Rate Calculation'!$A$4:$P$210,16,FALSE)</f>
        <v>468.31</v>
      </c>
      <c r="U223" s="121" t="e">
        <f>VLOOKUP(A223,'Rate Calculation'!$A$4:$P$211,20,FALSE)</f>
        <v>#REF!</v>
      </c>
      <c r="V223" s="113" t="e">
        <f t="shared" si="84"/>
        <v>#REF!</v>
      </c>
      <c r="W223" s="105" t="e">
        <f t="shared" si="85"/>
        <v>#REF!</v>
      </c>
      <c r="X223" s="111" t="e">
        <f t="shared" si="76"/>
        <v>#REF!</v>
      </c>
      <c r="Y223" s="105" t="e">
        <f t="shared" si="77"/>
        <v>#REF!</v>
      </c>
      <c r="Z223" s="105">
        <f t="shared" si="78"/>
        <v>0</v>
      </c>
      <c r="AA223" s="105" t="e">
        <f t="shared" si="79"/>
        <v>#REF!</v>
      </c>
      <c r="AB223" s="111" t="e">
        <f t="shared" si="80"/>
        <v>#REF!</v>
      </c>
      <c r="AC223" s="111" t="e">
        <f t="shared" si="81"/>
        <v>#REF!</v>
      </c>
      <c r="AD223" s="105"/>
      <c r="AE223" s="111"/>
      <c r="AF223" s="111"/>
      <c r="AG223" s="105"/>
      <c r="AH223" s="111"/>
      <c r="AI223" s="105"/>
      <c r="AJ223" s="105"/>
      <c r="AK223" s="109"/>
      <c r="AL223" s="109"/>
      <c r="AM223" s="109"/>
    </row>
    <row r="224" spans="1:39" x14ac:dyDescent="0.15">
      <c r="A224" s="101">
        <v>1232</v>
      </c>
      <c r="B224" s="98" t="e">
        <f>VLOOKUP($A224,'Vent Rate Calculation'!$A$4:$CS$209,68,FALSE)</f>
        <v>#REF!</v>
      </c>
      <c r="C224" s="98" t="str">
        <f>UPPER(VLOOKUP($A224,'Vent Rate Calculation'!$A$4:$CL$209,69,FALSE))</f>
        <v>93385</v>
      </c>
      <c r="D224" s="104" t="str">
        <f>VLOOKUP($A224,'Vent Rate Calculation'!$A$4:$AJ$209,5,FALSE)</f>
        <v>BALTIMORE METRO</v>
      </c>
      <c r="E224" s="104" t="str">
        <f>VLOOKUP($A224,'Vent Rate Calculation'!$A$4:$AJ$209,6,FALSE)</f>
        <v>BALTIMORE METRO</v>
      </c>
      <c r="F224" s="105">
        <f>VLOOKUP(A224,'Rate Calculation'!$A$3:$AT$210,35,FALSE)</f>
        <v>20134</v>
      </c>
      <c r="G224" s="105">
        <f>VLOOKUP(A224,'Rate Calculation'!$A$3:$AT$210,30,FALSE)</f>
        <v>28548</v>
      </c>
      <c r="H224" s="105">
        <f>VLOOKUP(A224,'Vent Rate Calculation'!$A$3:$AW$209,36,FALSE)+VLOOKUP(A224,'Vent Rate Calculation'!$A$3:$CC$209,42,FALSE)</f>
        <v>421548136</v>
      </c>
      <c r="I224" s="105" t="e">
        <f t="shared" si="73"/>
        <v>#REF!</v>
      </c>
      <c r="J224" s="105" t="str">
        <f>VLOOKUP(A224,'Rate Calculation'!$A$3:$BL$210,43,FALSE)</f>
        <v>Lorien Bulle Rock</v>
      </c>
      <c r="K224" s="105" t="e">
        <f t="shared" si="86"/>
        <v>#REF!</v>
      </c>
      <c r="L224" s="164">
        <f t="shared" si="74"/>
        <v>0.98772000000000004</v>
      </c>
      <c r="M224" s="105" t="e">
        <f t="shared" si="82"/>
        <v>#REF!</v>
      </c>
      <c r="N224" s="105">
        <v>285</v>
      </c>
      <c r="O224" s="105" t="e">
        <f t="shared" si="83"/>
        <v>#REF!</v>
      </c>
      <c r="P224" s="105" t="e">
        <f>VLOOKUP(A224,'Rate Calculation'!$A$4:$DK$210,47,FALSE)</f>
        <v>#DIV/0!</v>
      </c>
      <c r="Q224" s="106">
        <f>VLOOKUP(A224,'Rate Calculation'!$A$4:$DK$210,10,FALSE)</f>
        <v>1.0309999999999999</v>
      </c>
      <c r="R224" s="114">
        <f t="shared" si="75"/>
        <v>1.4432</v>
      </c>
      <c r="S224" s="106">
        <f>VLOOKUP(A224,'CMI Data'!$A$4:$K$209,11,FALSE)</f>
        <v>0</v>
      </c>
      <c r="T224" s="121">
        <f>VLOOKUP(A224,'Vent Rate Calculation'!$A$4:$P$210,16,FALSE)</f>
        <v>509.06</v>
      </c>
      <c r="U224" s="121" t="e">
        <f>VLOOKUP(A224,'Rate Calculation'!$A$4:$P$211,20,FALSE)</f>
        <v>#REF!</v>
      </c>
      <c r="V224" s="113" t="e">
        <f t="shared" si="84"/>
        <v>#REF!</v>
      </c>
      <c r="W224" s="105" t="e">
        <f t="shared" si="85"/>
        <v>#REF!</v>
      </c>
      <c r="X224" s="111" t="e">
        <f t="shared" si="76"/>
        <v>#REF!</v>
      </c>
      <c r="Y224" s="105" t="e">
        <f t="shared" si="77"/>
        <v>#REF!</v>
      </c>
      <c r="Z224" s="105">
        <f t="shared" si="78"/>
        <v>0</v>
      </c>
      <c r="AA224" s="105" t="e">
        <f t="shared" si="79"/>
        <v>#REF!</v>
      </c>
      <c r="AB224" s="111" t="e">
        <f t="shared" si="80"/>
        <v>#REF!</v>
      </c>
      <c r="AC224" s="111" t="e">
        <f t="shared" si="81"/>
        <v>#REF!</v>
      </c>
      <c r="AD224" s="105"/>
      <c r="AE224" s="111"/>
      <c r="AF224" s="111"/>
      <c r="AG224" s="105"/>
      <c r="AH224" s="111"/>
      <c r="AI224" s="105"/>
      <c r="AJ224" s="105"/>
      <c r="AK224" s="109"/>
      <c r="AL224" s="109"/>
      <c r="AM224" s="109"/>
    </row>
    <row r="225" spans="1:60" x14ac:dyDescent="0.15">
      <c r="A225" s="220">
        <v>290</v>
      </c>
      <c r="B225" s="98" t="e">
        <f>VLOOKUP($A225,'Vent Rate Calculation'!$A$4:$CS$209,68,FALSE)</f>
        <v>#REF!</v>
      </c>
      <c r="C225" s="98" t="str">
        <f>UPPER(VLOOKUP($A225,'Vent Rate Calculation'!$A$4:$CL$209,69,FALSE))</f>
        <v>38936</v>
      </c>
      <c r="D225" s="104" t="str">
        <f>VLOOKUP($A225,'Vent Rate Calculation'!$A$4:$AJ$209,5,FALSE)</f>
        <v>BALTIMORE METRO</v>
      </c>
      <c r="E225" s="104" t="str">
        <f>VLOOKUP($A225,'Vent Rate Calculation'!$A$4:$AJ$209,6,FALSE)</f>
        <v>BALTIMORE METRO</v>
      </c>
      <c r="F225" s="105">
        <f>VLOOKUP(A225,'Rate Calculation'!$A$3:$AT$210,35,FALSE)</f>
        <v>15393</v>
      </c>
      <c r="G225" s="105">
        <f>VLOOKUP(A225,'Rate Calculation'!$A$3:$AT$210,30,FALSE)</f>
        <v>22692</v>
      </c>
      <c r="H225" s="105">
        <f>VLOOKUP(A225,'Vent Rate Calculation'!$A$3:$AW$209,36,FALSE)+VLOOKUP(A225,'Vent Rate Calculation'!$A$3:$CC$209,42,FALSE)</f>
        <v>215391113</v>
      </c>
      <c r="I225" s="105" t="e">
        <f t="shared" si="73"/>
        <v>#REF!</v>
      </c>
      <c r="J225" s="105" t="str">
        <f>VLOOKUP(A225,'Rate Calculation'!$A$3:$BL$210,43,FALSE)</f>
        <v>Lorien Mt. Airy</v>
      </c>
      <c r="K225" s="105" t="e">
        <f t="shared" si="86"/>
        <v>#REF!</v>
      </c>
      <c r="L225" s="164">
        <f t="shared" si="74"/>
        <v>0.98772000000000004</v>
      </c>
      <c r="M225" s="105" t="e">
        <f t="shared" si="82"/>
        <v>#REF!</v>
      </c>
      <c r="N225" s="105">
        <v>285</v>
      </c>
      <c r="O225" s="105" t="e">
        <f t="shared" si="83"/>
        <v>#REF!</v>
      </c>
      <c r="P225" s="105" t="e">
        <f>VLOOKUP(A225,'Rate Calculation'!$A$4:$DK$210,47,FALSE)</f>
        <v>#DIV/0!</v>
      </c>
      <c r="Q225" s="106">
        <f>VLOOKUP(A225,'Rate Calculation'!$A$4:$DK$210,10,FALSE)</f>
        <v>1.0309999999999999</v>
      </c>
      <c r="R225" s="114">
        <f t="shared" si="75"/>
        <v>1.4432</v>
      </c>
      <c r="S225" s="106">
        <f>VLOOKUP(A225,'CMI Data'!$A$4:$K$209,11,FALSE)</f>
        <v>0</v>
      </c>
      <c r="T225" s="121">
        <f>VLOOKUP(A225,'Vent Rate Calculation'!$A$4:$P$210,16,FALSE)</f>
        <v>509.05</v>
      </c>
      <c r="U225" s="121" t="e">
        <f>VLOOKUP(A225,'Rate Calculation'!$A$4:$P$211,20,FALSE)</f>
        <v>#REF!</v>
      </c>
      <c r="V225" s="113" t="e">
        <f t="shared" si="84"/>
        <v>#REF!</v>
      </c>
      <c r="W225" s="105" t="e">
        <f t="shared" si="85"/>
        <v>#REF!</v>
      </c>
      <c r="X225" s="111" t="e">
        <f t="shared" si="76"/>
        <v>#REF!</v>
      </c>
      <c r="Y225" s="105" t="e">
        <f t="shared" si="77"/>
        <v>#REF!</v>
      </c>
      <c r="Z225" s="105">
        <f t="shared" si="78"/>
        <v>0</v>
      </c>
      <c r="AA225" s="105" t="e">
        <f t="shared" si="79"/>
        <v>#REF!</v>
      </c>
      <c r="AB225" s="111" t="e">
        <f t="shared" si="80"/>
        <v>#REF!</v>
      </c>
      <c r="AC225" s="111" t="e">
        <f t="shared" si="81"/>
        <v>#REF!</v>
      </c>
      <c r="AD225" s="105"/>
      <c r="AE225" s="111"/>
      <c r="AF225" s="111"/>
      <c r="AG225" s="105"/>
      <c r="AH225" s="111"/>
      <c r="AI225" s="105"/>
      <c r="AJ225" s="105"/>
      <c r="AK225" s="109"/>
      <c r="AL225" s="109"/>
      <c r="AM225" s="109"/>
      <c r="AV225" s="107"/>
      <c r="AW225" s="107"/>
      <c r="AZ225" s="107"/>
      <c r="BA225" s="107"/>
      <c r="BB225" s="105"/>
      <c r="BC225" s="105"/>
      <c r="BD225" s="105"/>
      <c r="BF225" s="108"/>
      <c r="BG225" s="108"/>
      <c r="BH225" s="107"/>
    </row>
    <row r="226" spans="1:60" x14ac:dyDescent="0.15">
      <c r="A226" s="220">
        <v>286</v>
      </c>
      <c r="B226" s="98" t="e">
        <f>VLOOKUP($A226,'Vent Rate Calculation'!$A$4:$CS$209,68,FALSE)</f>
        <v>#REF!</v>
      </c>
      <c r="C226" s="98" t="str">
        <f>UPPER(VLOOKUP($A226,'Vent Rate Calculation'!$A$4:$CL$209,69,FALSE))</f>
        <v>95217</v>
      </c>
      <c r="D226" s="104" t="str">
        <f>VLOOKUP($A226,'Vent Rate Calculation'!$A$4:$AJ$209,5,FALSE)</f>
        <v>BALTIMORE METRO</v>
      </c>
      <c r="E226" s="104" t="str">
        <f>VLOOKUP($A226,'Vent Rate Calculation'!$A$4:$AJ$209,6,FALSE)</f>
        <v>BALTIMORE METRO</v>
      </c>
      <c r="F226" s="105">
        <f>VLOOKUP(A226,'Rate Calculation'!$A$3:$AT$210,35,FALSE)</f>
        <v>51077</v>
      </c>
      <c r="G226" s="105">
        <f>VLOOKUP(A226,'Rate Calculation'!$A$3:$AT$210,30,FALSE)</f>
        <v>76050</v>
      </c>
      <c r="H226" s="105">
        <f>VLOOKUP(A226,'Vent Rate Calculation'!$A$3:$AW$209,36,FALSE)+VLOOKUP(A226,'Vent Rate Calculation'!$A$3:$CC$209,42,FALSE)</f>
        <v>134076656</v>
      </c>
      <c r="I226" s="105" t="e">
        <f t="shared" ref="I226" si="87">+Y226</f>
        <v>#REF!</v>
      </c>
      <c r="J226" s="105" t="str">
        <f>VLOOKUP(A226,'Rate Calculation'!$A$3:$BL$210,43,FALSE)</f>
        <v>Lorien Nursing &amp; Rehabilitation Center - Columbia</v>
      </c>
      <c r="K226" s="105" t="e">
        <f t="shared" ref="K226" si="88">SUM(F226:J226)</f>
        <v>#REF!</v>
      </c>
      <c r="L226" s="164">
        <f t="shared" si="74"/>
        <v>0.98772000000000004</v>
      </c>
      <c r="M226" s="105" t="e">
        <f t="shared" ref="M226" si="89">ROUND(K226*L226,2)</f>
        <v>#REF!</v>
      </c>
      <c r="N226" s="105">
        <v>285</v>
      </c>
      <c r="O226" s="105" t="e">
        <f t="shared" ref="O226" si="90">M226+N226</f>
        <v>#REF!</v>
      </c>
      <c r="P226" s="105" t="e">
        <f>VLOOKUP(A226,'Rate Calculation'!$A$4:$DK$210,47,FALSE)</f>
        <v>#DIV/0!</v>
      </c>
      <c r="Q226" s="106">
        <f>VLOOKUP(A226,'Rate Calculation'!$A$4:$DK$210,10,FALSE)</f>
        <v>1.0309999999999999</v>
      </c>
      <c r="R226" s="114">
        <f t="shared" si="75"/>
        <v>1.4432</v>
      </c>
      <c r="S226" s="106">
        <f>VLOOKUP(A226,'CMI Data'!$A$4:$K$209,11,FALSE)</f>
        <v>0</v>
      </c>
      <c r="T226" s="121">
        <f>VLOOKUP(A226,'Vent Rate Calculation'!$A$4:$P$210,16,FALSE)</f>
        <v>509.06</v>
      </c>
      <c r="U226" s="121" t="e">
        <f>VLOOKUP(A226,'Rate Calculation'!$A$4:$P$211,20,FALSE)</f>
        <v>#REF!</v>
      </c>
      <c r="V226" s="113" t="e">
        <f t="shared" ref="V226" si="91">IF($Q226="NA","NA",ROUND(U226*(Q226/R226),2))</f>
        <v>#REF!</v>
      </c>
      <c r="W226" s="105" t="e">
        <f t="shared" ref="W226" si="92">IF(Q226="NA",ROUND(U226*S226,2),ROUND(V226*(S226/Q226),2))</f>
        <v>#REF!</v>
      </c>
      <c r="X226" s="111" t="e">
        <f t="shared" ref="X226" si="93">IF(Q226="NA","NA",ROUND(MAX(0,AB226)*-1,2))</f>
        <v>#REF!</v>
      </c>
      <c r="Y226" s="105" t="e">
        <f t="shared" ref="Y226" si="94">IF(Q226="NA", W226,W226+X226)</f>
        <v>#REF!</v>
      </c>
      <c r="Z226" s="105">
        <f t="shared" ref="Z226" si="95">IF(Q226="NA","NA",ROUND(T226*(S226/Q226),2))</f>
        <v>0</v>
      </c>
      <c r="AA226" s="105" t="e">
        <f t="shared" ref="AA226" si="96">IF(Q226="NA","NA",ROUND(W226*0.95,2))</f>
        <v>#REF!</v>
      </c>
      <c r="AB226" s="111" t="e">
        <f t="shared" ref="AB226" si="97">IF(Q226="NA","NA",AA226-Z226)</f>
        <v>#REF!</v>
      </c>
      <c r="AC226" s="111" t="e">
        <f t="shared" ref="AC226" si="98">+O226+P226</f>
        <v>#REF!</v>
      </c>
      <c r="AD226" s="107"/>
      <c r="AF226" s="111"/>
      <c r="AT226" s="107"/>
      <c r="AU226" s="107"/>
      <c r="AX226" s="107"/>
      <c r="AY226" s="107"/>
      <c r="AZ226" s="105"/>
      <c r="BA226" s="105"/>
      <c r="BB226" s="105"/>
      <c r="BD226" s="108"/>
      <c r="BE226" s="108"/>
      <c r="BF226" s="107"/>
    </row>
    <row r="227" spans="1:60" x14ac:dyDescent="0.15">
      <c r="A227" s="220">
        <v>294</v>
      </c>
      <c r="B227" s="98" t="e">
        <f>VLOOKUP($A227,'Vent Rate Calculation'!$A$4:$CS$209,68,FALSE)</f>
        <v>#REF!</v>
      </c>
      <c r="C227" s="98" t="str">
        <f>UPPER(VLOOKUP($A227,'Vent Rate Calculation'!$A$4:$CL$209,69,FALSE))</f>
        <v>464203</v>
      </c>
      <c r="D227" s="104" t="str">
        <f>VLOOKUP($A227,'Vent Rate Calculation'!$A$4:$AJ$209,5,FALSE)</f>
        <v>BALTIMORE METRO</v>
      </c>
      <c r="E227" s="104" t="str">
        <f>VLOOKUP($A227,'Vent Rate Calculation'!$A$4:$AJ$209,6,FALSE)</f>
        <v>BALTIMORE CITY</v>
      </c>
      <c r="F227" s="105">
        <f>VLOOKUP(A227,'Rate Calculation'!$A$3:$AT$210,35,FALSE)</f>
        <v>59133</v>
      </c>
      <c r="G227" s="105">
        <f>VLOOKUP(A227,'Rate Calculation'!$A$3:$AT$210,30,FALSE)</f>
        <v>82350</v>
      </c>
      <c r="H227" s="105">
        <f>VLOOKUP(A227,'Vent Rate Calculation'!$A$3:$AW$209,36,FALSE)+VLOOKUP(A227,'Vent Rate Calculation'!$A$3:$CC$209,42,FALSE)</f>
        <v>887204258</v>
      </c>
      <c r="I227" s="105" t="e">
        <f t="shared" ref="I227" si="99">+Y227</f>
        <v>#REF!</v>
      </c>
      <c r="J227" s="105" t="str">
        <f>VLOOKUP(A227,'Rate Calculation'!$A$3:$BL$210,43,FALSE)</f>
        <v>Post-Acute Care Center</v>
      </c>
      <c r="K227" s="105" t="e">
        <f t="shared" ref="K227" si="100">SUM(F227:J227)</f>
        <v>#REF!</v>
      </c>
      <c r="L227" s="164">
        <f t="shared" si="74"/>
        <v>0.98772000000000004</v>
      </c>
      <c r="M227" s="105" t="e">
        <f t="shared" ref="M227" si="101">ROUND(K227*L227,2)</f>
        <v>#REF!</v>
      </c>
      <c r="N227" s="105">
        <v>285</v>
      </c>
      <c r="O227" s="105" t="e">
        <f t="shared" ref="O227" si="102">M227+N227</f>
        <v>#REF!</v>
      </c>
      <c r="P227" s="105" t="e">
        <f>VLOOKUP(A227,'Rate Calculation'!$A$4:$DK$210,47,FALSE)</f>
        <v>#DIV/0!</v>
      </c>
      <c r="Q227" s="106">
        <f>VLOOKUP(A227,'Rate Calculation'!$A$4:$DK$210,10,FALSE)</f>
        <v>1.0309999999999999</v>
      </c>
      <c r="R227" s="114">
        <f t="shared" si="75"/>
        <v>1.4432</v>
      </c>
      <c r="S227" s="106">
        <f>VLOOKUP(A227,'CMI Data'!$A$4:$K$209,11,FALSE)</f>
        <v>0</v>
      </c>
      <c r="T227" s="121">
        <f>VLOOKUP(A227,'Vent Rate Calculation'!$A$4:$P$210,16,FALSE)</f>
        <v>458.13</v>
      </c>
      <c r="U227" s="121" t="e">
        <f>VLOOKUP(A227,'Rate Calculation'!$A$4:$P$211,20,FALSE)</f>
        <v>#REF!</v>
      </c>
      <c r="V227" s="113" t="e">
        <f t="shared" ref="V227" si="103">IF($Q227="NA","NA",ROUND(U227*(Q227/R227),2))</f>
        <v>#REF!</v>
      </c>
      <c r="W227" s="105" t="e">
        <f t="shared" ref="W227" si="104">IF(Q227="NA",ROUND(U227*S227,2),ROUND(V227*(S227/Q227),2))</f>
        <v>#REF!</v>
      </c>
      <c r="X227" s="111" t="e">
        <f t="shared" ref="X227" si="105">IF(Q227="NA","NA",ROUND(MAX(0,AB227)*-1,2))</f>
        <v>#REF!</v>
      </c>
      <c r="Y227" s="105" t="e">
        <f t="shared" ref="Y227" si="106">IF(Q227="NA", W227,W227+X227)</f>
        <v>#REF!</v>
      </c>
      <c r="Z227" s="105">
        <f t="shared" ref="Z227" si="107">IF(Q227="NA","NA",ROUND(T227*(S227/Q227),2))</f>
        <v>0</v>
      </c>
      <c r="AA227" s="105" t="e">
        <f t="shared" ref="AA227" si="108">IF(Q227="NA","NA",ROUND(W227*0.95,2))</f>
        <v>#REF!</v>
      </c>
      <c r="AB227" s="111" t="e">
        <f t="shared" ref="AB227" si="109">IF(Q227="NA","NA",AA227-Z227)</f>
        <v>#REF!</v>
      </c>
      <c r="AC227" s="111" t="e">
        <f t="shared" ref="AC227" si="110">+O227+P227</f>
        <v>#REF!</v>
      </c>
      <c r="AD227" s="107"/>
      <c r="AF227" s="111"/>
      <c r="AT227" s="107"/>
      <c r="AU227" s="107"/>
      <c r="AX227" s="107"/>
      <c r="AY227" s="107"/>
      <c r="AZ227" s="105"/>
      <c r="BA227" s="105"/>
      <c r="BB227" s="105"/>
      <c r="BD227" s="108"/>
      <c r="BE227" s="108"/>
      <c r="BF227" s="107"/>
    </row>
    <row r="228" spans="1:60" x14ac:dyDescent="0.15">
      <c r="AB228" s="108"/>
      <c r="AC228" s="108"/>
      <c r="AD228" s="107"/>
      <c r="AT228" s="107"/>
      <c r="AU228" s="107"/>
      <c r="AX228" s="107"/>
      <c r="AY228" s="107"/>
      <c r="AZ228" s="105"/>
      <c r="BA228" s="105"/>
      <c r="BB228" s="105"/>
      <c r="BD228" s="108"/>
      <c r="BE228" s="108"/>
      <c r="BF228" s="107"/>
    </row>
    <row r="229" spans="1:60" x14ac:dyDescent="0.15">
      <c r="AB229" s="108"/>
      <c r="AC229" s="108"/>
      <c r="AD229" s="107"/>
      <c r="AT229" s="107"/>
      <c r="AU229" s="107"/>
      <c r="AX229" s="107"/>
      <c r="AY229" s="107"/>
      <c r="AZ229" s="105"/>
      <c r="BA229" s="105"/>
      <c r="BB229" s="105"/>
      <c r="BD229" s="108"/>
      <c r="BE229" s="108"/>
      <c r="BF229" s="107"/>
    </row>
    <row r="230" spans="1:60" x14ac:dyDescent="0.15">
      <c r="AB230" s="108"/>
      <c r="AC230" s="108"/>
      <c r="AD230" s="107"/>
      <c r="AT230" s="107"/>
      <c r="AU230" s="107"/>
      <c r="AX230" s="107"/>
      <c r="AY230" s="107"/>
      <c r="AZ230" s="105"/>
      <c r="BA230" s="105"/>
      <c r="BB230" s="105"/>
      <c r="BD230" s="108"/>
      <c r="BE230" s="108"/>
      <c r="BF230" s="107"/>
    </row>
    <row r="231" spans="1:60" x14ac:dyDescent="0.15">
      <c r="AB231" s="108"/>
      <c r="AC231" s="108"/>
      <c r="AD231" s="107"/>
      <c r="AT231" s="107"/>
      <c r="AU231" s="107"/>
      <c r="AX231" s="107"/>
      <c r="AY231" s="107"/>
      <c r="AZ231" s="105"/>
      <c r="BA231" s="105"/>
      <c r="BB231" s="105"/>
      <c r="BD231" s="108"/>
      <c r="BE231" s="108"/>
      <c r="BF231" s="107"/>
    </row>
    <row r="232" spans="1:60" x14ac:dyDescent="0.15">
      <c r="AB232" s="108"/>
      <c r="AC232" s="108"/>
      <c r="AD232" s="107"/>
      <c r="AT232" s="107"/>
      <c r="AU232" s="107"/>
      <c r="AX232" s="107"/>
      <c r="AY232" s="107"/>
      <c r="AZ232" s="105"/>
      <c r="BA232" s="105"/>
      <c r="BB232" s="105"/>
      <c r="BD232" s="108"/>
      <c r="BE232" s="108"/>
      <c r="BF232" s="107"/>
    </row>
    <row r="233" spans="1:60" x14ac:dyDescent="0.15">
      <c r="AB233" s="108"/>
      <c r="AC233" s="108"/>
      <c r="AD233" s="107"/>
      <c r="AT233" s="107"/>
      <c r="AU233" s="107"/>
      <c r="AX233" s="107"/>
      <c r="AY233" s="107"/>
      <c r="AZ233" s="105"/>
      <c r="BA233" s="105"/>
      <c r="BB233" s="105"/>
      <c r="BD233" s="108"/>
      <c r="BE233" s="108"/>
      <c r="BF233" s="107"/>
    </row>
    <row r="234" spans="1:60" x14ac:dyDescent="0.15">
      <c r="AB234" s="108"/>
      <c r="AC234" s="108"/>
      <c r="AD234" s="107"/>
      <c r="AT234" s="107"/>
      <c r="AU234" s="107"/>
      <c r="AX234" s="107"/>
      <c r="AY234" s="107"/>
      <c r="AZ234" s="105"/>
      <c r="BA234" s="105"/>
      <c r="BB234" s="105"/>
      <c r="BD234" s="108"/>
      <c r="BE234" s="108"/>
      <c r="BF234" s="107"/>
    </row>
    <row r="235" spans="1:60" x14ac:dyDescent="0.15">
      <c r="AB235" s="108"/>
      <c r="AC235" s="108"/>
      <c r="AD235" s="107"/>
      <c r="AT235" s="107"/>
      <c r="AU235" s="107"/>
      <c r="AX235" s="107"/>
      <c r="AY235" s="107"/>
      <c r="AZ235" s="105"/>
      <c r="BA235" s="105"/>
      <c r="BB235" s="105"/>
      <c r="BD235" s="108"/>
      <c r="BE235" s="108"/>
      <c r="BF235" s="107"/>
    </row>
    <row r="236" spans="1:60" x14ac:dyDescent="0.15">
      <c r="AB236" s="108"/>
      <c r="AC236" s="108"/>
      <c r="AD236" s="107"/>
      <c r="AT236" s="107"/>
      <c r="AU236" s="107"/>
      <c r="AX236" s="107"/>
      <c r="AY236" s="107"/>
      <c r="AZ236" s="105"/>
      <c r="BA236" s="105"/>
      <c r="BB236" s="105"/>
      <c r="BD236" s="108"/>
      <c r="BE236" s="108"/>
      <c r="BF236" s="107"/>
    </row>
    <row r="237" spans="1:60" x14ac:dyDescent="0.15">
      <c r="AB237" s="108"/>
      <c r="AC237" s="108"/>
      <c r="AD237" s="107"/>
      <c r="AT237" s="107"/>
      <c r="AU237" s="107"/>
      <c r="AX237" s="107"/>
      <c r="AY237" s="107"/>
      <c r="AZ237" s="105"/>
      <c r="BA237" s="105"/>
      <c r="BB237" s="105"/>
      <c r="BD237" s="108"/>
      <c r="BE237" s="108"/>
      <c r="BF237" s="107"/>
    </row>
    <row r="238" spans="1:60" x14ac:dyDescent="0.15">
      <c r="AB238" s="108"/>
      <c r="AC238" s="108"/>
      <c r="AD238" s="107"/>
      <c r="AT238" s="107"/>
      <c r="AU238" s="107"/>
      <c r="AX238" s="107"/>
      <c r="AY238" s="107"/>
      <c r="AZ238" s="105"/>
      <c r="BA238" s="105"/>
      <c r="BB238" s="105"/>
      <c r="BD238" s="108"/>
      <c r="BE238" s="108"/>
      <c r="BF238" s="107"/>
    </row>
    <row r="239" spans="1:60" x14ac:dyDescent="0.15">
      <c r="AB239" s="108"/>
      <c r="AC239" s="108"/>
      <c r="AD239" s="107"/>
      <c r="AT239" s="107"/>
      <c r="AU239" s="107"/>
      <c r="AX239" s="107"/>
      <c r="AY239" s="107"/>
      <c r="AZ239" s="105"/>
      <c r="BA239" s="105"/>
      <c r="BB239" s="105"/>
      <c r="BD239" s="108"/>
      <c r="BE239" s="108"/>
      <c r="BF239" s="107"/>
    </row>
    <row r="240" spans="1:60" x14ac:dyDescent="0.15">
      <c r="AB240" s="108"/>
      <c r="AC240" s="108"/>
      <c r="AD240" s="107"/>
      <c r="AT240" s="107"/>
      <c r="AU240" s="107"/>
      <c r="AX240" s="107"/>
      <c r="AY240" s="107"/>
      <c r="AZ240" s="105"/>
      <c r="BA240" s="105"/>
      <c r="BB240" s="105"/>
      <c r="BD240" s="108"/>
      <c r="BE240" s="108"/>
      <c r="BF240" s="107"/>
    </row>
    <row r="241" spans="28:58" x14ac:dyDescent="0.15">
      <c r="AB241" s="108"/>
      <c r="AC241" s="108"/>
      <c r="AD241" s="107"/>
      <c r="AT241" s="107"/>
      <c r="AU241" s="107"/>
      <c r="AX241" s="107"/>
      <c r="AY241" s="107"/>
      <c r="AZ241" s="105"/>
      <c r="BA241" s="105"/>
      <c r="BB241" s="105"/>
      <c r="BD241" s="108"/>
      <c r="BE241" s="108"/>
      <c r="BF241" s="107"/>
    </row>
    <row r="242" spans="28:58" x14ac:dyDescent="0.15">
      <c r="AB242" s="108"/>
      <c r="AC242" s="108"/>
      <c r="AD242" s="107"/>
      <c r="AT242" s="107"/>
      <c r="AU242" s="107"/>
      <c r="AX242" s="107"/>
      <c r="AY242" s="107"/>
      <c r="AZ242" s="105"/>
      <c r="BA242" s="105"/>
      <c r="BB242" s="105"/>
      <c r="BD242" s="108"/>
      <c r="BE242" s="108"/>
      <c r="BF242" s="107"/>
    </row>
    <row r="243" spans="28:58" x14ac:dyDescent="0.15">
      <c r="AB243" s="108"/>
      <c r="AC243" s="108"/>
      <c r="AD243" s="107"/>
      <c r="AT243" s="107"/>
      <c r="AU243" s="107"/>
      <c r="AX243" s="107"/>
      <c r="AY243" s="107"/>
      <c r="AZ243" s="105"/>
      <c r="BA243" s="105"/>
      <c r="BB243" s="105"/>
      <c r="BD243" s="108"/>
      <c r="BE243" s="108"/>
      <c r="BF243" s="107"/>
    </row>
    <row r="244" spans="28:58" x14ac:dyDescent="0.15">
      <c r="AB244" s="108"/>
      <c r="AC244" s="108"/>
      <c r="AD244" s="107"/>
      <c r="AT244" s="107"/>
      <c r="AU244" s="107"/>
      <c r="AX244" s="107"/>
      <c r="AY244" s="107"/>
      <c r="AZ244" s="105"/>
      <c r="BA244" s="105"/>
      <c r="BB244" s="105"/>
      <c r="BD244" s="108"/>
      <c r="BE244" s="108"/>
      <c r="BF244" s="107"/>
    </row>
    <row r="245" spans="28:58" x14ac:dyDescent="0.15">
      <c r="AB245" s="108"/>
      <c r="AC245" s="108"/>
      <c r="AD245" s="107"/>
      <c r="AT245" s="107"/>
      <c r="AU245" s="107"/>
      <c r="AX245" s="107"/>
      <c r="AY245" s="107"/>
      <c r="AZ245" s="105"/>
      <c r="BA245" s="105"/>
      <c r="BB245" s="105"/>
      <c r="BD245" s="108"/>
      <c r="BE245" s="108"/>
      <c r="BF245" s="107"/>
    </row>
    <row r="246" spans="28:58" x14ac:dyDescent="0.15">
      <c r="AB246" s="108"/>
      <c r="AC246" s="108"/>
      <c r="AD246" s="107"/>
      <c r="AT246" s="107"/>
      <c r="AU246" s="107"/>
      <c r="AX246" s="107"/>
      <c r="AY246" s="107"/>
      <c r="AZ246" s="105"/>
      <c r="BA246" s="105"/>
      <c r="BB246" s="105"/>
      <c r="BD246" s="108"/>
      <c r="BE246" s="108"/>
      <c r="BF246" s="107"/>
    </row>
    <row r="247" spans="28:58" x14ac:dyDescent="0.15">
      <c r="AB247" s="108"/>
      <c r="AC247" s="108"/>
      <c r="AD247" s="107"/>
      <c r="AT247" s="107"/>
      <c r="AU247" s="107"/>
      <c r="AX247" s="107"/>
      <c r="AY247" s="107"/>
      <c r="AZ247" s="105"/>
      <c r="BA247" s="105"/>
      <c r="BB247" s="105"/>
      <c r="BD247" s="108"/>
      <c r="BE247" s="108"/>
      <c r="BF247" s="107"/>
    </row>
    <row r="248" spans="28:58" x14ac:dyDescent="0.15">
      <c r="AB248" s="108"/>
      <c r="AC248" s="108"/>
      <c r="AD248" s="107"/>
      <c r="AT248" s="107"/>
      <c r="AU248" s="107"/>
      <c r="AX248" s="107"/>
      <c r="AY248" s="107"/>
      <c r="AZ248" s="105"/>
      <c r="BA248" s="105"/>
      <c r="BB248" s="105"/>
      <c r="BD248" s="108"/>
      <c r="BE248" s="108"/>
      <c r="BF248" s="107"/>
    </row>
    <row r="249" spans="28:58" x14ac:dyDescent="0.15">
      <c r="AB249" s="108"/>
      <c r="AC249" s="108"/>
      <c r="AD249" s="107"/>
      <c r="AT249" s="107"/>
      <c r="AU249" s="107"/>
      <c r="AX249" s="107"/>
      <c r="AY249" s="107"/>
      <c r="AZ249" s="105"/>
      <c r="BA249" s="105"/>
      <c r="BB249" s="105"/>
      <c r="BD249" s="108"/>
      <c r="BE249" s="108"/>
      <c r="BF249" s="107"/>
    </row>
    <row r="250" spans="28:58" x14ac:dyDescent="0.15">
      <c r="AB250" s="108"/>
      <c r="AC250" s="108"/>
      <c r="AD250" s="107"/>
      <c r="AT250" s="107"/>
      <c r="AU250" s="107"/>
      <c r="AX250" s="107"/>
      <c r="AY250" s="107"/>
      <c r="AZ250" s="105"/>
      <c r="BA250" s="105"/>
      <c r="BB250" s="105"/>
      <c r="BD250" s="108"/>
      <c r="BE250" s="108"/>
      <c r="BF250" s="107"/>
    </row>
    <row r="251" spans="28:58" x14ac:dyDescent="0.15">
      <c r="AB251" s="108"/>
      <c r="AC251" s="108"/>
      <c r="AD251" s="107"/>
      <c r="AT251" s="107"/>
      <c r="AU251" s="107"/>
      <c r="AX251" s="107"/>
      <c r="AY251" s="107"/>
      <c r="AZ251" s="105"/>
      <c r="BA251" s="105"/>
      <c r="BB251" s="105"/>
      <c r="BD251" s="108"/>
      <c r="BE251" s="108"/>
      <c r="BF251" s="107"/>
    </row>
    <row r="252" spans="28:58" x14ac:dyDescent="0.15">
      <c r="AB252" s="108"/>
      <c r="AC252" s="108"/>
      <c r="AD252" s="107"/>
      <c r="AT252" s="107"/>
      <c r="AU252" s="107"/>
      <c r="AX252" s="107"/>
      <c r="AY252" s="107"/>
      <c r="AZ252" s="105"/>
      <c r="BA252" s="105"/>
      <c r="BB252" s="105"/>
      <c r="BD252" s="108"/>
      <c r="BE252" s="108"/>
      <c r="BF252" s="107"/>
    </row>
  </sheetData>
  <sortState xmlns:xlrd2="http://schemas.microsoft.com/office/spreadsheetml/2017/richdata2" ref="A214:AC229">
    <sortCondition ref="C214:C229"/>
  </sortState>
  <mergeCells count="2">
    <mergeCell ref="B1:C1"/>
    <mergeCell ref="B208:C208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3"/>
  <dimension ref="A1:BM253"/>
  <sheetViews>
    <sheetView workbookViewId="0"/>
  </sheetViews>
  <sheetFormatPr baseColWidth="10" defaultColWidth="9.3984375" defaultRowHeight="13" x14ac:dyDescent="0.15"/>
  <cols>
    <col min="1" max="1" width="9.3984375" style="98" bestFit="1" customWidth="1"/>
    <col min="2" max="2" width="10.19921875" style="98" bestFit="1" customWidth="1"/>
    <col min="3" max="3" width="66.796875" style="98" customWidth="1"/>
    <col min="4" max="4" width="24.19921875" style="98" bestFit="1" customWidth="1"/>
    <col min="5" max="5" width="27" style="98" customWidth="1"/>
    <col min="6" max="6" width="14.59765625" style="98" customWidth="1"/>
    <col min="7" max="7" width="12.59765625" style="98" customWidth="1"/>
    <col min="8" max="8" width="13.796875" style="98" customWidth="1"/>
    <col min="9" max="9" width="13" style="98" customWidth="1"/>
    <col min="10" max="10" width="14.59765625" style="98" customWidth="1"/>
    <col min="11" max="11" width="13.3984375" style="98" customWidth="1"/>
    <col min="12" max="12" width="11.3984375" style="98" customWidth="1"/>
    <col min="13" max="13" width="15.3984375" style="98" customWidth="1"/>
    <col min="14" max="14" width="12.3984375" style="98" customWidth="1"/>
    <col min="15" max="15" width="12.796875" style="98" customWidth="1"/>
    <col min="16" max="16" width="14.59765625" style="98" customWidth="1"/>
    <col min="17" max="17" width="15.796875" style="98" customWidth="1"/>
    <col min="18" max="18" width="11.796875" style="98" customWidth="1"/>
    <col min="19" max="19" width="15.3984375" style="98" customWidth="1"/>
    <col min="20" max="22" width="14.796875" style="98" customWidth="1"/>
    <col min="23" max="23" width="20.3984375" style="98" customWidth="1"/>
    <col min="24" max="27" width="18.19921875" style="98" customWidth="1"/>
    <col min="28" max="28" width="12.19921875" style="98" customWidth="1"/>
    <col min="29" max="29" width="17.3984375" style="98" customWidth="1"/>
    <col min="30" max="30" width="13" style="98" customWidth="1"/>
    <col min="31" max="31" width="14.59765625" style="98" customWidth="1"/>
    <col min="32" max="32" width="15.796875" style="98" customWidth="1"/>
    <col min="33" max="33" width="11.796875" style="98" customWidth="1"/>
    <col min="34" max="34" width="15.3984375" style="98" customWidth="1"/>
    <col min="35" max="35" width="15.796875" style="98" customWidth="1"/>
    <col min="36" max="36" width="16.19921875" style="98" customWidth="1"/>
    <col min="37" max="37" width="16" style="98" customWidth="1"/>
    <col min="38" max="38" width="14.796875" style="98" customWidth="1"/>
    <col min="39" max="39" width="23.19921875" style="98" customWidth="1"/>
    <col min="40" max="40" width="14.796875" style="98" customWidth="1"/>
    <col min="41" max="41" width="20.796875" style="98" customWidth="1"/>
    <col min="42" max="42" width="14.796875" style="98" customWidth="1"/>
    <col min="43" max="43" width="19.796875" style="98" customWidth="1"/>
    <col min="44" max="44" width="18.19921875" style="98" customWidth="1"/>
    <col min="45" max="45" width="18.3984375" style="98" customWidth="1"/>
    <col min="46" max="46" width="15" style="98" customWidth="1"/>
    <col min="47" max="47" width="18.59765625" style="98" customWidth="1"/>
    <col min="48" max="48" width="17.59765625" style="98" customWidth="1"/>
    <col min="49" max="49" width="11.796875" style="98" customWidth="1"/>
    <col min="50" max="50" width="17.3984375" style="98" customWidth="1"/>
    <col min="51" max="51" width="11.796875" style="98" customWidth="1"/>
    <col min="52" max="52" width="13.59765625" style="98" customWidth="1"/>
    <col min="53" max="53" width="18.19921875" style="98" customWidth="1"/>
    <col min="54" max="54" width="23.3984375" style="98" customWidth="1"/>
    <col min="55" max="55" width="27" style="98" customWidth="1"/>
    <col min="56" max="56" width="18.3984375" style="98" customWidth="1"/>
    <col min="57" max="58" width="14.19921875" style="98" customWidth="1"/>
    <col min="59" max="59" width="13" style="98" customWidth="1"/>
    <col min="60" max="16384" width="9.3984375" style="98"/>
  </cols>
  <sheetData>
    <row r="1" spans="1:55" ht="140" x14ac:dyDescent="0.15">
      <c r="B1" s="354" t="s">
        <v>799</v>
      </c>
      <c r="C1" s="354"/>
      <c r="D1" s="99" t="s">
        <v>320</v>
      </c>
      <c r="E1" s="99" t="s">
        <v>321</v>
      </c>
      <c r="F1" s="99" t="str">
        <f>VLOOKUP(F2,'Facility Profile'!$A$181:$E$213,2,FALSE)</f>
        <v>Administrative and Routine (See July 2024 Rate Letter)</v>
      </c>
      <c r="G1" s="99" t="str">
        <f>VLOOKUP(G2,'Facility Profile'!$A$181:$E$213,2,FALSE)</f>
        <v>Other Patient Care (See July 2024 Rate Letter)</v>
      </c>
      <c r="H1" s="99" t="str">
        <f>VLOOKUP(H2,'Facility Profile'!$A$181:$E$213,2,FALSE)</f>
        <v>Capital (See July 2024 Rate Letter)</v>
      </c>
      <c r="I1" s="99" t="str">
        <f>VLOOKUP(I2,'Facility Profile'!$A$181:$E$213,2,FALSE)</f>
        <v>Nursing Service (Line 20)</v>
      </c>
      <c r="J1" s="99" t="str">
        <f>VLOOKUP(J2,'Facility Profile'!$A$181:$E$213,2,FALSE)</f>
        <v>Total Kosher Kitchen Add On (See July 2024 Rate Letter)</v>
      </c>
      <c r="K1" s="99" t="str">
        <f>VLOOKUP(K2,'Facility Profile'!$A$181:$E$213,2,FALSE)</f>
        <v xml:space="preserve">   Total Rate for All Levels (Sum of Lines 1 - 5) </v>
      </c>
      <c r="L1" s="99" t="str">
        <f>VLOOKUP(L2,'Facility Profile'!$A$181:$E$213,2,FALSE)</f>
        <v>Budget Adjustment Factor</v>
      </c>
      <c r="M1" s="99" t="str">
        <f>VLOOKUP(M2,'Facility Profile'!$A$181:$E$213,2,FALSE)</f>
        <v xml:space="preserve">   Final Adjusted Rate  (Line 6 x Line 7)</v>
      </c>
      <c r="N1" s="99" t="str">
        <f>VLOOKUP(N2,'Facility Profile'!$A$181:$E$213,2,FALSE)</f>
        <v>Quality Assessment Add On</v>
      </c>
      <c r="O1" s="99" t="str">
        <f>VLOOKUP(O2,'Facility Profile'!$A$181:$E$213,2,FALSE)</f>
        <v>Cost Report Period CMI (See July 2024 letter)</v>
      </c>
      <c r="P1" s="99" t="str">
        <f>VLOOKUP(P2,'Facility Profile'!$A$181:$E$213,2,FALSE)</f>
        <v>Statewide Average CMI</v>
      </c>
      <c r="Q1" s="99" t="str">
        <f>VLOOKUP(Q2,'Facility Profile'!$A$181:$E$213,2,FALSE)</f>
        <v>Quarter Ending 09/30/2024 Facility Average Medicaid CMI (1)</v>
      </c>
      <c r="R1" s="99" t="str">
        <f>VLOOKUP(R2,'Facility Profile'!$A$181:$E$213,2,FALSE)</f>
        <v>Case Mix Index Proportional Adjustment</v>
      </c>
      <c r="S1" s="99" t="str">
        <f>VLOOKUP(S2,'Facility Profile'!$A$181:$E$213,2,FALSE)</f>
        <v>Quarter Ending 09/30/2024 Facility Adjusted Average Medicaid CMI (Line 12 x Line 13)</v>
      </c>
      <c r="T1" s="99" t="str">
        <f>VLOOKUP(T2,'Facility Profile'!$A$181:$E$213,2,FALSE)</f>
        <v>Indexed Nursing Service Cost Per Diem (See July 2024 letter)</v>
      </c>
      <c r="U1" s="99" t="str">
        <f>VLOOKUP(U2,'Facility Profile'!$A$181:$E$213,2,FALSE)</f>
        <v>Indexed Regional Price (See July 2024 Rate Letter)</v>
      </c>
      <c r="V1" s="99" t="str">
        <f>VLOOKUP(V2,'Facility Profile'!$A$181:$E$213,2,FALSE)</f>
        <v>Adjusted to Facility Total Facility CMI (Line 16 x Line 10 ÷ Line 11)</v>
      </c>
      <c r="W1" s="99" t="str">
        <f>VLOOKUP(W2,'Facility Profile'!$A$181:$E$213,2,FALSE)</f>
        <v>Initial Nursing Service Rate (Line 17 x Line 14 ÷ Line 10)</v>
      </c>
      <c r="X1" s="99" t="str">
        <f>VLOOKUP(X2,'Facility Profile'!$A$181:$E$213,2,FALSE)</f>
        <v>Less Positive Difference Between Line 22 and Initial Nursing Service Rate (max(0,Line 23))</v>
      </c>
      <c r="Y1" s="99" t="str">
        <f>VLOOKUP(Y2,'Facility Profile'!$A$181:$E$213,2,FALSE)</f>
        <v>Final Nursing Service Rate Per Day (Line 18 + Line 19)</v>
      </c>
      <c r="Z1" s="99" t="str">
        <f>VLOOKUP(Z2,'Facility Profile'!$A$181:$E$213,2,FALSE)</f>
        <v>Medicaid Adjusted Nursing Service Cost Per Diem (Line 15 x Line 14 ÷ Line 10)</v>
      </c>
      <c r="AA1" s="99" t="str">
        <f>VLOOKUP(AA2,'Facility Profile'!$A$181:$E$213,2,FALSE)</f>
        <v>95% of Initial Nursing Service Rate (Line 18 x .95)</v>
      </c>
      <c r="AB1" s="99" t="str">
        <f>VLOOKUP(AB2,'Facility Profile'!$A$181:$E$213,2,FALSE)</f>
        <v>Difference Between Line 22 and Medicaid Adjusted Nursing Service Cost Per Diem (Line 22 - Line 21)</v>
      </c>
      <c r="AC1" s="99" t="str">
        <f>VLOOKUP(AC2,'Facility Profile'!$A$181:$E$213,2,FALSE)</f>
        <v>Administrative Day Rate (Line 1 + Line 2 + Line 3 + (Line 4 x .50) + Line 5)</v>
      </c>
      <c r="AD1" s="99" t="str">
        <f>VLOOKUP(AD2,'Facility Profile'!$A$181:$E$213,2,FALSE)</f>
        <v>Therapeutic Home Leave Rate (Line 1 + Line 2 + Line 3 + Line 5)</v>
      </c>
      <c r="AE1" s="99" t="s">
        <v>801</v>
      </c>
      <c r="AF1" s="99" t="s">
        <v>802</v>
      </c>
      <c r="AG1" s="99" t="s">
        <v>806</v>
      </c>
      <c r="AH1" s="99" t="s">
        <v>803</v>
      </c>
      <c r="AI1" s="99" t="s">
        <v>796</v>
      </c>
      <c r="AJ1" s="99" t="s">
        <v>804</v>
      </c>
      <c r="AK1" s="99" t="s">
        <v>805</v>
      </c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</row>
    <row r="2" spans="1:55" s="101" customFormat="1" ht="28" x14ac:dyDescent="0.15">
      <c r="A2" s="167" t="s">
        <v>145</v>
      </c>
      <c r="B2" s="101" t="s">
        <v>325</v>
      </c>
      <c r="C2" s="101" t="s">
        <v>265</v>
      </c>
      <c r="E2" s="101" t="s">
        <v>326</v>
      </c>
      <c r="F2" s="101">
        <v>1</v>
      </c>
      <c r="G2" s="101">
        <v>2</v>
      </c>
      <c r="H2" s="101">
        <v>3</v>
      </c>
      <c r="I2" s="101">
        <v>4</v>
      </c>
      <c r="J2" s="101">
        <v>5</v>
      </c>
      <c r="K2" s="101">
        <v>6</v>
      </c>
      <c r="L2" s="101">
        <v>7</v>
      </c>
      <c r="M2" s="101">
        <v>8</v>
      </c>
      <c r="N2" s="101">
        <v>9</v>
      </c>
      <c r="O2" s="101">
        <f t="shared" ref="O2:AD2" si="0">+N2+1</f>
        <v>10</v>
      </c>
      <c r="P2" s="101">
        <f t="shared" si="0"/>
        <v>11</v>
      </c>
      <c r="Q2" s="101">
        <f t="shared" si="0"/>
        <v>12</v>
      </c>
      <c r="R2" s="101">
        <f t="shared" si="0"/>
        <v>13</v>
      </c>
      <c r="S2" s="101">
        <f t="shared" si="0"/>
        <v>14</v>
      </c>
      <c r="T2" s="101">
        <f t="shared" si="0"/>
        <v>15</v>
      </c>
      <c r="U2" s="101">
        <f t="shared" si="0"/>
        <v>16</v>
      </c>
      <c r="V2" s="101">
        <f t="shared" si="0"/>
        <v>17</v>
      </c>
      <c r="W2" s="101">
        <f t="shared" si="0"/>
        <v>18</v>
      </c>
      <c r="X2" s="101">
        <f t="shared" si="0"/>
        <v>19</v>
      </c>
      <c r="Y2" s="101">
        <f t="shared" si="0"/>
        <v>20</v>
      </c>
      <c r="Z2" s="101">
        <f t="shared" si="0"/>
        <v>21</v>
      </c>
      <c r="AA2" s="101">
        <f t="shared" si="0"/>
        <v>22</v>
      </c>
      <c r="AB2" s="101">
        <f t="shared" si="0"/>
        <v>23</v>
      </c>
      <c r="AC2" s="101">
        <f t="shared" si="0"/>
        <v>24</v>
      </c>
      <c r="AD2" s="101">
        <f t="shared" si="0"/>
        <v>25</v>
      </c>
      <c r="AI2" s="102"/>
      <c r="AJ2" s="122"/>
      <c r="AK2" s="122"/>
    </row>
    <row r="3" spans="1:55" x14ac:dyDescent="0.15">
      <c r="A3" s="221">
        <v>228</v>
      </c>
      <c r="B3" s="98" t="e">
        <f>VLOOKUP($A3,#REF!,84,FALSE)</f>
        <v>#REF!</v>
      </c>
      <c r="C3" s="98" t="e">
        <f>VLOOKUP($A3,#REF!,85,FALSE)</f>
        <v>#REF!</v>
      </c>
      <c r="D3" s="98" t="e">
        <f>VLOOKUP($A3,#REF!,5,FALSE)</f>
        <v>#REF!</v>
      </c>
      <c r="E3" s="98" t="e">
        <f>VLOOKUP($A3,#REF!,6,FALSE)</f>
        <v>#REF!</v>
      </c>
      <c r="F3" s="105" t="e">
        <f>VLOOKUP($A3,#REF!,34,FALSE)</f>
        <v>#REF!</v>
      </c>
      <c r="G3" s="105" t="e">
        <f>VLOOKUP($A3,#REF!,29,FALSE)</f>
        <v>#REF!</v>
      </c>
      <c r="H3" s="105" t="e">
        <f>VLOOKUP(A3,#REF!,35,FALSE)+VLOOKUP(A3,#REF!,41,FALSE)</f>
        <v>#REF!</v>
      </c>
      <c r="I3" s="105" t="e">
        <f>+Y3</f>
        <v>#REF!</v>
      </c>
      <c r="J3" s="105" t="e">
        <f>VLOOKUP(A3,#REF!,42,FALSE)</f>
        <v>#REF!</v>
      </c>
      <c r="K3" s="105" t="e">
        <f>SUM(F3:J3)</f>
        <v>#REF!</v>
      </c>
      <c r="L3" s="164" t="e">
        <f t="shared" ref="L3:L66" si="1">+BAF</f>
        <v>#REF!</v>
      </c>
      <c r="M3" s="105" t="e">
        <f>ROUND(K3*L3,2)</f>
        <v>#REF!</v>
      </c>
      <c r="N3" s="105" t="e">
        <f>VLOOKUP(A3,#REF!,46,FALSE)</f>
        <v>#REF!</v>
      </c>
      <c r="O3" s="106" t="e">
        <f>VLOOKUP(A3,#REF!,9,FALSE)</f>
        <v>#REF!</v>
      </c>
      <c r="P3" s="114" t="e">
        <f>#REF!</f>
        <v>#REF!</v>
      </c>
      <c r="Q3" s="114" t="e">
        <f>VLOOKUP(A3,#REF!,12,FALSE)</f>
        <v>#REF!</v>
      </c>
      <c r="R3" s="120" t="e">
        <f>#REF!</f>
        <v>#REF!</v>
      </c>
      <c r="S3" s="106" t="e">
        <f>IF(Q3=0,#REF!,ROUND(Q3*R3,4))</f>
        <v>#REF!</v>
      </c>
      <c r="T3" s="121" t="e">
        <f>VLOOKUP($A3,#REF!,15,FALSE)</f>
        <v>#REF!</v>
      </c>
      <c r="U3" s="121" t="e">
        <f>VLOOKUP($A3,#REF!,19,FALSE)</f>
        <v>#REF!</v>
      </c>
      <c r="V3" s="109" t="e">
        <f>IF($O3="NA","NA",ROUND(U3*(O3/P3),2))</f>
        <v>#REF!</v>
      </c>
      <c r="W3" s="109" t="e">
        <f>IF($O3="NA",ROUND(U3*S3,2),ROUND(V3*(S3/O3),2))</f>
        <v>#REF!</v>
      </c>
      <c r="X3" s="105" t="e">
        <f>IF(O3="NA","NA",ROUND(MAX(0,AB3)*-1,2))</f>
        <v>#REF!</v>
      </c>
      <c r="Y3" s="113" t="e">
        <f>IF(O3="NA", W3,W3+X3)</f>
        <v>#REF!</v>
      </c>
      <c r="Z3" s="109" t="e">
        <f>IF(O3="NA","NA",ROUND(T3*(S3/O3),2))</f>
        <v>#REF!</v>
      </c>
      <c r="AA3" s="113" t="e">
        <f>IF(O3="NA","NA",ROUND(W3*0.95,2))</f>
        <v>#REF!</v>
      </c>
      <c r="AB3" s="109" t="e">
        <f>IF(O3="NA","NA",AA3-Z3)</f>
        <v>#REF!</v>
      </c>
      <c r="AC3" s="113" t="e">
        <f>+F3+G3+H3+ROUND((I3*0.5),2)+J3</f>
        <v>#REF!</v>
      </c>
      <c r="AD3" s="105" t="e">
        <f>+F3+G3+H3+J3</f>
        <v>#REF!</v>
      </c>
      <c r="AE3" s="105" t="e">
        <f t="shared" ref="AE3:AE66" si="2">+M3+N3</f>
        <v>#REF!</v>
      </c>
      <c r="AF3" s="105" t="e">
        <f t="shared" ref="AF3:AF66" si="3">+AC3+N3</f>
        <v>#REF!</v>
      </c>
      <c r="AG3" s="105" t="e">
        <f t="shared" ref="AG3:AG66" si="4">+AD3+N3</f>
        <v>#REF!</v>
      </c>
      <c r="AH3" s="111" t="e">
        <f>VLOOKUP($A3,#REF!,5,FALSE)</f>
        <v>#REF!</v>
      </c>
      <c r="AI3" s="111" t="e">
        <f>VLOOKUP($A3,#REF!,6,FALSE)</f>
        <v>#REF!</v>
      </c>
      <c r="AJ3" s="109" t="e">
        <f>ROUND((AH3*0.75)+(AE3*0.25),2)</f>
        <v>#REF!</v>
      </c>
      <c r="AK3" s="109" t="e">
        <f>ROUND((AI3*0.75)+(AF3*0.25),2)</f>
        <v>#REF!</v>
      </c>
      <c r="AL3" s="109"/>
      <c r="AM3" s="105"/>
      <c r="AN3" s="105"/>
      <c r="AO3" s="109"/>
      <c r="AP3" s="110"/>
      <c r="AQ3" s="110"/>
      <c r="AR3" s="110"/>
      <c r="AS3" s="110"/>
      <c r="AT3" s="110"/>
      <c r="AU3" s="112"/>
      <c r="AV3" s="112"/>
      <c r="AW3" s="110"/>
      <c r="AX3" s="105"/>
      <c r="AY3" s="105"/>
      <c r="AZ3" s="105"/>
      <c r="BA3" s="105"/>
      <c r="BB3" s="105"/>
      <c r="BC3" s="105"/>
    </row>
    <row r="4" spans="1:55" x14ac:dyDescent="0.15">
      <c r="A4" s="221">
        <v>70</v>
      </c>
      <c r="B4" s="98" t="e">
        <f>VLOOKUP($A4,#REF!,84,FALSE)</f>
        <v>#REF!</v>
      </c>
      <c r="C4" s="98" t="e">
        <f>VLOOKUP($A4,#REF!,85,FALSE)</f>
        <v>#REF!</v>
      </c>
      <c r="D4" s="98" t="e">
        <f>VLOOKUP($A4,#REF!,5,FALSE)</f>
        <v>#REF!</v>
      </c>
      <c r="E4" s="98" t="e">
        <f>VLOOKUP($A4,#REF!,6,FALSE)</f>
        <v>#REF!</v>
      </c>
      <c r="F4" s="105" t="e">
        <f>VLOOKUP($A4,#REF!,34,FALSE)</f>
        <v>#REF!</v>
      </c>
      <c r="G4" s="105" t="e">
        <f>VLOOKUP($A4,#REF!,29,FALSE)</f>
        <v>#REF!</v>
      </c>
      <c r="H4" s="105" t="e">
        <f>VLOOKUP(A4,#REF!,35,FALSE)+VLOOKUP(A4,#REF!,41,FALSE)</f>
        <v>#REF!</v>
      </c>
      <c r="I4" s="105" t="e">
        <f t="shared" ref="I4:I67" si="5">+Y4</f>
        <v>#REF!</v>
      </c>
      <c r="J4" s="105" t="e">
        <f>VLOOKUP(A4,#REF!,42,FALSE)</f>
        <v>#REF!</v>
      </c>
      <c r="K4" s="105" t="e">
        <f t="shared" ref="K4:K67" si="6">SUM(F4:J4)</f>
        <v>#REF!</v>
      </c>
      <c r="L4" s="164" t="e">
        <f t="shared" si="1"/>
        <v>#REF!</v>
      </c>
      <c r="M4" s="105" t="e">
        <f t="shared" ref="M4:M67" si="7">ROUND(K4*L4,2)</f>
        <v>#REF!</v>
      </c>
      <c r="N4" s="105" t="e">
        <f>VLOOKUP(A4,#REF!,46,FALSE)</f>
        <v>#REF!</v>
      </c>
      <c r="O4" s="106" t="e">
        <f>VLOOKUP(A4,#REF!,9,FALSE)</f>
        <v>#REF!</v>
      </c>
      <c r="P4" s="114" t="e">
        <f>#REF!</f>
        <v>#REF!</v>
      </c>
      <c r="Q4" s="114" t="e">
        <f>VLOOKUP(A4,#REF!,12,FALSE)</f>
        <v>#REF!</v>
      </c>
      <c r="R4" s="120" t="e">
        <f>#REF!</f>
        <v>#REF!</v>
      </c>
      <c r="S4" s="106" t="e">
        <f>IF(Q4=0,#REF!,ROUND(Q4*R4,4))</f>
        <v>#REF!</v>
      </c>
      <c r="T4" s="121" t="e">
        <f>VLOOKUP($A4,#REF!,15,FALSE)</f>
        <v>#REF!</v>
      </c>
      <c r="U4" s="121" t="e">
        <f>VLOOKUP($A4,#REF!,19,FALSE)</f>
        <v>#REF!</v>
      </c>
      <c r="V4" s="109" t="e">
        <f t="shared" ref="V4:V67" si="8">IF($O4="NA","NA",ROUND(U4*(O4/P4),2))</f>
        <v>#REF!</v>
      </c>
      <c r="W4" s="109" t="e">
        <f t="shared" ref="W4:W67" si="9">IF($O4="NA",ROUND(U4*S4,2),ROUND(V4*(S4/O4),2))</f>
        <v>#REF!</v>
      </c>
      <c r="X4" s="105" t="e">
        <f t="shared" ref="X4:X67" si="10">IF(O4="NA","NA",ROUND(MAX(0,AB4)*-1,2))</f>
        <v>#REF!</v>
      </c>
      <c r="Y4" s="113" t="e">
        <f t="shared" ref="Y4:Y67" si="11">IF(O4="NA", W4,W4+X4)</f>
        <v>#REF!</v>
      </c>
      <c r="Z4" s="109" t="e">
        <f t="shared" ref="Z4:Z67" si="12">IF(O4="NA","NA",ROUND(T4*(S4/O4),2))</f>
        <v>#REF!</v>
      </c>
      <c r="AA4" s="113" t="e">
        <f t="shared" ref="AA4:AA67" si="13">IF(O4="NA","NA",ROUND(W4*0.95,2))</f>
        <v>#REF!</v>
      </c>
      <c r="AB4" s="109" t="e">
        <f t="shared" ref="AB4:AB67" si="14">IF(O4="NA","NA",AA4-Z4)</f>
        <v>#REF!</v>
      </c>
      <c r="AC4" s="113" t="e">
        <f t="shared" ref="AC4:AC67" si="15">+F4+G4+H4+ROUND((I4*0.5),2)+J4</f>
        <v>#REF!</v>
      </c>
      <c r="AD4" s="105" t="e">
        <f t="shared" ref="AD4:AD67" si="16">+F4+G4+H4+J4</f>
        <v>#REF!</v>
      </c>
      <c r="AE4" s="105" t="e">
        <f t="shared" si="2"/>
        <v>#REF!</v>
      </c>
      <c r="AF4" s="105" t="e">
        <f t="shared" si="3"/>
        <v>#REF!</v>
      </c>
      <c r="AG4" s="105" t="e">
        <f t="shared" si="4"/>
        <v>#REF!</v>
      </c>
      <c r="AH4" s="111" t="e">
        <f>VLOOKUP($A4,#REF!,5,FALSE)</f>
        <v>#REF!</v>
      </c>
      <c r="AI4" s="111" t="e">
        <f>VLOOKUP($A4,#REF!,6,FALSE)</f>
        <v>#REF!</v>
      </c>
      <c r="AJ4" s="109" t="e">
        <f t="shared" ref="AJ4:AJ67" si="17">ROUND((AH4*0.75)+(AE4*0.25),2)</f>
        <v>#REF!</v>
      </c>
      <c r="AK4" s="109" t="e">
        <f t="shared" ref="AK4:AK67" si="18">ROUND((AI4*0.75)+(AF4*0.25),2)</f>
        <v>#REF!</v>
      </c>
      <c r="AL4" s="109"/>
      <c r="AM4" s="105"/>
      <c r="AN4" s="105"/>
      <c r="AO4" s="109"/>
      <c r="AP4" s="110"/>
      <c r="AQ4" s="110"/>
      <c r="AR4" s="110"/>
      <c r="AS4" s="110"/>
      <c r="AT4" s="110"/>
      <c r="AU4" s="112"/>
      <c r="AV4" s="112"/>
      <c r="AW4" s="110"/>
      <c r="AX4" s="105"/>
      <c r="AY4" s="105"/>
      <c r="AZ4" s="105"/>
      <c r="BA4" s="105"/>
      <c r="BB4" s="105"/>
      <c r="BC4" s="105"/>
    </row>
    <row r="5" spans="1:55" x14ac:dyDescent="0.15">
      <c r="A5" s="221">
        <v>30</v>
      </c>
      <c r="B5" s="98" t="e">
        <f>VLOOKUP($A5,#REF!,84,FALSE)</f>
        <v>#REF!</v>
      </c>
      <c r="C5" s="98" t="e">
        <f>VLOOKUP($A5,#REF!,85,FALSE)</f>
        <v>#REF!</v>
      </c>
      <c r="D5" s="98" t="e">
        <f>VLOOKUP($A5,#REF!,5,FALSE)</f>
        <v>#REF!</v>
      </c>
      <c r="E5" s="98" t="e">
        <f>VLOOKUP($A5,#REF!,6,FALSE)</f>
        <v>#REF!</v>
      </c>
      <c r="F5" s="105" t="e">
        <f>VLOOKUP($A5,#REF!,34,FALSE)</f>
        <v>#REF!</v>
      </c>
      <c r="G5" s="105" t="e">
        <f>VLOOKUP($A5,#REF!,29,FALSE)</f>
        <v>#REF!</v>
      </c>
      <c r="H5" s="105" t="e">
        <f>VLOOKUP(A5,#REF!,35,FALSE)+VLOOKUP(A5,#REF!,41,FALSE)</f>
        <v>#REF!</v>
      </c>
      <c r="I5" s="105" t="e">
        <f t="shared" si="5"/>
        <v>#REF!</v>
      </c>
      <c r="J5" s="105" t="e">
        <f>VLOOKUP(A5,#REF!,42,FALSE)</f>
        <v>#REF!</v>
      </c>
      <c r="K5" s="105" t="e">
        <f t="shared" si="6"/>
        <v>#REF!</v>
      </c>
      <c r="L5" s="164" t="e">
        <f t="shared" si="1"/>
        <v>#REF!</v>
      </c>
      <c r="M5" s="105" t="e">
        <f t="shared" si="7"/>
        <v>#REF!</v>
      </c>
      <c r="N5" s="105" t="e">
        <f>VLOOKUP(A5,#REF!,46,FALSE)</f>
        <v>#REF!</v>
      </c>
      <c r="O5" s="106" t="e">
        <f>VLOOKUP(A5,#REF!,9,FALSE)</f>
        <v>#REF!</v>
      </c>
      <c r="P5" s="114" t="e">
        <f>#REF!</f>
        <v>#REF!</v>
      </c>
      <c r="Q5" s="114" t="e">
        <f>VLOOKUP(A5,#REF!,12,FALSE)</f>
        <v>#REF!</v>
      </c>
      <c r="R5" s="120" t="e">
        <f>#REF!</f>
        <v>#REF!</v>
      </c>
      <c r="S5" s="106" t="e">
        <f>IF(Q5=0,#REF!,ROUND(Q5*R5,4))</f>
        <v>#REF!</v>
      </c>
      <c r="T5" s="121" t="e">
        <f>VLOOKUP($A5,#REF!,15,FALSE)</f>
        <v>#REF!</v>
      </c>
      <c r="U5" s="121" t="e">
        <f>VLOOKUP($A5,#REF!,19,FALSE)</f>
        <v>#REF!</v>
      </c>
      <c r="V5" s="109" t="e">
        <f t="shared" si="8"/>
        <v>#REF!</v>
      </c>
      <c r="W5" s="109" t="e">
        <f t="shared" si="9"/>
        <v>#REF!</v>
      </c>
      <c r="X5" s="105" t="e">
        <f t="shared" si="10"/>
        <v>#REF!</v>
      </c>
      <c r="Y5" s="113" t="e">
        <f t="shared" si="11"/>
        <v>#REF!</v>
      </c>
      <c r="Z5" s="109" t="e">
        <f t="shared" si="12"/>
        <v>#REF!</v>
      </c>
      <c r="AA5" s="113" t="e">
        <f t="shared" si="13"/>
        <v>#REF!</v>
      </c>
      <c r="AB5" s="109" t="e">
        <f t="shared" si="14"/>
        <v>#REF!</v>
      </c>
      <c r="AC5" s="113" t="e">
        <f t="shared" si="15"/>
        <v>#REF!</v>
      </c>
      <c r="AD5" s="105" t="e">
        <f t="shared" si="16"/>
        <v>#REF!</v>
      </c>
      <c r="AE5" s="105" t="e">
        <f t="shared" si="2"/>
        <v>#REF!</v>
      </c>
      <c r="AF5" s="105" t="e">
        <f t="shared" si="3"/>
        <v>#REF!</v>
      </c>
      <c r="AG5" s="105" t="e">
        <f t="shared" si="4"/>
        <v>#REF!</v>
      </c>
      <c r="AH5" s="111" t="e">
        <f>VLOOKUP($A5,#REF!,5,FALSE)</f>
        <v>#REF!</v>
      </c>
      <c r="AI5" s="111" t="e">
        <f>VLOOKUP($A5,#REF!,6,FALSE)</f>
        <v>#REF!</v>
      </c>
      <c r="AJ5" s="109" t="e">
        <f t="shared" si="17"/>
        <v>#REF!</v>
      </c>
      <c r="AK5" s="109" t="e">
        <f t="shared" si="18"/>
        <v>#REF!</v>
      </c>
      <c r="AL5" s="109"/>
      <c r="AM5" s="105"/>
      <c r="AN5" s="105"/>
      <c r="AO5" s="109"/>
      <c r="AP5" s="110"/>
      <c r="AQ5" s="110"/>
      <c r="AR5" s="110"/>
      <c r="AS5" s="110"/>
      <c r="AT5" s="110"/>
      <c r="AU5" s="112"/>
      <c r="AV5" s="112"/>
      <c r="AW5" s="110"/>
      <c r="AX5" s="105"/>
      <c r="AY5" s="105"/>
      <c r="AZ5" s="105"/>
      <c r="BA5" s="105"/>
      <c r="BB5" s="105"/>
      <c r="BC5" s="105"/>
    </row>
    <row r="6" spans="1:55" x14ac:dyDescent="0.15">
      <c r="A6" s="221">
        <v>34</v>
      </c>
      <c r="B6" s="98" t="e">
        <f>VLOOKUP($A6,#REF!,84,FALSE)</f>
        <v>#REF!</v>
      </c>
      <c r="C6" s="98" t="e">
        <f>VLOOKUP($A6,#REF!,85,FALSE)</f>
        <v>#REF!</v>
      </c>
      <c r="D6" s="98" t="e">
        <f>VLOOKUP($A6,#REF!,5,FALSE)</f>
        <v>#REF!</v>
      </c>
      <c r="E6" s="98" t="e">
        <f>VLOOKUP($A6,#REF!,6,FALSE)</f>
        <v>#REF!</v>
      </c>
      <c r="F6" s="105" t="e">
        <f>VLOOKUP($A6,#REF!,34,FALSE)</f>
        <v>#REF!</v>
      </c>
      <c r="G6" s="105" t="e">
        <f>VLOOKUP($A6,#REF!,29,FALSE)</f>
        <v>#REF!</v>
      </c>
      <c r="H6" s="105" t="e">
        <f>VLOOKUP(A6,#REF!,35,FALSE)+VLOOKUP(A6,#REF!,41,FALSE)</f>
        <v>#REF!</v>
      </c>
      <c r="I6" s="105" t="e">
        <f t="shared" si="5"/>
        <v>#REF!</v>
      </c>
      <c r="J6" s="105" t="e">
        <f>VLOOKUP(A6,#REF!,42,FALSE)</f>
        <v>#REF!</v>
      </c>
      <c r="K6" s="105" t="e">
        <f t="shared" si="6"/>
        <v>#REF!</v>
      </c>
      <c r="L6" s="164" t="e">
        <f t="shared" si="1"/>
        <v>#REF!</v>
      </c>
      <c r="M6" s="105" t="e">
        <f t="shared" si="7"/>
        <v>#REF!</v>
      </c>
      <c r="N6" s="105" t="e">
        <f>VLOOKUP(A6,#REF!,46,FALSE)</f>
        <v>#REF!</v>
      </c>
      <c r="O6" s="106" t="e">
        <f>VLOOKUP(A6,#REF!,9,FALSE)</f>
        <v>#REF!</v>
      </c>
      <c r="P6" s="114" t="e">
        <f>#REF!</f>
        <v>#REF!</v>
      </c>
      <c r="Q6" s="114" t="e">
        <f>VLOOKUP(A6,#REF!,12,FALSE)</f>
        <v>#REF!</v>
      </c>
      <c r="R6" s="120" t="e">
        <f>#REF!</f>
        <v>#REF!</v>
      </c>
      <c r="S6" s="106" t="e">
        <f>IF(Q6=0,#REF!,ROUND(Q6*R6,4))</f>
        <v>#REF!</v>
      </c>
      <c r="T6" s="121" t="e">
        <f>VLOOKUP($A6,#REF!,15,FALSE)</f>
        <v>#REF!</v>
      </c>
      <c r="U6" s="121" t="e">
        <f>VLOOKUP($A6,#REF!,19,FALSE)</f>
        <v>#REF!</v>
      </c>
      <c r="V6" s="109" t="e">
        <f t="shared" si="8"/>
        <v>#REF!</v>
      </c>
      <c r="W6" s="109" t="e">
        <f t="shared" si="9"/>
        <v>#REF!</v>
      </c>
      <c r="X6" s="105" t="e">
        <f t="shared" si="10"/>
        <v>#REF!</v>
      </c>
      <c r="Y6" s="113" t="e">
        <f t="shared" si="11"/>
        <v>#REF!</v>
      </c>
      <c r="Z6" s="109" t="e">
        <f t="shared" si="12"/>
        <v>#REF!</v>
      </c>
      <c r="AA6" s="113" t="e">
        <f t="shared" si="13"/>
        <v>#REF!</v>
      </c>
      <c r="AB6" s="109" t="e">
        <f t="shared" si="14"/>
        <v>#REF!</v>
      </c>
      <c r="AC6" s="113" t="e">
        <f t="shared" si="15"/>
        <v>#REF!</v>
      </c>
      <c r="AD6" s="105" t="e">
        <f t="shared" si="16"/>
        <v>#REF!</v>
      </c>
      <c r="AE6" s="105" t="e">
        <f t="shared" si="2"/>
        <v>#REF!</v>
      </c>
      <c r="AF6" s="105" t="e">
        <f t="shared" si="3"/>
        <v>#REF!</v>
      </c>
      <c r="AG6" s="105" t="e">
        <f t="shared" si="4"/>
        <v>#REF!</v>
      </c>
      <c r="AH6" s="111" t="e">
        <f>VLOOKUP($A6,#REF!,5,FALSE)</f>
        <v>#REF!</v>
      </c>
      <c r="AI6" s="111" t="e">
        <f>VLOOKUP($A6,#REF!,6,FALSE)</f>
        <v>#REF!</v>
      </c>
      <c r="AJ6" s="109" t="e">
        <f t="shared" si="17"/>
        <v>#REF!</v>
      </c>
      <c r="AK6" s="109" t="e">
        <f t="shared" si="18"/>
        <v>#REF!</v>
      </c>
      <c r="AL6" s="109"/>
      <c r="AM6" s="105"/>
      <c r="AN6" s="105"/>
      <c r="AO6" s="109"/>
      <c r="AP6" s="110"/>
      <c r="AQ6" s="110"/>
      <c r="AR6" s="110"/>
      <c r="AS6" s="110"/>
      <c r="AT6" s="110"/>
      <c r="AU6" s="112"/>
      <c r="AV6" s="112"/>
      <c r="AW6" s="110"/>
      <c r="AX6" s="105"/>
      <c r="AY6" s="105"/>
      <c r="AZ6" s="105"/>
      <c r="BA6" s="105"/>
      <c r="BB6" s="105"/>
      <c r="BC6" s="105"/>
    </row>
    <row r="7" spans="1:55" x14ac:dyDescent="0.15">
      <c r="A7" s="221">
        <v>36</v>
      </c>
      <c r="B7" s="98" t="e">
        <f>VLOOKUP($A7,#REF!,84,FALSE)</f>
        <v>#REF!</v>
      </c>
      <c r="C7" s="98" t="e">
        <f>VLOOKUP($A7,#REF!,85,FALSE)</f>
        <v>#REF!</v>
      </c>
      <c r="D7" s="98" t="e">
        <f>VLOOKUP($A7,#REF!,5,FALSE)</f>
        <v>#REF!</v>
      </c>
      <c r="E7" s="98" t="e">
        <f>VLOOKUP($A7,#REF!,6,FALSE)</f>
        <v>#REF!</v>
      </c>
      <c r="F7" s="105" t="e">
        <f>VLOOKUP($A7,#REF!,34,FALSE)</f>
        <v>#REF!</v>
      </c>
      <c r="G7" s="105" t="e">
        <f>VLOOKUP($A7,#REF!,29,FALSE)</f>
        <v>#REF!</v>
      </c>
      <c r="H7" s="105" t="e">
        <f>VLOOKUP(A7,#REF!,35,FALSE)+VLOOKUP(A7,#REF!,41,FALSE)</f>
        <v>#REF!</v>
      </c>
      <c r="I7" s="105" t="e">
        <f t="shared" si="5"/>
        <v>#REF!</v>
      </c>
      <c r="J7" s="105" t="e">
        <f>VLOOKUP(A7,#REF!,42,FALSE)</f>
        <v>#REF!</v>
      </c>
      <c r="K7" s="105" t="e">
        <f t="shared" si="6"/>
        <v>#REF!</v>
      </c>
      <c r="L7" s="164" t="e">
        <f t="shared" si="1"/>
        <v>#REF!</v>
      </c>
      <c r="M7" s="105" t="e">
        <f t="shared" si="7"/>
        <v>#REF!</v>
      </c>
      <c r="N7" s="105" t="e">
        <f>VLOOKUP(A7,#REF!,46,FALSE)</f>
        <v>#REF!</v>
      </c>
      <c r="O7" s="106" t="e">
        <f>VLOOKUP(A7,#REF!,9,FALSE)</f>
        <v>#REF!</v>
      </c>
      <c r="P7" s="114" t="e">
        <f>#REF!</f>
        <v>#REF!</v>
      </c>
      <c r="Q7" s="114" t="e">
        <f>VLOOKUP(A7,#REF!,12,FALSE)</f>
        <v>#REF!</v>
      </c>
      <c r="R7" s="120" t="e">
        <f>#REF!</f>
        <v>#REF!</v>
      </c>
      <c r="S7" s="106" t="e">
        <f>IF(Q7=0,#REF!,ROUND(Q7*R7,4))</f>
        <v>#REF!</v>
      </c>
      <c r="T7" s="121" t="e">
        <f>VLOOKUP($A7,#REF!,15,FALSE)</f>
        <v>#REF!</v>
      </c>
      <c r="U7" s="121" t="e">
        <f>VLOOKUP($A7,#REF!,19,FALSE)</f>
        <v>#REF!</v>
      </c>
      <c r="V7" s="109" t="e">
        <f t="shared" si="8"/>
        <v>#REF!</v>
      </c>
      <c r="W7" s="109" t="e">
        <f t="shared" si="9"/>
        <v>#REF!</v>
      </c>
      <c r="X7" s="105" t="e">
        <f t="shared" si="10"/>
        <v>#REF!</v>
      </c>
      <c r="Y7" s="113" t="e">
        <f t="shared" si="11"/>
        <v>#REF!</v>
      </c>
      <c r="Z7" s="109" t="e">
        <f t="shared" si="12"/>
        <v>#REF!</v>
      </c>
      <c r="AA7" s="113" t="e">
        <f t="shared" si="13"/>
        <v>#REF!</v>
      </c>
      <c r="AB7" s="109" t="e">
        <f t="shared" si="14"/>
        <v>#REF!</v>
      </c>
      <c r="AC7" s="113" t="e">
        <f t="shared" si="15"/>
        <v>#REF!</v>
      </c>
      <c r="AD7" s="105" t="e">
        <f t="shared" si="16"/>
        <v>#REF!</v>
      </c>
      <c r="AE7" s="105" t="e">
        <f t="shared" si="2"/>
        <v>#REF!</v>
      </c>
      <c r="AF7" s="105" t="e">
        <f t="shared" si="3"/>
        <v>#REF!</v>
      </c>
      <c r="AG7" s="105" t="e">
        <f t="shared" si="4"/>
        <v>#REF!</v>
      </c>
      <c r="AH7" s="111" t="e">
        <f>VLOOKUP($A7,#REF!,5,FALSE)</f>
        <v>#REF!</v>
      </c>
      <c r="AI7" s="111" t="e">
        <f>VLOOKUP($A7,#REF!,6,FALSE)</f>
        <v>#REF!</v>
      </c>
      <c r="AJ7" s="109" t="e">
        <f t="shared" si="17"/>
        <v>#REF!</v>
      </c>
      <c r="AK7" s="109" t="e">
        <f t="shared" si="18"/>
        <v>#REF!</v>
      </c>
      <c r="AL7" s="109"/>
      <c r="AM7" s="105"/>
      <c r="AN7" s="105"/>
      <c r="AO7" s="109"/>
      <c r="AP7" s="110"/>
      <c r="AQ7" s="110"/>
      <c r="AR7" s="110"/>
      <c r="AS7" s="110"/>
      <c r="AT7" s="110"/>
      <c r="AU7" s="112"/>
      <c r="AV7" s="112"/>
      <c r="AW7" s="110"/>
      <c r="AX7" s="105"/>
      <c r="AY7" s="105"/>
      <c r="AZ7" s="105"/>
      <c r="BA7" s="105"/>
      <c r="BB7" s="105"/>
      <c r="BC7" s="105"/>
    </row>
    <row r="8" spans="1:55" x14ac:dyDescent="0.15">
      <c r="A8" s="221">
        <v>38</v>
      </c>
      <c r="B8" s="98" t="e">
        <f>VLOOKUP($A8,#REF!,84,FALSE)</f>
        <v>#REF!</v>
      </c>
      <c r="C8" s="98" t="e">
        <f>VLOOKUP($A8,#REF!,85,FALSE)</f>
        <v>#REF!</v>
      </c>
      <c r="D8" s="98" t="e">
        <f>VLOOKUP($A8,#REF!,5,FALSE)</f>
        <v>#REF!</v>
      </c>
      <c r="E8" s="98" t="e">
        <f>VLOOKUP($A8,#REF!,6,FALSE)</f>
        <v>#REF!</v>
      </c>
      <c r="F8" s="105" t="e">
        <f>VLOOKUP($A8,#REF!,34,FALSE)</f>
        <v>#REF!</v>
      </c>
      <c r="G8" s="105" t="e">
        <f>VLOOKUP($A8,#REF!,29,FALSE)</f>
        <v>#REF!</v>
      </c>
      <c r="H8" s="105" t="e">
        <f>VLOOKUP(A8,#REF!,35,FALSE)+VLOOKUP(A8,#REF!,41,FALSE)</f>
        <v>#REF!</v>
      </c>
      <c r="I8" s="105" t="e">
        <f t="shared" si="5"/>
        <v>#REF!</v>
      </c>
      <c r="J8" s="105" t="e">
        <f>VLOOKUP(A8,#REF!,42,FALSE)</f>
        <v>#REF!</v>
      </c>
      <c r="K8" s="105" t="e">
        <f t="shared" si="6"/>
        <v>#REF!</v>
      </c>
      <c r="L8" s="164" t="e">
        <f t="shared" si="1"/>
        <v>#REF!</v>
      </c>
      <c r="M8" s="105" t="e">
        <f t="shared" si="7"/>
        <v>#REF!</v>
      </c>
      <c r="N8" s="105" t="e">
        <f>VLOOKUP(A8,#REF!,46,FALSE)</f>
        <v>#REF!</v>
      </c>
      <c r="O8" s="106" t="e">
        <f>VLOOKUP(A8,#REF!,9,FALSE)</f>
        <v>#REF!</v>
      </c>
      <c r="P8" s="114" t="e">
        <f>#REF!</f>
        <v>#REF!</v>
      </c>
      <c r="Q8" s="114" t="e">
        <f>VLOOKUP(A8,#REF!,12,FALSE)</f>
        <v>#REF!</v>
      </c>
      <c r="R8" s="120" t="e">
        <f>#REF!</f>
        <v>#REF!</v>
      </c>
      <c r="S8" s="106" t="e">
        <f>IF(Q8=0,#REF!,ROUND(Q8*R8,4))</f>
        <v>#REF!</v>
      </c>
      <c r="T8" s="121" t="e">
        <f>VLOOKUP($A8,#REF!,15,FALSE)</f>
        <v>#REF!</v>
      </c>
      <c r="U8" s="121" t="e">
        <f>VLOOKUP($A8,#REF!,19,FALSE)</f>
        <v>#REF!</v>
      </c>
      <c r="V8" s="109" t="e">
        <f t="shared" si="8"/>
        <v>#REF!</v>
      </c>
      <c r="W8" s="109" t="e">
        <f t="shared" si="9"/>
        <v>#REF!</v>
      </c>
      <c r="X8" s="105" t="e">
        <f t="shared" si="10"/>
        <v>#REF!</v>
      </c>
      <c r="Y8" s="113" t="e">
        <f t="shared" si="11"/>
        <v>#REF!</v>
      </c>
      <c r="Z8" s="109" t="e">
        <f t="shared" si="12"/>
        <v>#REF!</v>
      </c>
      <c r="AA8" s="113" t="e">
        <f t="shared" si="13"/>
        <v>#REF!</v>
      </c>
      <c r="AB8" s="109" t="e">
        <f t="shared" si="14"/>
        <v>#REF!</v>
      </c>
      <c r="AC8" s="113" t="e">
        <f t="shared" si="15"/>
        <v>#REF!</v>
      </c>
      <c r="AD8" s="105" t="e">
        <f t="shared" si="16"/>
        <v>#REF!</v>
      </c>
      <c r="AE8" s="105" t="e">
        <f t="shared" si="2"/>
        <v>#REF!</v>
      </c>
      <c r="AF8" s="105" t="e">
        <f t="shared" si="3"/>
        <v>#REF!</v>
      </c>
      <c r="AG8" s="105" t="e">
        <f t="shared" si="4"/>
        <v>#REF!</v>
      </c>
      <c r="AH8" s="111" t="e">
        <f>VLOOKUP($A8,#REF!,5,FALSE)</f>
        <v>#REF!</v>
      </c>
      <c r="AI8" s="111" t="e">
        <f>VLOOKUP($A8,#REF!,6,FALSE)</f>
        <v>#REF!</v>
      </c>
      <c r="AJ8" s="109" t="e">
        <f t="shared" si="17"/>
        <v>#REF!</v>
      </c>
      <c r="AK8" s="109" t="e">
        <f t="shared" si="18"/>
        <v>#REF!</v>
      </c>
      <c r="AL8" s="109"/>
      <c r="AM8" s="105"/>
      <c r="AN8" s="105"/>
      <c r="AO8" s="109"/>
      <c r="AP8" s="110"/>
      <c r="AQ8" s="110"/>
      <c r="AR8" s="110"/>
      <c r="AS8" s="110"/>
      <c r="AT8" s="110"/>
      <c r="AU8" s="112"/>
      <c r="AV8" s="112"/>
      <c r="AW8" s="110"/>
      <c r="AX8" s="105"/>
      <c r="AY8" s="105"/>
      <c r="AZ8" s="105"/>
      <c r="BA8" s="105"/>
      <c r="BB8" s="105"/>
      <c r="BC8" s="105"/>
    </row>
    <row r="9" spans="1:55" x14ac:dyDescent="0.15">
      <c r="A9" s="221">
        <v>224</v>
      </c>
      <c r="B9" s="98" t="e">
        <f>VLOOKUP($A9,#REF!,84,FALSE)</f>
        <v>#REF!</v>
      </c>
      <c r="C9" s="98" t="e">
        <f>VLOOKUP($A9,#REF!,85,FALSE)</f>
        <v>#REF!</v>
      </c>
      <c r="D9" s="98" t="e">
        <f>VLOOKUP($A9,#REF!,5,FALSE)</f>
        <v>#REF!</v>
      </c>
      <c r="E9" s="98" t="e">
        <f>VLOOKUP($A9,#REF!,6,FALSE)</f>
        <v>#REF!</v>
      </c>
      <c r="F9" s="105" t="e">
        <f>VLOOKUP($A9,#REF!,34,FALSE)</f>
        <v>#REF!</v>
      </c>
      <c r="G9" s="105" t="e">
        <f>VLOOKUP($A9,#REF!,29,FALSE)</f>
        <v>#REF!</v>
      </c>
      <c r="H9" s="105" t="e">
        <f>VLOOKUP(A9,#REF!,35,FALSE)+VLOOKUP(A9,#REF!,41,FALSE)</f>
        <v>#REF!</v>
      </c>
      <c r="I9" s="105" t="e">
        <f t="shared" si="5"/>
        <v>#REF!</v>
      </c>
      <c r="J9" s="105" t="e">
        <f>VLOOKUP(A9,#REF!,42,FALSE)</f>
        <v>#REF!</v>
      </c>
      <c r="K9" s="105" t="e">
        <f t="shared" si="6"/>
        <v>#REF!</v>
      </c>
      <c r="L9" s="164" t="e">
        <f t="shared" si="1"/>
        <v>#REF!</v>
      </c>
      <c r="M9" s="105" t="e">
        <f t="shared" si="7"/>
        <v>#REF!</v>
      </c>
      <c r="N9" s="105" t="e">
        <f>VLOOKUP(A9,#REF!,46,FALSE)</f>
        <v>#REF!</v>
      </c>
      <c r="O9" s="106" t="e">
        <f>VLOOKUP(A9,#REF!,9,FALSE)</f>
        <v>#REF!</v>
      </c>
      <c r="P9" s="114" t="e">
        <f>#REF!</f>
        <v>#REF!</v>
      </c>
      <c r="Q9" s="114" t="e">
        <f>VLOOKUP(A9,#REF!,12,FALSE)</f>
        <v>#REF!</v>
      </c>
      <c r="R9" s="120" t="e">
        <f>#REF!</f>
        <v>#REF!</v>
      </c>
      <c r="S9" s="106" t="e">
        <f>IF(Q9=0,#REF!,ROUND(Q9*R9,4))</f>
        <v>#REF!</v>
      </c>
      <c r="T9" s="121" t="e">
        <f>VLOOKUP($A9,#REF!,15,FALSE)</f>
        <v>#REF!</v>
      </c>
      <c r="U9" s="121" t="e">
        <f>VLOOKUP($A9,#REF!,19,FALSE)</f>
        <v>#REF!</v>
      </c>
      <c r="V9" s="109" t="e">
        <f t="shared" si="8"/>
        <v>#REF!</v>
      </c>
      <c r="W9" s="109" t="e">
        <f t="shared" si="9"/>
        <v>#REF!</v>
      </c>
      <c r="X9" s="105" t="e">
        <f t="shared" si="10"/>
        <v>#REF!</v>
      </c>
      <c r="Y9" s="113" t="e">
        <f t="shared" si="11"/>
        <v>#REF!</v>
      </c>
      <c r="Z9" s="109" t="e">
        <f t="shared" si="12"/>
        <v>#REF!</v>
      </c>
      <c r="AA9" s="113" t="e">
        <f t="shared" si="13"/>
        <v>#REF!</v>
      </c>
      <c r="AB9" s="109" t="e">
        <f t="shared" si="14"/>
        <v>#REF!</v>
      </c>
      <c r="AC9" s="113" t="e">
        <f t="shared" si="15"/>
        <v>#REF!</v>
      </c>
      <c r="AD9" s="105" t="e">
        <f t="shared" si="16"/>
        <v>#REF!</v>
      </c>
      <c r="AE9" s="105" t="e">
        <f t="shared" si="2"/>
        <v>#REF!</v>
      </c>
      <c r="AF9" s="105" t="e">
        <f t="shared" si="3"/>
        <v>#REF!</v>
      </c>
      <c r="AG9" s="105" t="e">
        <f t="shared" si="4"/>
        <v>#REF!</v>
      </c>
      <c r="AH9" s="111" t="e">
        <f>VLOOKUP($A9,#REF!,5,FALSE)</f>
        <v>#REF!</v>
      </c>
      <c r="AI9" s="111" t="e">
        <f>VLOOKUP($A9,#REF!,6,FALSE)</f>
        <v>#REF!</v>
      </c>
      <c r="AJ9" s="109" t="e">
        <f t="shared" si="17"/>
        <v>#REF!</v>
      </c>
      <c r="AK9" s="109" t="e">
        <f t="shared" si="18"/>
        <v>#REF!</v>
      </c>
      <c r="AL9" s="109"/>
      <c r="AM9" s="105"/>
      <c r="AN9" s="105"/>
      <c r="AO9" s="109"/>
      <c r="AP9" s="110"/>
      <c r="AQ9" s="110"/>
      <c r="AR9" s="110"/>
      <c r="AS9" s="110"/>
      <c r="AT9" s="110"/>
      <c r="AU9" s="112"/>
      <c r="AV9" s="112"/>
      <c r="AW9" s="110"/>
      <c r="AX9" s="105"/>
      <c r="AY9" s="105"/>
      <c r="AZ9" s="105"/>
      <c r="BA9" s="105"/>
      <c r="BB9" s="105"/>
      <c r="BC9" s="105"/>
    </row>
    <row r="10" spans="1:55" x14ac:dyDescent="0.15">
      <c r="A10" s="221">
        <v>44</v>
      </c>
      <c r="B10" s="98" t="e">
        <f>VLOOKUP($A10,#REF!,84,FALSE)</f>
        <v>#REF!</v>
      </c>
      <c r="C10" s="98" t="e">
        <f>VLOOKUP($A10,#REF!,85,FALSE)</f>
        <v>#REF!</v>
      </c>
      <c r="D10" s="98" t="e">
        <f>VLOOKUP($A10,#REF!,5,FALSE)</f>
        <v>#REF!</v>
      </c>
      <c r="E10" s="98" t="e">
        <f>VLOOKUP($A10,#REF!,6,FALSE)</f>
        <v>#REF!</v>
      </c>
      <c r="F10" s="105" t="e">
        <f>VLOOKUP($A10,#REF!,34,FALSE)</f>
        <v>#REF!</v>
      </c>
      <c r="G10" s="105" t="e">
        <f>VLOOKUP($A10,#REF!,29,FALSE)</f>
        <v>#REF!</v>
      </c>
      <c r="H10" s="105" t="e">
        <f>VLOOKUP(A10,#REF!,35,FALSE)+VLOOKUP(A10,#REF!,41,FALSE)</f>
        <v>#REF!</v>
      </c>
      <c r="I10" s="105" t="e">
        <f t="shared" si="5"/>
        <v>#REF!</v>
      </c>
      <c r="J10" s="105" t="e">
        <f>VLOOKUP(A10,#REF!,42,FALSE)</f>
        <v>#REF!</v>
      </c>
      <c r="K10" s="105" t="e">
        <f t="shared" si="6"/>
        <v>#REF!</v>
      </c>
      <c r="L10" s="164" t="e">
        <f t="shared" si="1"/>
        <v>#REF!</v>
      </c>
      <c r="M10" s="105" t="e">
        <f t="shared" si="7"/>
        <v>#REF!</v>
      </c>
      <c r="N10" s="105" t="e">
        <f>VLOOKUP(A10,#REF!,46,FALSE)</f>
        <v>#REF!</v>
      </c>
      <c r="O10" s="106" t="e">
        <f>VLOOKUP(A10,#REF!,9,FALSE)</f>
        <v>#REF!</v>
      </c>
      <c r="P10" s="114" t="e">
        <f>#REF!</f>
        <v>#REF!</v>
      </c>
      <c r="Q10" s="114" t="e">
        <f>VLOOKUP(A10,#REF!,12,FALSE)</f>
        <v>#REF!</v>
      </c>
      <c r="R10" s="120" t="e">
        <f>#REF!</f>
        <v>#REF!</v>
      </c>
      <c r="S10" s="106" t="e">
        <f>IF(Q10=0,#REF!,ROUND(Q10*R10,4))</f>
        <v>#REF!</v>
      </c>
      <c r="T10" s="121" t="e">
        <f>VLOOKUP($A10,#REF!,15,FALSE)</f>
        <v>#REF!</v>
      </c>
      <c r="U10" s="121" t="e">
        <f>VLOOKUP($A10,#REF!,19,FALSE)</f>
        <v>#REF!</v>
      </c>
      <c r="V10" s="109" t="e">
        <f t="shared" si="8"/>
        <v>#REF!</v>
      </c>
      <c r="W10" s="109" t="e">
        <f t="shared" si="9"/>
        <v>#REF!</v>
      </c>
      <c r="X10" s="105" t="e">
        <f t="shared" si="10"/>
        <v>#REF!</v>
      </c>
      <c r="Y10" s="113" t="e">
        <f t="shared" si="11"/>
        <v>#REF!</v>
      </c>
      <c r="Z10" s="109" t="e">
        <f t="shared" si="12"/>
        <v>#REF!</v>
      </c>
      <c r="AA10" s="113" t="e">
        <f t="shared" si="13"/>
        <v>#REF!</v>
      </c>
      <c r="AB10" s="109" t="e">
        <f t="shared" si="14"/>
        <v>#REF!</v>
      </c>
      <c r="AC10" s="113" t="e">
        <f t="shared" si="15"/>
        <v>#REF!</v>
      </c>
      <c r="AD10" s="105" t="e">
        <f t="shared" si="16"/>
        <v>#REF!</v>
      </c>
      <c r="AE10" s="105" t="e">
        <f t="shared" si="2"/>
        <v>#REF!</v>
      </c>
      <c r="AF10" s="105" t="e">
        <f t="shared" si="3"/>
        <v>#REF!</v>
      </c>
      <c r="AG10" s="105" t="e">
        <f t="shared" si="4"/>
        <v>#REF!</v>
      </c>
      <c r="AH10" s="111" t="e">
        <f>VLOOKUP($A10,#REF!,5,FALSE)</f>
        <v>#REF!</v>
      </c>
      <c r="AI10" s="111" t="e">
        <f>VLOOKUP($A10,#REF!,6,FALSE)</f>
        <v>#REF!</v>
      </c>
      <c r="AJ10" s="109" t="e">
        <f t="shared" si="17"/>
        <v>#REF!</v>
      </c>
      <c r="AK10" s="109" t="e">
        <f t="shared" si="18"/>
        <v>#REF!</v>
      </c>
      <c r="AL10" s="109"/>
      <c r="AM10" s="105"/>
      <c r="AN10" s="105"/>
      <c r="AO10" s="109"/>
      <c r="AP10" s="110"/>
      <c r="AQ10" s="110"/>
      <c r="AR10" s="110"/>
      <c r="AS10" s="110"/>
      <c r="AT10" s="110"/>
      <c r="AU10" s="112"/>
      <c r="AV10" s="112"/>
      <c r="AW10" s="110"/>
      <c r="AX10" s="105"/>
      <c r="AY10" s="105"/>
      <c r="AZ10" s="105"/>
      <c r="BA10" s="105"/>
      <c r="BB10" s="105"/>
      <c r="BC10" s="105"/>
    </row>
    <row r="11" spans="1:55" x14ac:dyDescent="0.15">
      <c r="A11" s="221">
        <v>671</v>
      </c>
      <c r="B11" s="98" t="e">
        <f>VLOOKUP($A11,#REF!,84,FALSE)</f>
        <v>#REF!</v>
      </c>
      <c r="C11" s="98" t="e">
        <f>VLOOKUP($A11,#REF!,85,FALSE)</f>
        <v>#REF!</v>
      </c>
      <c r="D11" s="98" t="e">
        <f>VLOOKUP($A11,#REF!,5,FALSE)</f>
        <v>#REF!</v>
      </c>
      <c r="E11" s="98" t="e">
        <f>VLOOKUP($A11,#REF!,6,FALSE)</f>
        <v>#REF!</v>
      </c>
      <c r="F11" s="105" t="e">
        <f>VLOOKUP($A11,#REF!,34,FALSE)</f>
        <v>#REF!</v>
      </c>
      <c r="G11" s="105" t="e">
        <f>VLOOKUP($A11,#REF!,29,FALSE)</f>
        <v>#REF!</v>
      </c>
      <c r="H11" s="105" t="e">
        <f>VLOOKUP(A11,#REF!,35,FALSE)+VLOOKUP(A11,#REF!,41,FALSE)</f>
        <v>#REF!</v>
      </c>
      <c r="I11" s="105" t="e">
        <f t="shared" si="5"/>
        <v>#REF!</v>
      </c>
      <c r="J11" s="105" t="e">
        <f>VLOOKUP(A11,#REF!,42,FALSE)</f>
        <v>#REF!</v>
      </c>
      <c r="K11" s="105" t="e">
        <f t="shared" si="6"/>
        <v>#REF!</v>
      </c>
      <c r="L11" s="164" t="e">
        <f t="shared" si="1"/>
        <v>#REF!</v>
      </c>
      <c r="M11" s="105" t="e">
        <f t="shared" si="7"/>
        <v>#REF!</v>
      </c>
      <c r="N11" s="105" t="e">
        <f>VLOOKUP(A11,#REF!,46,FALSE)</f>
        <v>#REF!</v>
      </c>
      <c r="O11" s="106" t="e">
        <f>VLOOKUP(A11,#REF!,9,FALSE)</f>
        <v>#REF!</v>
      </c>
      <c r="P11" s="114" t="e">
        <f>#REF!</f>
        <v>#REF!</v>
      </c>
      <c r="Q11" s="114" t="e">
        <f>VLOOKUP(A11,#REF!,12,FALSE)</f>
        <v>#REF!</v>
      </c>
      <c r="R11" s="120" t="e">
        <f>#REF!</f>
        <v>#REF!</v>
      </c>
      <c r="S11" s="106" t="e">
        <f>IF(Q11=0,#REF!,ROUND(Q11*R11,4))</f>
        <v>#REF!</v>
      </c>
      <c r="T11" s="121" t="e">
        <f>VLOOKUP($A11,#REF!,15,FALSE)</f>
        <v>#REF!</v>
      </c>
      <c r="U11" s="121" t="e">
        <f>VLOOKUP($A11,#REF!,19,FALSE)</f>
        <v>#REF!</v>
      </c>
      <c r="V11" s="109" t="e">
        <f t="shared" si="8"/>
        <v>#REF!</v>
      </c>
      <c r="W11" s="109" t="e">
        <f t="shared" si="9"/>
        <v>#REF!</v>
      </c>
      <c r="X11" s="105" t="e">
        <f t="shared" si="10"/>
        <v>#REF!</v>
      </c>
      <c r="Y11" s="113" t="e">
        <f t="shared" si="11"/>
        <v>#REF!</v>
      </c>
      <c r="Z11" s="109" t="e">
        <f t="shared" si="12"/>
        <v>#REF!</v>
      </c>
      <c r="AA11" s="113" t="e">
        <f t="shared" si="13"/>
        <v>#REF!</v>
      </c>
      <c r="AB11" s="109" t="e">
        <f t="shared" si="14"/>
        <v>#REF!</v>
      </c>
      <c r="AC11" s="113" t="e">
        <f t="shared" si="15"/>
        <v>#REF!</v>
      </c>
      <c r="AD11" s="105" t="e">
        <f t="shared" si="16"/>
        <v>#REF!</v>
      </c>
      <c r="AE11" s="105" t="e">
        <f t="shared" si="2"/>
        <v>#REF!</v>
      </c>
      <c r="AF11" s="105" t="e">
        <f t="shared" si="3"/>
        <v>#REF!</v>
      </c>
      <c r="AG11" s="105" t="e">
        <f t="shared" si="4"/>
        <v>#REF!</v>
      </c>
      <c r="AH11" s="111" t="e">
        <f>VLOOKUP($A11,#REF!,5,FALSE)</f>
        <v>#REF!</v>
      </c>
      <c r="AI11" s="111" t="e">
        <f>VLOOKUP($A11,#REF!,6,FALSE)</f>
        <v>#REF!</v>
      </c>
      <c r="AJ11" s="109" t="e">
        <f t="shared" si="17"/>
        <v>#REF!</v>
      </c>
      <c r="AK11" s="109" t="e">
        <f t="shared" si="18"/>
        <v>#REF!</v>
      </c>
      <c r="AL11" s="109"/>
      <c r="AM11" s="105"/>
      <c r="AN11" s="105"/>
      <c r="AO11" s="109"/>
      <c r="AP11" s="110"/>
      <c r="AQ11" s="110"/>
      <c r="AR11" s="110"/>
      <c r="AS11" s="110"/>
      <c r="AT11" s="110"/>
      <c r="AU11" s="112"/>
      <c r="AV11" s="112"/>
      <c r="AW11" s="110"/>
      <c r="AX11" s="105"/>
      <c r="AY11" s="105"/>
      <c r="AZ11" s="105"/>
      <c r="BA11" s="105"/>
      <c r="BB11" s="105"/>
      <c r="BC11" s="105"/>
    </row>
    <row r="12" spans="1:55" x14ac:dyDescent="0.15">
      <c r="A12" s="221">
        <v>46</v>
      </c>
      <c r="B12" s="98" t="e">
        <f>VLOOKUP($A12,#REF!,84,FALSE)</f>
        <v>#REF!</v>
      </c>
      <c r="C12" s="98" t="e">
        <f>VLOOKUP($A12,#REF!,85,FALSE)</f>
        <v>#REF!</v>
      </c>
      <c r="D12" s="98" t="e">
        <f>VLOOKUP($A12,#REF!,5,FALSE)</f>
        <v>#REF!</v>
      </c>
      <c r="E12" s="98" t="e">
        <f>VLOOKUP($A12,#REF!,6,FALSE)</f>
        <v>#REF!</v>
      </c>
      <c r="F12" s="105" t="e">
        <f>VLOOKUP($A12,#REF!,34,FALSE)</f>
        <v>#REF!</v>
      </c>
      <c r="G12" s="105" t="e">
        <f>VLOOKUP($A12,#REF!,29,FALSE)</f>
        <v>#REF!</v>
      </c>
      <c r="H12" s="105" t="e">
        <f>VLOOKUP(A12,#REF!,35,FALSE)+VLOOKUP(A12,#REF!,41,FALSE)</f>
        <v>#REF!</v>
      </c>
      <c r="I12" s="105" t="e">
        <f t="shared" si="5"/>
        <v>#REF!</v>
      </c>
      <c r="J12" s="105" t="e">
        <f>VLOOKUP(A12,#REF!,42,FALSE)</f>
        <v>#REF!</v>
      </c>
      <c r="K12" s="105" t="e">
        <f t="shared" si="6"/>
        <v>#REF!</v>
      </c>
      <c r="L12" s="164" t="e">
        <f t="shared" si="1"/>
        <v>#REF!</v>
      </c>
      <c r="M12" s="105" t="e">
        <f t="shared" si="7"/>
        <v>#REF!</v>
      </c>
      <c r="N12" s="105" t="e">
        <f>VLOOKUP(A12,#REF!,46,FALSE)</f>
        <v>#REF!</v>
      </c>
      <c r="O12" s="106" t="e">
        <f>VLOOKUP(A12,#REF!,9,FALSE)</f>
        <v>#REF!</v>
      </c>
      <c r="P12" s="114" t="e">
        <f>#REF!</f>
        <v>#REF!</v>
      </c>
      <c r="Q12" s="114" t="e">
        <f>VLOOKUP(A12,#REF!,12,FALSE)</f>
        <v>#REF!</v>
      </c>
      <c r="R12" s="120" t="e">
        <f>#REF!</f>
        <v>#REF!</v>
      </c>
      <c r="S12" s="106" t="e">
        <f>IF(Q12=0,#REF!,ROUND(Q12*R12,4))</f>
        <v>#REF!</v>
      </c>
      <c r="T12" s="121" t="e">
        <f>VLOOKUP($A12,#REF!,15,FALSE)</f>
        <v>#REF!</v>
      </c>
      <c r="U12" s="121" t="e">
        <f>VLOOKUP($A12,#REF!,19,FALSE)</f>
        <v>#REF!</v>
      </c>
      <c r="V12" s="109" t="e">
        <f t="shared" si="8"/>
        <v>#REF!</v>
      </c>
      <c r="W12" s="109" t="e">
        <f t="shared" si="9"/>
        <v>#REF!</v>
      </c>
      <c r="X12" s="105" t="e">
        <f t="shared" si="10"/>
        <v>#REF!</v>
      </c>
      <c r="Y12" s="113" t="e">
        <f t="shared" si="11"/>
        <v>#REF!</v>
      </c>
      <c r="Z12" s="109" t="e">
        <f t="shared" si="12"/>
        <v>#REF!</v>
      </c>
      <c r="AA12" s="113" t="e">
        <f t="shared" si="13"/>
        <v>#REF!</v>
      </c>
      <c r="AB12" s="109" t="e">
        <f t="shared" si="14"/>
        <v>#REF!</v>
      </c>
      <c r="AC12" s="113" t="e">
        <f t="shared" si="15"/>
        <v>#REF!</v>
      </c>
      <c r="AD12" s="105" t="e">
        <f t="shared" si="16"/>
        <v>#REF!</v>
      </c>
      <c r="AE12" s="105" t="e">
        <f t="shared" si="2"/>
        <v>#REF!</v>
      </c>
      <c r="AF12" s="105" t="e">
        <f t="shared" si="3"/>
        <v>#REF!</v>
      </c>
      <c r="AG12" s="105" t="e">
        <f t="shared" si="4"/>
        <v>#REF!</v>
      </c>
      <c r="AH12" s="111" t="e">
        <f>VLOOKUP($A12,#REF!,5,FALSE)</f>
        <v>#REF!</v>
      </c>
      <c r="AI12" s="111" t="e">
        <f>VLOOKUP($A12,#REF!,6,FALSE)</f>
        <v>#REF!</v>
      </c>
      <c r="AJ12" s="109" t="e">
        <f t="shared" si="17"/>
        <v>#REF!</v>
      </c>
      <c r="AK12" s="109" t="e">
        <f t="shared" si="18"/>
        <v>#REF!</v>
      </c>
      <c r="AL12" s="109"/>
      <c r="AM12" s="105"/>
      <c r="AN12" s="105"/>
      <c r="AO12" s="109"/>
      <c r="AP12" s="110"/>
      <c r="AQ12" s="110"/>
      <c r="AR12" s="110"/>
      <c r="AS12" s="110"/>
      <c r="AT12" s="110"/>
      <c r="AU12" s="112"/>
      <c r="AV12" s="112"/>
      <c r="AW12" s="110"/>
      <c r="AX12" s="105"/>
      <c r="AY12" s="105"/>
      <c r="AZ12" s="105"/>
      <c r="BA12" s="105"/>
      <c r="BB12" s="105"/>
      <c r="BC12" s="105"/>
    </row>
    <row r="13" spans="1:55" x14ac:dyDescent="0.15">
      <c r="A13" s="221">
        <v>32</v>
      </c>
      <c r="B13" s="98" t="e">
        <f>VLOOKUP($A13,#REF!,84,FALSE)</f>
        <v>#REF!</v>
      </c>
      <c r="C13" s="98" t="e">
        <f>VLOOKUP($A13,#REF!,85,FALSE)</f>
        <v>#REF!</v>
      </c>
      <c r="D13" s="98" t="e">
        <f>VLOOKUP($A13,#REF!,5,FALSE)</f>
        <v>#REF!</v>
      </c>
      <c r="E13" s="98" t="e">
        <f>VLOOKUP($A13,#REF!,6,FALSE)</f>
        <v>#REF!</v>
      </c>
      <c r="F13" s="105" t="e">
        <f>VLOOKUP($A13,#REF!,34,FALSE)</f>
        <v>#REF!</v>
      </c>
      <c r="G13" s="105" t="e">
        <f>VLOOKUP($A13,#REF!,29,FALSE)</f>
        <v>#REF!</v>
      </c>
      <c r="H13" s="105" t="e">
        <f>VLOOKUP(A13,#REF!,35,FALSE)+VLOOKUP(A13,#REF!,41,FALSE)</f>
        <v>#REF!</v>
      </c>
      <c r="I13" s="105" t="e">
        <f t="shared" si="5"/>
        <v>#REF!</v>
      </c>
      <c r="J13" s="105" t="e">
        <f>VLOOKUP(A13,#REF!,42,FALSE)</f>
        <v>#REF!</v>
      </c>
      <c r="K13" s="105" t="e">
        <f t="shared" si="6"/>
        <v>#REF!</v>
      </c>
      <c r="L13" s="164" t="e">
        <f t="shared" si="1"/>
        <v>#REF!</v>
      </c>
      <c r="M13" s="105" t="e">
        <f t="shared" si="7"/>
        <v>#REF!</v>
      </c>
      <c r="N13" s="105" t="e">
        <f>VLOOKUP(A13,#REF!,46,FALSE)</f>
        <v>#REF!</v>
      </c>
      <c r="O13" s="106" t="e">
        <f>VLOOKUP(A13,#REF!,9,FALSE)</f>
        <v>#REF!</v>
      </c>
      <c r="P13" s="114" t="e">
        <f>#REF!</f>
        <v>#REF!</v>
      </c>
      <c r="Q13" s="114" t="e">
        <f>VLOOKUP(A13,#REF!,12,FALSE)</f>
        <v>#REF!</v>
      </c>
      <c r="R13" s="120" t="e">
        <f>#REF!</f>
        <v>#REF!</v>
      </c>
      <c r="S13" s="106" t="e">
        <f>IF(Q13=0,#REF!,ROUND(Q13*R13,4))</f>
        <v>#REF!</v>
      </c>
      <c r="T13" s="121" t="e">
        <f>VLOOKUP($A13,#REF!,15,FALSE)</f>
        <v>#REF!</v>
      </c>
      <c r="U13" s="121" t="e">
        <f>VLOOKUP($A13,#REF!,19,FALSE)</f>
        <v>#REF!</v>
      </c>
      <c r="V13" s="109" t="e">
        <f t="shared" si="8"/>
        <v>#REF!</v>
      </c>
      <c r="W13" s="109" t="e">
        <f t="shared" si="9"/>
        <v>#REF!</v>
      </c>
      <c r="X13" s="105" t="e">
        <f t="shared" si="10"/>
        <v>#REF!</v>
      </c>
      <c r="Y13" s="113" t="e">
        <f t="shared" si="11"/>
        <v>#REF!</v>
      </c>
      <c r="Z13" s="109" t="e">
        <f t="shared" si="12"/>
        <v>#REF!</v>
      </c>
      <c r="AA13" s="113" t="e">
        <f t="shared" si="13"/>
        <v>#REF!</v>
      </c>
      <c r="AB13" s="109" t="e">
        <f t="shared" si="14"/>
        <v>#REF!</v>
      </c>
      <c r="AC13" s="113" t="e">
        <f t="shared" si="15"/>
        <v>#REF!</v>
      </c>
      <c r="AD13" s="105" t="e">
        <f t="shared" si="16"/>
        <v>#REF!</v>
      </c>
      <c r="AE13" s="105" t="e">
        <f t="shared" si="2"/>
        <v>#REF!</v>
      </c>
      <c r="AF13" s="105" t="e">
        <f t="shared" si="3"/>
        <v>#REF!</v>
      </c>
      <c r="AG13" s="105" t="e">
        <f t="shared" si="4"/>
        <v>#REF!</v>
      </c>
      <c r="AH13" s="111" t="e">
        <f>VLOOKUP($A13,#REF!,5,FALSE)</f>
        <v>#REF!</v>
      </c>
      <c r="AI13" s="111" t="e">
        <f>VLOOKUP($A13,#REF!,6,FALSE)</f>
        <v>#REF!</v>
      </c>
      <c r="AJ13" s="109" t="e">
        <f t="shared" si="17"/>
        <v>#REF!</v>
      </c>
      <c r="AK13" s="109" t="e">
        <f t="shared" si="18"/>
        <v>#REF!</v>
      </c>
      <c r="AL13" s="109"/>
      <c r="AM13" s="105"/>
      <c r="AN13" s="105"/>
      <c r="AO13" s="109"/>
      <c r="AP13" s="110"/>
      <c r="AQ13" s="110"/>
      <c r="AR13" s="110"/>
      <c r="AS13" s="110"/>
      <c r="AT13" s="110"/>
      <c r="AU13" s="112"/>
      <c r="AV13" s="112"/>
      <c r="AW13" s="110"/>
      <c r="AX13" s="105"/>
      <c r="AY13" s="105"/>
      <c r="AZ13" s="105"/>
      <c r="BA13" s="105"/>
      <c r="BB13" s="105"/>
      <c r="BC13" s="105"/>
    </row>
    <row r="14" spans="1:55" x14ac:dyDescent="0.15">
      <c r="A14" s="221">
        <v>689</v>
      </c>
      <c r="B14" s="98" t="e">
        <f>VLOOKUP($A14,#REF!,84,FALSE)</f>
        <v>#REF!</v>
      </c>
      <c r="C14" s="98" t="e">
        <f>VLOOKUP($A14,#REF!,85,FALSE)</f>
        <v>#REF!</v>
      </c>
      <c r="D14" s="98" t="e">
        <f>VLOOKUP($A14,#REF!,5,FALSE)</f>
        <v>#REF!</v>
      </c>
      <c r="E14" s="98" t="e">
        <f>VLOOKUP($A14,#REF!,6,FALSE)</f>
        <v>#REF!</v>
      </c>
      <c r="F14" s="105" t="e">
        <f>VLOOKUP($A14,#REF!,34,FALSE)</f>
        <v>#REF!</v>
      </c>
      <c r="G14" s="105" t="e">
        <f>VLOOKUP($A14,#REF!,29,FALSE)</f>
        <v>#REF!</v>
      </c>
      <c r="H14" s="105" t="e">
        <f>VLOOKUP(A14,#REF!,35,FALSE)+VLOOKUP(A14,#REF!,41,FALSE)</f>
        <v>#REF!</v>
      </c>
      <c r="I14" s="105" t="e">
        <f t="shared" si="5"/>
        <v>#REF!</v>
      </c>
      <c r="J14" s="105" t="e">
        <f>VLOOKUP(A14,#REF!,42,FALSE)</f>
        <v>#REF!</v>
      </c>
      <c r="K14" s="105" t="e">
        <f t="shared" si="6"/>
        <v>#REF!</v>
      </c>
      <c r="L14" s="164" t="e">
        <f t="shared" si="1"/>
        <v>#REF!</v>
      </c>
      <c r="M14" s="105" t="e">
        <f t="shared" si="7"/>
        <v>#REF!</v>
      </c>
      <c r="N14" s="105" t="e">
        <f>VLOOKUP(A14,#REF!,46,FALSE)</f>
        <v>#REF!</v>
      </c>
      <c r="O14" s="106" t="e">
        <f>VLOOKUP(A14,#REF!,9,FALSE)</f>
        <v>#REF!</v>
      </c>
      <c r="P14" s="114" t="e">
        <f>#REF!</f>
        <v>#REF!</v>
      </c>
      <c r="Q14" s="114" t="e">
        <f>VLOOKUP(A14,#REF!,12,FALSE)</f>
        <v>#REF!</v>
      </c>
      <c r="R14" s="120" t="e">
        <f>#REF!</f>
        <v>#REF!</v>
      </c>
      <c r="S14" s="106" t="e">
        <f>IF(Q14=0,#REF!,ROUND(Q14*R14,4))</f>
        <v>#REF!</v>
      </c>
      <c r="T14" s="121" t="e">
        <f>VLOOKUP($A14,#REF!,15,FALSE)</f>
        <v>#REF!</v>
      </c>
      <c r="U14" s="121" t="e">
        <f>VLOOKUP($A14,#REF!,19,FALSE)</f>
        <v>#REF!</v>
      </c>
      <c r="V14" s="109" t="e">
        <f t="shared" si="8"/>
        <v>#REF!</v>
      </c>
      <c r="W14" s="109" t="e">
        <f t="shared" si="9"/>
        <v>#REF!</v>
      </c>
      <c r="X14" s="105" t="e">
        <f t="shared" si="10"/>
        <v>#REF!</v>
      </c>
      <c r="Y14" s="113" t="e">
        <f t="shared" si="11"/>
        <v>#REF!</v>
      </c>
      <c r="Z14" s="109" t="e">
        <f t="shared" si="12"/>
        <v>#REF!</v>
      </c>
      <c r="AA14" s="113" t="e">
        <f t="shared" si="13"/>
        <v>#REF!</v>
      </c>
      <c r="AB14" s="109" t="e">
        <f t="shared" si="14"/>
        <v>#REF!</v>
      </c>
      <c r="AC14" s="113" t="e">
        <f t="shared" si="15"/>
        <v>#REF!</v>
      </c>
      <c r="AD14" s="105" t="e">
        <f t="shared" si="16"/>
        <v>#REF!</v>
      </c>
      <c r="AE14" s="105" t="e">
        <f t="shared" si="2"/>
        <v>#REF!</v>
      </c>
      <c r="AF14" s="105" t="e">
        <f t="shared" si="3"/>
        <v>#REF!</v>
      </c>
      <c r="AG14" s="105" t="e">
        <f t="shared" si="4"/>
        <v>#REF!</v>
      </c>
      <c r="AH14" s="111" t="e">
        <f>VLOOKUP($A14,#REF!,5,FALSE)</f>
        <v>#REF!</v>
      </c>
      <c r="AI14" s="111" t="e">
        <f>VLOOKUP($A14,#REF!,6,FALSE)</f>
        <v>#REF!</v>
      </c>
      <c r="AJ14" s="109" t="e">
        <f t="shared" si="17"/>
        <v>#REF!</v>
      </c>
      <c r="AK14" s="109" t="e">
        <f t="shared" si="18"/>
        <v>#REF!</v>
      </c>
      <c r="AL14" s="109"/>
      <c r="AM14" s="105"/>
      <c r="AN14" s="105"/>
      <c r="AO14" s="109"/>
      <c r="AP14" s="110"/>
      <c r="AQ14" s="110"/>
      <c r="AR14" s="110"/>
      <c r="AS14" s="110"/>
      <c r="AT14" s="110"/>
      <c r="AU14" s="112"/>
      <c r="AV14" s="112"/>
      <c r="AW14" s="110"/>
      <c r="AX14" s="105"/>
      <c r="AY14" s="105"/>
      <c r="AZ14" s="105"/>
      <c r="BA14" s="105"/>
      <c r="BB14" s="105"/>
      <c r="BC14" s="105"/>
    </row>
    <row r="15" spans="1:55" x14ac:dyDescent="0.15">
      <c r="A15" s="221">
        <v>116</v>
      </c>
      <c r="B15" s="98" t="e">
        <f>VLOOKUP($A15,#REF!,84,FALSE)</f>
        <v>#REF!</v>
      </c>
      <c r="C15" s="98" t="e">
        <f>VLOOKUP($A15,#REF!,85,FALSE)</f>
        <v>#REF!</v>
      </c>
      <c r="D15" s="98" t="e">
        <f>VLOOKUP($A15,#REF!,5,FALSE)</f>
        <v>#REF!</v>
      </c>
      <c r="E15" s="98" t="e">
        <f>VLOOKUP($A15,#REF!,6,FALSE)</f>
        <v>#REF!</v>
      </c>
      <c r="F15" s="105" t="e">
        <f>VLOOKUP($A15,#REF!,34,FALSE)</f>
        <v>#REF!</v>
      </c>
      <c r="G15" s="105" t="e">
        <f>VLOOKUP($A15,#REF!,29,FALSE)</f>
        <v>#REF!</v>
      </c>
      <c r="H15" s="105" t="e">
        <f>VLOOKUP(A15,#REF!,35,FALSE)+VLOOKUP(A15,#REF!,41,FALSE)</f>
        <v>#REF!</v>
      </c>
      <c r="I15" s="105" t="e">
        <f t="shared" si="5"/>
        <v>#REF!</v>
      </c>
      <c r="J15" s="105" t="e">
        <f>VLOOKUP(A15,#REF!,42,FALSE)</f>
        <v>#REF!</v>
      </c>
      <c r="K15" s="105" t="e">
        <f t="shared" si="6"/>
        <v>#REF!</v>
      </c>
      <c r="L15" s="164" t="e">
        <f t="shared" si="1"/>
        <v>#REF!</v>
      </c>
      <c r="M15" s="105" t="e">
        <f t="shared" si="7"/>
        <v>#REF!</v>
      </c>
      <c r="N15" s="105" t="e">
        <f>VLOOKUP(A15,#REF!,46,FALSE)</f>
        <v>#REF!</v>
      </c>
      <c r="O15" s="106" t="e">
        <f>VLOOKUP(A15,#REF!,9,FALSE)</f>
        <v>#REF!</v>
      </c>
      <c r="P15" s="114" t="e">
        <f>#REF!</f>
        <v>#REF!</v>
      </c>
      <c r="Q15" s="114" t="e">
        <f>VLOOKUP(A15,#REF!,12,FALSE)</f>
        <v>#REF!</v>
      </c>
      <c r="R15" s="120" t="e">
        <f>#REF!</f>
        <v>#REF!</v>
      </c>
      <c r="S15" s="106" t="e">
        <f>IF(Q15=0,#REF!,ROUND(Q15*R15,4))</f>
        <v>#REF!</v>
      </c>
      <c r="T15" s="121" t="e">
        <f>VLOOKUP($A15,#REF!,15,FALSE)</f>
        <v>#REF!</v>
      </c>
      <c r="U15" s="121" t="e">
        <f>VLOOKUP($A15,#REF!,19,FALSE)</f>
        <v>#REF!</v>
      </c>
      <c r="V15" s="109" t="e">
        <f t="shared" si="8"/>
        <v>#REF!</v>
      </c>
      <c r="W15" s="109" t="e">
        <f t="shared" si="9"/>
        <v>#REF!</v>
      </c>
      <c r="X15" s="105" t="e">
        <f t="shared" si="10"/>
        <v>#REF!</v>
      </c>
      <c r="Y15" s="113" t="e">
        <f t="shared" si="11"/>
        <v>#REF!</v>
      </c>
      <c r="Z15" s="109" t="e">
        <f t="shared" si="12"/>
        <v>#REF!</v>
      </c>
      <c r="AA15" s="113" t="e">
        <f t="shared" si="13"/>
        <v>#REF!</v>
      </c>
      <c r="AB15" s="109" t="e">
        <f t="shared" si="14"/>
        <v>#REF!</v>
      </c>
      <c r="AC15" s="113" t="e">
        <f t="shared" si="15"/>
        <v>#REF!</v>
      </c>
      <c r="AD15" s="105" t="e">
        <f t="shared" si="16"/>
        <v>#REF!</v>
      </c>
      <c r="AE15" s="105" t="e">
        <f t="shared" si="2"/>
        <v>#REF!</v>
      </c>
      <c r="AF15" s="105" t="e">
        <f t="shared" si="3"/>
        <v>#REF!</v>
      </c>
      <c r="AG15" s="105" t="e">
        <f t="shared" si="4"/>
        <v>#REF!</v>
      </c>
      <c r="AH15" s="111" t="e">
        <f>VLOOKUP($A15,#REF!,5,FALSE)</f>
        <v>#REF!</v>
      </c>
      <c r="AI15" s="111" t="e">
        <f>VLOOKUP($A15,#REF!,6,FALSE)</f>
        <v>#REF!</v>
      </c>
      <c r="AJ15" s="109" t="e">
        <f t="shared" si="17"/>
        <v>#REF!</v>
      </c>
      <c r="AK15" s="109" t="e">
        <f t="shared" si="18"/>
        <v>#REF!</v>
      </c>
      <c r="AL15" s="109"/>
      <c r="AM15" s="105"/>
      <c r="AN15" s="105"/>
      <c r="AO15" s="109"/>
      <c r="AP15" s="110"/>
      <c r="AQ15" s="110"/>
      <c r="AR15" s="110"/>
      <c r="AS15" s="110"/>
      <c r="AT15" s="110"/>
      <c r="AU15" s="112"/>
      <c r="AV15" s="112"/>
      <c r="AW15" s="110"/>
      <c r="AX15" s="105"/>
      <c r="AY15" s="105"/>
      <c r="AZ15" s="105"/>
      <c r="BA15" s="105"/>
      <c r="BB15" s="105"/>
      <c r="BC15" s="105"/>
    </row>
    <row r="16" spans="1:55" x14ac:dyDescent="0.15">
      <c r="A16" s="221">
        <v>725</v>
      </c>
      <c r="B16" s="98" t="e">
        <f>VLOOKUP($A16,#REF!,84,FALSE)</f>
        <v>#REF!</v>
      </c>
      <c r="C16" s="98" t="e">
        <f>VLOOKUP($A16,#REF!,85,FALSE)</f>
        <v>#REF!</v>
      </c>
      <c r="D16" s="98" t="e">
        <f>VLOOKUP($A16,#REF!,5,FALSE)</f>
        <v>#REF!</v>
      </c>
      <c r="E16" s="98" t="e">
        <f>VLOOKUP($A16,#REF!,6,FALSE)</f>
        <v>#REF!</v>
      </c>
      <c r="F16" s="105" t="e">
        <f>VLOOKUP($A16,#REF!,34,FALSE)</f>
        <v>#REF!</v>
      </c>
      <c r="G16" s="105" t="e">
        <f>VLOOKUP($A16,#REF!,29,FALSE)</f>
        <v>#REF!</v>
      </c>
      <c r="H16" s="105" t="e">
        <f>VLOOKUP(A16,#REF!,35,FALSE)+VLOOKUP(A16,#REF!,41,FALSE)</f>
        <v>#REF!</v>
      </c>
      <c r="I16" s="105" t="e">
        <f t="shared" si="5"/>
        <v>#REF!</v>
      </c>
      <c r="J16" s="105" t="e">
        <f>VLOOKUP(A16,#REF!,42,FALSE)</f>
        <v>#REF!</v>
      </c>
      <c r="K16" s="105" t="e">
        <f t="shared" si="6"/>
        <v>#REF!</v>
      </c>
      <c r="L16" s="164" t="e">
        <f t="shared" si="1"/>
        <v>#REF!</v>
      </c>
      <c r="M16" s="105" t="e">
        <f t="shared" si="7"/>
        <v>#REF!</v>
      </c>
      <c r="N16" s="105" t="e">
        <f>VLOOKUP(A16,#REF!,46,FALSE)</f>
        <v>#REF!</v>
      </c>
      <c r="O16" s="106" t="e">
        <f>VLOOKUP(A16,#REF!,9,FALSE)</f>
        <v>#REF!</v>
      </c>
      <c r="P16" s="114" t="e">
        <f>#REF!</f>
        <v>#REF!</v>
      </c>
      <c r="Q16" s="114" t="e">
        <f>VLOOKUP(A16,#REF!,12,FALSE)</f>
        <v>#REF!</v>
      </c>
      <c r="R16" s="120" t="e">
        <f>#REF!</f>
        <v>#REF!</v>
      </c>
      <c r="S16" s="106" t="e">
        <f>IF(Q16=0,#REF!,ROUND(Q16*R16,4))</f>
        <v>#REF!</v>
      </c>
      <c r="T16" s="121" t="e">
        <f>VLOOKUP($A16,#REF!,15,FALSE)</f>
        <v>#REF!</v>
      </c>
      <c r="U16" s="121" t="e">
        <f>VLOOKUP($A16,#REF!,19,FALSE)</f>
        <v>#REF!</v>
      </c>
      <c r="V16" s="109" t="e">
        <f t="shared" si="8"/>
        <v>#REF!</v>
      </c>
      <c r="W16" s="109" t="e">
        <f t="shared" si="9"/>
        <v>#REF!</v>
      </c>
      <c r="X16" s="105" t="e">
        <f t="shared" si="10"/>
        <v>#REF!</v>
      </c>
      <c r="Y16" s="113" t="e">
        <f t="shared" si="11"/>
        <v>#REF!</v>
      </c>
      <c r="Z16" s="109" t="e">
        <f t="shared" si="12"/>
        <v>#REF!</v>
      </c>
      <c r="AA16" s="113" t="e">
        <f t="shared" si="13"/>
        <v>#REF!</v>
      </c>
      <c r="AB16" s="109" t="e">
        <f t="shared" si="14"/>
        <v>#REF!</v>
      </c>
      <c r="AC16" s="113" t="e">
        <f t="shared" si="15"/>
        <v>#REF!</v>
      </c>
      <c r="AD16" s="105" t="e">
        <f t="shared" si="16"/>
        <v>#REF!</v>
      </c>
      <c r="AE16" s="105" t="e">
        <f t="shared" si="2"/>
        <v>#REF!</v>
      </c>
      <c r="AF16" s="105" t="e">
        <f t="shared" si="3"/>
        <v>#REF!</v>
      </c>
      <c r="AG16" s="105" t="e">
        <f t="shared" si="4"/>
        <v>#REF!</v>
      </c>
      <c r="AH16" s="111" t="e">
        <f>VLOOKUP($A16,#REF!,5,FALSE)</f>
        <v>#REF!</v>
      </c>
      <c r="AI16" s="111" t="e">
        <f>VLOOKUP($A16,#REF!,6,FALSE)</f>
        <v>#REF!</v>
      </c>
      <c r="AJ16" s="109" t="e">
        <f t="shared" si="17"/>
        <v>#REF!</v>
      </c>
      <c r="AK16" s="109" t="e">
        <f t="shared" si="18"/>
        <v>#REF!</v>
      </c>
      <c r="AL16" s="109"/>
      <c r="AM16" s="105"/>
      <c r="AN16" s="105"/>
      <c r="AO16" s="109"/>
      <c r="AP16" s="110"/>
      <c r="AQ16" s="110"/>
      <c r="AR16" s="110"/>
      <c r="AS16" s="110"/>
      <c r="AT16" s="110"/>
      <c r="AU16" s="112"/>
      <c r="AV16" s="112"/>
      <c r="AW16" s="110"/>
      <c r="AX16" s="105"/>
      <c r="AY16" s="105"/>
      <c r="AZ16" s="105"/>
      <c r="BA16" s="105"/>
      <c r="BB16" s="105"/>
      <c r="BC16" s="105"/>
    </row>
    <row r="17" spans="1:55" x14ac:dyDescent="0.15">
      <c r="A17" s="221">
        <v>122</v>
      </c>
      <c r="B17" s="98" t="e">
        <f>VLOOKUP($A17,#REF!,84,FALSE)</f>
        <v>#REF!</v>
      </c>
      <c r="C17" s="98" t="e">
        <f>VLOOKUP($A17,#REF!,85,FALSE)</f>
        <v>#REF!</v>
      </c>
      <c r="D17" s="98" t="e">
        <f>VLOOKUP($A17,#REF!,5,FALSE)</f>
        <v>#REF!</v>
      </c>
      <c r="E17" s="98" t="e">
        <f>VLOOKUP($A17,#REF!,6,FALSE)</f>
        <v>#REF!</v>
      </c>
      <c r="F17" s="105" t="e">
        <f>VLOOKUP($A17,#REF!,34,FALSE)</f>
        <v>#REF!</v>
      </c>
      <c r="G17" s="105" t="e">
        <f>VLOOKUP($A17,#REF!,29,FALSE)</f>
        <v>#REF!</v>
      </c>
      <c r="H17" s="105" t="e">
        <f>VLOOKUP(A17,#REF!,35,FALSE)+VLOOKUP(A17,#REF!,41,FALSE)</f>
        <v>#REF!</v>
      </c>
      <c r="I17" s="105" t="e">
        <f t="shared" si="5"/>
        <v>#REF!</v>
      </c>
      <c r="J17" s="105" t="e">
        <f>VLOOKUP(A17,#REF!,42,FALSE)</f>
        <v>#REF!</v>
      </c>
      <c r="K17" s="105" t="e">
        <f t="shared" si="6"/>
        <v>#REF!</v>
      </c>
      <c r="L17" s="164" t="e">
        <f t="shared" si="1"/>
        <v>#REF!</v>
      </c>
      <c r="M17" s="105" t="e">
        <f t="shared" si="7"/>
        <v>#REF!</v>
      </c>
      <c r="N17" s="105" t="e">
        <f>VLOOKUP(A17,#REF!,46,FALSE)</f>
        <v>#REF!</v>
      </c>
      <c r="O17" s="106" t="e">
        <f>VLOOKUP(A17,#REF!,9,FALSE)</f>
        <v>#REF!</v>
      </c>
      <c r="P17" s="114" t="e">
        <f>#REF!</f>
        <v>#REF!</v>
      </c>
      <c r="Q17" s="114" t="e">
        <f>VLOOKUP(A17,#REF!,12,FALSE)</f>
        <v>#REF!</v>
      </c>
      <c r="R17" s="120" t="e">
        <f>#REF!</f>
        <v>#REF!</v>
      </c>
      <c r="S17" s="106" t="e">
        <f>IF(Q17=0,#REF!,ROUND(Q17*R17,4))</f>
        <v>#REF!</v>
      </c>
      <c r="T17" s="121" t="e">
        <f>VLOOKUP($A17,#REF!,15,FALSE)</f>
        <v>#REF!</v>
      </c>
      <c r="U17" s="121" t="e">
        <f>VLOOKUP($A17,#REF!,19,FALSE)</f>
        <v>#REF!</v>
      </c>
      <c r="V17" s="109" t="e">
        <f t="shared" si="8"/>
        <v>#REF!</v>
      </c>
      <c r="W17" s="109" t="e">
        <f t="shared" si="9"/>
        <v>#REF!</v>
      </c>
      <c r="X17" s="105" t="e">
        <f t="shared" si="10"/>
        <v>#REF!</v>
      </c>
      <c r="Y17" s="113" t="e">
        <f t="shared" si="11"/>
        <v>#REF!</v>
      </c>
      <c r="Z17" s="109" t="e">
        <f t="shared" si="12"/>
        <v>#REF!</v>
      </c>
      <c r="AA17" s="113" t="e">
        <f t="shared" si="13"/>
        <v>#REF!</v>
      </c>
      <c r="AB17" s="109" t="e">
        <f t="shared" si="14"/>
        <v>#REF!</v>
      </c>
      <c r="AC17" s="113" t="e">
        <f t="shared" si="15"/>
        <v>#REF!</v>
      </c>
      <c r="AD17" s="105" t="e">
        <f t="shared" si="16"/>
        <v>#REF!</v>
      </c>
      <c r="AE17" s="105" t="e">
        <f t="shared" si="2"/>
        <v>#REF!</v>
      </c>
      <c r="AF17" s="105" t="e">
        <f t="shared" si="3"/>
        <v>#REF!</v>
      </c>
      <c r="AG17" s="105" t="e">
        <f t="shared" si="4"/>
        <v>#REF!</v>
      </c>
      <c r="AH17" s="111" t="e">
        <f>VLOOKUP($A17,#REF!,5,FALSE)</f>
        <v>#REF!</v>
      </c>
      <c r="AI17" s="111" t="e">
        <f>VLOOKUP($A17,#REF!,6,FALSE)</f>
        <v>#REF!</v>
      </c>
      <c r="AJ17" s="109" t="e">
        <f t="shared" si="17"/>
        <v>#REF!</v>
      </c>
      <c r="AK17" s="109" t="e">
        <f t="shared" si="18"/>
        <v>#REF!</v>
      </c>
      <c r="AL17" s="109"/>
      <c r="AM17" s="105"/>
      <c r="AN17" s="105"/>
      <c r="AO17" s="109"/>
      <c r="AP17" s="110"/>
      <c r="AQ17" s="110"/>
      <c r="AR17" s="110"/>
      <c r="AS17" s="110"/>
      <c r="AT17" s="110"/>
      <c r="AU17" s="112"/>
      <c r="AV17" s="112"/>
      <c r="AW17" s="110"/>
      <c r="AX17" s="105"/>
      <c r="AY17" s="105"/>
      <c r="AZ17" s="105"/>
      <c r="BA17" s="105"/>
      <c r="BB17" s="105"/>
      <c r="BC17" s="105"/>
    </row>
    <row r="18" spans="1:55" x14ac:dyDescent="0.15">
      <c r="A18" s="221">
        <v>446</v>
      </c>
      <c r="B18" s="98" t="e">
        <f>VLOOKUP($A18,#REF!,84,FALSE)</f>
        <v>#REF!</v>
      </c>
      <c r="C18" s="98" t="e">
        <f>VLOOKUP($A18,#REF!,85,FALSE)</f>
        <v>#REF!</v>
      </c>
      <c r="D18" s="98" t="e">
        <f>VLOOKUP($A18,#REF!,5,FALSE)</f>
        <v>#REF!</v>
      </c>
      <c r="E18" s="98" t="e">
        <f>VLOOKUP($A18,#REF!,6,FALSE)</f>
        <v>#REF!</v>
      </c>
      <c r="F18" s="105" t="e">
        <f>VLOOKUP($A18,#REF!,34,FALSE)</f>
        <v>#REF!</v>
      </c>
      <c r="G18" s="105" t="e">
        <f>VLOOKUP($A18,#REF!,29,FALSE)</f>
        <v>#REF!</v>
      </c>
      <c r="H18" s="105" t="e">
        <f>VLOOKUP(A18,#REF!,35,FALSE)+VLOOKUP(A18,#REF!,41,FALSE)</f>
        <v>#REF!</v>
      </c>
      <c r="I18" s="105" t="e">
        <f t="shared" si="5"/>
        <v>#REF!</v>
      </c>
      <c r="J18" s="105" t="e">
        <f>VLOOKUP(A18,#REF!,42,FALSE)</f>
        <v>#REF!</v>
      </c>
      <c r="K18" s="105" t="e">
        <f t="shared" si="6"/>
        <v>#REF!</v>
      </c>
      <c r="L18" s="164" t="e">
        <f t="shared" si="1"/>
        <v>#REF!</v>
      </c>
      <c r="M18" s="105" t="e">
        <f t="shared" si="7"/>
        <v>#REF!</v>
      </c>
      <c r="N18" s="105" t="e">
        <f>VLOOKUP(A18,#REF!,46,FALSE)</f>
        <v>#REF!</v>
      </c>
      <c r="O18" s="106" t="e">
        <f>VLOOKUP(A18,#REF!,9,FALSE)</f>
        <v>#REF!</v>
      </c>
      <c r="P18" s="114" t="e">
        <f>#REF!</f>
        <v>#REF!</v>
      </c>
      <c r="Q18" s="114" t="e">
        <f>VLOOKUP(A18,#REF!,12,FALSE)</f>
        <v>#REF!</v>
      </c>
      <c r="R18" s="120" t="e">
        <f>#REF!</f>
        <v>#REF!</v>
      </c>
      <c r="S18" s="106" t="e">
        <f>IF(Q18=0,#REF!,ROUND(Q18*R18,4))</f>
        <v>#REF!</v>
      </c>
      <c r="T18" s="121" t="e">
        <f>VLOOKUP($A18,#REF!,15,FALSE)</f>
        <v>#REF!</v>
      </c>
      <c r="U18" s="121" t="e">
        <f>VLOOKUP($A18,#REF!,19,FALSE)</f>
        <v>#REF!</v>
      </c>
      <c r="V18" s="109" t="e">
        <f t="shared" si="8"/>
        <v>#REF!</v>
      </c>
      <c r="W18" s="109" t="e">
        <f t="shared" si="9"/>
        <v>#REF!</v>
      </c>
      <c r="X18" s="105" t="e">
        <f t="shared" si="10"/>
        <v>#REF!</v>
      </c>
      <c r="Y18" s="113" t="e">
        <f t="shared" si="11"/>
        <v>#REF!</v>
      </c>
      <c r="Z18" s="109" t="e">
        <f t="shared" si="12"/>
        <v>#REF!</v>
      </c>
      <c r="AA18" s="113" t="e">
        <f t="shared" si="13"/>
        <v>#REF!</v>
      </c>
      <c r="AB18" s="109" t="e">
        <f t="shared" si="14"/>
        <v>#REF!</v>
      </c>
      <c r="AC18" s="113" t="e">
        <f t="shared" si="15"/>
        <v>#REF!</v>
      </c>
      <c r="AD18" s="105" t="e">
        <f t="shared" si="16"/>
        <v>#REF!</v>
      </c>
      <c r="AE18" s="105" t="e">
        <f t="shared" si="2"/>
        <v>#REF!</v>
      </c>
      <c r="AF18" s="105" t="e">
        <f t="shared" si="3"/>
        <v>#REF!</v>
      </c>
      <c r="AG18" s="105" t="e">
        <f t="shared" si="4"/>
        <v>#REF!</v>
      </c>
      <c r="AH18" s="111" t="e">
        <f>VLOOKUP($A18,#REF!,5,FALSE)</f>
        <v>#REF!</v>
      </c>
      <c r="AI18" s="111" t="e">
        <f>VLOOKUP($A18,#REF!,6,FALSE)</f>
        <v>#REF!</v>
      </c>
      <c r="AJ18" s="109" t="e">
        <f t="shared" si="17"/>
        <v>#REF!</v>
      </c>
      <c r="AK18" s="109" t="e">
        <f t="shared" si="18"/>
        <v>#REF!</v>
      </c>
      <c r="AL18" s="109"/>
      <c r="AM18" s="105"/>
      <c r="AN18" s="105"/>
      <c r="AO18" s="109"/>
      <c r="AP18" s="110"/>
      <c r="AQ18" s="110"/>
      <c r="AR18" s="110"/>
      <c r="AS18" s="110"/>
      <c r="AT18" s="110"/>
      <c r="AU18" s="112"/>
      <c r="AV18" s="112"/>
      <c r="AW18" s="110"/>
      <c r="AX18" s="105"/>
      <c r="AY18" s="105"/>
      <c r="AZ18" s="105"/>
      <c r="BA18" s="105"/>
      <c r="BB18" s="105"/>
      <c r="BC18" s="105"/>
    </row>
    <row r="19" spans="1:55" x14ac:dyDescent="0.15">
      <c r="A19" s="221">
        <v>66</v>
      </c>
      <c r="B19" s="98" t="e">
        <f>VLOOKUP($A19,#REF!,84,FALSE)</f>
        <v>#REF!</v>
      </c>
      <c r="C19" s="98" t="e">
        <f>VLOOKUP($A19,#REF!,85,FALSE)</f>
        <v>#REF!</v>
      </c>
      <c r="D19" s="98" t="e">
        <f>VLOOKUP($A19,#REF!,5,FALSE)</f>
        <v>#REF!</v>
      </c>
      <c r="E19" s="98" t="e">
        <f>VLOOKUP($A19,#REF!,6,FALSE)</f>
        <v>#REF!</v>
      </c>
      <c r="F19" s="105" t="e">
        <f>VLOOKUP($A19,#REF!,34,FALSE)</f>
        <v>#REF!</v>
      </c>
      <c r="G19" s="105" t="e">
        <f>VLOOKUP($A19,#REF!,29,FALSE)</f>
        <v>#REF!</v>
      </c>
      <c r="H19" s="105" t="e">
        <f>VLOOKUP(A19,#REF!,35,FALSE)+VLOOKUP(A19,#REF!,41,FALSE)</f>
        <v>#REF!</v>
      </c>
      <c r="I19" s="105" t="e">
        <f t="shared" si="5"/>
        <v>#REF!</v>
      </c>
      <c r="J19" s="105" t="e">
        <f>VLOOKUP(A19,#REF!,42,FALSE)</f>
        <v>#REF!</v>
      </c>
      <c r="K19" s="105" t="e">
        <f t="shared" si="6"/>
        <v>#REF!</v>
      </c>
      <c r="L19" s="164" t="e">
        <f t="shared" si="1"/>
        <v>#REF!</v>
      </c>
      <c r="M19" s="105" t="e">
        <f t="shared" si="7"/>
        <v>#REF!</v>
      </c>
      <c r="N19" s="105" t="e">
        <f>VLOOKUP(A19,#REF!,46,FALSE)</f>
        <v>#REF!</v>
      </c>
      <c r="O19" s="106" t="e">
        <f>VLOOKUP(A19,#REF!,9,FALSE)</f>
        <v>#REF!</v>
      </c>
      <c r="P19" s="114" t="e">
        <f>#REF!</f>
        <v>#REF!</v>
      </c>
      <c r="Q19" s="114" t="e">
        <f>VLOOKUP(A19,#REF!,12,FALSE)</f>
        <v>#REF!</v>
      </c>
      <c r="R19" s="120" t="e">
        <f>#REF!</f>
        <v>#REF!</v>
      </c>
      <c r="S19" s="106" t="e">
        <f>IF(Q19=0,#REF!,ROUND(Q19*R19,4))</f>
        <v>#REF!</v>
      </c>
      <c r="T19" s="121" t="e">
        <f>VLOOKUP($A19,#REF!,15,FALSE)</f>
        <v>#REF!</v>
      </c>
      <c r="U19" s="121" t="e">
        <f>VLOOKUP($A19,#REF!,19,FALSE)</f>
        <v>#REF!</v>
      </c>
      <c r="V19" s="109" t="e">
        <f t="shared" si="8"/>
        <v>#REF!</v>
      </c>
      <c r="W19" s="109" t="e">
        <f t="shared" si="9"/>
        <v>#REF!</v>
      </c>
      <c r="X19" s="105" t="e">
        <f t="shared" si="10"/>
        <v>#REF!</v>
      </c>
      <c r="Y19" s="113" t="e">
        <f t="shared" si="11"/>
        <v>#REF!</v>
      </c>
      <c r="Z19" s="109" t="e">
        <f t="shared" si="12"/>
        <v>#REF!</v>
      </c>
      <c r="AA19" s="113" t="e">
        <f t="shared" si="13"/>
        <v>#REF!</v>
      </c>
      <c r="AB19" s="109" t="e">
        <f t="shared" si="14"/>
        <v>#REF!</v>
      </c>
      <c r="AC19" s="113" t="e">
        <f t="shared" si="15"/>
        <v>#REF!</v>
      </c>
      <c r="AD19" s="105" t="e">
        <f t="shared" si="16"/>
        <v>#REF!</v>
      </c>
      <c r="AE19" s="105" t="e">
        <f t="shared" si="2"/>
        <v>#REF!</v>
      </c>
      <c r="AF19" s="105" t="e">
        <f t="shared" si="3"/>
        <v>#REF!</v>
      </c>
      <c r="AG19" s="105" t="e">
        <f t="shared" si="4"/>
        <v>#REF!</v>
      </c>
      <c r="AH19" s="111" t="e">
        <f>VLOOKUP($A19,#REF!,5,FALSE)</f>
        <v>#REF!</v>
      </c>
      <c r="AI19" s="111" t="e">
        <f>VLOOKUP($A19,#REF!,6,FALSE)</f>
        <v>#REF!</v>
      </c>
      <c r="AJ19" s="109" t="e">
        <f t="shared" si="17"/>
        <v>#REF!</v>
      </c>
      <c r="AK19" s="109" t="e">
        <f t="shared" si="18"/>
        <v>#REF!</v>
      </c>
      <c r="AL19" s="109"/>
      <c r="AM19" s="105"/>
      <c r="AN19" s="105"/>
      <c r="AO19" s="109"/>
      <c r="AP19" s="110"/>
      <c r="AQ19" s="110"/>
      <c r="AR19" s="110"/>
      <c r="AS19" s="110"/>
      <c r="AT19" s="110"/>
      <c r="AU19" s="112"/>
      <c r="AV19" s="112"/>
      <c r="AW19" s="110"/>
      <c r="AX19" s="105"/>
      <c r="AY19" s="105"/>
      <c r="AZ19" s="105"/>
      <c r="BA19" s="105"/>
      <c r="BB19" s="105"/>
      <c r="BC19" s="105"/>
    </row>
    <row r="20" spans="1:55" x14ac:dyDescent="0.15">
      <c r="A20" s="221">
        <v>741</v>
      </c>
      <c r="B20" s="98" t="e">
        <f>VLOOKUP($A20,#REF!,84,FALSE)</f>
        <v>#REF!</v>
      </c>
      <c r="C20" s="98" t="e">
        <f>VLOOKUP($A20,#REF!,85,FALSE)</f>
        <v>#REF!</v>
      </c>
      <c r="D20" s="98" t="e">
        <f>VLOOKUP($A20,#REF!,5,FALSE)</f>
        <v>#REF!</v>
      </c>
      <c r="E20" s="98" t="e">
        <f>VLOOKUP($A20,#REF!,6,FALSE)</f>
        <v>#REF!</v>
      </c>
      <c r="F20" s="105" t="e">
        <f>VLOOKUP($A20,#REF!,34,FALSE)</f>
        <v>#REF!</v>
      </c>
      <c r="G20" s="105" t="e">
        <f>VLOOKUP($A20,#REF!,29,FALSE)</f>
        <v>#REF!</v>
      </c>
      <c r="H20" s="105" t="e">
        <f>VLOOKUP(A20,#REF!,35,FALSE)+VLOOKUP(A20,#REF!,41,FALSE)</f>
        <v>#REF!</v>
      </c>
      <c r="I20" s="105" t="e">
        <f t="shared" si="5"/>
        <v>#REF!</v>
      </c>
      <c r="J20" s="105" t="e">
        <f>VLOOKUP(A20,#REF!,42,FALSE)</f>
        <v>#REF!</v>
      </c>
      <c r="K20" s="105" t="e">
        <f t="shared" si="6"/>
        <v>#REF!</v>
      </c>
      <c r="L20" s="164" t="e">
        <f t="shared" si="1"/>
        <v>#REF!</v>
      </c>
      <c r="M20" s="105" t="e">
        <f t="shared" si="7"/>
        <v>#REF!</v>
      </c>
      <c r="N20" s="105" t="e">
        <f>VLOOKUP(A20,#REF!,46,FALSE)</f>
        <v>#REF!</v>
      </c>
      <c r="O20" s="106" t="e">
        <f>VLOOKUP(A20,#REF!,9,FALSE)</f>
        <v>#REF!</v>
      </c>
      <c r="P20" s="114" t="e">
        <f>#REF!</f>
        <v>#REF!</v>
      </c>
      <c r="Q20" s="114" t="e">
        <f>VLOOKUP(A20,#REF!,12,FALSE)</f>
        <v>#REF!</v>
      </c>
      <c r="R20" s="120" t="e">
        <f>#REF!</f>
        <v>#REF!</v>
      </c>
      <c r="S20" s="106" t="e">
        <f>IF(Q20=0,#REF!,ROUND(Q20*R20,4))</f>
        <v>#REF!</v>
      </c>
      <c r="T20" s="121" t="e">
        <f>VLOOKUP($A20,#REF!,15,FALSE)</f>
        <v>#REF!</v>
      </c>
      <c r="U20" s="121" t="e">
        <f>VLOOKUP($A20,#REF!,19,FALSE)</f>
        <v>#REF!</v>
      </c>
      <c r="V20" s="109" t="e">
        <f t="shared" si="8"/>
        <v>#REF!</v>
      </c>
      <c r="W20" s="109" t="e">
        <f t="shared" si="9"/>
        <v>#REF!</v>
      </c>
      <c r="X20" s="105" t="e">
        <f t="shared" si="10"/>
        <v>#REF!</v>
      </c>
      <c r="Y20" s="113" t="e">
        <f t="shared" si="11"/>
        <v>#REF!</v>
      </c>
      <c r="Z20" s="109" t="e">
        <f t="shared" si="12"/>
        <v>#REF!</v>
      </c>
      <c r="AA20" s="113" t="e">
        <f t="shared" si="13"/>
        <v>#REF!</v>
      </c>
      <c r="AB20" s="109" t="e">
        <f t="shared" si="14"/>
        <v>#REF!</v>
      </c>
      <c r="AC20" s="113" t="e">
        <f t="shared" si="15"/>
        <v>#REF!</v>
      </c>
      <c r="AD20" s="105" t="e">
        <f t="shared" si="16"/>
        <v>#REF!</v>
      </c>
      <c r="AE20" s="105" t="e">
        <f t="shared" si="2"/>
        <v>#REF!</v>
      </c>
      <c r="AF20" s="105" t="e">
        <f t="shared" si="3"/>
        <v>#REF!</v>
      </c>
      <c r="AG20" s="105" t="e">
        <f t="shared" si="4"/>
        <v>#REF!</v>
      </c>
      <c r="AH20" s="111" t="e">
        <f>VLOOKUP($A20,#REF!,5,FALSE)</f>
        <v>#REF!</v>
      </c>
      <c r="AI20" s="111" t="e">
        <f>VLOOKUP($A20,#REF!,6,FALSE)</f>
        <v>#REF!</v>
      </c>
      <c r="AJ20" s="109" t="e">
        <f t="shared" si="17"/>
        <v>#REF!</v>
      </c>
      <c r="AK20" s="109" t="e">
        <f t="shared" si="18"/>
        <v>#REF!</v>
      </c>
      <c r="AL20" s="109"/>
      <c r="AM20" s="105"/>
      <c r="AN20" s="105"/>
      <c r="AO20" s="109"/>
      <c r="AP20" s="110"/>
      <c r="AQ20" s="110"/>
      <c r="AR20" s="110"/>
      <c r="AS20" s="110"/>
      <c r="AT20" s="110"/>
      <c r="AU20" s="112"/>
      <c r="AV20" s="112"/>
      <c r="AW20" s="110"/>
      <c r="AX20" s="105"/>
      <c r="AY20" s="105"/>
      <c r="AZ20" s="105"/>
      <c r="BA20" s="105"/>
      <c r="BB20" s="105"/>
      <c r="BC20" s="105"/>
    </row>
    <row r="21" spans="1:55" x14ac:dyDescent="0.15">
      <c r="A21" s="221">
        <v>78</v>
      </c>
      <c r="B21" s="98" t="e">
        <f>VLOOKUP($A21,#REF!,84,FALSE)</f>
        <v>#REF!</v>
      </c>
      <c r="C21" s="98" t="e">
        <f>VLOOKUP($A21,#REF!,85,FALSE)</f>
        <v>#REF!</v>
      </c>
      <c r="D21" s="98" t="e">
        <f>VLOOKUP($A21,#REF!,5,FALSE)</f>
        <v>#REF!</v>
      </c>
      <c r="E21" s="98" t="e">
        <f>VLOOKUP($A21,#REF!,6,FALSE)</f>
        <v>#REF!</v>
      </c>
      <c r="F21" s="105" t="e">
        <f>VLOOKUP($A21,#REF!,34,FALSE)</f>
        <v>#REF!</v>
      </c>
      <c r="G21" s="105" t="e">
        <f>VLOOKUP($A21,#REF!,29,FALSE)</f>
        <v>#REF!</v>
      </c>
      <c r="H21" s="105" t="e">
        <f>VLOOKUP(A21,#REF!,35,FALSE)+VLOOKUP(A21,#REF!,41,FALSE)</f>
        <v>#REF!</v>
      </c>
      <c r="I21" s="105" t="e">
        <f t="shared" si="5"/>
        <v>#REF!</v>
      </c>
      <c r="J21" s="105" t="e">
        <f>VLOOKUP(A21,#REF!,42,FALSE)</f>
        <v>#REF!</v>
      </c>
      <c r="K21" s="105" t="e">
        <f t="shared" si="6"/>
        <v>#REF!</v>
      </c>
      <c r="L21" s="164" t="e">
        <f t="shared" si="1"/>
        <v>#REF!</v>
      </c>
      <c r="M21" s="105" t="e">
        <f t="shared" si="7"/>
        <v>#REF!</v>
      </c>
      <c r="N21" s="105" t="e">
        <f>VLOOKUP(A21,#REF!,46,FALSE)</f>
        <v>#REF!</v>
      </c>
      <c r="O21" s="106" t="e">
        <f>VLOOKUP(A21,#REF!,9,FALSE)</f>
        <v>#REF!</v>
      </c>
      <c r="P21" s="114" t="e">
        <f>#REF!</f>
        <v>#REF!</v>
      </c>
      <c r="Q21" s="114" t="e">
        <f>VLOOKUP(A21,#REF!,12,FALSE)</f>
        <v>#REF!</v>
      </c>
      <c r="R21" s="120" t="e">
        <f>#REF!</f>
        <v>#REF!</v>
      </c>
      <c r="S21" s="106" t="e">
        <f>IF(Q21=0,#REF!,ROUND(Q21*R21,4))</f>
        <v>#REF!</v>
      </c>
      <c r="T21" s="121" t="e">
        <f>VLOOKUP($A21,#REF!,15,FALSE)</f>
        <v>#REF!</v>
      </c>
      <c r="U21" s="121" t="e">
        <f>VLOOKUP($A21,#REF!,19,FALSE)</f>
        <v>#REF!</v>
      </c>
      <c r="V21" s="109" t="e">
        <f t="shared" si="8"/>
        <v>#REF!</v>
      </c>
      <c r="W21" s="109" t="e">
        <f t="shared" si="9"/>
        <v>#REF!</v>
      </c>
      <c r="X21" s="105" t="e">
        <f t="shared" si="10"/>
        <v>#REF!</v>
      </c>
      <c r="Y21" s="113" t="e">
        <f t="shared" si="11"/>
        <v>#REF!</v>
      </c>
      <c r="Z21" s="109" t="e">
        <f t="shared" si="12"/>
        <v>#REF!</v>
      </c>
      <c r="AA21" s="113" t="e">
        <f t="shared" si="13"/>
        <v>#REF!</v>
      </c>
      <c r="AB21" s="109" t="e">
        <f t="shared" si="14"/>
        <v>#REF!</v>
      </c>
      <c r="AC21" s="113" t="e">
        <f t="shared" si="15"/>
        <v>#REF!</v>
      </c>
      <c r="AD21" s="105" t="e">
        <f t="shared" si="16"/>
        <v>#REF!</v>
      </c>
      <c r="AE21" s="105" t="e">
        <f t="shared" si="2"/>
        <v>#REF!</v>
      </c>
      <c r="AF21" s="105" t="e">
        <f t="shared" si="3"/>
        <v>#REF!</v>
      </c>
      <c r="AG21" s="105" t="e">
        <f t="shared" si="4"/>
        <v>#REF!</v>
      </c>
      <c r="AH21" s="111" t="e">
        <f>VLOOKUP($A21,#REF!,5,FALSE)</f>
        <v>#REF!</v>
      </c>
      <c r="AI21" s="111" t="e">
        <f>VLOOKUP($A21,#REF!,6,FALSE)</f>
        <v>#REF!</v>
      </c>
      <c r="AJ21" s="109" t="e">
        <f t="shared" si="17"/>
        <v>#REF!</v>
      </c>
      <c r="AK21" s="109" t="e">
        <f t="shared" si="18"/>
        <v>#REF!</v>
      </c>
      <c r="AL21" s="109"/>
      <c r="AM21" s="105"/>
      <c r="AN21" s="105"/>
      <c r="AO21" s="109"/>
      <c r="AP21" s="110"/>
      <c r="AQ21" s="110"/>
      <c r="AR21" s="110"/>
      <c r="AS21" s="110"/>
      <c r="AT21" s="110"/>
      <c r="AU21" s="112"/>
      <c r="AV21" s="112"/>
      <c r="AW21" s="110"/>
      <c r="AX21" s="105"/>
      <c r="AY21" s="105"/>
      <c r="AZ21" s="105"/>
      <c r="BA21" s="105"/>
      <c r="BB21" s="105"/>
      <c r="BC21" s="105"/>
    </row>
    <row r="22" spans="1:55" x14ac:dyDescent="0.15">
      <c r="A22" s="221">
        <v>88</v>
      </c>
      <c r="B22" s="98" t="e">
        <f>VLOOKUP($A22,#REF!,84,FALSE)</f>
        <v>#REF!</v>
      </c>
      <c r="C22" s="98" t="e">
        <f>VLOOKUP($A22,#REF!,85,FALSE)</f>
        <v>#REF!</v>
      </c>
      <c r="D22" s="98" t="e">
        <f>VLOOKUP($A22,#REF!,5,FALSE)</f>
        <v>#REF!</v>
      </c>
      <c r="E22" s="98" t="e">
        <f>VLOOKUP($A22,#REF!,6,FALSE)</f>
        <v>#REF!</v>
      </c>
      <c r="F22" s="105" t="e">
        <f>VLOOKUP($A22,#REF!,34,FALSE)</f>
        <v>#REF!</v>
      </c>
      <c r="G22" s="105" t="e">
        <f>VLOOKUP($A22,#REF!,29,FALSE)</f>
        <v>#REF!</v>
      </c>
      <c r="H22" s="105" t="e">
        <f>VLOOKUP(A22,#REF!,35,FALSE)+VLOOKUP(A22,#REF!,41,FALSE)</f>
        <v>#REF!</v>
      </c>
      <c r="I22" s="105" t="e">
        <f t="shared" si="5"/>
        <v>#REF!</v>
      </c>
      <c r="J22" s="105" t="e">
        <f>VLOOKUP(A22,#REF!,42,FALSE)</f>
        <v>#REF!</v>
      </c>
      <c r="K22" s="105" t="e">
        <f t="shared" si="6"/>
        <v>#REF!</v>
      </c>
      <c r="L22" s="164" t="e">
        <f t="shared" si="1"/>
        <v>#REF!</v>
      </c>
      <c r="M22" s="105" t="e">
        <f t="shared" si="7"/>
        <v>#REF!</v>
      </c>
      <c r="N22" s="105" t="e">
        <f>VLOOKUP(A22,#REF!,46,FALSE)</f>
        <v>#REF!</v>
      </c>
      <c r="O22" s="106" t="e">
        <f>VLOOKUP(A22,#REF!,9,FALSE)</f>
        <v>#REF!</v>
      </c>
      <c r="P22" s="114" t="e">
        <f>#REF!</f>
        <v>#REF!</v>
      </c>
      <c r="Q22" s="114" t="e">
        <f>VLOOKUP(A22,#REF!,12,FALSE)</f>
        <v>#REF!</v>
      </c>
      <c r="R22" s="120" t="e">
        <f>#REF!</f>
        <v>#REF!</v>
      </c>
      <c r="S22" s="106" t="e">
        <f>IF(Q22=0,#REF!,ROUND(Q22*R22,4))</f>
        <v>#REF!</v>
      </c>
      <c r="T22" s="121" t="e">
        <f>VLOOKUP($A22,#REF!,15,FALSE)</f>
        <v>#REF!</v>
      </c>
      <c r="U22" s="121" t="e">
        <f>VLOOKUP($A22,#REF!,19,FALSE)</f>
        <v>#REF!</v>
      </c>
      <c r="V22" s="109" t="e">
        <f t="shared" si="8"/>
        <v>#REF!</v>
      </c>
      <c r="W22" s="109" t="e">
        <f t="shared" si="9"/>
        <v>#REF!</v>
      </c>
      <c r="X22" s="105" t="e">
        <f t="shared" si="10"/>
        <v>#REF!</v>
      </c>
      <c r="Y22" s="113" t="e">
        <f t="shared" si="11"/>
        <v>#REF!</v>
      </c>
      <c r="Z22" s="109" t="e">
        <f t="shared" si="12"/>
        <v>#REF!</v>
      </c>
      <c r="AA22" s="113" t="e">
        <f t="shared" si="13"/>
        <v>#REF!</v>
      </c>
      <c r="AB22" s="109" t="e">
        <f t="shared" si="14"/>
        <v>#REF!</v>
      </c>
      <c r="AC22" s="113" t="e">
        <f t="shared" si="15"/>
        <v>#REF!</v>
      </c>
      <c r="AD22" s="105" t="e">
        <f t="shared" si="16"/>
        <v>#REF!</v>
      </c>
      <c r="AE22" s="105" t="e">
        <f t="shared" si="2"/>
        <v>#REF!</v>
      </c>
      <c r="AF22" s="105" t="e">
        <f t="shared" si="3"/>
        <v>#REF!</v>
      </c>
      <c r="AG22" s="105" t="e">
        <f t="shared" si="4"/>
        <v>#REF!</v>
      </c>
      <c r="AH22" s="111" t="e">
        <f>VLOOKUP($A22,#REF!,5,FALSE)</f>
        <v>#REF!</v>
      </c>
      <c r="AI22" s="111" t="e">
        <f>VLOOKUP($A22,#REF!,6,FALSE)</f>
        <v>#REF!</v>
      </c>
      <c r="AJ22" s="109" t="e">
        <f t="shared" si="17"/>
        <v>#REF!</v>
      </c>
      <c r="AK22" s="109" t="e">
        <f t="shared" si="18"/>
        <v>#REF!</v>
      </c>
      <c r="AL22" s="109"/>
      <c r="AM22" s="105"/>
      <c r="AN22" s="105"/>
      <c r="AO22" s="109"/>
      <c r="AP22" s="110"/>
      <c r="AQ22" s="110"/>
      <c r="AR22" s="110"/>
      <c r="AS22" s="110"/>
      <c r="AT22" s="110"/>
      <c r="AU22" s="112"/>
      <c r="AV22" s="112"/>
      <c r="AW22" s="110"/>
      <c r="AX22" s="105"/>
      <c r="AY22" s="105"/>
      <c r="AZ22" s="105"/>
      <c r="BA22" s="105"/>
      <c r="BB22" s="105"/>
      <c r="BC22" s="105"/>
    </row>
    <row r="23" spans="1:55" x14ac:dyDescent="0.15">
      <c r="A23" s="221">
        <v>98</v>
      </c>
      <c r="B23" s="98" t="e">
        <f>VLOOKUP($A23,#REF!,84,FALSE)</f>
        <v>#REF!</v>
      </c>
      <c r="C23" s="98" t="e">
        <f>VLOOKUP($A23,#REF!,85,FALSE)</f>
        <v>#REF!</v>
      </c>
      <c r="D23" s="98" t="e">
        <f>VLOOKUP($A23,#REF!,5,FALSE)</f>
        <v>#REF!</v>
      </c>
      <c r="E23" s="98" t="e">
        <f>VLOOKUP($A23,#REF!,6,FALSE)</f>
        <v>#REF!</v>
      </c>
      <c r="F23" s="105" t="e">
        <f>VLOOKUP($A23,#REF!,34,FALSE)</f>
        <v>#REF!</v>
      </c>
      <c r="G23" s="105" t="e">
        <f>VLOOKUP($A23,#REF!,29,FALSE)</f>
        <v>#REF!</v>
      </c>
      <c r="H23" s="105" t="e">
        <f>VLOOKUP(A23,#REF!,35,FALSE)+VLOOKUP(A23,#REF!,41,FALSE)</f>
        <v>#REF!</v>
      </c>
      <c r="I23" s="105" t="e">
        <f t="shared" si="5"/>
        <v>#REF!</v>
      </c>
      <c r="J23" s="105" t="e">
        <f>VLOOKUP(A23,#REF!,42,FALSE)</f>
        <v>#REF!</v>
      </c>
      <c r="K23" s="105" t="e">
        <f t="shared" si="6"/>
        <v>#REF!</v>
      </c>
      <c r="L23" s="164" t="e">
        <f t="shared" si="1"/>
        <v>#REF!</v>
      </c>
      <c r="M23" s="105" t="e">
        <f t="shared" si="7"/>
        <v>#REF!</v>
      </c>
      <c r="N23" s="105" t="e">
        <f>VLOOKUP(A23,#REF!,46,FALSE)</f>
        <v>#REF!</v>
      </c>
      <c r="O23" s="106" t="e">
        <f>VLOOKUP(A23,#REF!,9,FALSE)</f>
        <v>#REF!</v>
      </c>
      <c r="P23" s="114" t="e">
        <f>#REF!</f>
        <v>#REF!</v>
      </c>
      <c r="Q23" s="114" t="e">
        <f>VLOOKUP(A23,#REF!,12,FALSE)</f>
        <v>#REF!</v>
      </c>
      <c r="R23" s="120" t="e">
        <f>#REF!</f>
        <v>#REF!</v>
      </c>
      <c r="S23" s="106" t="e">
        <f>IF(Q23=0,#REF!,ROUND(Q23*R23,4))</f>
        <v>#REF!</v>
      </c>
      <c r="T23" s="121" t="e">
        <f>VLOOKUP($A23,#REF!,15,FALSE)</f>
        <v>#REF!</v>
      </c>
      <c r="U23" s="121" t="e">
        <f>VLOOKUP($A23,#REF!,19,FALSE)</f>
        <v>#REF!</v>
      </c>
      <c r="V23" s="109" t="e">
        <f t="shared" si="8"/>
        <v>#REF!</v>
      </c>
      <c r="W23" s="109" t="e">
        <f t="shared" si="9"/>
        <v>#REF!</v>
      </c>
      <c r="X23" s="105" t="e">
        <f t="shared" si="10"/>
        <v>#REF!</v>
      </c>
      <c r="Y23" s="113" t="e">
        <f t="shared" si="11"/>
        <v>#REF!</v>
      </c>
      <c r="Z23" s="109" t="e">
        <f t="shared" si="12"/>
        <v>#REF!</v>
      </c>
      <c r="AA23" s="113" t="e">
        <f t="shared" si="13"/>
        <v>#REF!</v>
      </c>
      <c r="AB23" s="109" t="e">
        <f t="shared" si="14"/>
        <v>#REF!</v>
      </c>
      <c r="AC23" s="113" t="e">
        <f t="shared" si="15"/>
        <v>#REF!</v>
      </c>
      <c r="AD23" s="105" t="e">
        <f t="shared" si="16"/>
        <v>#REF!</v>
      </c>
      <c r="AE23" s="105" t="e">
        <f t="shared" si="2"/>
        <v>#REF!</v>
      </c>
      <c r="AF23" s="105" t="e">
        <f t="shared" si="3"/>
        <v>#REF!</v>
      </c>
      <c r="AG23" s="105" t="e">
        <f t="shared" si="4"/>
        <v>#REF!</v>
      </c>
      <c r="AH23" s="111" t="e">
        <f>VLOOKUP($A23,#REF!,5,FALSE)</f>
        <v>#REF!</v>
      </c>
      <c r="AI23" s="111" t="e">
        <f>VLOOKUP($A23,#REF!,6,FALSE)</f>
        <v>#REF!</v>
      </c>
      <c r="AJ23" s="109" t="e">
        <f t="shared" si="17"/>
        <v>#REF!</v>
      </c>
      <c r="AK23" s="109" t="e">
        <f t="shared" si="18"/>
        <v>#REF!</v>
      </c>
      <c r="AL23" s="109"/>
      <c r="AM23" s="105"/>
      <c r="AN23" s="105"/>
      <c r="AO23" s="109"/>
      <c r="AP23" s="110"/>
      <c r="AQ23" s="110"/>
      <c r="AR23" s="110"/>
      <c r="AS23" s="110"/>
      <c r="AT23" s="110"/>
      <c r="AU23" s="112"/>
      <c r="AV23" s="112"/>
      <c r="AW23" s="110"/>
      <c r="AX23" s="105"/>
      <c r="AY23" s="105"/>
      <c r="AZ23" s="105"/>
      <c r="BA23" s="105"/>
      <c r="BB23" s="105"/>
      <c r="BC23" s="105"/>
    </row>
    <row r="24" spans="1:55" x14ac:dyDescent="0.15">
      <c r="A24" s="221">
        <v>100</v>
      </c>
      <c r="B24" s="98" t="e">
        <f>VLOOKUP($A24,#REF!,84,FALSE)</f>
        <v>#REF!</v>
      </c>
      <c r="C24" s="98" t="e">
        <f>VLOOKUP($A24,#REF!,85,FALSE)</f>
        <v>#REF!</v>
      </c>
      <c r="D24" s="98" t="e">
        <f>VLOOKUP($A24,#REF!,5,FALSE)</f>
        <v>#REF!</v>
      </c>
      <c r="E24" s="98" t="e">
        <f>VLOOKUP($A24,#REF!,6,FALSE)</f>
        <v>#REF!</v>
      </c>
      <c r="F24" s="105" t="e">
        <f>VLOOKUP($A24,#REF!,34,FALSE)</f>
        <v>#REF!</v>
      </c>
      <c r="G24" s="105" t="e">
        <f>VLOOKUP($A24,#REF!,29,FALSE)</f>
        <v>#REF!</v>
      </c>
      <c r="H24" s="105" t="e">
        <f>VLOOKUP(A24,#REF!,35,FALSE)+VLOOKUP(A24,#REF!,41,FALSE)</f>
        <v>#REF!</v>
      </c>
      <c r="I24" s="105" t="e">
        <f t="shared" si="5"/>
        <v>#REF!</v>
      </c>
      <c r="J24" s="105" t="e">
        <f>VLOOKUP(A24,#REF!,42,FALSE)</f>
        <v>#REF!</v>
      </c>
      <c r="K24" s="105" t="e">
        <f t="shared" si="6"/>
        <v>#REF!</v>
      </c>
      <c r="L24" s="164" t="e">
        <f t="shared" si="1"/>
        <v>#REF!</v>
      </c>
      <c r="M24" s="105" t="e">
        <f t="shared" si="7"/>
        <v>#REF!</v>
      </c>
      <c r="N24" s="105" t="e">
        <f>VLOOKUP(A24,#REF!,46,FALSE)</f>
        <v>#REF!</v>
      </c>
      <c r="O24" s="106" t="e">
        <f>VLOOKUP(A24,#REF!,9,FALSE)</f>
        <v>#REF!</v>
      </c>
      <c r="P24" s="114" t="e">
        <f>#REF!</f>
        <v>#REF!</v>
      </c>
      <c r="Q24" s="114" t="e">
        <f>VLOOKUP(A24,#REF!,12,FALSE)</f>
        <v>#REF!</v>
      </c>
      <c r="R24" s="120" t="e">
        <f>#REF!</f>
        <v>#REF!</v>
      </c>
      <c r="S24" s="106" t="e">
        <f>IF(Q24=0,#REF!,ROUND(Q24*R24,4))</f>
        <v>#REF!</v>
      </c>
      <c r="T24" s="121" t="e">
        <f>VLOOKUP($A24,#REF!,15,FALSE)</f>
        <v>#REF!</v>
      </c>
      <c r="U24" s="121" t="e">
        <f>VLOOKUP($A24,#REF!,19,FALSE)</f>
        <v>#REF!</v>
      </c>
      <c r="V24" s="109" t="e">
        <f t="shared" si="8"/>
        <v>#REF!</v>
      </c>
      <c r="W24" s="109" t="e">
        <f t="shared" si="9"/>
        <v>#REF!</v>
      </c>
      <c r="X24" s="105" t="e">
        <f t="shared" si="10"/>
        <v>#REF!</v>
      </c>
      <c r="Y24" s="113" t="e">
        <f t="shared" si="11"/>
        <v>#REF!</v>
      </c>
      <c r="Z24" s="109" t="e">
        <f t="shared" si="12"/>
        <v>#REF!</v>
      </c>
      <c r="AA24" s="113" t="e">
        <f t="shared" si="13"/>
        <v>#REF!</v>
      </c>
      <c r="AB24" s="109" t="e">
        <f t="shared" si="14"/>
        <v>#REF!</v>
      </c>
      <c r="AC24" s="113" t="e">
        <f t="shared" si="15"/>
        <v>#REF!</v>
      </c>
      <c r="AD24" s="105" t="e">
        <f t="shared" si="16"/>
        <v>#REF!</v>
      </c>
      <c r="AE24" s="105" t="e">
        <f t="shared" si="2"/>
        <v>#REF!</v>
      </c>
      <c r="AF24" s="105" t="e">
        <f t="shared" si="3"/>
        <v>#REF!</v>
      </c>
      <c r="AG24" s="105" t="e">
        <f t="shared" si="4"/>
        <v>#REF!</v>
      </c>
      <c r="AH24" s="111" t="e">
        <f>VLOOKUP($A24,#REF!,5,FALSE)</f>
        <v>#REF!</v>
      </c>
      <c r="AI24" s="111" t="e">
        <f>VLOOKUP($A24,#REF!,6,FALSE)</f>
        <v>#REF!</v>
      </c>
      <c r="AJ24" s="109" t="e">
        <f t="shared" si="17"/>
        <v>#REF!</v>
      </c>
      <c r="AK24" s="109" t="e">
        <f t="shared" si="18"/>
        <v>#REF!</v>
      </c>
      <c r="AL24" s="109"/>
      <c r="AM24" s="105"/>
      <c r="AN24" s="105"/>
      <c r="AO24" s="109"/>
      <c r="AP24" s="110"/>
      <c r="AQ24" s="110"/>
      <c r="AR24" s="110"/>
      <c r="AS24" s="110"/>
      <c r="AT24" s="110"/>
      <c r="AU24" s="112"/>
      <c r="AV24" s="112"/>
      <c r="AW24" s="110"/>
      <c r="AX24" s="105"/>
      <c r="AY24" s="105"/>
      <c r="AZ24" s="105"/>
      <c r="BA24" s="105"/>
      <c r="BB24" s="105"/>
      <c r="BC24" s="105"/>
    </row>
    <row r="25" spans="1:55" x14ac:dyDescent="0.15">
      <c r="A25" s="221">
        <v>310</v>
      </c>
      <c r="B25" s="98" t="e">
        <f>VLOOKUP($A25,#REF!,84,FALSE)</f>
        <v>#REF!</v>
      </c>
      <c r="C25" s="98" t="e">
        <f>VLOOKUP($A25,#REF!,85,FALSE)</f>
        <v>#REF!</v>
      </c>
      <c r="D25" s="98" t="e">
        <f>VLOOKUP($A25,#REF!,5,FALSE)</f>
        <v>#REF!</v>
      </c>
      <c r="E25" s="98" t="e">
        <f>VLOOKUP($A25,#REF!,6,FALSE)</f>
        <v>#REF!</v>
      </c>
      <c r="F25" s="105" t="e">
        <f>VLOOKUP($A25,#REF!,34,FALSE)</f>
        <v>#REF!</v>
      </c>
      <c r="G25" s="105" t="e">
        <f>VLOOKUP($A25,#REF!,29,FALSE)</f>
        <v>#REF!</v>
      </c>
      <c r="H25" s="105" t="e">
        <f>VLOOKUP(A25,#REF!,35,FALSE)+VLOOKUP(A25,#REF!,41,FALSE)</f>
        <v>#REF!</v>
      </c>
      <c r="I25" s="105" t="e">
        <f t="shared" si="5"/>
        <v>#REF!</v>
      </c>
      <c r="J25" s="105" t="e">
        <f>VLOOKUP(A25,#REF!,42,FALSE)</f>
        <v>#REF!</v>
      </c>
      <c r="K25" s="105" t="e">
        <f t="shared" si="6"/>
        <v>#REF!</v>
      </c>
      <c r="L25" s="164" t="e">
        <f t="shared" si="1"/>
        <v>#REF!</v>
      </c>
      <c r="M25" s="105" t="e">
        <f t="shared" si="7"/>
        <v>#REF!</v>
      </c>
      <c r="N25" s="105" t="e">
        <f>VLOOKUP(A25,#REF!,46,FALSE)</f>
        <v>#REF!</v>
      </c>
      <c r="O25" s="106" t="e">
        <f>VLOOKUP(A25,#REF!,9,FALSE)</f>
        <v>#REF!</v>
      </c>
      <c r="P25" s="114" t="e">
        <f>#REF!</f>
        <v>#REF!</v>
      </c>
      <c r="Q25" s="114" t="e">
        <f>VLOOKUP(A25,#REF!,12,FALSE)</f>
        <v>#REF!</v>
      </c>
      <c r="R25" s="120" t="e">
        <f>#REF!</f>
        <v>#REF!</v>
      </c>
      <c r="S25" s="106" t="e">
        <f>IF(Q25=0,#REF!,ROUND(Q25*R25,4))</f>
        <v>#REF!</v>
      </c>
      <c r="T25" s="121" t="e">
        <f>VLOOKUP($A25,#REF!,15,FALSE)</f>
        <v>#REF!</v>
      </c>
      <c r="U25" s="121" t="e">
        <f>VLOOKUP($A25,#REF!,19,FALSE)</f>
        <v>#REF!</v>
      </c>
      <c r="V25" s="109" t="e">
        <f t="shared" si="8"/>
        <v>#REF!</v>
      </c>
      <c r="W25" s="109" t="e">
        <f t="shared" si="9"/>
        <v>#REF!</v>
      </c>
      <c r="X25" s="105" t="e">
        <f t="shared" si="10"/>
        <v>#REF!</v>
      </c>
      <c r="Y25" s="113" t="e">
        <f t="shared" si="11"/>
        <v>#REF!</v>
      </c>
      <c r="Z25" s="109" t="e">
        <f t="shared" si="12"/>
        <v>#REF!</v>
      </c>
      <c r="AA25" s="113" t="e">
        <f t="shared" si="13"/>
        <v>#REF!</v>
      </c>
      <c r="AB25" s="109" t="e">
        <f t="shared" si="14"/>
        <v>#REF!</v>
      </c>
      <c r="AC25" s="113" t="e">
        <f t="shared" si="15"/>
        <v>#REF!</v>
      </c>
      <c r="AD25" s="105" t="e">
        <f t="shared" si="16"/>
        <v>#REF!</v>
      </c>
      <c r="AE25" s="105" t="e">
        <f t="shared" si="2"/>
        <v>#REF!</v>
      </c>
      <c r="AF25" s="105" t="e">
        <f t="shared" si="3"/>
        <v>#REF!</v>
      </c>
      <c r="AG25" s="105" t="e">
        <f t="shared" si="4"/>
        <v>#REF!</v>
      </c>
      <c r="AH25" s="111" t="e">
        <f>VLOOKUP($A25,#REF!,5,FALSE)</f>
        <v>#REF!</v>
      </c>
      <c r="AI25" s="111" t="e">
        <f>VLOOKUP($A25,#REF!,6,FALSE)</f>
        <v>#REF!</v>
      </c>
      <c r="AJ25" s="109" t="e">
        <f t="shared" si="17"/>
        <v>#REF!</v>
      </c>
      <c r="AK25" s="109" t="e">
        <f t="shared" si="18"/>
        <v>#REF!</v>
      </c>
      <c r="AL25" s="109"/>
      <c r="AM25" s="105"/>
      <c r="AN25" s="105"/>
      <c r="AO25" s="109"/>
      <c r="AP25" s="110"/>
      <c r="AQ25" s="110"/>
      <c r="AR25" s="110"/>
      <c r="AS25" s="110"/>
      <c r="AT25" s="110"/>
      <c r="AU25" s="112"/>
      <c r="AV25" s="112"/>
      <c r="AW25" s="110"/>
      <c r="AX25" s="105"/>
      <c r="AY25" s="105"/>
      <c r="AZ25" s="105"/>
      <c r="BA25" s="105"/>
      <c r="BB25" s="105"/>
      <c r="BC25" s="105"/>
    </row>
    <row r="26" spans="1:55" x14ac:dyDescent="0.15">
      <c r="A26" s="221">
        <v>132</v>
      </c>
      <c r="B26" s="98" t="e">
        <f>VLOOKUP($A26,#REF!,84,FALSE)</f>
        <v>#REF!</v>
      </c>
      <c r="C26" s="98" t="e">
        <f>VLOOKUP($A26,#REF!,85,FALSE)</f>
        <v>#REF!</v>
      </c>
      <c r="D26" s="98" t="e">
        <f>VLOOKUP($A26,#REF!,5,FALSE)</f>
        <v>#REF!</v>
      </c>
      <c r="E26" s="98" t="e">
        <f>VLOOKUP($A26,#REF!,6,FALSE)</f>
        <v>#REF!</v>
      </c>
      <c r="F26" s="105" t="e">
        <f>VLOOKUP($A26,#REF!,34,FALSE)</f>
        <v>#REF!</v>
      </c>
      <c r="G26" s="105" t="e">
        <f>VLOOKUP($A26,#REF!,29,FALSE)</f>
        <v>#REF!</v>
      </c>
      <c r="H26" s="105" t="e">
        <f>VLOOKUP(A26,#REF!,35,FALSE)+VLOOKUP(A26,#REF!,41,FALSE)</f>
        <v>#REF!</v>
      </c>
      <c r="I26" s="105" t="e">
        <f t="shared" si="5"/>
        <v>#REF!</v>
      </c>
      <c r="J26" s="105" t="e">
        <f>VLOOKUP(A26,#REF!,42,FALSE)</f>
        <v>#REF!</v>
      </c>
      <c r="K26" s="105" t="e">
        <f t="shared" si="6"/>
        <v>#REF!</v>
      </c>
      <c r="L26" s="164" t="e">
        <f t="shared" si="1"/>
        <v>#REF!</v>
      </c>
      <c r="M26" s="105" t="e">
        <f t="shared" si="7"/>
        <v>#REF!</v>
      </c>
      <c r="N26" s="105" t="e">
        <f>VLOOKUP(A26,#REF!,46,FALSE)</f>
        <v>#REF!</v>
      </c>
      <c r="O26" s="106" t="e">
        <f>VLOOKUP(A26,#REF!,9,FALSE)</f>
        <v>#REF!</v>
      </c>
      <c r="P26" s="114" t="e">
        <f>#REF!</f>
        <v>#REF!</v>
      </c>
      <c r="Q26" s="114" t="e">
        <f>VLOOKUP(A26,#REF!,12,FALSE)</f>
        <v>#REF!</v>
      </c>
      <c r="R26" s="120" t="e">
        <f>#REF!</f>
        <v>#REF!</v>
      </c>
      <c r="S26" s="106" t="e">
        <f>IF(Q26=0,#REF!,ROUND(Q26*R26,4))</f>
        <v>#REF!</v>
      </c>
      <c r="T26" s="121" t="e">
        <f>VLOOKUP($A26,#REF!,15,FALSE)</f>
        <v>#REF!</v>
      </c>
      <c r="U26" s="121" t="e">
        <f>VLOOKUP($A26,#REF!,19,FALSE)</f>
        <v>#REF!</v>
      </c>
      <c r="V26" s="109" t="e">
        <f t="shared" si="8"/>
        <v>#REF!</v>
      </c>
      <c r="W26" s="109" t="e">
        <f t="shared" si="9"/>
        <v>#REF!</v>
      </c>
      <c r="X26" s="105" t="e">
        <f t="shared" si="10"/>
        <v>#REF!</v>
      </c>
      <c r="Y26" s="113" t="e">
        <f t="shared" si="11"/>
        <v>#REF!</v>
      </c>
      <c r="Z26" s="109" t="e">
        <f t="shared" si="12"/>
        <v>#REF!</v>
      </c>
      <c r="AA26" s="113" t="e">
        <f t="shared" si="13"/>
        <v>#REF!</v>
      </c>
      <c r="AB26" s="109" t="e">
        <f t="shared" si="14"/>
        <v>#REF!</v>
      </c>
      <c r="AC26" s="113" t="e">
        <f t="shared" si="15"/>
        <v>#REF!</v>
      </c>
      <c r="AD26" s="105" t="e">
        <f t="shared" si="16"/>
        <v>#REF!</v>
      </c>
      <c r="AE26" s="105" t="e">
        <f t="shared" si="2"/>
        <v>#REF!</v>
      </c>
      <c r="AF26" s="105" t="e">
        <f t="shared" si="3"/>
        <v>#REF!</v>
      </c>
      <c r="AG26" s="105" t="e">
        <f t="shared" si="4"/>
        <v>#REF!</v>
      </c>
      <c r="AH26" s="111" t="e">
        <f>VLOOKUP($A26,#REF!,5,FALSE)</f>
        <v>#REF!</v>
      </c>
      <c r="AI26" s="111" t="e">
        <f>VLOOKUP($A26,#REF!,6,FALSE)</f>
        <v>#REF!</v>
      </c>
      <c r="AJ26" s="109" t="e">
        <f t="shared" si="17"/>
        <v>#REF!</v>
      </c>
      <c r="AK26" s="109" t="e">
        <f t="shared" si="18"/>
        <v>#REF!</v>
      </c>
      <c r="AL26" s="109"/>
      <c r="AM26" s="105"/>
      <c r="AN26" s="105"/>
      <c r="AO26" s="109"/>
      <c r="AP26" s="110"/>
      <c r="AQ26" s="110"/>
      <c r="AR26" s="110"/>
      <c r="AS26" s="110"/>
      <c r="AT26" s="110"/>
      <c r="AU26" s="112"/>
      <c r="AV26" s="112"/>
      <c r="AW26" s="110"/>
      <c r="AX26" s="105"/>
      <c r="AY26" s="105"/>
      <c r="AZ26" s="105"/>
      <c r="BA26" s="105"/>
      <c r="BB26" s="105"/>
      <c r="BC26" s="105"/>
    </row>
    <row r="27" spans="1:55" x14ac:dyDescent="0.15">
      <c r="A27" s="221">
        <v>198</v>
      </c>
      <c r="B27" s="98" t="e">
        <f>VLOOKUP($A27,#REF!,84,FALSE)</f>
        <v>#REF!</v>
      </c>
      <c r="C27" s="98" t="e">
        <f>VLOOKUP($A27,#REF!,85,FALSE)</f>
        <v>#REF!</v>
      </c>
      <c r="D27" s="98" t="e">
        <f>VLOOKUP($A27,#REF!,5,FALSE)</f>
        <v>#REF!</v>
      </c>
      <c r="E27" s="98" t="e">
        <f>VLOOKUP($A27,#REF!,6,FALSE)</f>
        <v>#REF!</v>
      </c>
      <c r="F27" s="105" t="e">
        <f>VLOOKUP($A27,#REF!,34,FALSE)</f>
        <v>#REF!</v>
      </c>
      <c r="G27" s="105" t="e">
        <f>VLOOKUP($A27,#REF!,29,FALSE)</f>
        <v>#REF!</v>
      </c>
      <c r="H27" s="105" t="e">
        <f>VLOOKUP(A27,#REF!,35,FALSE)+VLOOKUP(A27,#REF!,41,FALSE)</f>
        <v>#REF!</v>
      </c>
      <c r="I27" s="105" t="e">
        <f t="shared" si="5"/>
        <v>#REF!</v>
      </c>
      <c r="J27" s="105" t="e">
        <f>VLOOKUP(A27,#REF!,42,FALSE)</f>
        <v>#REF!</v>
      </c>
      <c r="K27" s="105" t="e">
        <f t="shared" si="6"/>
        <v>#REF!</v>
      </c>
      <c r="L27" s="164" t="e">
        <f t="shared" si="1"/>
        <v>#REF!</v>
      </c>
      <c r="M27" s="105" t="e">
        <f t="shared" si="7"/>
        <v>#REF!</v>
      </c>
      <c r="N27" s="105" t="e">
        <f>VLOOKUP(A27,#REF!,46,FALSE)</f>
        <v>#REF!</v>
      </c>
      <c r="O27" s="106" t="e">
        <f>VLOOKUP(A27,#REF!,9,FALSE)</f>
        <v>#REF!</v>
      </c>
      <c r="P27" s="114" t="e">
        <f>#REF!</f>
        <v>#REF!</v>
      </c>
      <c r="Q27" s="114" t="e">
        <f>VLOOKUP(A27,#REF!,12,FALSE)</f>
        <v>#REF!</v>
      </c>
      <c r="R27" s="120" t="e">
        <f>#REF!</f>
        <v>#REF!</v>
      </c>
      <c r="S27" s="106" t="e">
        <f>IF(Q27=0,#REF!,ROUND(Q27*R27,4))</f>
        <v>#REF!</v>
      </c>
      <c r="T27" s="121" t="e">
        <f>VLOOKUP($A27,#REF!,15,FALSE)</f>
        <v>#REF!</v>
      </c>
      <c r="U27" s="121" t="e">
        <f>VLOOKUP($A27,#REF!,19,FALSE)</f>
        <v>#REF!</v>
      </c>
      <c r="V27" s="109" t="e">
        <f t="shared" si="8"/>
        <v>#REF!</v>
      </c>
      <c r="W27" s="109" t="e">
        <f t="shared" si="9"/>
        <v>#REF!</v>
      </c>
      <c r="X27" s="105" t="e">
        <f t="shared" si="10"/>
        <v>#REF!</v>
      </c>
      <c r="Y27" s="113" t="e">
        <f t="shared" si="11"/>
        <v>#REF!</v>
      </c>
      <c r="Z27" s="109" t="e">
        <f t="shared" si="12"/>
        <v>#REF!</v>
      </c>
      <c r="AA27" s="113" t="e">
        <f t="shared" si="13"/>
        <v>#REF!</v>
      </c>
      <c r="AB27" s="109" t="e">
        <f t="shared" si="14"/>
        <v>#REF!</v>
      </c>
      <c r="AC27" s="113" t="e">
        <f t="shared" si="15"/>
        <v>#REF!</v>
      </c>
      <c r="AD27" s="105" t="e">
        <f t="shared" si="16"/>
        <v>#REF!</v>
      </c>
      <c r="AE27" s="105" t="e">
        <f t="shared" si="2"/>
        <v>#REF!</v>
      </c>
      <c r="AF27" s="105" t="e">
        <f t="shared" si="3"/>
        <v>#REF!</v>
      </c>
      <c r="AG27" s="105" t="e">
        <f t="shared" si="4"/>
        <v>#REF!</v>
      </c>
      <c r="AH27" s="111" t="e">
        <f>VLOOKUP($A27,#REF!,5,FALSE)</f>
        <v>#REF!</v>
      </c>
      <c r="AI27" s="111" t="e">
        <f>VLOOKUP($A27,#REF!,6,FALSE)</f>
        <v>#REF!</v>
      </c>
      <c r="AJ27" s="109" t="e">
        <f t="shared" si="17"/>
        <v>#REF!</v>
      </c>
      <c r="AK27" s="109" t="e">
        <f t="shared" si="18"/>
        <v>#REF!</v>
      </c>
      <c r="AL27" s="109"/>
      <c r="AM27" s="105"/>
      <c r="AN27" s="105"/>
      <c r="AO27" s="109"/>
      <c r="AP27" s="110"/>
      <c r="AQ27" s="110"/>
      <c r="AR27" s="110"/>
      <c r="AS27" s="110"/>
      <c r="AT27" s="110"/>
      <c r="AU27" s="112"/>
      <c r="AV27" s="112"/>
      <c r="AW27" s="110"/>
      <c r="AX27" s="105"/>
      <c r="AY27" s="105"/>
      <c r="AZ27" s="105"/>
      <c r="BA27" s="105"/>
      <c r="BB27" s="105"/>
      <c r="BC27" s="105"/>
    </row>
    <row r="28" spans="1:55" x14ac:dyDescent="0.15">
      <c r="A28" s="221">
        <v>687</v>
      </c>
      <c r="B28" s="98" t="e">
        <f>VLOOKUP($A28,#REF!,84,FALSE)</f>
        <v>#REF!</v>
      </c>
      <c r="C28" s="98" t="e">
        <f>VLOOKUP($A28,#REF!,85,FALSE)</f>
        <v>#REF!</v>
      </c>
      <c r="D28" s="98" t="e">
        <f>VLOOKUP($A28,#REF!,5,FALSE)</f>
        <v>#REF!</v>
      </c>
      <c r="E28" s="98" t="e">
        <f>VLOOKUP($A28,#REF!,6,FALSE)</f>
        <v>#REF!</v>
      </c>
      <c r="F28" s="105" t="e">
        <f>VLOOKUP($A28,#REF!,34,FALSE)</f>
        <v>#REF!</v>
      </c>
      <c r="G28" s="105" t="e">
        <f>VLOOKUP($A28,#REF!,29,FALSE)</f>
        <v>#REF!</v>
      </c>
      <c r="H28" s="105" t="e">
        <f>VLOOKUP(A28,#REF!,35,FALSE)+VLOOKUP(A28,#REF!,41,FALSE)</f>
        <v>#REF!</v>
      </c>
      <c r="I28" s="105" t="e">
        <f t="shared" si="5"/>
        <v>#REF!</v>
      </c>
      <c r="J28" s="105" t="e">
        <f>VLOOKUP(A28,#REF!,42,FALSE)</f>
        <v>#REF!</v>
      </c>
      <c r="K28" s="105" t="e">
        <f t="shared" si="6"/>
        <v>#REF!</v>
      </c>
      <c r="L28" s="164" t="e">
        <f t="shared" si="1"/>
        <v>#REF!</v>
      </c>
      <c r="M28" s="105" t="e">
        <f t="shared" si="7"/>
        <v>#REF!</v>
      </c>
      <c r="N28" s="105" t="e">
        <f>VLOOKUP(A28,#REF!,46,FALSE)</f>
        <v>#REF!</v>
      </c>
      <c r="O28" s="106" t="e">
        <f>VLOOKUP(A28,#REF!,9,FALSE)</f>
        <v>#REF!</v>
      </c>
      <c r="P28" s="114" t="e">
        <f>#REF!</f>
        <v>#REF!</v>
      </c>
      <c r="Q28" s="114" t="e">
        <f>VLOOKUP(A28,#REF!,12,FALSE)</f>
        <v>#REF!</v>
      </c>
      <c r="R28" s="120" t="e">
        <f>#REF!</f>
        <v>#REF!</v>
      </c>
      <c r="S28" s="106" t="e">
        <f>IF(Q28=0,#REF!,ROUND(Q28*R28,4))</f>
        <v>#REF!</v>
      </c>
      <c r="T28" s="121" t="e">
        <f>VLOOKUP($A28,#REF!,15,FALSE)</f>
        <v>#REF!</v>
      </c>
      <c r="U28" s="121" t="e">
        <f>VLOOKUP($A28,#REF!,19,FALSE)</f>
        <v>#REF!</v>
      </c>
      <c r="V28" s="109" t="e">
        <f t="shared" si="8"/>
        <v>#REF!</v>
      </c>
      <c r="W28" s="109" t="e">
        <f t="shared" si="9"/>
        <v>#REF!</v>
      </c>
      <c r="X28" s="105" t="e">
        <f t="shared" si="10"/>
        <v>#REF!</v>
      </c>
      <c r="Y28" s="113" t="e">
        <f t="shared" si="11"/>
        <v>#REF!</v>
      </c>
      <c r="Z28" s="109" t="e">
        <f t="shared" si="12"/>
        <v>#REF!</v>
      </c>
      <c r="AA28" s="113" t="e">
        <f t="shared" si="13"/>
        <v>#REF!</v>
      </c>
      <c r="AB28" s="109" t="e">
        <f t="shared" si="14"/>
        <v>#REF!</v>
      </c>
      <c r="AC28" s="113" t="e">
        <f t="shared" si="15"/>
        <v>#REF!</v>
      </c>
      <c r="AD28" s="105" t="e">
        <f t="shared" si="16"/>
        <v>#REF!</v>
      </c>
      <c r="AE28" s="105" t="e">
        <f t="shared" si="2"/>
        <v>#REF!</v>
      </c>
      <c r="AF28" s="105" t="e">
        <f t="shared" si="3"/>
        <v>#REF!</v>
      </c>
      <c r="AG28" s="105" t="e">
        <f t="shared" si="4"/>
        <v>#REF!</v>
      </c>
      <c r="AH28" s="111" t="e">
        <f>VLOOKUP($A28,#REF!,5,FALSE)</f>
        <v>#REF!</v>
      </c>
      <c r="AI28" s="111" t="e">
        <f>VLOOKUP($A28,#REF!,6,FALSE)</f>
        <v>#REF!</v>
      </c>
      <c r="AJ28" s="109" t="e">
        <f t="shared" si="17"/>
        <v>#REF!</v>
      </c>
      <c r="AK28" s="109" t="e">
        <f t="shared" si="18"/>
        <v>#REF!</v>
      </c>
      <c r="AL28" s="109"/>
      <c r="AM28" s="105"/>
      <c r="AN28" s="105"/>
      <c r="AO28" s="109"/>
      <c r="AP28" s="110"/>
      <c r="AQ28" s="110"/>
      <c r="AR28" s="110"/>
      <c r="AS28" s="110"/>
      <c r="AT28" s="110"/>
      <c r="AU28" s="112"/>
      <c r="AV28" s="112"/>
      <c r="AW28" s="110"/>
      <c r="AX28" s="105"/>
      <c r="AY28" s="105"/>
      <c r="AZ28" s="105"/>
      <c r="BA28" s="105"/>
      <c r="BB28" s="105"/>
      <c r="BC28" s="105"/>
    </row>
    <row r="29" spans="1:55" x14ac:dyDescent="0.15">
      <c r="A29" s="221">
        <v>246</v>
      </c>
      <c r="B29" s="98" t="e">
        <f>VLOOKUP($A29,#REF!,84,FALSE)</f>
        <v>#REF!</v>
      </c>
      <c r="C29" s="98" t="e">
        <f>VLOOKUP($A29,#REF!,85,FALSE)</f>
        <v>#REF!</v>
      </c>
      <c r="D29" s="98" t="e">
        <f>VLOOKUP($A29,#REF!,5,FALSE)</f>
        <v>#REF!</v>
      </c>
      <c r="E29" s="98" t="e">
        <f>VLOOKUP($A29,#REF!,6,FALSE)</f>
        <v>#REF!</v>
      </c>
      <c r="F29" s="105" t="e">
        <f>VLOOKUP($A29,#REF!,34,FALSE)</f>
        <v>#REF!</v>
      </c>
      <c r="G29" s="105" t="e">
        <f>VLOOKUP($A29,#REF!,29,FALSE)</f>
        <v>#REF!</v>
      </c>
      <c r="H29" s="105" t="e">
        <f>VLOOKUP(A29,#REF!,35,FALSE)+VLOOKUP(A29,#REF!,41,FALSE)</f>
        <v>#REF!</v>
      </c>
      <c r="I29" s="105" t="e">
        <f t="shared" si="5"/>
        <v>#REF!</v>
      </c>
      <c r="J29" s="105" t="e">
        <f>VLOOKUP(A29,#REF!,42,FALSE)</f>
        <v>#REF!</v>
      </c>
      <c r="K29" s="105" t="e">
        <f t="shared" si="6"/>
        <v>#REF!</v>
      </c>
      <c r="L29" s="164" t="e">
        <f t="shared" si="1"/>
        <v>#REF!</v>
      </c>
      <c r="M29" s="105" t="e">
        <f t="shared" si="7"/>
        <v>#REF!</v>
      </c>
      <c r="N29" s="105" t="e">
        <f>VLOOKUP(A29,#REF!,46,FALSE)</f>
        <v>#REF!</v>
      </c>
      <c r="O29" s="106" t="e">
        <f>VLOOKUP(A29,#REF!,9,FALSE)</f>
        <v>#REF!</v>
      </c>
      <c r="P29" s="114" t="e">
        <f>#REF!</f>
        <v>#REF!</v>
      </c>
      <c r="Q29" s="114" t="e">
        <f>VLOOKUP(A29,#REF!,12,FALSE)</f>
        <v>#REF!</v>
      </c>
      <c r="R29" s="120" t="e">
        <f>#REF!</f>
        <v>#REF!</v>
      </c>
      <c r="S29" s="106" t="e">
        <f>IF(Q29=0,#REF!,ROUND(Q29*R29,4))</f>
        <v>#REF!</v>
      </c>
      <c r="T29" s="121" t="e">
        <f>VLOOKUP($A29,#REF!,15,FALSE)</f>
        <v>#REF!</v>
      </c>
      <c r="U29" s="121" t="e">
        <f>VLOOKUP($A29,#REF!,19,FALSE)</f>
        <v>#REF!</v>
      </c>
      <c r="V29" s="109" t="e">
        <f t="shared" si="8"/>
        <v>#REF!</v>
      </c>
      <c r="W29" s="109" t="e">
        <f t="shared" si="9"/>
        <v>#REF!</v>
      </c>
      <c r="X29" s="105" t="e">
        <f t="shared" si="10"/>
        <v>#REF!</v>
      </c>
      <c r="Y29" s="113" t="e">
        <f t="shared" si="11"/>
        <v>#REF!</v>
      </c>
      <c r="Z29" s="109" t="e">
        <f t="shared" si="12"/>
        <v>#REF!</v>
      </c>
      <c r="AA29" s="113" t="e">
        <f t="shared" si="13"/>
        <v>#REF!</v>
      </c>
      <c r="AB29" s="109" t="e">
        <f t="shared" si="14"/>
        <v>#REF!</v>
      </c>
      <c r="AC29" s="113" t="e">
        <f t="shared" si="15"/>
        <v>#REF!</v>
      </c>
      <c r="AD29" s="105" t="e">
        <f t="shared" si="16"/>
        <v>#REF!</v>
      </c>
      <c r="AE29" s="105" t="e">
        <f t="shared" si="2"/>
        <v>#REF!</v>
      </c>
      <c r="AF29" s="105" t="e">
        <f t="shared" si="3"/>
        <v>#REF!</v>
      </c>
      <c r="AG29" s="105" t="e">
        <f t="shared" si="4"/>
        <v>#REF!</v>
      </c>
      <c r="AH29" s="111" t="e">
        <f>VLOOKUP($A29,#REF!,5,FALSE)</f>
        <v>#REF!</v>
      </c>
      <c r="AI29" s="111" t="e">
        <f>VLOOKUP($A29,#REF!,6,FALSE)</f>
        <v>#REF!</v>
      </c>
      <c r="AJ29" s="109" t="e">
        <f t="shared" si="17"/>
        <v>#REF!</v>
      </c>
      <c r="AK29" s="109" t="e">
        <f t="shared" si="18"/>
        <v>#REF!</v>
      </c>
      <c r="AL29" s="109"/>
      <c r="AM29" s="105"/>
      <c r="AN29" s="105"/>
      <c r="AO29" s="109"/>
      <c r="AP29" s="110"/>
      <c r="AQ29" s="110"/>
      <c r="AR29" s="110"/>
      <c r="AS29" s="110"/>
      <c r="AT29" s="110"/>
      <c r="AU29" s="112"/>
      <c r="AV29" s="112"/>
      <c r="AW29" s="110"/>
      <c r="AX29" s="105"/>
      <c r="AY29" s="105"/>
      <c r="AZ29" s="105"/>
      <c r="BA29" s="105"/>
      <c r="BB29" s="105"/>
      <c r="BC29" s="105"/>
    </row>
    <row r="30" spans="1:55" x14ac:dyDescent="0.15">
      <c r="A30" s="221">
        <v>278</v>
      </c>
      <c r="B30" s="98" t="e">
        <f>VLOOKUP($A30,#REF!,84,FALSE)</f>
        <v>#REF!</v>
      </c>
      <c r="C30" s="98" t="e">
        <f>VLOOKUP($A30,#REF!,85,FALSE)</f>
        <v>#REF!</v>
      </c>
      <c r="D30" s="98" t="e">
        <f>VLOOKUP($A30,#REF!,5,FALSE)</f>
        <v>#REF!</v>
      </c>
      <c r="E30" s="98" t="e">
        <f>VLOOKUP($A30,#REF!,6,FALSE)</f>
        <v>#REF!</v>
      </c>
      <c r="F30" s="105" t="e">
        <f>VLOOKUP($A30,#REF!,34,FALSE)</f>
        <v>#REF!</v>
      </c>
      <c r="G30" s="105" t="e">
        <f>VLOOKUP($A30,#REF!,29,FALSE)</f>
        <v>#REF!</v>
      </c>
      <c r="H30" s="105" t="e">
        <f>VLOOKUP(A30,#REF!,35,FALSE)+VLOOKUP(A30,#REF!,41,FALSE)</f>
        <v>#REF!</v>
      </c>
      <c r="I30" s="105" t="e">
        <f t="shared" si="5"/>
        <v>#REF!</v>
      </c>
      <c r="J30" s="105" t="e">
        <f>VLOOKUP(A30,#REF!,42,FALSE)</f>
        <v>#REF!</v>
      </c>
      <c r="K30" s="105" t="e">
        <f t="shared" si="6"/>
        <v>#REF!</v>
      </c>
      <c r="L30" s="164" t="e">
        <f t="shared" si="1"/>
        <v>#REF!</v>
      </c>
      <c r="M30" s="105" t="e">
        <f t="shared" si="7"/>
        <v>#REF!</v>
      </c>
      <c r="N30" s="105" t="e">
        <f>VLOOKUP(A30,#REF!,46,FALSE)</f>
        <v>#REF!</v>
      </c>
      <c r="O30" s="106" t="e">
        <f>VLOOKUP(A30,#REF!,9,FALSE)</f>
        <v>#REF!</v>
      </c>
      <c r="P30" s="114" t="e">
        <f>#REF!</f>
        <v>#REF!</v>
      </c>
      <c r="Q30" s="114" t="e">
        <f>VLOOKUP(A30,#REF!,12,FALSE)</f>
        <v>#REF!</v>
      </c>
      <c r="R30" s="120" t="e">
        <f>#REF!</f>
        <v>#REF!</v>
      </c>
      <c r="S30" s="106" t="e">
        <f>IF(Q30=0,#REF!,ROUND(Q30*R30,4))</f>
        <v>#REF!</v>
      </c>
      <c r="T30" s="121" t="e">
        <f>VLOOKUP($A30,#REF!,15,FALSE)</f>
        <v>#REF!</v>
      </c>
      <c r="U30" s="121" t="e">
        <f>VLOOKUP($A30,#REF!,19,FALSE)</f>
        <v>#REF!</v>
      </c>
      <c r="V30" s="109" t="e">
        <f t="shared" si="8"/>
        <v>#REF!</v>
      </c>
      <c r="W30" s="109" t="e">
        <f t="shared" si="9"/>
        <v>#REF!</v>
      </c>
      <c r="X30" s="105" t="e">
        <f t="shared" si="10"/>
        <v>#REF!</v>
      </c>
      <c r="Y30" s="113" t="e">
        <f t="shared" si="11"/>
        <v>#REF!</v>
      </c>
      <c r="Z30" s="109" t="e">
        <f t="shared" si="12"/>
        <v>#REF!</v>
      </c>
      <c r="AA30" s="113" t="e">
        <f t="shared" si="13"/>
        <v>#REF!</v>
      </c>
      <c r="AB30" s="109" t="e">
        <f t="shared" si="14"/>
        <v>#REF!</v>
      </c>
      <c r="AC30" s="113" t="e">
        <f t="shared" si="15"/>
        <v>#REF!</v>
      </c>
      <c r="AD30" s="105" t="e">
        <f t="shared" si="16"/>
        <v>#REF!</v>
      </c>
      <c r="AE30" s="105" t="e">
        <f t="shared" si="2"/>
        <v>#REF!</v>
      </c>
      <c r="AF30" s="105" t="e">
        <f t="shared" si="3"/>
        <v>#REF!</v>
      </c>
      <c r="AG30" s="105" t="e">
        <f t="shared" si="4"/>
        <v>#REF!</v>
      </c>
      <c r="AH30" s="111" t="e">
        <f>VLOOKUP($A30,#REF!,5,FALSE)</f>
        <v>#REF!</v>
      </c>
      <c r="AI30" s="111" t="e">
        <f>VLOOKUP($A30,#REF!,6,FALSE)</f>
        <v>#REF!</v>
      </c>
      <c r="AJ30" s="109" t="e">
        <f t="shared" si="17"/>
        <v>#REF!</v>
      </c>
      <c r="AK30" s="109" t="e">
        <f t="shared" si="18"/>
        <v>#REF!</v>
      </c>
      <c r="AL30" s="109"/>
      <c r="AM30" s="105"/>
      <c r="AN30" s="105"/>
      <c r="AO30" s="109"/>
      <c r="AP30" s="110"/>
      <c r="AQ30" s="110"/>
      <c r="AR30" s="110"/>
      <c r="AS30" s="110"/>
      <c r="AT30" s="110"/>
      <c r="AU30" s="112"/>
      <c r="AV30" s="112"/>
      <c r="AW30" s="110"/>
      <c r="AX30" s="105"/>
      <c r="AY30" s="105"/>
      <c r="AZ30" s="105"/>
      <c r="BA30" s="105"/>
      <c r="BB30" s="105"/>
      <c r="BC30" s="105"/>
    </row>
    <row r="31" spans="1:55" x14ac:dyDescent="0.15">
      <c r="A31" s="221">
        <v>282</v>
      </c>
      <c r="B31" s="98" t="e">
        <f>VLOOKUP($A31,#REF!,84,FALSE)</f>
        <v>#REF!</v>
      </c>
      <c r="C31" s="98" t="e">
        <f>VLOOKUP($A31,#REF!,85,FALSE)</f>
        <v>#REF!</v>
      </c>
      <c r="D31" s="98" t="e">
        <f>VLOOKUP($A31,#REF!,5,FALSE)</f>
        <v>#REF!</v>
      </c>
      <c r="E31" s="98" t="e">
        <f>VLOOKUP($A31,#REF!,6,FALSE)</f>
        <v>#REF!</v>
      </c>
      <c r="F31" s="105" t="e">
        <f>VLOOKUP($A31,#REF!,34,FALSE)</f>
        <v>#REF!</v>
      </c>
      <c r="G31" s="105" t="e">
        <f>VLOOKUP($A31,#REF!,29,FALSE)</f>
        <v>#REF!</v>
      </c>
      <c r="H31" s="105" t="e">
        <f>VLOOKUP(A31,#REF!,35,FALSE)+VLOOKUP(A31,#REF!,41,FALSE)</f>
        <v>#REF!</v>
      </c>
      <c r="I31" s="105" t="e">
        <f t="shared" si="5"/>
        <v>#REF!</v>
      </c>
      <c r="J31" s="105" t="e">
        <f>VLOOKUP(A31,#REF!,42,FALSE)</f>
        <v>#REF!</v>
      </c>
      <c r="K31" s="105" t="e">
        <f t="shared" si="6"/>
        <v>#REF!</v>
      </c>
      <c r="L31" s="164" t="e">
        <f t="shared" si="1"/>
        <v>#REF!</v>
      </c>
      <c r="M31" s="105" t="e">
        <f t="shared" si="7"/>
        <v>#REF!</v>
      </c>
      <c r="N31" s="105" t="e">
        <f>VLOOKUP(A31,#REF!,46,FALSE)</f>
        <v>#REF!</v>
      </c>
      <c r="O31" s="106" t="e">
        <f>VLOOKUP(A31,#REF!,9,FALSE)</f>
        <v>#REF!</v>
      </c>
      <c r="P31" s="114" t="e">
        <f>#REF!</f>
        <v>#REF!</v>
      </c>
      <c r="Q31" s="114" t="e">
        <f>VLOOKUP(A31,#REF!,12,FALSE)</f>
        <v>#REF!</v>
      </c>
      <c r="R31" s="120" t="e">
        <f>#REF!</f>
        <v>#REF!</v>
      </c>
      <c r="S31" s="106" t="e">
        <f>IF(Q31=0,#REF!,ROUND(Q31*R31,4))</f>
        <v>#REF!</v>
      </c>
      <c r="T31" s="121" t="e">
        <f>VLOOKUP($A31,#REF!,15,FALSE)</f>
        <v>#REF!</v>
      </c>
      <c r="U31" s="121" t="e">
        <f>VLOOKUP($A31,#REF!,19,FALSE)</f>
        <v>#REF!</v>
      </c>
      <c r="V31" s="121" t="e">
        <f t="shared" si="8"/>
        <v>#REF!</v>
      </c>
      <c r="W31" s="109" t="e">
        <f>IF($O31="NA",ROUND(U31*S31,2),ROUND(V31*(S31/O31),2))</f>
        <v>#REF!</v>
      </c>
      <c r="X31" s="113" t="e">
        <f t="shared" si="10"/>
        <v>#REF!</v>
      </c>
      <c r="Y31" s="113" t="e">
        <f t="shared" si="11"/>
        <v>#REF!</v>
      </c>
      <c r="Z31" s="121" t="e">
        <f t="shared" si="12"/>
        <v>#REF!</v>
      </c>
      <c r="AA31" s="113" t="e">
        <f t="shared" si="13"/>
        <v>#REF!</v>
      </c>
      <c r="AB31" s="121" t="e">
        <f t="shared" si="14"/>
        <v>#REF!</v>
      </c>
      <c r="AC31" s="113" t="e">
        <f t="shared" si="15"/>
        <v>#REF!</v>
      </c>
      <c r="AD31" s="105" t="e">
        <f t="shared" si="16"/>
        <v>#REF!</v>
      </c>
      <c r="AE31" s="105" t="e">
        <f t="shared" si="2"/>
        <v>#REF!</v>
      </c>
      <c r="AF31" s="105" t="e">
        <f t="shared" si="3"/>
        <v>#REF!</v>
      </c>
      <c r="AG31" s="105" t="e">
        <f t="shared" si="4"/>
        <v>#REF!</v>
      </c>
      <c r="AH31" s="111" t="e">
        <f>VLOOKUP($A31,#REF!,5,FALSE)</f>
        <v>#REF!</v>
      </c>
      <c r="AI31" s="111" t="e">
        <f>VLOOKUP($A31,#REF!,6,FALSE)</f>
        <v>#REF!</v>
      </c>
      <c r="AJ31" s="109" t="e">
        <f t="shared" si="17"/>
        <v>#REF!</v>
      </c>
      <c r="AK31" s="109" t="e">
        <f t="shared" si="18"/>
        <v>#REF!</v>
      </c>
      <c r="AL31" s="109"/>
      <c r="AM31" s="105"/>
      <c r="AN31" s="105"/>
      <c r="AO31" s="109"/>
      <c r="AP31" s="110"/>
      <c r="AQ31" s="110"/>
      <c r="AR31" s="110"/>
      <c r="AS31" s="110"/>
      <c r="AT31" s="110"/>
      <c r="AU31" s="112"/>
      <c r="AV31" s="112"/>
      <c r="AW31" s="110"/>
      <c r="AX31" s="105"/>
      <c r="AY31" s="105"/>
      <c r="AZ31" s="105"/>
      <c r="BA31" s="105"/>
      <c r="BB31" s="105"/>
      <c r="BC31" s="105"/>
    </row>
    <row r="32" spans="1:55" x14ac:dyDescent="0.15">
      <c r="A32" s="221">
        <v>284</v>
      </c>
      <c r="B32" s="98" t="e">
        <f>VLOOKUP($A32,#REF!,84,FALSE)</f>
        <v>#REF!</v>
      </c>
      <c r="C32" s="98" t="e">
        <f>VLOOKUP($A32,#REF!,85,FALSE)</f>
        <v>#REF!</v>
      </c>
      <c r="D32" s="98" t="e">
        <f>VLOOKUP($A32,#REF!,5,FALSE)</f>
        <v>#REF!</v>
      </c>
      <c r="E32" s="98" t="e">
        <f>VLOOKUP($A32,#REF!,6,FALSE)</f>
        <v>#REF!</v>
      </c>
      <c r="F32" s="105" t="e">
        <f>VLOOKUP($A32,#REF!,34,FALSE)</f>
        <v>#REF!</v>
      </c>
      <c r="G32" s="105" t="e">
        <f>VLOOKUP($A32,#REF!,29,FALSE)</f>
        <v>#REF!</v>
      </c>
      <c r="H32" s="105" t="e">
        <f>VLOOKUP(A32,#REF!,35,FALSE)+VLOOKUP(A32,#REF!,41,FALSE)</f>
        <v>#REF!</v>
      </c>
      <c r="I32" s="105" t="e">
        <f t="shared" si="5"/>
        <v>#REF!</v>
      </c>
      <c r="J32" s="105" t="e">
        <f>VLOOKUP(A32,#REF!,42,FALSE)</f>
        <v>#REF!</v>
      </c>
      <c r="K32" s="105" t="e">
        <f t="shared" si="6"/>
        <v>#REF!</v>
      </c>
      <c r="L32" s="164" t="e">
        <f t="shared" si="1"/>
        <v>#REF!</v>
      </c>
      <c r="M32" s="105" t="e">
        <f t="shared" si="7"/>
        <v>#REF!</v>
      </c>
      <c r="N32" s="105" t="e">
        <f>VLOOKUP(A32,#REF!,46,FALSE)</f>
        <v>#REF!</v>
      </c>
      <c r="O32" s="106" t="e">
        <f>VLOOKUP(A32,#REF!,9,FALSE)</f>
        <v>#REF!</v>
      </c>
      <c r="P32" s="114" t="e">
        <f>#REF!</f>
        <v>#REF!</v>
      </c>
      <c r="Q32" s="114" t="e">
        <f>VLOOKUP(A32,#REF!,12,FALSE)</f>
        <v>#REF!</v>
      </c>
      <c r="R32" s="120" t="e">
        <f>#REF!</f>
        <v>#REF!</v>
      </c>
      <c r="S32" s="106" t="e">
        <f>IF(Q32=0,#REF!,ROUND(Q32*R32,4))</f>
        <v>#REF!</v>
      </c>
      <c r="T32" s="121" t="e">
        <f>VLOOKUP($A32,#REF!,15,FALSE)</f>
        <v>#REF!</v>
      </c>
      <c r="U32" s="121" t="e">
        <f>VLOOKUP($A32,#REF!,19,FALSE)</f>
        <v>#REF!</v>
      </c>
      <c r="V32" s="109" t="e">
        <f t="shared" si="8"/>
        <v>#REF!</v>
      </c>
      <c r="W32" s="109" t="e">
        <f t="shared" si="9"/>
        <v>#REF!</v>
      </c>
      <c r="X32" s="105" t="e">
        <f t="shared" si="10"/>
        <v>#REF!</v>
      </c>
      <c r="Y32" s="113" t="e">
        <f t="shared" si="11"/>
        <v>#REF!</v>
      </c>
      <c r="Z32" s="109" t="e">
        <f t="shared" si="12"/>
        <v>#REF!</v>
      </c>
      <c r="AA32" s="113" t="e">
        <f t="shared" si="13"/>
        <v>#REF!</v>
      </c>
      <c r="AB32" s="109" t="e">
        <f t="shared" si="14"/>
        <v>#REF!</v>
      </c>
      <c r="AC32" s="113" t="e">
        <f t="shared" si="15"/>
        <v>#REF!</v>
      </c>
      <c r="AD32" s="105" t="e">
        <f t="shared" si="16"/>
        <v>#REF!</v>
      </c>
      <c r="AE32" s="105" t="e">
        <f t="shared" si="2"/>
        <v>#REF!</v>
      </c>
      <c r="AF32" s="105" t="e">
        <f t="shared" si="3"/>
        <v>#REF!</v>
      </c>
      <c r="AG32" s="105" t="e">
        <f t="shared" si="4"/>
        <v>#REF!</v>
      </c>
      <c r="AH32" s="111" t="e">
        <f>VLOOKUP($A32,#REF!,5,FALSE)</f>
        <v>#REF!</v>
      </c>
      <c r="AI32" s="111" t="e">
        <f>VLOOKUP($A32,#REF!,6,FALSE)</f>
        <v>#REF!</v>
      </c>
      <c r="AJ32" s="109" t="e">
        <f t="shared" si="17"/>
        <v>#REF!</v>
      </c>
      <c r="AK32" s="109" t="e">
        <f t="shared" si="18"/>
        <v>#REF!</v>
      </c>
      <c r="AL32" s="109"/>
      <c r="AM32" s="105"/>
      <c r="AN32" s="105"/>
      <c r="AO32" s="109"/>
      <c r="AP32" s="110"/>
      <c r="AQ32" s="110"/>
      <c r="AR32" s="110"/>
      <c r="AS32" s="110"/>
      <c r="AT32" s="110"/>
      <c r="AU32" s="112"/>
      <c r="AV32" s="112"/>
      <c r="AW32" s="110"/>
      <c r="AX32" s="105"/>
      <c r="AY32" s="105"/>
      <c r="AZ32" s="105"/>
      <c r="BA32" s="105"/>
      <c r="BB32" s="105"/>
      <c r="BC32" s="105"/>
    </row>
    <row r="33" spans="1:55" x14ac:dyDescent="0.15">
      <c r="A33" s="221">
        <v>240</v>
      </c>
      <c r="B33" s="98" t="e">
        <f>VLOOKUP($A33,#REF!,84,FALSE)</f>
        <v>#REF!</v>
      </c>
      <c r="C33" s="98" t="e">
        <f>VLOOKUP($A33,#REF!,85,FALSE)</f>
        <v>#REF!</v>
      </c>
      <c r="D33" s="98" t="e">
        <f>VLOOKUP($A33,#REF!,5,FALSE)</f>
        <v>#REF!</v>
      </c>
      <c r="E33" s="98" t="e">
        <f>VLOOKUP($A33,#REF!,6,FALSE)</f>
        <v>#REF!</v>
      </c>
      <c r="F33" s="105" t="e">
        <f>VLOOKUP($A33,#REF!,34,FALSE)</f>
        <v>#REF!</v>
      </c>
      <c r="G33" s="105" t="e">
        <f>VLOOKUP($A33,#REF!,29,FALSE)</f>
        <v>#REF!</v>
      </c>
      <c r="H33" s="105" t="e">
        <f>VLOOKUP(A33,#REF!,35,FALSE)+VLOOKUP(A33,#REF!,41,FALSE)</f>
        <v>#REF!</v>
      </c>
      <c r="I33" s="105" t="e">
        <f t="shared" si="5"/>
        <v>#REF!</v>
      </c>
      <c r="J33" s="105" t="e">
        <f>VLOOKUP(A33,#REF!,42,FALSE)</f>
        <v>#REF!</v>
      </c>
      <c r="K33" s="105" t="e">
        <f t="shared" si="6"/>
        <v>#REF!</v>
      </c>
      <c r="L33" s="164" t="e">
        <f t="shared" si="1"/>
        <v>#REF!</v>
      </c>
      <c r="M33" s="105" t="e">
        <f t="shared" si="7"/>
        <v>#REF!</v>
      </c>
      <c r="N33" s="105" t="e">
        <f>VLOOKUP(A33,#REF!,46,FALSE)</f>
        <v>#REF!</v>
      </c>
      <c r="O33" s="106" t="e">
        <f>VLOOKUP(A33,#REF!,9,FALSE)</f>
        <v>#REF!</v>
      </c>
      <c r="P33" s="114" t="e">
        <f>#REF!</f>
        <v>#REF!</v>
      </c>
      <c r="Q33" s="114" t="e">
        <f>VLOOKUP(A33,#REF!,12,FALSE)</f>
        <v>#REF!</v>
      </c>
      <c r="R33" s="120" t="e">
        <f>#REF!</f>
        <v>#REF!</v>
      </c>
      <c r="S33" s="106" t="e">
        <f>IF(Q33=0,#REF!,ROUND(Q33*R33,4))</f>
        <v>#REF!</v>
      </c>
      <c r="T33" s="121" t="e">
        <f>VLOOKUP($A33,#REF!,15,FALSE)</f>
        <v>#REF!</v>
      </c>
      <c r="U33" s="121" t="e">
        <f>VLOOKUP($A33,#REF!,19,FALSE)</f>
        <v>#REF!</v>
      </c>
      <c r="V33" s="109" t="e">
        <f t="shared" si="8"/>
        <v>#REF!</v>
      </c>
      <c r="W33" s="109" t="e">
        <f t="shared" si="9"/>
        <v>#REF!</v>
      </c>
      <c r="X33" s="105" t="e">
        <f t="shared" si="10"/>
        <v>#REF!</v>
      </c>
      <c r="Y33" s="113" t="e">
        <f t="shared" si="11"/>
        <v>#REF!</v>
      </c>
      <c r="Z33" s="109" t="e">
        <f t="shared" si="12"/>
        <v>#REF!</v>
      </c>
      <c r="AA33" s="113" t="e">
        <f t="shared" si="13"/>
        <v>#REF!</v>
      </c>
      <c r="AB33" s="109" t="e">
        <f t="shared" si="14"/>
        <v>#REF!</v>
      </c>
      <c r="AC33" s="113" t="e">
        <f t="shared" si="15"/>
        <v>#REF!</v>
      </c>
      <c r="AD33" s="105" t="e">
        <f t="shared" si="16"/>
        <v>#REF!</v>
      </c>
      <c r="AE33" s="105" t="e">
        <f t="shared" si="2"/>
        <v>#REF!</v>
      </c>
      <c r="AF33" s="105" t="e">
        <f t="shared" si="3"/>
        <v>#REF!</v>
      </c>
      <c r="AG33" s="105" t="e">
        <f t="shared" si="4"/>
        <v>#REF!</v>
      </c>
      <c r="AH33" s="111" t="e">
        <f>VLOOKUP($A33,#REF!,5,FALSE)</f>
        <v>#REF!</v>
      </c>
      <c r="AI33" s="111" t="e">
        <f>VLOOKUP($A33,#REF!,6,FALSE)</f>
        <v>#REF!</v>
      </c>
      <c r="AJ33" s="109" t="e">
        <f t="shared" si="17"/>
        <v>#REF!</v>
      </c>
      <c r="AK33" s="109" t="e">
        <f t="shared" si="18"/>
        <v>#REF!</v>
      </c>
      <c r="AL33" s="109"/>
      <c r="AM33" s="105"/>
      <c r="AN33" s="105"/>
      <c r="AO33" s="109"/>
      <c r="AP33" s="110"/>
      <c r="AQ33" s="110"/>
      <c r="AR33" s="110"/>
      <c r="AS33" s="110"/>
      <c r="AT33" s="110"/>
      <c r="AU33" s="112"/>
      <c r="AV33" s="112"/>
      <c r="AW33" s="110"/>
      <c r="AX33" s="105"/>
      <c r="AY33" s="105"/>
      <c r="AZ33" s="105"/>
      <c r="BA33" s="105"/>
      <c r="BB33" s="105"/>
      <c r="BC33" s="105"/>
    </row>
    <row r="34" spans="1:55" x14ac:dyDescent="0.15">
      <c r="A34" s="221">
        <v>154</v>
      </c>
      <c r="B34" s="98" t="e">
        <f>VLOOKUP($A34,#REF!,84,FALSE)</f>
        <v>#REF!</v>
      </c>
      <c r="C34" s="98" t="e">
        <f>VLOOKUP($A34,#REF!,85,FALSE)</f>
        <v>#REF!</v>
      </c>
      <c r="D34" s="98" t="e">
        <f>VLOOKUP($A34,#REF!,5,FALSE)</f>
        <v>#REF!</v>
      </c>
      <c r="E34" s="98" t="e">
        <f>VLOOKUP($A34,#REF!,6,FALSE)</f>
        <v>#REF!</v>
      </c>
      <c r="F34" s="105" t="e">
        <f>VLOOKUP($A34,#REF!,34,FALSE)</f>
        <v>#REF!</v>
      </c>
      <c r="G34" s="105" t="e">
        <f>VLOOKUP($A34,#REF!,29,FALSE)</f>
        <v>#REF!</v>
      </c>
      <c r="H34" s="105" t="e">
        <f>VLOOKUP(A34,#REF!,35,FALSE)+VLOOKUP(A34,#REF!,41,FALSE)</f>
        <v>#REF!</v>
      </c>
      <c r="I34" s="105" t="e">
        <f t="shared" si="5"/>
        <v>#REF!</v>
      </c>
      <c r="J34" s="105" t="e">
        <f>VLOOKUP(A34,#REF!,42,FALSE)</f>
        <v>#REF!</v>
      </c>
      <c r="K34" s="105" t="e">
        <f t="shared" si="6"/>
        <v>#REF!</v>
      </c>
      <c r="L34" s="164" t="e">
        <f t="shared" si="1"/>
        <v>#REF!</v>
      </c>
      <c r="M34" s="105" t="e">
        <f t="shared" si="7"/>
        <v>#REF!</v>
      </c>
      <c r="N34" s="105" t="e">
        <f>VLOOKUP(A34,#REF!,46,FALSE)</f>
        <v>#REF!</v>
      </c>
      <c r="O34" s="106" t="e">
        <f>VLOOKUP(A34,#REF!,9,FALSE)</f>
        <v>#REF!</v>
      </c>
      <c r="P34" s="114" t="e">
        <f>#REF!</f>
        <v>#REF!</v>
      </c>
      <c r="Q34" s="114" t="e">
        <f>VLOOKUP(A34,#REF!,12,FALSE)</f>
        <v>#REF!</v>
      </c>
      <c r="R34" s="120" t="e">
        <f>#REF!</f>
        <v>#REF!</v>
      </c>
      <c r="S34" s="106" t="e">
        <f>IF(Q34=0,#REF!,ROUND(Q34*R34,4))</f>
        <v>#REF!</v>
      </c>
      <c r="T34" s="121" t="e">
        <f>VLOOKUP($A34,#REF!,15,FALSE)</f>
        <v>#REF!</v>
      </c>
      <c r="U34" s="121" t="e">
        <f>VLOOKUP($A34,#REF!,19,FALSE)</f>
        <v>#REF!</v>
      </c>
      <c r="V34" s="109" t="e">
        <f t="shared" si="8"/>
        <v>#REF!</v>
      </c>
      <c r="W34" s="109" t="e">
        <f t="shared" si="9"/>
        <v>#REF!</v>
      </c>
      <c r="X34" s="105" t="e">
        <f t="shared" si="10"/>
        <v>#REF!</v>
      </c>
      <c r="Y34" s="113" t="e">
        <f t="shared" si="11"/>
        <v>#REF!</v>
      </c>
      <c r="Z34" s="109" t="e">
        <f t="shared" si="12"/>
        <v>#REF!</v>
      </c>
      <c r="AA34" s="113" t="e">
        <f t="shared" si="13"/>
        <v>#REF!</v>
      </c>
      <c r="AB34" s="109" t="e">
        <f t="shared" si="14"/>
        <v>#REF!</v>
      </c>
      <c r="AC34" s="113" t="e">
        <f t="shared" si="15"/>
        <v>#REF!</v>
      </c>
      <c r="AD34" s="105" t="e">
        <f t="shared" si="16"/>
        <v>#REF!</v>
      </c>
      <c r="AE34" s="105" t="e">
        <f t="shared" si="2"/>
        <v>#REF!</v>
      </c>
      <c r="AF34" s="105" t="e">
        <f t="shared" si="3"/>
        <v>#REF!</v>
      </c>
      <c r="AG34" s="105" t="e">
        <f t="shared" si="4"/>
        <v>#REF!</v>
      </c>
      <c r="AH34" s="111" t="e">
        <f>VLOOKUP($A34,#REF!,5,FALSE)</f>
        <v>#REF!</v>
      </c>
      <c r="AI34" s="111" t="e">
        <f>VLOOKUP($A34,#REF!,6,FALSE)</f>
        <v>#REF!</v>
      </c>
      <c r="AJ34" s="109" t="e">
        <f t="shared" si="17"/>
        <v>#REF!</v>
      </c>
      <c r="AK34" s="109" t="e">
        <f t="shared" si="18"/>
        <v>#REF!</v>
      </c>
      <c r="AL34" s="109"/>
      <c r="AM34" s="105"/>
      <c r="AN34" s="105"/>
      <c r="AO34" s="109"/>
      <c r="AP34" s="110"/>
      <c r="AQ34" s="110"/>
      <c r="AR34" s="110"/>
      <c r="AS34" s="110"/>
      <c r="AT34" s="110"/>
      <c r="AU34" s="112"/>
      <c r="AV34" s="112"/>
      <c r="AW34" s="110"/>
      <c r="AX34" s="105"/>
      <c r="AY34" s="105"/>
      <c r="AZ34" s="105"/>
      <c r="BA34" s="105"/>
      <c r="BB34" s="105"/>
      <c r="BC34" s="105"/>
    </row>
    <row r="35" spans="1:55" x14ac:dyDescent="0.15">
      <c r="A35" s="221">
        <v>358</v>
      </c>
      <c r="B35" s="98" t="e">
        <f>VLOOKUP($A35,#REF!,84,FALSE)</f>
        <v>#REF!</v>
      </c>
      <c r="C35" s="98" t="e">
        <f>VLOOKUP($A35,#REF!,85,FALSE)</f>
        <v>#REF!</v>
      </c>
      <c r="D35" s="98" t="e">
        <f>VLOOKUP($A35,#REF!,5,FALSE)</f>
        <v>#REF!</v>
      </c>
      <c r="E35" s="98" t="e">
        <f>VLOOKUP($A35,#REF!,6,FALSE)</f>
        <v>#REF!</v>
      </c>
      <c r="F35" s="105" t="e">
        <f>VLOOKUP($A35,#REF!,34,FALSE)</f>
        <v>#REF!</v>
      </c>
      <c r="G35" s="105" t="e">
        <f>VLOOKUP($A35,#REF!,29,FALSE)</f>
        <v>#REF!</v>
      </c>
      <c r="H35" s="105" t="e">
        <f>VLOOKUP(A35,#REF!,35,FALSE)+VLOOKUP(A35,#REF!,41,FALSE)</f>
        <v>#REF!</v>
      </c>
      <c r="I35" s="105" t="e">
        <f t="shared" si="5"/>
        <v>#REF!</v>
      </c>
      <c r="J35" s="105" t="e">
        <f>VLOOKUP(A35,#REF!,42,FALSE)</f>
        <v>#REF!</v>
      </c>
      <c r="K35" s="105" t="e">
        <f t="shared" si="6"/>
        <v>#REF!</v>
      </c>
      <c r="L35" s="164" t="e">
        <f t="shared" si="1"/>
        <v>#REF!</v>
      </c>
      <c r="M35" s="105" t="e">
        <f t="shared" si="7"/>
        <v>#REF!</v>
      </c>
      <c r="N35" s="105" t="e">
        <f>VLOOKUP(A35,#REF!,46,FALSE)</f>
        <v>#REF!</v>
      </c>
      <c r="O35" s="106" t="e">
        <f>VLOOKUP(A35,#REF!,9,FALSE)</f>
        <v>#REF!</v>
      </c>
      <c r="P35" s="114" t="e">
        <f>#REF!</f>
        <v>#REF!</v>
      </c>
      <c r="Q35" s="114" t="e">
        <f>VLOOKUP(A35,#REF!,12,FALSE)</f>
        <v>#REF!</v>
      </c>
      <c r="R35" s="120" t="e">
        <f>#REF!</f>
        <v>#REF!</v>
      </c>
      <c r="S35" s="106" t="e">
        <f>IF(Q35=0,#REF!,ROUND(Q35*R35,4))</f>
        <v>#REF!</v>
      </c>
      <c r="T35" s="121" t="e">
        <f>VLOOKUP($A35,#REF!,15,FALSE)</f>
        <v>#REF!</v>
      </c>
      <c r="U35" s="121" t="e">
        <f>VLOOKUP($A35,#REF!,19,FALSE)</f>
        <v>#REF!</v>
      </c>
      <c r="V35" s="109" t="e">
        <f t="shared" si="8"/>
        <v>#REF!</v>
      </c>
      <c r="W35" s="109" t="e">
        <f t="shared" si="9"/>
        <v>#REF!</v>
      </c>
      <c r="X35" s="105" t="e">
        <f t="shared" si="10"/>
        <v>#REF!</v>
      </c>
      <c r="Y35" s="113" t="e">
        <f t="shared" si="11"/>
        <v>#REF!</v>
      </c>
      <c r="Z35" s="109" t="e">
        <f t="shared" si="12"/>
        <v>#REF!</v>
      </c>
      <c r="AA35" s="113" t="e">
        <f t="shared" si="13"/>
        <v>#REF!</v>
      </c>
      <c r="AB35" s="109" t="e">
        <f t="shared" si="14"/>
        <v>#REF!</v>
      </c>
      <c r="AC35" s="113" t="e">
        <f t="shared" si="15"/>
        <v>#REF!</v>
      </c>
      <c r="AD35" s="105" t="e">
        <f t="shared" si="16"/>
        <v>#REF!</v>
      </c>
      <c r="AE35" s="105" t="e">
        <f t="shared" si="2"/>
        <v>#REF!</v>
      </c>
      <c r="AF35" s="105" t="e">
        <f t="shared" si="3"/>
        <v>#REF!</v>
      </c>
      <c r="AG35" s="105" t="e">
        <f t="shared" si="4"/>
        <v>#REF!</v>
      </c>
      <c r="AH35" s="111" t="e">
        <f>VLOOKUP($A35,#REF!,5,FALSE)</f>
        <v>#REF!</v>
      </c>
      <c r="AI35" s="111" t="e">
        <f>VLOOKUP($A35,#REF!,6,FALSE)</f>
        <v>#REF!</v>
      </c>
      <c r="AJ35" s="109" t="e">
        <f t="shared" si="17"/>
        <v>#REF!</v>
      </c>
      <c r="AK35" s="109" t="e">
        <f t="shared" si="18"/>
        <v>#REF!</v>
      </c>
      <c r="AL35" s="109"/>
      <c r="AM35" s="105"/>
      <c r="AN35" s="105"/>
      <c r="AO35" s="109"/>
      <c r="AP35" s="110"/>
      <c r="AQ35" s="110"/>
      <c r="AR35" s="110"/>
      <c r="AS35" s="110"/>
      <c r="AT35" s="110"/>
      <c r="AU35" s="112"/>
      <c r="AV35" s="112"/>
      <c r="AW35" s="110"/>
      <c r="AX35" s="105"/>
      <c r="AY35" s="105"/>
      <c r="AZ35" s="105"/>
      <c r="BA35" s="105"/>
      <c r="BB35" s="105"/>
      <c r="BC35" s="105"/>
    </row>
    <row r="36" spans="1:55" x14ac:dyDescent="0.15">
      <c r="A36" s="221">
        <v>134</v>
      </c>
      <c r="B36" s="98" t="e">
        <f>VLOOKUP($A36,#REF!,84,FALSE)</f>
        <v>#REF!</v>
      </c>
      <c r="C36" s="98" t="e">
        <f>VLOOKUP($A36,#REF!,85,FALSE)</f>
        <v>#REF!</v>
      </c>
      <c r="D36" s="98" t="e">
        <f>VLOOKUP($A36,#REF!,5,FALSE)</f>
        <v>#REF!</v>
      </c>
      <c r="E36" s="98" t="e">
        <f>VLOOKUP($A36,#REF!,6,FALSE)</f>
        <v>#REF!</v>
      </c>
      <c r="F36" s="105" t="e">
        <f>VLOOKUP($A36,#REF!,34,FALSE)</f>
        <v>#REF!</v>
      </c>
      <c r="G36" s="105" t="e">
        <f>VLOOKUP($A36,#REF!,29,FALSE)</f>
        <v>#REF!</v>
      </c>
      <c r="H36" s="105" t="e">
        <f>VLOOKUP(A36,#REF!,35,FALSE)+VLOOKUP(A36,#REF!,41,FALSE)</f>
        <v>#REF!</v>
      </c>
      <c r="I36" s="105" t="e">
        <f t="shared" si="5"/>
        <v>#REF!</v>
      </c>
      <c r="J36" s="105" t="e">
        <f>VLOOKUP(A36,#REF!,42,FALSE)</f>
        <v>#REF!</v>
      </c>
      <c r="K36" s="105" t="e">
        <f t="shared" si="6"/>
        <v>#REF!</v>
      </c>
      <c r="L36" s="164" t="e">
        <f t="shared" si="1"/>
        <v>#REF!</v>
      </c>
      <c r="M36" s="105" t="e">
        <f t="shared" si="7"/>
        <v>#REF!</v>
      </c>
      <c r="N36" s="105" t="e">
        <f>VLOOKUP(A36,#REF!,46,FALSE)</f>
        <v>#REF!</v>
      </c>
      <c r="O36" s="106" t="e">
        <f>VLOOKUP(A36,#REF!,9,FALSE)</f>
        <v>#REF!</v>
      </c>
      <c r="P36" s="114" t="e">
        <f>#REF!</f>
        <v>#REF!</v>
      </c>
      <c r="Q36" s="114" t="e">
        <f>VLOOKUP(A36,#REF!,12,FALSE)</f>
        <v>#REF!</v>
      </c>
      <c r="R36" s="120" t="e">
        <f>#REF!</f>
        <v>#REF!</v>
      </c>
      <c r="S36" s="106" t="e">
        <f>IF(Q36=0,#REF!,ROUND(Q36*R36,4))</f>
        <v>#REF!</v>
      </c>
      <c r="T36" s="121" t="e">
        <f>VLOOKUP($A36,#REF!,15,FALSE)</f>
        <v>#REF!</v>
      </c>
      <c r="U36" s="121" t="e">
        <f>VLOOKUP($A36,#REF!,19,FALSE)</f>
        <v>#REF!</v>
      </c>
      <c r="V36" s="109" t="e">
        <f t="shared" si="8"/>
        <v>#REF!</v>
      </c>
      <c r="W36" s="109" t="e">
        <f t="shared" si="9"/>
        <v>#REF!</v>
      </c>
      <c r="X36" s="105" t="e">
        <f t="shared" si="10"/>
        <v>#REF!</v>
      </c>
      <c r="Y36" s="113" t="e">
        <f t="shared" si="11"/>
        <v>#REF!</v>
      </c>
      <c r="Z36" s="109" t="e">
        <f t="shared" si="12"/>
        <v>#REF!</v>
      </c>
      <c r="AA36" s="113" t="e">
        <f t="shared" si="13"/>
        <v>#REF!</v>
      </c>
      <c r="AB36" s="109" t="e">
        <f t="shared" si="14"/>
        <v>#REF!</v>
      </c>
      <c r="AC36" s="113" t="e">
        <f t="shared" si="15"/>
        <v>#REF!</v>
      </c>
      <c r="AD36" s="105" t="e">
        <f t="shared" si="16"/>
        <v>#REF!</v>
      </c>
      <c r="AE36" s="105" t="e">
        <f t="shared" si="2"/>
        <v>#REF!</v>
      </c>
      <c r="AF36" s="105" t="e">
        <f t="shared" si="3"/>
        <v>#REF!</v>
      </c>
      <c r="AG36" s="105" t="e">
        <f t="shared" si="4"/>
        <v>#REF!</v>
      </c>
      <c r="AH36" s="111" t="e">
        <f>VLOOKUP($A36,#REF!,5,FALSE)</f>
        <v>#REF!</v>
      </c>
      <c r="AI36" s="111" t="e">
        <f>VLOOKUP($A36,#REF!,6,FALSE)</f>
        <v>#REF!</v>
      </c>
      <c r="AJ36" s="109" t="e">
        <f t="shared" si="17"/>
        <v>#REF!</v>
      </c>
      <c r="AK36" s="109" t="e">
        <f t="shared" si="18"/>
        <v>#REF!</v>
      </c>
      <c r="AL36" s="109"/>
      <c r="AM36" s="105"/>
      <c r="AN36" s="105"/>
      <c r="AO36" s="109"/>
      <c r="AP36" s="110"/>
      <c r="AQ36" s="110"/>
      <c r="AR36" s="110"/>
      <c r="AS36" s="110"/>
      <c r="AT36" s="110"/>
      <c r="AU36" s="112"/>
      <c r="AV36" s="112"/>
      <c r="AW36" s="110"/>
      <c r="AX36" s="105"/>
      <c r="AY36" s="105"/>
      <c r="AZ36" s="105"/>
      <c r="BA36" s="105"/>
      <c r="BB36" s="105"/>
      <c r="BC36" s="105"/>
    </row>
    <row r="37" spans="1:55" x14ac:dyDescent="0.15">
      <c r="A37" s="221">
        <v>695</v>
      </c>
      <c r="B37" s="98" t="e">
        <f>VLOOKUP($A37,#REF!,84,FALSE)</f>
        <v>#REF!</v>
      </c>
      <c r="C37" s="98" t="e">
        <f>VLOOKUP($A37,#REF!,85,FALSE)</f>
        <v>#REF!</v>
      </c>
      <c r="D37" s="98" t="e">
        <f>VLOOKUP($A37,#REF!,5,FALSE)</f>
        <v>#REF!</v>
      </c>
      <c r="E37" s="98" t="e">
        <f>VLOOKUP($A37,#REF!,6,FALSE)</f>
        <v>#REF!</v>
      </c>
      <c r="F37" s="105" t="e">
        <f>VLOOKUP($A37,#REF!,34,FALSE)</f>
        <v>#REF!</v>
      </c>
      <c r="G37" s="105" t="e">
        <f>VLOOKUP($A37,#REF!,29,FALSE)</f>
        <v>#REF!</v>
      </c>
      <c r="H37" s="105" t="e">
        <f>VLOOKUP(A37,#REF!,35,FALSE)+VLOOKUP(A37,#REF!,41,FALSE)</f>
        <v>#REF!</v>
      </c>
      <c r="I37" s="105" t="e">
        <f t="shared" si="5"/>
        <v>#REF!</v>
      </c>
      <c r="J37" s="105" t="e">
        <f>VLOOKUP(A37,#REF!,42,FALSE)</f>
        <v>#REF!</v>
      </c>
      <c r="K37" s="105" t="e">
        <f t="shared" si="6"/>
        <v>#REF!</v>
      </c>
      <c r="L37" s="164" t="e">
        <f t="shared" si="1"/>
        <v>#REF!</v>
      </c>
      <c r="M37" s="105" t="e">
        <f t="shared" si="7"/>
        <v>#REF!</v>
      </c>
      <c r="N37" s="105" t="e">
        <f>VLOOKUP(A37,#REF!,46,FALSE)</f>
        <v>#REF!</v>
      </c>
      <c r="O37" s="106" t="e">
        <f>VLOOKUP(A37,#REF!,9,FALSE)</f>
        <v>#REF!</v>
      </c>
      <c r="P37" s="114" t="e">
        <f>#REF!</f>
        <v>#REF!</v>
      </c>
      <c r="Q37" s="114" t="e">
        <f>VLOOKUP(A37,#REF!,12,FALSE)</f>
        <v>#REF!</v>
      </c>
      <c r="R37" s="120" t="e">
        <f>#REF!</f>
        <v>#REF!</v>
      </c>
      <c r="S37" s="106" t="e">
        <f>IF(Q37=0,#REF!,ROUND(Q37*R37,4))</f>
        <v>#REF!</v>
      </c>
      <c r="T37" s="121" t="e">
        <f>VLOOKUP($A37,#REF!,15,FALSE)</f>
        <v>#REF!</v>
      </c>
      <c r="U37" s="121" t="e">
        <f>VLOOKUP($A37,#REF!,19,FALSE)</f>
        <v>#REF!</v>
      </c>
      <c r="V37" s="109" t="e">
        <f t="shared" si="8"/>
        <v>#REF!</v>
      </c>
      <c r="W37" s="109" t="e">
        <f t="shared" si="9"/>
        <v>#REF!</v>
      </c>
      <c r="X37" s="105" t="e">
        <f t="shared" si="10"/>
        <v>#REF!</v>
      </c>
      <c r="Y37" s="113" t="e">
        <f t="shared" si="11"/>
        <v>#REF!</v>
      </c>
      <c r="Z37" s="109" t="e">
        <f t="shared" si="12"/>
        <v>#REF!</v>
      </c>
      <c r="AA37" s="113" t="e">
        <f t="shared" si="13"/>
        <v>#REF!</v>
      </c>
      <c r="AB37" s="109" t="e">
        <f t="shared" si="14"/>
        <v>#REF!</v>
      </c>
      <c r="AC37" s="113" t="e">
        <f t="shared" si="15"/>
        <v>#REF!</v>
      </c>
      <c r="AD37" s="105" t="e">
        <f t="shared" si="16"/>
        <v>#REF!</v>
      </c>
      <c r="AE37" s="105" t="e">
        <f t="shared" si="2"/>
        <v>#REF!</v>
      </c>
      <c r="AF37" s="105" t="e">
        <f t="shared" si="3"/>
        <v>#REF!</v>
      </c>
      <c r="AG37" s="105" t="e">
        <f t="shared" si="4"/>
        <v>#REF!</v>
      </c>
      <c r="AH37" s="111" t="e">
        <f>VLOOKUP($A37,#REF!,5,FALSE)</f>
        <v>#REF!</v>
      </c>
      <c r="AI37" s="111" t="e">
        <f>VLOOKUP($A37,#REF!,6,FALSE)</f>
        <v>#REF!</v>
      </c>
      <c r="AJ37" s="109" t="e">
        <f t="shared" si="17"/>
        <v>#REF!</v>
      </c>
      <c r="AK37" s="109" t="e">
        <f t="shared" si="18"/>
        <v>#REF!</v>
      </c>
      <c r="AL37" s="109"/>
      <c r="AM37" s="105"/>
      <c r="AN37" s="105"/>
      <c r="AO37" s="109"/>
      <c r="AP37" s="110"/>
      <c r="AQ37" s="110"/>
      <c r="AR37" s="110"/>
      <c r="AS37" s="110"/>
      <c r="AT37" s="110"/>
      <c r="AU37" s="112"/>
      <c r="AV37" s="112"/>
      <c r="AW37" s="110"/>
      <c r="AX37" s="105"/>
      <c r="AY37" s="105"/>
      <c r="AZ37" s="105"/>
      <c r="BA37" s="105"/>
      <c r="BB37" s="105"/>
      <c r="BC37" s="105"/>
    </row>
    <row r="38" spans="1:55" x14ac:dyDescent="0.15">
      <c r="A38" s="221">
        <v>362</v>
      </c>
      <c r="B38" s="98" t="e">
        <f>VLOOKUP($A38,#REF!,84,FALSE)</f>
        <v>#REF!</v>
      </c>
      <c r="C38" s="98" t="e">
        <f>VLOOKUP($A38,#REF!,85,FALSE)</f>
        <v>#REF!</v>
      </c>
      <c r="D38" s="98" t="e">
        <f>VLOOKUP($A38,#REF!,5,FALSE)</f>
        <v>#REF!</v>
      </c>
      <c r="E38" s="98" t="e">
        <f>VLOOKUP($A38,#REF!,6,FALSE)</f>
        <v>#REF!</v>
      </c>
      <c r="F38" s="105" t="e">
        <f>VLOOKUP($A38,#REF!,34,FALSE)</f>
        <v>#REF!</v>
      </c>
      <c r="G38" s="105" t="e">
        <f>VLOOKUP($A38,#REF!,29,FALSE)</f>
        <v>#REF!</v>
      </c>
      <c r="H38" s="105" t="e">
        <f>VLOOKUP(A38,#REF!,35,FALSE)+VLOOKUP(A38,#REF!,41,FALSE)</f>
        <v>#REF!</v>
      </c>
      <c r="I38" s="105" t="e">
        <f t="shared" si="5"/>
        <v>#REF!</v>
      </c>
      <c r="J38" s="105" t="e">
        <f>VLOOKUP(A38,#REF!,42,FALSE)</f>
        <v>#REF!</v>
      </c>
      <c r="K38" s="105" t="e">
        <f t="shared" si="6"/>
        <v>#REF!</v>
      </c>
      <c r="L38" s="164" t="e">
        <f t="shared" si="1"/>
        <v>#REF!</v>
      </c>
      <c r="M38" s="105" t="e">
        <f t="shared" si="7"/>
        <v>#REF!</v>
      </c>
      <c r="N38" s="105" t="e">
        <f>VLOOKUP(A38,#REF!,46,FALSE)</f>
        <v>#REF!</v>
      </c>
      <c r="O38" s="106" t="e">
        <f>VLOOKUP(A38,#REF!,9,FALSE)</f>
        <v>#REF!</v>
      </c>
      <c r="P38" s="114" t="e">
        <f>#REF!</f>
        <v>#REF!</v>
      </c>
      <c r="Q38" s="114" t="e">
        <f>VLOOKUP(A38,#REF!,12,FALSE)</f>
        <v>#REF!</v>
      </c>
      <c r="R38" s="120" t="e">
        <f>#REF!</f>
        <v>#REF!</v>
      </c>
      <c r="S38" s="106" t="e">
        <f>IF(Q38=0,#REF!,ROUND(Q38*R38,4))</f>
        <v>#REF!</v>
      </c>
      <c r="T38" s="121" t="e">
        <f>VLOOKUP($A38,#REF!,15,FALSE)</f>
        <v>#REF!</v>
      </c>
      <c r="U38" s="121" t="e">
        <f>VLOOKUP($A38,#REF!,19,FALSE)</f>
        <v>#REF!</v>
      </c>
      <c r="V38" s="109" t="e">
        <f t="shared" si="8"/>
        <v>#REF!</v>
      </c>
      <c r="W38" s="109" t="e">
        <f t="shared" si="9"/>
        <v>#REF!</v>
      </c>
      <c r="X38" s="105" t="e">
        <f t="shared" si="10"/>
        <v>#REF!</v>
      </c>
      <c r="Y38" s="113" t="e">
        <f t="shared" si="11"/>
        <v>#REF!</v>
      </c>
      <c r="Z38" s="109" t="e">
        <f t="shared" si="12"/>
        <v>#REF!</v>
      </c>
      <c r="AA38" s="113" t="e">
        <f t="shared" si="13"/>
        <v>#REF!</v>
      </c>
      <c r="AB38" s="109" t="e">
        <f t="shared" si="14"/>
        <v>#REF!</v>
      </c>
      <c r="AC38" s="113" t="e">
        <f t="shared" si="15"/>
        <v>#REF!</v>
      </c>
      <c r="AD38" s="105" t="e">
        <f t="shared" si="16"/>
        <v>#REF!</v>
      </c>
      <c r="AE38" s="105" t="e">
        <f t="shared" si="2"/>
        <v>#REF!</v>
      </c>
      <c r="AF38" s="105" t="e">
        <f t="shared" si="3"/>
        <v>#REF!</v>
      </c>
      <c r="AG38" s="105" t="e">
        <f t="shared" si="4"/>
        <v>#REF!</v>
      </c>
      <c r="AH38" s="111" t="e">
        <f>VLOOKUP($A38,#REF!,5,FALSE)</f>
        <v>#REF!</v>
      </c>
      <c r="AI38" s="111" t="e">
        <f>VLOOKUP($A38,#REF!,6,FALSE)</f>
        <v>#REF!</v>
      </c>
      <c r="AJ38" s="109" t="e">
        <f t="shared" si="17"/>
        <v>#REF!</v>
      </c>
      <c r="AK38" s="109" t="e">
        <f t="shared" si="18"/>
        <v>#REF!</v>
      </c>
      <c r="AL38" s="109"/>
      <c r="AM38" s="105"/>
      <c r="AN38" s="105"/>
      <c r="AO38" s="109"/>
      <c r="AP38" s="110"/>
      <c r="AQ38" s="110"/>
      <c r="AR38" s="110"/>
      <c r="AS38" s="110"/>
      <c r="AT38" s="110"/>
      <c r="AU38" s="112"/>
      <c r="AV38" s="112"/>
      <c r="AW38" s="110"/>
      <c r="AX38" s="105"/>
      <c r="AY38" s="105"/>
      <c r="AZ38" s="105"/>
      <c r="BA38" s="105"/>
      <c r="BB38" s="105"/>
      <c r="BC38" s="105"/>
    </row>
    <row r="39" spans="1:55" x14ac:dyDescent="0.15">
      <c r="A39" s="221">
        <v>390</v>
      </c>
      <c r="B39" s="98" t="e">
        <f>VLOOKUP($A39,#REF!,84,FALSE)</f>
        <v>#REF!</v>
      </c>
      <c r="C39" s="98" t="e">
        <f>VLOOKUP($A39,#REF!,85,FALSE)</f>
        <v>#REF!</v>
      </c>
      <c r="D39" s="98" t="e">
        <f>VLOOKUP($A39,#REF!,5,FALSE)</f>
        <v>#REF!</v>
      </c>
      <c r="E39" s="98" t="e">
        <f>VLOOKUP($A39,#REF!,6,FALSE)</f>
        <v>#REF!</v>
      </c>
      <c r="F39" s="105" t="e">
        <f>VLOOKUP($A39,#REF!,34,FALSE)</f>
        <v>#REF!</v>
      </c>
      <c r="G39" s="105" t="e">
        <f>VLOOKUP($A39,#REF!,29,FALSE)</f>
        <v>#REF!</v>
      </c>
      <c r="H39" s="105" t="e">
        <f>VLOOKUP(A39,#REF!,35,FALSE)+VLOOKUP(A39,#REF!,41,FALSE)</f>
        <v>#REF!</v>
      </c>
      <c r="I39" s="105" t="e">
        <f t="shared" si="5"/>
        <v>#REF!</v>
      </c>
      <c r="J39" s="105" t="e">
        <f>VLOOKUP(A39,#REF!,42,FALSE)</f>
        <v>#REF!</v>
      </c>
      <c r="K39" s="105" t="e">
        <f t="shared" si="6"/>
        <v>#REF!</v>
      </c>
      <c r="L39" s="164" t="e">
        <f t="shared" si="1"/>
        <v>#REF!</v>
      </c>
      <c r="M39" s="105" t="e">
        <f t="shared" si="7"/>
        <v>#REF!</v>
      </c>
      <c r="N39" s="105" t="e">
        <f>VLOOKUP(A39,#REF!,46,FALSE)</f>
        <v>#REF!</v>
      </c>
      <c r="O39" s="106" t="e">
        <f>VLOOKUP(A39,#REF!,9,FALSE)</f>
        <v>#REF!</v>
      </c>
      <c r="P39" s="114" t="e">
        <f>#REF!</f>
        <v>#REF!</v>
      </c>
      <c r="Q39" s="114" t="e">
        <f>VLOOKUP(A39,#REF!,12,FALSE)</f>
        <v>#REF!</v>
      </c>
      <c r="R39" s="120" t="e">
        <f>#REF!</f>
        <v>#REF!</v>
      </c>
      <c r="S39" s="106" t="e">
        <f>IF(Q39=0,#REF!,ROUND(Q39*R39,4))</f>
        <v>#REF!</v>
      </c>
      <c r="T39" s="121" t="e">
        <f>VLOOKUP($A39,#REF!,15,FALSE)</f>
        <v>#REF!</v>
      </c>
      <c r="U39" s="121" t="e">
        <f>VLOOKUP($A39,#REF!,19,FALSE)</f>
        <v>#REF!</v>
      </c>
      <c r="V39" s="109" t="e">
        <f t="shared" si="8"/>
        <v>#REF!</v>
      </c>
      <c r="W39" s="109" t="e">
        <f t="shared" si="9"/>
        <v>#REF!</v>
      </c>
      <c r="X39" s="105" t="e">
        <f t="shared" si="10"/>
        <v>#REF!</v>
      </c>
      <c r="Y39" s="113" t="e">
        <f t="shared" si="11"/>
        <v>#REF!</v>
      </c>
      <c r="Z39" s="109" t="e">
        <f t="shared" si="12"/>
        <v>#REF!</v>
      </c>
      <c r="AA39" s="113" t="e">
        <f t="shared" si="13"/>
        <v>#REF!</v>
      </c>
      <c r="AB39" s="109" t="e">
        <f t="shared" si="14"/>
        <v>#REF!</v>
      </c>
      <c r="AC39" s="113" t="e">
        <f t="shared" si="15"/>
        <v>#REF!</v>
      </c>
      <c r="AD39" s="105" t="e">
        <f t="shared" si="16"/>
        <v>#REF!</v>
      </c>
      <c r="AE39" s="105" t="e">
        <f t="shared" si="2"/>
        <v>#REF!</v>
      </c>
      <c r="AF39" s="105" t="e">
        <f t="shared" si="3"/>
        <v>#REF!</v>
      </c>
      <c r="AG39" s="105" t="e">
        <f t="shared" si="4"/>
        <v>#REF!</v>
      </c>
      <c r="AH39" s="111" t="e">
        <f>VLOOKUP($A39,#REF!,5,FALSE)</f>
        <v>#REF!</v>
      </c>
      <c r="AI39" s="111" t="e">
        <f>VLOOKUP($A39,#REF!,6,FALSE)</f>
        <v>#REF!</v>
      </c>
      <c r="AJ39" s="109" t="e">
        <f t="shared" si="17"/>
        <v>#REF!</v>
      </c>
      <c r="AK39" s="109" t="e">
        <f t="shared" si="18"/>
        <v>#REF!</v>
      </c>
      <c r="AL39" s="109"/>
      <c r="AM39" s="105"/>
      <c r="AN39" s="105"/>
      <c r="AO39" s="109"/>
      <c r="AP39" s="110"/>
      <c r="AQ39" s="110"/>
      <c r="AR39" s="110"/>
      <c r="AS39" s="110"/>
      <c r="AT39" s="110"/>
      <c r="AU39" s="112"/>
      <c r="AV39" s="112"/>
      <c r="AW39" s="110"/>
      <c r="AX39" s="105"/>
      <c r="AY39" s="105"/>
      <c r="AZ39" s="105"/>
      <c r="BA39" s="105"/>
      <c r="BB39" s="105"/>
      <c r="BC39" s="105"/>
    </row>
    <row r="40" spans="1:55" x14ac:dyDescent="0.15">
      <c r="A40" s="221">
        <v>384</v>
      </c>
      <c r="B40" s="98" t="e">
        <f>VLOOKUP($A40,#REF!,84,FALSE)</f>
        <v>#REF!</v>
      </c>
      <c r="C40" s="98" t="e">
        <f>VLOOKUP($A40,#REF!,85,FALSE)</f>
        <v>#REF!</v>
      </c>
      <c r="D40" s="98" t="e">
        <f>VLOOKUP($A40,#REF!,5,FALSE)</f>
        <v>#REF!</v>
      </c>
      <c r="E40" s="98" t="e">
        <f>VLOOKUP($A40,#REF!,6,FALSE)</f>
        <v>#REF!</v>
      </c>
      <c r="F40" s="105" t="e">
        <f>VLOOKUP($A40,#REF!,34,FALSE)</f>
        <v>#REF!</v>
      </c>
      <c r="G40" s="105" t="e">
        <f>VLOOKUP($A40,#REF!,29,FALSE)</f>
        <v>#REF!</v>
      </c>
      <c r="H40" s="105" t="e">
        <f>VLOOKUP(A40,#REF!,35,FALSE)+VLOOKUP(A40,#REF!,41,FALSE)</f>
        <v>#REF!</v>
      </c>
      <c r="I40" s="105" t="e">
        <f t="shared" si="5"/>
        <v>#REF!</v>
      </c>
      <c r="J40" s="105" t="e">
        <f>VLOOKUP(A40,#REF!,42,FALSE)</f>
        <v>#REF!</v>
      </c>
      <c r="K40" s="105" t="e">
        <f t="shared" si="6"/>
        <v>#REF!</v>
      </c>
      <c r="L40" s="164" t="e">
        <f t="shared" si="1"/>
        <v>#REF!</v>
      </c>
      <c r="M40" s="105" t="e">
        <f t="shared" si="7"/>
        <v>#REF!</v>
      </c>
      <c r="N40" s="105" t="e">
        <f>VLOOKUP(A40,#REF!,46,FALSE)</f>
        <v>#REF!</v>
      </c>
      <c r="O40" s="106" t="e">
        <f>VLOOKUP(A40,#REF!,9,FALSE)</f>
        <v>#REF!</v>
      </c>
      <c r="P40" s="114" t="e">
        <f>#REF!</f>
        <v>#REF!</v>
      </c>
      <c r="Q40" s="114" t="e">
        <f>VLOOKUP(A40,#REF!,12,FALSE)</f>
        <v>#REF!</v>
      </c>
      <c r="R40" s="120" t="e">
        <f>#REF!</f>
        <v>#REF!</v>
      </c>
      <c r="S40" s="106" t="e">
        <f>IF(Q40=0,#REF!,ROUND(Q40*R40,4))</f>
        <v>#REF!</v>
      </c>
      <c r="T40" s="121" t="e">
        <f>VLOOKUP($A40,#REF!,15,FALSE)</f>
        <v>#REF!</v>
      </c>
      <c r="U40" s="121" t="e">
        <f>VLOOKUP($A40,#REF!,19,FALSE)</f>
        <v>#REF!</v>
      </c>
      <c r="V40" s="109" t="e">
        <f t="shared" si="8"/>
        <v>#REF!</v>
      </c>
      <c r="W40" s="109" t="e">
        <f t="shared" si="9"/>
        <v>#REF!</v>
      </c>
      <c r="X40" s="105" t="e">
        <f t="shared" si="10"/>
        <v>#REF!</v>
      </c>
      <c r="Y40" s="113" t="e">
        <f t="shared" si="11"/>
        <v>#REF!</v>
      </c>
      <c r="Z40" s="109" t="e">
        <f t="shared" si="12"/>
        <v>#REF!</v>
      </c>
      <c r="AA40" s="113" t="e">
        <f t="shared" si="13"/>
        <v>#REF!</v>
      </c>
      <c r="AB40" s="109" t="e">
        <f t="shared" si="14"/>
        <v>#REF!</v>
      </c>
      <c r="AC40" s="113" t="e">
        <f t="shared" si="15"/>
        <v>#REF!</v>
      </c>
      <c r="AD40" s="105" t="e">
        <f t="shared" si="16"/>
        <v>#REF!</v>
      </c>
      <c r="AE40" s="105" t="e">
        <f t="shared" si="2"/>
        <v>#REF!</v>
      </c>
      <c r="AF40" s="105" t="e">
        <f t="shared" si="3"/>
        <v>#REF!</v>
      </c>
      <c r="AG40" s="105" t="e">
        <f t="shared" si="4"/>
        <v>#REF!</v>
      </c>
      <c r="AH40" s="111" t="e">
        <f>VLOOKUP($A40,#REF!,5,FALSE)</f>
        <v>#REF!</v>
      </c>
      <c r="AI40" s="111" t="e">
        <f>VLOOKUP($A40,#REF!,6,FALSE)</f>
        <v>#REF!</v>
      </c>
      <c r="AJ40" s="109" t="e">
        <f t="shared" si="17"/>
        <v>#REF!</v>
      </c>
      <c r="AK40" s="109" t="e">
        <f t="shared" si="18"/>
        <v>#REF!</v>
      </c>
      <c r="AL40" s="109"/>
      <c r="AM40" s="105"/>
      <c r="AN40" s="105"/>
      <c r="AO40" s="109"/>
      <c r="AP40" s="110"/>
      <c r="AQ40" s="110"/>
      <c r="AR40" s="110"/>
      <c r="AS40" s="110"/>
      <c r="AT40" s="110"/>
      <c r="AU40" s="112"/>
      <c r="AV40" s="112"/>
      <c r="AW40" s="110"/>
      <c r="AX40" s="105"/>
      <c r="AY40" s="105"/>
      <c r="AZ40" s="105"/>
      <c r="BA40" s="105"/>
      <c r="BB40" s="105"/>
      <c r="BC40" s="105"/>
    </row>
    <row r="41" spans="1:55" x14ac:dyDescent="0.15">
      <c r="A41" s="221">
        <v>314</v>
      </c>
      <c r="B41" s="98" t="e">
        <f>VLOOKUP($A41,#REF!,84,FALSE)</f>
        <v>#REF!</v>
      </c>
      <c r="C41" s="98" t="e">
        <f>VLOOKUP($A41,#REF!,85,FALSE)</f>
        <v>#REF!</v>
      </c>
      <c r="D41" s="98" t="e">
        <f>VLOOKUP($A41,#REF!,5,FALSE)</f>
        <v>#REF!</v>
      </c>
      <c r="E41" s="98" t="e">
        <f>VLOOKUP($A41,#REF!,6,FALSE)</f>
        <v>#REF!</v>
      </c>
      <c r="F41" s="105" t="e">
        <f>VLOOKUP($A41,#REF!,34,FALSE)</f>
        <v>#REF!</v>
      </c>
      <c r="G41" s="105" t="e">
        <f>VLOOKUP($A41,#REF!,29,FALSE)</f>
        <v>#REF!</v>
      </c>
      <c r="H41" s="105" t="e">
        <f>VLOOKUP(A41,#REF!,35,FALSE)+VLOOKUP(A41,#REF!,41,FALSE)</f>
        <v>#REF!</v>
      </c>
      <c r="I41" s="105" t="e">
        <f t="shared" si="5"/>
        <v>#REF!</v>
      </c>
      <c r="J41" s="105" t="e">
        <f>VLOOKUP(A41,#REF!,42,FALSE)</f>
        <v>#REF!</v>
      </c>
      <c r="K41" s="105" t="e">
        <f t="shared" si="6"/>
        <v>#REF!</v>
      </c>
      <c r="L41" s="164" t="e">
        <f t="shared" si="1"/>
        <v>#REF!</v>
      </c>
      <c r="M41" s="105" t="e">
        <f t="shared" si="7"/>
        <v>#REF!</v>
      </c>
      <c r="N41" s="105" t="e">
        <f>VLOOKUP(A41,#REF!,46,FALSE)</f>
        <v>#REF!</v>
      </c>
      <c r="O41" s="106" t="e">
        <f>VLOOKUP(A41,#REF!,9,FALSE)</f>
        <v>#REF!</v>
      </c>
      <c r="P41" s="114" t="e">
        <f>#REF!</f>
        <v>#REF!</v>
      </c>
      <c r="Q41" s="114" t="e">
        <f>VLOOKUP(A41,#REF!,12,FALSE)</f>
        <v>#REF!</v>
      </c>
      <c r="R41" s="120" t="e">
        <f>#REF!</f>
        <v>#REF!</v>
      </c>
      <c r="S41" s="106" t="e">
        <f>IF(Q41=0,#REF!,ROUND(Q41*R41,4))</f>
        <v>#REF!</v>
      </c>
      <c r="T41" s="121" t="e">
        <f>VLOOKUP($A41,#REF!,15,FALSE)</f>
        <v>#REF!</v>
      </c>
      <c r="U41" s="121" t="e">
        <f>VLOOKUP($A41,#REF!,19,FALSE)</f>
        <v>#REF!</v>
      </c>
      <c r="V41" s="109" t="e">
        <f t="shared" si="8"/>
        <v>#REF!</v>
      </c>
      <c r="W41" s="109" t="e">
        <f t="shared" si="9"/>
        <v>#REF!</v>
      </c>
      <c r="X41" s="105" t="e">
        <f t="shared" si="10"/>
        <v>#REF!</v>
      </c>
      <c r="Y41" s="113" t="e">
        <f t="shared" si="11"/>
        <v>#REF!</v>
      </c>
      <c r="Z41" s="109" t="e">
        <f t="shared" si="12"/>
        <v>#REF!</v>
      </c>
      <c r="AA41" s="113" t="e">
        <f t="shared" si="13"/>
        <v>#REF!</v>
      </c>
      <c r="AB41" s="109" t="e">
        <f t="shared" si="14"/>
        <v>#REF!</v>
      </c>
      <c r="AC41" s="113" t="e">
        <f t="shared" si="15"/>
        <v>#REF!</v>
      </c>
      <c r="AD41" s="105" t="e">
        <f t="shared" si="16"/>
        <v>#REF!</v>
      </c>
      <c r="AE41" s="105" t="e">
        <f t="shared" si="2"/>
        <v>#REF!</v>
      </c>
      <c r="AF41" s="105" t="e">
        <f t="shared" si="3"/>
        <v>#REF!</v>
      </c>
      <c r="AG41" s="105" t="e">
        <f t="shared" si="4"/>
        <v>#REF!</v>
      </c>
      <c r="AH41" s="111" t="e">
        <f>VLOOKUP($A41,#REF!,5,FALSE)</f>
        <v>#REF!</v>
      </c>
      <c r="AI41" s="111" t="e">
        <f>VLOOKUP($A41,#REF!,6,FALSE)</f>
        <v>#REF!</v>
      </c>
      <c r="AJ41" s="109" t="e">
        <f t="shared" si="17"/>
        <v>#REF!</v>
      </c>
      <c r="AK41" s="109" t="e">
        <f t="shared" si="18"/>
        <v>#REF!</v>
      </c>
      <c r="AL41" s="109"/>
      <c r="AM41" s="105"/>
      <c r="AN41" s="105"/>
      <c r="AO41" s="109"/>
      <c r="AP41" s="110"/>
      <c r="AQ41" s="110"/>
      <c r="AR41" s="110"/>
      <c r="AS41" s="110"/>
      <c r="AT41" s="110"/>
      <c r="AU41" s="112"/>
      <c r="AV41" s="112"/>
      <c r="AW41" s="110"/>
      <c r="AX41" s="105"/>
      <c r="AY41" s="105"/>
      <c r="AZ41" s="105"/>
      <c r="BA41" s="105"/>
      <c r="BB41" s="105"/>
      <c r="BC41" s="105"/>
    </row>
    <row r="42" spans="1:55" x14ac:dyDescent="0.15">
      <c r="A42" s="221">
        <v>324</v>
      </c>
      <c r="B42" s="98" t="e">
        <f>VLOOKUP($A42,#REF!,84,FALSE)</f>
        <v>#REF!</v>
      </c>
      <c r="C42" s="98" t="e">
        <f>VLOOKUP($A42,#REF!,85,FALSE)</f>
        <v>#REF!</v>
      </c>
      <c r="D42" s="98" t="e">
        <f>VLOOKUP($A42,#REF!,5,FALSE)</f>
        <v>#REF!</v>
      </c>
      <c r="E42" s="98" t="e">
        <f>VLOOKUP($A42,#REF!,6,FALSE)</f>
        <v>#REF!</v>
      </c>
      <c r="F42" s="105" t="e">
        <f>VLOOKUP($A42,#REF!,34,FALSE)</f>
        <v>#REF!</v>
      </c>
      <c r="G42" s="105" t="e">
        <f>VLOOKUP($A42,#REF!,29,FALSE)</f>
        <v>#REF!</v>
      </c>
      <c r="H42" s="105" t="e">
        <f>VLOOKUP(A42,#REF!,35,FALSE)+VLOOKUP(A42,#REF!,41,FALSE)</f>
        <v>#REF!</v>
      </c>
      <c r="I42" s="105" t="e">
        <f t="shared" si="5"/>
        <v>#REF!</v>
      </c>
      <c r="J42" s="105" t="e">
        <f>VLOOKUP(A42,#REF!,42,FALSE)</f>
        <v>#REF!</v>
      </c>
      <c r="K42" s="105" t="e">
        <f t="shared" si="6"/>
        <v>#REF!</v>
      </c>
      <c r="L42" s="164" t="e">
        <f t="shared" si="1"/>
        <v>#REF!</v>
      </c>
      <c r="M42" s="105" t="e">
        <f t="shared" si="7"/>
        <v>#REF!</v>
      </c>
      <c r="N42" s="105" t="e">
        <f>VLOOKUP(A42,#REF!,46,FALSE)</f>
        <v>#REF!</v>
      </c>
      <c r="O42" s="106" t="e">
        <f>VLOOKUP(A42,#REF!,9,FALSE)</f>
        <v>#REF!</v>
      </c>
      <c r="P42" s="114" t="e">
        <f>#REF!</f>
        <v>#REF!</v>
      </c>
      <c r="Q42" s="114" t="e">
        <f>VLOOKUP(A42,#REF!,12,FALSE)</f>
        <v>#REF!</v>
      </c>
      <c r="R42" s="120" t="e">
        <f>#REF!</f>
        <v>#REF!</v>
      </c>
      <c r="S42" s="106" t="e">
        <f>IF(Q42=0,#REF!,ROUND(Q42*R42,4))</f>
        <v>#REF!</v>
      </c>
      <c r="T42" s="121" t="e">
        <f>VLOOKUP($A42,#REF!,15,FALSE)</f>
        <v>#REF!</v>
      </c>
      <c r="U42" s="121" t="e">
        <f>VLOOKUP($A42,#REF!,19,FALSE)</f>
        <v>#REF!</v>
      </c>
      <c r="V42" s="109" t="e">
        <f t="shared" si="8"/>
        <v>#REF!</v>
      </c>
      <c r="W42" s="109" t="e">
        <f t="shared" si="9"/>
        <v>#REF!</v>
      </c>
      <c r="X42" s="105" t="e">
        <f t="shared" si="10"/>
        <v>#REF!</v>
      </c>
      <c r="Y42" s="113" t="e">
        <f t="shared" si="11"/>
        <v>#REF!</v>
      </c>
      <c r="Z42" s="109" t="e">
        <f t="shared" si="12"/>
        <v>#REF!</v>
      </c>
      <c r="AA42" s="113" t="e">
        <f t="shared" si="13"/>
        <v>#REF!</v>
      </c>
      <c r="AB42" s="109" t="e">
        <f t="shared" si="14"/>
        <v>#REF!</v>
      </c>
      <c r="AC42" s="113" t="e">
        <f t="shared" si="15"/>
        <v>#REF!</v>
      </c>
      <c r="AD42" s="105" t="e">
        <f t="shared" si="16"/>
        <v>#REF!</v>
      </c>
      <c r="AE42" s="105" t="e">
        <f t="shared" si="2"/>
        <v>#REF!</v>
      </c>
      <c r="AF42" s="105" t="e">
        <f t="shared" si="3"/>
        <v>#REF!</v>
      </c>
      <c r="AG42" s="105" t="e">
        <f t="shared" si="4"/>
        <v>#REF!</v>
      </c>
      <c r="AH42" s="111" t="e">
        <f>VLOOKUP($A42,#REF!,5,FALSE)</f>
        <v>#REF!</v>
      </c>
      <c r="AI42" s="111" t="e">
        <f>VLOOKUP($A42,#REF!,6,FALSE)</f>
        <v>#REF!</v>
      </c>
      <c r="AJ42" s="109" t="e">
        <f t="shared" si="17"/>
        <v>#REF!</v>
      </c>
      <c r="AK42" s="109" t="e">
        <f t="shared" si="18"/>
        <v>#REF!</v>
      </c>
      <c r="AL42" s="109"/>
      <c r="AM42" s="105"/>
      <c r="AN42" s="105"/>
      <c r="AO42" s="109"/>
      <c r="AP42" s="110"/>
      <c r="AQ42" s="110"/>
      <c r="AR42" s="110"/>
      <c r="AS42" s="110"/>
      <c r="AT42" s="110"/>
      <c r="AU42" s="112"/>
      <c r="AV42" s="112"/>
      <c r="AW42" s="110"/>
      <c r="AX42" s="105"/>
      <c r="AY42" s="105"/>
      <c r="AZ42" s="105"/>
      <c r="BA42" s="105"/>
      <c r="BB42" s="105"/>
      <c r="BC42" s="105"/>
    </row>
    <row r="43" spans="1:55" x14ac:dyDescent="0.15">
      <c r="A43" s="221">
        <v>410</v>
      </c>
      <c r="B43" s="98" t="e">
        <f>VLOOKUP($A43,#REF!,84,FALSE)</f>
        <v>#REF!</v>
      </c>
      <c r="C43" s="98" t="e">
        <f>VLOOKUP($A43,#REF!,85,FALSE)</f>
        <v>#REF!</v>
      </c>
      <c r="D43" s="98" t="e">
        <f>VLOOKUP($A43,#REF!,5,FALSE)</f>
        <v>#REF!</v>
      </c>
      <c r="E43" s="98" t="e">
        <f>VLOOKUP($A43,#REF!,6,FALSE)</f>
        <v>#REF!</v>
      </c>
      <c r="F43" s="105" t="e">
        <f>VLOOKUP($A43,#REF!,34,FALSE)</f>
        <v>#REF!</v>
      </c>
      <c r="G43" s="105" t="e">
        <f>VLOOKUP($A43,#REF!,29,FALSE)</f>
        <v>#REF!</v>
      </c>
      <c r="H43" s="105" t="e">
        <f>VLOOKUP(A43,#REF!,35,FALSE)+VLOOKUP(A43,#REF!,41,FALSE)</f>
        <v>#REF!</v>
      </c>
      <c r="I43" s="105" t="e">
        <f t="shared" si="5"/>
        <v>#REF!</v>
      </c>
      <c r="J43" s="105" t="e">
        <f>VLOOKUP(A43,#REF!,42,FALSE)</f>
        <v>#REF!</v>
      </c>
      <c r="K43" s="105" t="e">
        <f t="shared" si="6"/>
        <v>#REF!</v>
      </c>
      <c r="L43" s="164" t="e">
        <f t="shared" si="1"/>
        <v>#REF!</v>
      </c>
      <c r="M43" s="105" t="e">
        <f t="shared" si="7"/>
        <v>#REF!</v>
      </c>
      <c r="N43" s="105" t="e">
        <f>VLOOKUP(A43,#REF!,46,FALSE)</f>
        <v>#REF!</v>
      </c>
      <c r="O43" s="106" t="e">
        <f>VLOOKUP(A43,#REF!,9,FALSE)</f>
        <v>#REF!</v>
      </c>
      <c r="P43" s="114" t="e">
        <f>#REF!</f>
        <v>#REF!</v>
      </c>
      <c r="Q43" s="114" t="e">
        <f>VLOOKUP(A43,#REF!,12,FALSE)</f>
        <v>#REF!</v>
      </c>
      <c r="R43" s="120" t="e">
        <f>#REF!</f>
        <v>#REF!</v>
      </c>
      <c r="S43" s="106" t="e">
        <f>IF(Q43=0,#REF!,ROUND(Q43*R43,4))</f>
        <v>#REF!</v>
      </c>
      <c r="T43" s="121" t="e">
        <f>VLOOKUP($A43,#REF!,15,FALSE)</f>
        <v>#REF!</v>
      </c>
      <c r="U43" s="121" t="e">
        <f>VLOOKUP($A43,#REF!,19,FALSE)</f>
        <v>#REF!</v>
      </c>
      <c r="V43" s="109" t="e">
        <f t="shared" si="8"/>
        <v>#REF!</v>
      </c>
      <c r="W43" s="109" t="e">
        <f t="shared" si="9"/>
        <v>#REF!</v>
      </c>
      <c r="X43" s="105" t="e">
        <f t="shared" si="10"/>
        <v>#REF!</v>
      </c>
      <c r="Y43" s="113" t="e">
        <f t="shared" si="11"/>
        <v>#REF!</v>
      </c>
      <c r="Z43" s="109" t="e">
        <f t="shared" si="12"/>
        <v>#REF!</v>
      </c>
      <c r="AA43" s="113" t="e">
        <f t="shared" si="13"/>
        <v>#REF!</v>
      </c>
      <c r="AB43" s="109" t="e">
        <f t="shared" si="14"/>
        <v>#REF!</v>
      </c>
      <c r="AC43" s="113" t="e">
        <f t="shared" si="15"/>
        <v>#REF!</v>
      </c>
      <c r="AD43" s="105" t="e">
        <f t="shared" si="16"/>
        <v>#REF!</v>
      </c>
      <c r="AE43" s="105" t="e">
        <f t="shared" si="2"/>
        <v>#REF!</v>
      </c>
      <c r="AF43" s="105" t="e">
        <f t="shared" si="3"/>
        <v>#REF!</v>
      </c>
      <c r="AG43" s="105" t="e">
        <f t="shared" si="4"/>
        <v>#REF!</v>
      </c>
      <c r="AH43" s="111" t="e">
        <f>VLOOKUP($A43,#REF!,5,FALSE)</f>
        <v>#REF!</v>
      </c>
      <c r="AI43" s="111" t="e">
        <f>VLOOKUP($A43,#REF!,6,FALSE)</f>
        <v>#REF!</v>
      </c>
      <c r="AJ43" s="109" t="e">
        <f t="shared" si="17"/>
        <v>#REF!</v>
      </c>
      <c r="AK43" s="109" t="e">
        <f t="shared" si="18"/>
        <v>#REF!</v>
      </c>
      <c r="AL43" s="109"/>
      <c r="AM43" s="105"/>
      <c r="AN43" s="105"/>
      <c r="AO43" s="109"/>
      <c r="AP43" s="110"/>
      <c r="AQ43" s="110"/>
      <c r="AR43" s="110"/>
      <c r="AS43" s="110"/>
      <c r="AT43" s="110"/>
      <c r="AU43" s="112"/>
      <c r="AV43" s="112"/>
      <c r="AW43" s="110"/>
      <c r="AX43" s="105"/>
      <c r="AY43" s="105"/>
      <c r="AZ43" s="105"/>
      <c r="BA43" s="105"/>
      <c r="BB43" s="105"/>
      <c r="BC43" s="105"/>
    </row>
    <row r="44" spans="1:55" x14ac:dyDescent="0.15">
      <c r="A44" s="221">
        <v>679</v>
      </c>
      <c r="B44" s="98" t="e">
        <f>VLOOKUP($A44,#REF!,84,FALSE)</f>
        <v>#REF!</v>
      </c>
      <c r="C44" s="98" t="e">
        <f>VLOOKUP($A44,#REF!,85,FALSE)</f>
        <v>#REF!</v>
      </c>
      <c r="D44" s="98" t="e">
        <f>VLOOKUP($A44,#REF!,5,FALSE)</f>
        <v>#REF!</v>
      </c>
      <c r="E44" s="98" t="e">
        <f>VLOOKUP($A44,#REF!,6,FALSE)</f>
        <v>#REF!</v>
      </c>
      <c r="F44" s="105" t="e">
        <f>VLOOKUP($A44,#REF!,34,FALSE)</f>
        <v>#REF!</v>
      </c>
      <c r="G44" s="105" t="e">
        <f>VLOOKUP($A44,#REF!,29,FALSE)</f>
        <v>#REF!</v>
      </c>
      <c r="H44" s="105" t="e">
        <f>VLOOKUP(A44,#REF!,35,FALSE)+VLOOKUP(A44,#REF!,41,FALSE)</f>
        <v>#REF!</v>
      </c>
      <c r="I44" s="105" t="e">
        <f t="shared" si="5"/>
        <v>#REF!</v>
      </c>
      <c r="J44" s="105" t="e">
        <f>VLOOKUP(A44,#REF!,42,FALSE)</f>
        <v>#REF!</v>
      </c>
      <c r="K44" s="105" t="e">
        <f t="shared" si="6"/>
        <v>#REF!</v>
      </c>
      <c r="L44" s="164" t="e">
        <f t="shared" si="1"/>
        <v>#REF!</v>
      </c>
      <c r="M44" s="105" t="e">
        <f t="shared" si="7"/>
        <v>#REF!</v>
      </c>
      <c r="N44" s="105" t="e">
        <f>VLOOKUP(A44,#REF!,46,FALSE)</f>
        <v>#REF!</v>
      </c>
      <c r="O44" s="106" t="e">
        <f>VLOOKUP(A44,#REF!,9,FALSE)</f>
        <v>#REF!</v>
      </c>
      <c r="P44" s="114" t="e">
        <f>#REF!</f>
        <v>#REF!</v>
      </c>
      <c r="Q44" s="114" t="e">
        <f>VLOOKUP(A44,#REF!,12,FALSE)</f>
        <v>#REF!</v>
      </c>
      <c r="R44" s="120" t="e">
        <f>#REF!</f>
        <v>#REF!</v>
      </c>
      <c r="S44" s="106" t="e">
        <f>IF(Q44=0,#REF!,ROUND(Q44*R44,4))</f>
        <v>#REF!</v>
      </c>
      <c r="T44" s="121" t="e">
        <f>VLOOKUP($A44,#REF!,15,FALSE)</f>
        <v>#REF!</v>
      </c>
      <c r="U44" s="121" t="e">
        <f>VLOOKUP($A44,#REF!,19,FALSE)</f>
        <v>#REF!</v>
      </c>
      <c r="V44" s="109" t="e">
        <f t="shared" si="8"/>
        <v>#REF!</v>
      </c>
      <c r="W44" s="109" t="e">
        <f t="shared" si="9"/>
        <v>#REF!</v>
      </c>
      <c r="X44" s="105" t="e">
        <f t="shared" si="10"/>
        <v>#REF!</v>
      </c>
      <c r="Y44" s="113" t="e">
        <f t="shared" si="11"/>
        <v>#REF!</v>
      </c>
      <c r="Z44" s="109" t="e">
        <f t="shared" si="12"/>
        <v>#REF!</v>
      </c>
      <c r="AA44" s="113" t="e">
        <f t="shared" si="13"/>
        <v>#REF!</v>
      </c>
      <c r="AB44" s="109" t="e">
        <f t="shared" si="14"/>
        <v>#REF!</v>
      </c>
      <c r="AC44" s="113" t="e">
        <f t="shared" si="15"/>
        <v>#REF!</v>
      </c>
      <c r="AD44" s="105" t="e">
        <f t="shared" si="16"/>
        <v>#REF!</v>
      </c>
      <c r="AE44" s="105" t="e">
        <f t="shared" si="2"/>
        <v>#REF!</v>
      </c>
      <c r="AF44" s="105" t="e">
        <f t="shared" si="3"/>
        <v>#REF!</v>
      </c>
      <c r="AG44" s="105" t="e">
        <f t="shared" si="4"/>
        <v>#REF!</v>
      </c>
      <c r="AH44" s="111" t="e">
        <f>VLOOKUP($A44,#REF!,5,FALSE)</f>
        <v>#REF!</v>
      </c>
      <c r="AI44" s="111" t="e">
        <f>VLOOKUP($A44,#REF!,6,FALSE)</f>
        <v>#REF!</v>
      </c>
      <c r="AJ44" s="109" t="e">
        <f t="shared" si="17"/>
        <v>#REF!</v>
      </c>
      <c r="AK44" s="109" t="e">
        <f t="shared" si="18"/>
        <v>#REF!</v>
      </c>
      <c r="AL44" s="109"/>
      <c r="AM44" s="105"/>
      <c r="AN44" s="105"/>
      <c r="AO44" s="109"/>
      <c r="AP44" s="110"/>
      <c r="AQ44" s="110"/>
      <c r="AR44" s="110"/>
      <c r="AS44" s="110"/>
      <c r="AT44" s="110"/>
      <c r="AU44" s="112"/>
      <c r="AV44" s="112"/>
      <c r="AW44" s="110"/>
      <c r="AX44" s="105"/>
      <c r="AY44" s="105"/>
      <c r="AZ44" s="105"/>
      <c r="BA44" s="105"/>
      <c r="BB44" s="105"/>
      <c r="BC44" s="105"/>
    </row>
    <row r="45" spans="1:55" x14ac:dyDescent="0.15">
      <c r="A45" s="221">
        <v>260</v>
      </c>
      <c r="B45" s="98" t="e">
        <f>VLOOKUP($A45,#REF!,84,FALSE)</f>
        <v>#REF!</v>
      </c>
      <c r="C45" s="98" t="e">
        <f>VLOOKUP($A45,#REF!,85,FALSE)</f>
        <v>#REF!</v>
      </c>
      <c r="D45" s="98" t="e">
        <f>VLOOKUP($A45,#REF!,5,FALSE)</f>
        <v>#REF!</v>
      </c>
      <c r="E45" s="98" t="e">
        <f>VLOOKUP($A45,#REF!,6,FALSE)</f>
        <v>#REF!</v>
      </c>
      <c r="F45" s="105" t="e">
        <f>VLOOKUP($A45,#REF!,34,FALSE)</f>
        <v>#REF!</v>
      </c>
      <c r="G45" s="105" t="e">
        <f>VLOOKUP($A45,#REF!,29,FALSE)</f>
        <v>#REF!</v>
      </c>
      <c r="H45" s="105" t="e">
        <f>VLOOKUP(A45,#REF!,35,FALSE)+VLOOKUP(A45,#REF!,41,FALSE)</f>
        <v>#REF!</v>
      </c>
      <c r="I45" s="105" t="e">
        <f t="shared" si="5"/>
        <v>#REF!</v>
      </c>
      <c r="J45" s="105" t="e">
        <f>VLOOKUP(A45,#REF!,42,FALSE)</f>
        <v>#REF!</v>
      </c>
      <c r="K45" s="105" t="e">
        <f t="shared" si="6"/>
        <v>#REF!</v>
      </c>
      <c r="L45" s="164" t="e">
        <f t="shared" si="1"/>
        <v>#REF!</v>
      </c>
      <c r="M45" s="105" t="e">
        <f t="shared" si="7"/>
        <v>#REF!</v>
      </c>
      <c r="N45" s="105" t="e">
        <f>VLOOKUP(A45,#REF!,46,FALSE)</f>
        <v>#REF!</v>
      </c>
      <c r="O45" s="106" t="e">
        <f>VLOOKUP(A45,#REF!,9,FALSE)</f>
        <v>#REF!</v>
      </c>
      <c r="P45" s="114" t="e">
        <f>#REF!</f>
        <v>#REF!</v>
      </c>
      <c r="Q45" s="114" t="e">
        <f>VLOOKUP(A45,#REF!,12,FALSE)</f>
        <v>#REF!</v>
      </c>
      <c r="R45" s="120" t="e">
        <f>#REF!</f>
        <v>#REF!</v>
      </c>
      <c r="S45" s="106" t="e">
        <f>IF(Q45=0,#REF!,ROUND(Q45*R45,4))</f>
        <v>#REF!</v>
      </c>
      <c r="T45" s="121" t="e">
        <f>VLOOKUP($A45,#REF!,15,FALSE)</f>
        <v>#REF!</v>
      </c>
      <c r="U45" s="121" t="e">
        <f>VLOOKUP($A45,#REF!,19,FALSE)</f>
        <v>#REF!</v>
      </c>
      <c r="V45" s="109" t="e">
        <f t="shared" si="8"/>
        <v>#REF!</v>
      </c>
      <c r="W45" s="109" t="e">
        <f t="shared" si="9"/>
        <v>#REF!</v>
      </c>
      <c r="X45" s="105" t="e">
        <f t="shared" si="10"/>
        <v>#REF!</v>
      </c>
      <c r="Y45" s="113" t="e">
        <f t="shared" si="11"/>
        <v>#REF!</v>
      </c>
      <c r="Z45" s="109" t="e">
        <f t="shared" si="12"/>
        <v>#REF!</v>
      </c>
      <c r="AA45" s="113" t="e">
        <f t="shared" si="13"/>
        <v>#REF!</v>
      </c>
      <c r="AB45" s="109" t="e">
        <f t="shared" si="14"/>
        <v>#REF!</v>
      </c>
      <c r="AC45" s="113" t="e">
        <f t="shared" si="15"/>
        <v>#REF!</v>
      </c>
      <c r="AD45" s="105" t="e">
        <f t="shared" si="16"/>
        <v>#REF!</v>
      </c>
      <c r="AE45" s="105" t="e">
        <f t="shared" si="2"/>
        <v>#REF!</v>
      </c>
      <c r="AF45" s="105" t="e">
        <f t="shared" si="3"/>
        <v>#REF!</v>
      </c>
      <c r="AG45" s="105" t="e">
        <f t="shared" si="4"/>
        <v>#REF!</v>
      </c>
      <c r="AH45" s="111" t="e">
        <f>VLOOKUP($A45,#REF!,5,FALSE)</f>
        <v>#REF!</v>
      </c>
      <c r="AI45" s="111" t="e">
        <f>VLOOKUP($A45,#REF!,6,FALSE)</f>
        <v>#REF!</v>
      </c>
      <c r="AJ45" s="109" t="e">
        <f t="shared" si="17"/>
        <v>#REF!</v>
      </c>
      <c r="AK45" s="109" t="e">
        <f t="shared" si="18"/>
        <v>#REF!</v>
      </c>
      <c r="AL45" s="109"/>
      <c r="AM45" s="105"/>
      <c r="AN45" s="105"/>
      <c r="AO45" s="109"/>
      <c r="AP45" s="110"/>
      <c r="AQ45" s="110"/>
      <c r="AR45" s="110"/>
      <c r="AS45" s="110"/>
      <c r="AT45" s="110"/>
      <c r="AU45" s="112"/>
      <c r="AV45" s="112"/>
      <c r="AW45" s="110"/>
      <c r="AX45" s="105"/>
      <c r="AY45" s="105"/>
      <c r="AZ45" s="105"/>
      <c r="BA45" s="105"/>
      <c r="BB45" s="105"/>
      <c r="BC45" s="105"/>
    </row>
    <row r="46" spans="1:55" x14ac:dyDescent="0.15">
      <c r="A46" s="221">
        <v>701</v>
      </c>
      <c r="B46" s="98" t="e">
        <f>VLOOKUP($A46,#REF!,84,FALSE)</f>
        <v>#REF!</v>
      </c>
      <c r="C46" s="98" t="e">
        <f>VLOOKUP($A46,#REF!,85,FALSE)</f>
        <v>#REF!</v>
      </c>
      <c r="D46" s="98" t="e">
        <f>VLOOKUP($A46,#REF!,5,FALSE)</f>
        <v>#REF!</v>
      </c>
      <c r="E46" s="98" t="e">
        <f>VLOOKUP($A46,#REF!,6,FALSE)</f>
        <v>#REF!</v>
      </c>
      <c r="F46" s="105" t="e">
        <f>VLOOKUP($A46,#REF!,34,FALSE)</f>
        <v>#REF!</v>
      </c>
      <c r="G46" s="105" t="e">
        <f>VLOOKUP($A46,#REF!,29,FALSE)</f>
        <v>#REF!</v>
      </c>
      <c r="H46" s="105" t="e">
        <f>VLOOKUP(A46,#REF!,35,FALSE)+VLOOKUP(A46,#REF!,41,FALSE)</f>
        <v>#REF!</v>
      </c>
      <c r="I46" s="105" t="e">
        <f t="shared" si="5"/>
        <v>#REF!</v>
      </c>
      <c r="J46" s="105" t="e">
        <f>VLOOKUP(A46,#REF!,42,FALSE)</f>
        <v>#REF!</v>
      </c>
      <c r="K46" s="105" t="e">
        <f t="shared" si="6"/>
        <v>#REF!</v>
      </c>
      <c r="L46" s="164" t="e">
        <f t="shared" si="1"/>
        <v>#REF!</v>
      </c>
      <c r="M46" s="105" t="e">
        <f t="shared" si="7"/>
        <v>#REF!</v>
      </c>
      <c r="N46" s="105" t="e">
        <f>VLOOKUP(A46,#REF!,46,FALSE)</f>
        <v>#REF!</v>
      </c>
      <c r="O46" s="106" t="e">
        <f>VLOOKUP(A46,#REF!,9,FALSE)</f>
        <v>#REF!</v>
      </c>
      <c r="P46" s="114" t="e">
        <f>#REF!</f>
        <v>#REF!</v>
      </c>
      <c r="Q46" s="114" t="e">
        <f>VLOOKUP(A46,#REF!,12,FALSE)</f>
        <v>#REF!</v>
      </c>
      <c r="R46" s="120" t="e">
        <f>#REF!</f>
        <v>#REF!</v>
      </c>
      <c r="S46" s="106" t="e">
        <f>IF(Q46=0,#REF!,ROUND(Q46*R46,4))</f>
        <v>#REF!</v>
      </c>
      <c r="T46" s="121" t="e">
        <f>VLOOKUP($A46,#REF!,15,FALSE)</f>
        <v>#REF!</v>
      </c>
      <c r="U46" s="121" t="e">
        <f>VLOOKUP($A46,#REF!,19,FALSE)</f>
        <v>#REF!</v>
      </c>
      <c r="V46" s="109" t="e">
        <f t="shared" si="8"/>
        <v>#REF!</v>
      </c>
      <c r="W46" s="109" t="e">
        <f t="shared" si="9"/>
        <v>#REF!</v>
      </c>
      <c r="X46" s="105" t="e">
        <f t="shared" si="10"/>
        <v>#REF!</v>
      </c>
      <c r="Y46" s="113" t="e">
        <f t="shared" si="11"/>
        <v>#REF!</v>
      </c>
      <c r="Z46" s="109" t="e">
        <f t="shared" si="12"/>
        <v>#REF!</v>
      </c>
      <c r="AA46" s="113" t="e">
        <f t="shared" si="13"/>
        <v>#REF!</v>
      </c>
      <c r="AB46" s="109" t="e">
        <f t="shared" si="14"/>
        <v>#REF!</v>
      </c>
      <c r="AC46" s="113" t="e">
        <f t="shared" si="15"/>
        <v>#REF!</v>
      </c>
      <c r="AD46" s="105" t="e">
        <f t="shared" si="16"/>
        <v>#REF!</v>
      </c>
      <c r="AE46" s="105" t="e">
        <f t="shared" si="2"/>
        <v>#REF!</v>
      </c>
      <c r="AF46" s="105" t="e">
        <f t="shared" si="3"/>
        <v>#REF!</v>
      </c>
      <c r="AG46" s="105" t="e">
        <f t="shared" si="4"/>
        <v>#REF!</v>
      </c>
      <c r="AH46" s="111" t="e">
        <f>VLOOKUP($A46,#REF!,5,FALSE)</f>
        <v>#REF!</v>
      </c>
      <c r="AI46" s="111" t="e">
        <f>VLOOKUP($A46,#REF!,6,FALSE)</f>
        <v>#REF!</v>
      </c>
      <c r="AJ46" s="109" t="e">
        <f t="shared" si="17"/>
        <v>#REF!</v>
      </c>
      <c r="AK46" s="109" t="e">
        <f t="shared" si="18"/>
        <v>#REF!</v>
      </c>
      <c r="AL46" s="109"/>
      <c r="AM46" s="105"/>
      <c r="AN46" s="105"/>
      <c r="AO46" s="109"/>
      <c r="AP46" s="110"/>
      <c r="AQ46" s="110"/>
      <c r="AR46" s="110"/>
      <c r="AS46" s="110"/>
      <c r="AT46" s="110"/>
      <c r="AU46" s="112"/>
      <c r="AV46" s="112"/>
      <c r="AW46" s="110"/>
      <c r="AX46" s="105"/>
      <c r="AY46" s="105"/>
      <c r="AZ46" s="105"/>
      <c r="BA46" s="105"/>
      <c r="BB46" s="105"/>
      <c r="BC46" s="105"/>
    </row>
    <row r="47" spans="1:55" x14ac:dyDescent="0.15">
      <c r="A47" s="221">
        <v>52</v>
      </c>
      <c r="B47" s="98" t="e">
        <f>VLOOKUP($A47,#REF!,84,FALSE)</f>
        <v>#REF!</v>
      </c>
      <c r="C47" s="98" t="e">
        <f>VLOOKUP($A47,#REF!,85,FALSE)</f>
        <v>#REF!</v>
      </c>
      <c r="D47" s="98" t="e">
        <f>VLOOKUP($A47,#REF!,5,FALSE)</f>
        <v>#REF!</v>
      </c>
      <c r="E47" s="98" t="e">
        <f>VLOOKUP($A47,#REF!,6,FALSE)</f>
        <v>#REF!</v>
      </c>
      <c r="F47" s="105" t="e">
        <f>VLOOKUP($A47,#REF!,34,FALSE)</f>
        <v>#REF!</v>
      </c>
      <c r="G47" s="105" t="e">
        <f>VLOOKUP($A47,#REF!,29,FALSE)</f>
        <v>#REF!</v>
      </c>
      <c r="H47" s="105" t="e">
        <f>VLOOKUP(A47,#REF!,35,FALSE)+VLOOKUP(A47,#REF!,41,FALSE)</f>
        <v>#REF!</v>
      </c>
      <c r="I47" s="105" t="e">
        <f t="shared" si="5"/>
        <v>#REF!</v>
      </c>
      <c r="J47" s="105" t="e">
        <f>VLOOKUP(A47,#REF!,42,FALSE)</f>
        <v>#REF!</v>
      </c>
      <c r="K47" s="105" t="e">
        <f t="shared" si="6"/>
        <v>#REF!</v>
      </c>
      <c r="L47" s="164" t="e">
        <f t="shared" si="1"/>
        <v>#REF!</v>
      </c>
      <c r="M47" s="105" t="e">
        <f t="shared" si="7"/>
        <v>#REF!</v>
      </c>
      <c r="N47" s="105" t="e">
        <f>VLOOKUP(A47,#REF!,46,FALSE)</f>
        <v>#REF!</v>
      </c>
      <c r="O47" s="106" t="e">
        <f>VLOOKUP(A47,#REF!,9,FALSE)</f>
        <v>#REF!</v>
      </c>
      <c r="P47" s="114" t="e">
        <f>#REF!</f>
        <v>#REF!</v>
      </c>
      <c r="Q47" s="114" t="e">
        <f>VLOOKUP(A47,#REF!,12,FALSE)</f>
        <v>#REF!</v>
      </c>
      <c r="R47" s="120" t="e">
        <f>#REF!</f>
        <v>#REF!</v>
      </c>
      <c r="S47" s="106" t="e">
        <f>IF(Q47=0,#REF!,ROUND(Q47*R47,4))</f>
        <v>#REF!</v>
      </c>
      <c r="T47" s="121" t="e">
        <f>VLOOKUP($A47,#REF!,15,FALSE)</f>
        <v>#REF!</v>
      </c>
      <c r="U47" s="121" t="e">
        <f>VLOOKUP($A47,#REF!,19,FALSE)</f>
        <v>#REF!</v>
      </c>
      <c r="V47" s="109" t="e">
        <f t="shared" si="8"/>
        <v>#REF!</v>
      </c>
      <c r="W47" s="109" t="e">
        <f t="shared" si="9"/>
        <v>#REF!</v>
      </c>
      <c r="X47" s="105" t="e">
        <f t="shared" si="10"/>
        <v>#REF!</v>
      </c>
      <c r="Y47" s="113" t="e">
        <f t="shared" si="11"/>
        <v>#REF!</v>
      </c>
      <c r="Z47" s="109" t="e">
        <f t="shared" si="12"/>
        <v>#REF!</v>
      </c>
      <c r="AA47" s="113" t="e">
        <f t="shared" si="13"/>
        <v>#REF!</v>
      </c>
      <c r="AB47" s="109" t="e">
        <f t="shared" si="14"/>
        <v>#REF!</v>
      </c>
      <c r="AC47" s="113" t="e">
        <f t="shared" si="15"/>
        <v>#REF!</v>
      </c>
      <c r="AD47" s="105" t="e">
        <f t="shared" si="16"/>
        <v>#REF!</v>
      </c>
      <c r="AE47" s="105" t="e">
        <f t="shared" si="2"/>
        <v>#REF!</v>
      </c>
      <c r="AF47" s="105" t="e">
        <f t="shared" si="3"/>
        <v>#REF!</v>
      </c>
      <c r="AG47" s="105" t="e">
        <f t="shared" si="4"/>
        <v>#REF!</v>
      </c>
      <c r="AH47" s="111" t="e">
        <f>VLOOKUP($A47,#REF!,5,FALSE)</f>
        <v>#REF!</v>
      </c>
      <c r="AI47" s="111" t="e">
        <f>VLOOKUP($A47,#REF!,6,FALSE)</f>
        <v>#REF!</v>
      </c>
      <c r="AJ47" s="109" t="e">
        <f t="shared" si="17"/>
        <v>#REF!</v>
      </c>
      <c r="AK47" s="109" t="e">
        <f t="shared" si="18"/>
        <v>#REF!</v>
      </c>
      <c r="AL47" s="109"/>
      <c r="AM47" s="105"/>
      <c r="AN47" s="105"/>
      <c r="AO47" s="109"/>
      <c r="AP47" s="110"/>
      <c r="AQ47" s="110"/>
      <c r="AR47" s="110"/>
      <c r="AS47" s="110"/>
      <c r="AT47" s="110"/>
      <c r="AU47" s="112"/>
      <c r="AV47" s="112"/>
      <c r="AW47" s="110"/>
      <c r="AX47" s="105"/>
      <c r="AY47" s="105"/>
      <c r="AZ47" s="105"/>
      <c r="BA47" s="105"/>
      <c r="BB47" s="105"/>
      <c r="BC47" s="105"/>
    </row>
    <row r="48" spans="1:55" x14ac:dyDescent="0.15">
      <c r="A48" s="221">
        <v>743</v>
      </c>
      <c r="B48" s="98" t="e">
        <f>VLOOKUP($A48,#REF!,84,FALSE)</f>
        <v>#REF!</v>
      </c>
      <c r="C48" s="98" t="e">
        <f>VLOOKUP($A48,#REF!,85,FALSE)</f>
        <v>#REF!</v>
      </c>
      <c r="D48" s="98" t="e">
        <f>VLOOKUP($A48,#REF!,5,FALSE)</f>
        <v>#REF!</v>
      </c>
      <c r="E48" s="98" t="e">
        <f>VLOOKUP($A48,#REF!,6,FALSE)</f>
        <v>#REF!</v>
      </c>
      <c r="F48" s="105" t="e">
        <f>VLOOKUP($A48,#REF!,34,FALSE)</f>
        <v>#REF!</v>
      </c>
      <c r="G48" s="105" t="e">
        <f>VLOOKUP($A48,#REF!,29,FALSE)</f>
        <v>#REF!</v>
      </c>
      <c r="H48" s="105" t="e">
        <f>VLOOKUP(A48,#REF!,35,FALSE)+VLOOKUP(A48,#REF!,41,FALSE)</f>
        <v>#REF!</v>
      </c>
      <c r="I48" s="105" t="e">
        <f t="shared" si="5"/>
        <v>#REF!</v>
      </c>
      <c r="J48" s="105" t="e">
        <f>VLOOKUP(A48,#REF!,42,FALSE)</f>
        <v>#REF!</v>
      </c>
      <c r="K48" s="105" t="e">
        <f t="shared" si="6"/>
        <v>#REF!</v>
      </c>
      <c r="L48" s="164" t="e">
        <f t="shared" si="1"/>
        <v>#REF!</v>
      </c>
      <c r="M48" s="105" t="e">
        <f t="shared" si="7"/>
        <v>#REF!</v>
      </c>
      <c r="N48" s="105" t="e">
        <f>VLOOKUP(A48,#REF!,46,FALSE)</f>
        <v>#REF!</v>
      </c>
      <c r="O48" s="106" t="e">
        <f>VLOOKUP(A48,#REF!,9,FALSE)</f>
        <v>#REF!</v>
      </c>
      <c r="P48" s="114" t="e">
        <f>#REF!</f>
        <v>#REF!</v>
      </c>
      <c r="Q48" s="114" t="e">
        <f>VLOOKUP(A48,#REF!,12,FALSE)</f>
        <v>#REF!</v>
      </c>
      <c r="R48" s="120" t="e">
        <f>#REF!</f>
        <v>#REF!</v>
      </c>
      <c r="S48" s="106" t="e">
        <f>IF(Q48=0,#REF!,ROUND(Q48*R48,4))</f>
        <v>#REF!</v>
      </c>
      <c r="T48" s="121" t="e">
        <f>VLOOKUP($A48,#REF!,15,FALSE)</f>
        <v>#REF!</v>
      </c>
      <c r="U48" s="121" t="e">
        <f>VLOOKUP($A48,#REF!,19,FALSE)</f>
        <v>#REF!</v>
      </c>
      <c r="V48" s="109" t="e">
        <f t="shared" si="8"/>
        <v>#REF!</v>
      </c>
      <c r="W48" s="109" t="e">
        <f t="shared" si="9"/>
        <v>#REF!</v>
      </c>
      <c r="X48" s="105" t="e">
        <f t="shared" si="10"/>
        <v>#REF!</v>
      </c>
      <c r="Y48" s="113" t="e">
        <f t="shared" si="11"/>
        <v>#REF!</v>
      </c>
      <c r="Z48" s="109" t="e">
        <f t="shared" si="12"/>
        <v>#REF!</v>
      </c>
      <c r="AA48" s="113" t="e">
        <f t="shared" si="13"/>
        <v>#REF!</v>
      </c>
      <c r="AB48" s="109" t="e">
        <f t="shared" si="14"/>
        <v>#REF!</v>
      </c>
      <c r="AC48" s="113" t="e">
        <f t="shared" si="15"/>
        <v>#REF!</v>
      </c>
      <c r="AD48" s="105" t="e">
        <f t="shared" si="16"/>
        <v>#REF!</v>
      </c>
      <c r="AE48" s="105" t="e">
        <f t="shared" si="2"/>
        <v>#REF!</v>
      </c>
      <c r="AF48" s="105" t="e">
        <f t="shared" si="3"/>
        <v>#REF!</v>
      </c>
      <c r="AG48" s="105" t="e">
        <f t="shared" si="4"/>
        <v>#REF!</v>
      </c>
      <c r="AH48" s="111" t="e">
        <f>VLOOKUP($A48,#REF!,5,FALSE)</f>
        <v>#REF!</v>
      </c>
      <c r="AI48" s="111" t="e">
        <f>VLOOKUP($A48,#REF!,6,FALSE)</f>
        <v>#REF!</v>
      </c>
      <c r="AJ48" s="109" t="e">
        <f t="shared" si="17"/>
        <v>#REF!</v>
      </c>
      <c r="AK48" s="109" t="e">
        <f t="shared" si="18"/>
        <v>#REF!</v>
      </c>
      <c r="AL48" s="109"/>
      <c r="AM48" s="105"/>
      <c r="AN48" s="105"/>
      <c r="AO48" s="109"/>
      <c r="AP48" s="110"/>
      <c r="AQ48" s="110"/>
      <c r="AR48" s="110"/>
      <c r="AS48" s="110"/>
      <c r="AT48" s="110"/>
      <c r="AU48" s="112"/>
      <c r="AV48" s="112"/>
      <c r="AW48" s="110"/>
      <c r="AX48" s="105"/>
      <c r="AY48" s="105"/>
      <c r="AZ48" s="105"/>
      <c r="BA48" s="105"/>
      <c r="BB48" s="105"/>
      <c r="BC48" s="105"/>
    </row>
    <row r="49" spans="1:55" x14ac:dyDescent="0.15">
      <c r="A49" s="221">
        <v>58</v>
      </c>
      <c r="B49" s="98" t="e">
        <f>VLOOKUP($A49,#REF!,84,FALSE)</f>
        <v>#REF!</v>
      </c>
      <c r="C49" s="98" t="e">
        <f>VLOOKUP($A49,#REF!,85,FALSE)</f>
        <v>#REF!</v>
      </c>
      <c r="D49" s="98" t="e">
        <f>VLOOKUP($A49,#REF!,5,FALSE)</f>
        <v>#REF!</v>
      </c>
      <c r="E49" s="98" t="e">
        <f>VLOOKUP($A49,#REF!,6,FALSE)</f>
        <v>#REF!</v>
      </c>
      <c r="F49" s="105" t="e">
        <f>VLOOKUP($A49,#REF!,34,FALSE)</f>
        <v>#REF!</v>
      </c>
      <c r="G49" s="105" t="e">
        <f>VLOOKUP($A49,#REF!,29,FALSE)</f>
        <v>#REF!</v>
      </c>
      <c r="H49" s="105" t="e">
        <f>VLOOKUP(A49,#REF!,35,FALSE)+VLOOKUP(A49,#REF!,41,FALSE)</f>
        <v>#REF!</v>
      </c>
      <c r="I49" s="105" t="e">
        <f t="shared" si="5"/>
        <v>#REF!</v>
      </c>
      <c r="J49" s="105" t="e">
        <f>VLOOKUP(A49,#REF!,42,FALSE)</f>
        <v>#REF!</v>
      </c>
      <c r="K49" s="105" t="e">
        <f t="shared" si="6"/>
        <v>#REF!</v>
      </c>
      <c r="L49" s="164" t="e">
        <f t="shared" si="1"/>
        <v>#REF!</v>
      </c>
      <c r="M49" s="105" t="e">
        <f t="shared" si="7"/>
        <v>#REF!</v>
      </c>
      <c r="N49" s="105" t="e">
        <f>VLOOKUP(A49,#REF!,46,FALSE)</f>
        <v>#REF!</v>
      </c>
      <c r="O49" s="106" t="e">
        <f>VLOOKUP(A49,#REF!,9,FALSE)</f>
        <v>#REF!</v>
      </c>
      <c r="P49" s="114" t="e">
        <f>#REF!</f>
        <v>#REF!</v>
      </c>
      <c r="Q49" s="114" t="e">
        <f>VLOOKUP(A49,#REF!,12,FALSE)</f>
        <v>#REF!</v>
      </c>
      <c r="R49" s="120" t="e">
        <f>#REF!</f>
        <v>#REF!</v>
      </c>
      <c r="S49" s="106" t="e">
        <f>IF(Q49=0,#REF!,ROUND(Q49*R49,4))</f>
        <v>#REF!</v>
      </c>
      <c r="T49" s="121" t="e">
        <f>VLOOKUP($A49,#REF!,15,FALSE)</f>
        <v>#REF!</v>
      </c>
      <c r="U49" s="121" t="e">
        <f>VLOOKUP($A49,#REF!,19,FALSE)</f>
        <v>#REF!</v>
      </c>
      <c r="V49" s="109" t="e">
        <f t="shared" si="8"/>
        <v>#REF!</v>
      </c>
      <c r="W49" s="109" t="e">
        <f t="shared" si="9"/>
        <v>#REF!</v>
      </c>
      <c r="X49" s="105" t="e">
        <f t="shared" si="10"/>
        <v>#REF!</v>
      </c>
      <c r="Y49" s="113" t="e">
        <f t="shared" si="11"/>
        <v>#REF!</v>
      </c>
      <c r="Z49" s="109" t="e">
        <f t="shared" si="12"/>
        <v>#REF!</v>
      </c>
      <c r="AA49" s="113" t="e">
        <f t="shared" si="13"/>
        <v>#REF!</v>
      </c>
      <c r="AB49" s="109" t="e">
        <f t="shared" si="14"/>
        <v>#REF!</v>
      </c>
      <c r="AC49" s="113" t="e">
        <f t="shared" si="15"/>
        <v>#REF!</v>
      </c>
      <c r="AD49" s="105" t="e">
        <f t="shared" si="16"/>
        <v>#REF!</v>
      </c>
      <c r="AE49" s="105" t="e">
        <f t="shared" si="2"/>
        <v>#REF!</v>
      </c>
      <c r="AF49" s="105" t="e">
        <f t="shared" si="3"/>
        <v>#REF!</v>
      </c>
      <c r="AG49" s="105" t="e">
        <f t="shared" si="4"/>
        <v>#REF!</v>
      </c>
      <c r="AH49" s="111" t="e">
        <f>VLOOKUP($A49,#REF!,5,FALSE)</f>
        <v>#REF!</v>
      </c>
      <c r="AI49" s="111" t="e">
        <f>VLOOKUP($A49,#REF!,6,FALSE)</f>
        <v>#REF!</v>
      </c>
      <c r="AJ49" s="109" t="e">
        <f t="shared" si="17"/>
        <v>#REF!</v>
      </c>
      <c r="AK49" s="109" t="e">
        <f t="shared" si="18"/>
        <v>#REF!</v>
      </c>
      <c r="AL49" s="109"/>
      <c r="AM49" s="105"/>
      <c r="AN49" s="105"/>
      <c r="AO49" s="109"/>
      <c r="AP49" s="110"/>
      <c r="AQ49" s="110"/>
      <c r="AR49" s="110"/>
      <c r="AS49" s="110"/>
      <c r="AT49" s="110"/>
      <c r="AU49" s="112"/>
      <c r="AV49" s="112"/>
      <c r="AW49" s="110"/>
      <c r="AX49" s="105"/>
      <c r="AY49" s="105"/>
      <c r="AZ49" s="105"/>
      <c r="BA49" s="105"/>
      <c r="BB49" s="105"/>
      <c r="BC49" s="105"/>
    </row>
    <row r="50" spans="1:55" x14ac:dyDescent="0.15">
      <c r="A50" s="221">
        <v>699</v>
      </c>
      <c r="B50" s="98" t="e">
        <f>VLOOKUP($A50,#REF!,84,FALSE)</f>
        <v>#REF!</v>
      </c>
      <c r="C50" s="98" t="e">
        <f>VLOOKUP($A50,#REF!,85,FALSE)</f>
        <v>#REF!</v>
      </c>
      <c r="D50" s="98" t="e">
        <f>VLOOKUP($A50,#REF!,5,FALSE)</f>
        <v>#REF!</v>
      </c>
      <c r="E50" s="98" t="e">
        <f>VLOOKUP($A50,#REF!,6,FALSE)</f>
        <v>#REF!</v>
      </c>
      <c r="F50" s="105" t="e">
        <f>VLOOKUP($A50,#REF!,34,FALSE)</f>
        <v>#REF!</v>
      </c>
      <c r="G50" s="105" t="e">
        <f>VLOOKUP($A50,#REF!,29,FALSE)</f>
        <v>#REF!</v>
      </c>
      <c r="H50" s="105" t="e">
        <f>VLOOKUP(A50,#REF!,35,FALSE)+VLOOKUP(A50,#REF!,41,FALSE)</f>
        <v>#REF!</v>
      </c>
      <c r="I50" s="105" t="e">
        <f t="shared" si="5"/>
        <v>#REF!</v>
      </c>
      <c r="J50" s="105" t="e">
        <f>VLOOKUP(A50,#REF!,42,FALSE)</f>
        <v>#REF!</v>
      </c>
      <c r="K50" s="105" t="e">
        <f t="shared" si="6"/>
        <v>#REF!</v>
      </c>
      <c r="L50" s="164" t="e">
        <f t="shared" si="1"/>
        <v>#REF!</v>
      </c>
      <c r="M50" s="105" t="e">
        <f t="shared" si="7"/>
        <v>#REF!</v>
      </c>
      <c r="N50" s="105" t="e">
        <f>VLOOKUP(A50,#REF!,46,FALSE)</f>
        <v>#REF!</v>
      </c>
      <c r="O50" s="106" t="e">
        <f>VLOOKUP(A50,#REF!,9,FALSE)</f>
        <v>#REF!</v>
      </c>
      <c r="P50" s="114" t="e">
        <f>#REF!</f>
        <v>#REF!</v>
      </c>
      <c r="Q50" s="114" t="e">
        <f>VLOOKUP(A50,#REF!,12,FALSE)</f>
        <v>#REF!</v>
      </c>
      <c r="R50" s="120" t="e">
        <f>#REF!</f>
        <v>#REF!</v>
      </c>
      <c r="S50" s="106" t="e">
        <f>IF(Q50=0,#REF!,ROUND(Q50*R50,4))</f>
        <v>#REF!</v>
      </c>
      <c r="T50" s="121" t="e">
        <f>VLOOKUP($A50,#REF!,15,FALSE)</f>
        <v>#REF!</v>
      </c>
      <c r="U50" s="121" t="e">
        <f>VLOOKUP($A50,#REF!,19,FALSE)</f>
        <v>#REF!</v>
      </c>
      <c r="V50" s="109" t="e">
        <f t="shared" si="8"/>
        <v>#REF!</v>
      </c>
      <c r="W50" s="109" t="e">
        <f t="shared" si="9"/>
        <v>#REF!</v>
      </c>
      <c r="X50" s="105" t="e">
        <f t="shared" si="10"/>
        <v>#REF!</v>
      </c>
      <c r="Y50" s="113" t="e">
        <f t="shared" si="11"/>
        <v>#REF!</v>
      </c>
      <c r="Z50" s="109" t="e">
        <f t="shared" si="12"/>
        <v>#REF!</v>
      </c>
      <c r="AA50" s="113" t="e">
        <f t="shared" si="13"/>
        <v>#REF!</v>
      </c>
      <c r="AB50" s="109" t="e">
        <f t="shared" si="14"/>
        <v>#REF!</v>
      </c>
      <c r="AC50" s="113" t="e">
        <f t="shared" si="15"/>
        <v>#REF!</v>
      </c>
      <c r="AD50" s="105" t="e">
        <f t="shared" si="16"/>
        <v>#REF!</v>
      </c>
      <c r="AE50" s="105" t="e">
        <f t="shared" si="2"/>
        <v>#REF!</v>
      </c>
      <c r="AF50" s="105" t="e">
        <f t="shared" si="3"/>
        <v>#REF!</v>
      </c>
      <c r="AG50" s="105" t="e">
        <f t="shared" si="4"/>
        <v>#REF!</v>
      </c>
      <c r="AH50" s="111" t="e">
        <f>VLOOKUP($A50,#REF!,5,FALSE)</f>
        <v>#REF!</v>
      </c>
      <c r="AI50" s="111" t="e">
        <f>VLOOKUP($A50,#REF!,6,FALSE)</f>
        <v>#REF!</v>
      </c>
      <c r="AJ50" s="109" t="e">
        <f t="shared" si="17"/>
        <v>#REF!</v>
      </c>
      <c r="AK50" s="109" t="e">
        <f t="shared" si="18"/>
        <v>#REF!</v>
      </c>
      <c r="AL50" s="109"/>
      <c r="AM50" s="105"/>
      <c r="AN50" s="105"/>
      <c r="AO50" s="109"/>
      <c r="AP50" s="110"/>
      <c r="AQ50" s="110"/>
      <c r="AR50" s="110"/>
      <c r="AS50" s="110"/>
      <c r="AT50" s="110"/>
      <c r="AU50" s="112"/>
      <c r="AV50" s="112"/>
      <c r="AW50" s="110"/>
      <c r="AX50" s="105"/>
      <c r="AY50" s="105"/>
      <c r="AZ50" s="105"/>
      <c r="BA50" s="105"/>
      <c r="BB50" s="105"/>
      <c r="BC50" s="105"/>
    </row>
    <row r="51" spans="1:55" x14ac:dyDescent="0.15">
      <c r="A51" s="221">
        <v>74</v>
      </c>
      <c r="B51" s="98" t="e">
        <f>VLOOKUP($A51,#REF!,84,FALSE)</f>
        <v>#REF!</v>
      </c>
      <c r="C51" s="98" t="e">
        <f>VLOOKUP($A51,#REF!,85,FALSE)</f>
        <v>#REF!</v>
      </c>
      <c r="D51" s="98" t="e">
        <f>VLOOKUP($A51,#REF!,5,FALSE)</f>
        <v>#REF!</v>
      </c>
      <c r="E51" s="98" t="e">
        <f>VLOOKUP($A51,#REF!,6,FALSE)</f>
        <v>#REF!</v>
      </c>
      <c r="F51" s="105" t="e">
        <f>VLOOKUP($A51,#REF!,34,FALSE)</f>
        <v>#REF!</v>
      </c>
      <c r="G51" s="105" t="e">
        <f>VLOOKUP($A51,#REF!,29,FALSE)</f>
        <v>#REF!</v>
      </c>
      <c r="H51" s="105" t="e">
        <f>VLOOKUP(A51,#REF!,35,FALSE)+VLOOKUP(A51,#REF!,41,FALSE)</f>
        <v>#REF!</v>
      </c>
      <c r="I51" s="105" t="e">
        <f t="shared" si="5"/>
        <v>#REF!</v>
      </c>
      <c r="J51" s="105" t="e">
        <f>VLOOKUP(A51,#REF!,42,FALSE)</f>
        <v>#REF!</v>
      </c>
      <c r="K51" s="105" t="e">
        <f t="shared" si="6"/>
        <v>#REF!</v>
      </c>
      <c r="L51" s="164" t="e">
        <f t="shared" si="1"/>
        <v>#REF!</v>
      </c>
      <c r="M51" s="105" t="e">
        <f t="shared" si="7"/>
        <v>#REF!</v>
      </c>
      <c r="N51" s="105" t="e">
        <f>VLOOKUP(A51,#REF!,46,FALSE)</f>
        <v>#REF!</v>
      </c>
      <c r="O51" s="106" t="e">
        <f>VLOOKUP(A51,#REF!,9,FALSE)</f>
        <v>#REF!</v>
      </c>
      <c r="P51" s="114" t="e">
        <f>#REF!</f>
        <v>#REF!</v>
      </c>
      <c r="Q51" s="114" t="e">
        <f>VLOOKUP(A51,#REF!,12,FALSE)</f>
        <v>#REF!</v>
      </c>
      <c r="R51" s="120" t="e">
        <f>#REF!</f>
        <v>#REF!</v>
      </c>
      <c r="S51" s="106" t="e">
        <f>IF(Q51=0,#REF!,ROUND(Q51*R51,4))</f>
        <v>#REF!</v>
      </c>
      <c r="T51" s="121" t="e">
        <f>VLOOKUP($A51,#REF!,15,FALSE)</f>
        <v>#REF!</v>
      </c>
      <c r="U51" s="121" t="e">
        <f>VLOOKUP($A51,#REF!,19,FALSE)</f>
        <v>#REF!</v>
      </c>
      <c r="V51" s="109" t="e">
        <f t="shared" si="8"/>
        <v>#REF!</v>
      </c>
      <c r="W51" s="109" t="e">
        <f t="shared" si="9"/>
        <v>#REF!</v>
      </c>
      <c r="X51" s="105" t="e">
        <f t="shared" si="10"/>
        <v>#REF!</v>
      </c>
      <c r="Y51" s="113" t="e">
        <f t="shared" si="11"/>
        <v>#REF!</v>
      </c>
      <c r="Z51" s="109" t="e">
        <f t="shared" si="12"/>
        <v>#REF!</v>
      </c>
      <c r="AA51" s="113" t="e">
        <f t="shared" si="13"/>
        <v>#REF!</v>
      </c>
      <c r="AB51" s="109" t="e">
        <f t="shared" si="14"/>
        <v>#REF!</v>
      </c>
      <c r="AC51" s="113" t="e">
        <f t="shared" si="15"/>
        <v>#REF!</v>
      </c>
      <c r="AD51" s="105" t="e">
        <f t="shared" si="16"/>
        <v>#REF!</v>
      </c>
      <c r="AE51" s="105" t="e">
        <f t="shared" si="2"/>
        <v>#REF!</v>
      </c>
      <c r="AF51" s="105" t="e">
        <f t="shared" si="3"/>
        <v>#REF!</v>
      </c>
      <c r="AG51" s="105" t="e">
        <f t="shared" si="4"/>
        <v>#REF!</v>
      </c>
      <c r="AH51" s="111" t="e">
        <f>VLOOKUP($A51,#REF!,5,FALSE)</f>
        <v>#REF!</v>
      </c>
      <c r="AI51" s="111" t="e">
        <f>VLOOKUP($A51,#REF!,6,FALSE)</f>
        <v>#REF!</v>
      </c>
      <c r="AJ51" s="109" t="e">
        <f t="shared" si="17"/>
        <v>#REF!</v>
      </c>
      <c r="AK51" s="109" t="e">
        <f t="shared" si="18"/>
        <v>#REF!</v>
      </c>
      <c r="AL51" s="109"/>
      <c r="AM51" s="105"/>
      <c r="AN51" s="105"/>
      <c r="AO51" s="109"/>
      <c r="AP51" s="110"/>
      <c r="AQ51" s="110"/>
      <c r="AR51" s="110"/>
      <c r="AS51" s="110"/>
      <c r="AT51" s="110"/>
      <c r="AU51" s="112"/>
      <c r="AV51" s="112"/>
      <c r="AW51" s="110"/>
      <c r="AX51" s="105"/>
      <c r="AY51" s="105"/>
      <c r="AZ51" s="105"/>
      <c r="BA51" s="105"/>
      <c r="BB51" s="105"/>
      <c r="BC51" s="105"/>
    </row>
    <row r="52" spans="1:55" x14ac:dyDescent="0.15">
      <c r="A52" s="221">
        <v>785</v>
      </c>
      <c r="B52" s="98" t="e">
        <f>VLOOKUP($A52,#REF!,84,FALSE)</f>
        <v>#REF!</v>
      </c>
      <c r="C52" s="98" t="e">
        <f>VLOOKUP($A52,#REF!,85,FALSE)</f>
        <v>#REF!</v>
      </c>
      <c r="D52" s="98" t="e">
        <f>VLOOKUP($A52,#REF!,5,FALSE)</f>
        <v>#REF!</v>
      </c>
      <c r="E52" s="98" t="e">
        <f>VLOOKUP($A52,#REF!,6,FALSE)</f>
        <v>#REF!</v>
      </c>
      <c r="F52" s="105" t="e">
        <f>VLOOKUP($A52,#REF!,34,FALSE)</f>
        <v>#REF!</v>
      </c>
      <c r="G52" s="105" t="e">
        <f>VLOOKUP($A52,#REF!,29,FALSE)</f>
        <v>#REF!</v>
      </c>
      <c r="H52" s="105" t="e">
        <f>VLOOKUP(A52,#REF!,35,FALSE)+VLOOKUP(A52,#REF!,41,FALSE)</f>
        <v>#REF!</v>
      </c>
      <c r="I52" s="105" t="e">
        <f t="shared" si="5"/>
        <v>#REF!</v>
      </c>
      <c r="J52" s="105" t="e">
        <f>VLOOKUP(A52,#REF!,42,FALSE)</f>
        <v>#REF!</v>
      </c>
      <c r="K52" s="105" t="e">
        <f t="shared" si="6"/>
        <v>#REF!</v>
      </c>
      <c r="L52" s="164" t="e">
        <f t="shared" si="1"/>
        <v>#REF!</v>
      </c>
      <c r="M52" s="105" t="e">
        <f t="shared" si="7"/>
        <v>#REF!</v>
      </c>
      <c r="N52" s="105" t="e">
        <f>VLOOKUP(A52,#REF!,46,FALSE)</f>
        <v>#REF!</v>
      </c>
      <c r="O52" s="106" t="e">
        <f>VLOOKUP(A52,#REF!,9,FALSE)</f>
        <v>#REF!</v>
      </c>
      <c r="P52" s="114" t="e">
        <f>#REF!</f>
        <v>#REF!</v>
      </c>
      <c r="Q52" s="114" t="e">
        <f>VLOOKUP(A52,#REF!,12,FALSE)</f>
        <v>#REF!</v>
      </c>
      <c r="R52" s="120" t="e">
        <f>#REF!</f>
        <v>#REF!</v>
      </c>
      <c r="S52" s="106" t="e">
        <f>IF(Q52=0,#REF!,ROUND(Q52*R52,4))</f>
        <v>#REF!</v>
      </c>
      <c r="T52" s="121" t="e">
        <f>VLOOKUP($A52,#REF!,15,FALSE)</f>
        <v>#REF!</v>
      </c>
      <c r="U52" s="121" t="e">
        <f>VLOOKUP($A52,#REF!,19,FALSE)</f>
        <v>#REF!</v>
      </c>
      <c r="V52" s="109" t="e">
        <f t="shared" si="8"/>
        <v>#REF!</v>
      </c>
      <c r="W52" s="109" t="e">
        <f t="shared" si="9"/>
        <v>#REF!</v>
      </c>
      <c r="X52" s="105" t="e">
        <f t="shared" si="10"/>
        <v>#REF!</v>
      </c>
      <c r="Y52" s="113" t="e">
        <f t="shared" si="11"/>
        <v>#REF!</v>
      </c>
      <c r="Z52" s="109" t="e">
        <f t="shared" si="12"/>
        <v>#REF!</v>
      </c>
      <c r="AA52" s="113" t="e">
        <f t="shared" si="13"/>
        <v>#REF!</v>
      </c>
      <c r="AB52" s="109" t="e">
        <f t="shared" si="14"/>
        <v>#REF!</v>
      </c>
      <c r="AC52" s="113" t="e">
        <f t="shared" si="15"/>
        <v>#REF!</v>
      </c>
      <c r="AD52" s="105" t="e">
        <f t="shared" si="16"/>
        <v>#REF!</v>
      </c>
      <c r="AE52" s="105" t="e">
        <f t="shared" si="2"/>
        <v>#REF!</v>
      </c>
      <c r="AF52" s="105" t="e">
        <f t="shared" si="3"/>
        <v>#REF!</v>
      </c>
      <c r="AG52" s="105" t="e">
        <f t="shared" si="4"/>
        <v>#REF!</v>
      </c>
      <c r="AH52" s="111" t="e">
        <f>VLOOKUP($A52,#REF!,5,FALSE)</f>
        <v>#REF!</v>
      </c>
      <c r="AI52" s="111" t="e">
        <f>VLOOKUP($A52,#REF!,6,FALSE)</f>
        <v>#REF!</v>
      </c>
      <c r="AJ52" s="109" t="e">
        <f t="shared" si="17"/>
        <v>#REF!</v>
      </c>
      <c r="AK52" s="109" t="e">
        <f t="shared" si="18"/>
        <v>#REF!</v>
      </c>
      <c r="AL52" s="109"/>
      <c r="AM52" s="105"/>
      <c r="AN52" s="105"/>
      <c r="AO52" s="109"/>
      <c r="AP52" s="110"/>
      <c r="AQ52" s="110"/>
      <c r="AR52" s="110"/>
      <c r="AS52" s="110"/>
      <c r="AT52" s="110"/>
      <c r="AU52" s="112"/>
      <c r="AV52" s="112"/>
      <c r="AW52" s="110"/>
      <c r="AX52" s="105"/>
      <c r="AY52" s="105"/>
      <c r="AZ52" s="105"/>
      <c r="BA52" s="105"/>
      <c r="BB52" s="105"/>
      <c r="BC52" s="105"/>
    </row>
    <row r="53" spans="1:55" x14ac:dyDescent="0.15">
      <c r="A53" s="221">
        <v>76</v>
      </c>
      <c r="B53" s="98" t="e">
        <f>VLOOKUP($A53,#REF!,84,FALSE)</f>
        <v>#REF!</v>
      </c>
      <c r="C53" s="98" t="e">
        <f>VLOOKUP($A53,#REF!,85,FALSE)</f>
        <v>#REF!</v>
      </c>
      <c r="D53" s="98" t="e">
        <f>VLOOKUP($A53,#REF!,5,FALSE)</f>
        <v>#REF!</v>
      </c>
      <c r="E53" s="98" t="e">
        <f>VLOOKUP($A53,#REF!,6,FALSE)</f>
        <v>#REF!</v>
      </c>
      <c r="F53" s="105" t="e">
        <f>VLOOKUP($A53,#REF!,34,FALSE)</f>
        <v>#REF!</v>
      </c>
      <c r="G53" s="105" t="e">
        <f>VLOOKUP($A53,#REF!,29,FALSE)</f>
        <v>#REF!</v>
      </c>
      <c r="H53" s="105" t="e">
        <f>VLOOKUP(A53,#REF!,35,FALSE)+VLOOKUP(A53,#REF!,41,FALSE)</f>
        <v>#REF!</v>
      </c>
      <c r="I53" s="105" t="e">
        <f t="shared" si="5"/>
        <v>#REF!</v>
      </c>
      <c r="J53" s="105" t="e">
        <f>VLOOKUP(A53,#REF!,42,FALSE)</f>
        <v>#REF!</v>
      </c>
      <c r="K53" s="105" t="e">
        <f t="shared" si="6"/>
        <v>#REF!</v>
      </c>
      <c r="L53" s="164" t="e">
        <f t="shared" si="1"/>
        <v>#REF!</v>
      </c>
      <c r="M53" s="105" t="e">
        <f t="shared" si="7"/>
        <v>#REF!</v>
      </c>
      <c r="N53" s="105" t="e">
        <f>VLOOKUP(A53,#REF!,46,FALSE)</f>
        <v>#REF!</v>
      </c>
      <c r="O53" s="106" t="e">
        <f>VLOOKUP(A53,#REF!,9,FALSE)</f>
        <v>#REF!</v>
      </c>
      <c r="P53" s="114" t="e">
        <f>#REF!</f>
        <v>#REF!</v>
      </c>
      <c r="Q53" s="114" t="e">
        <f>VLOOKUP(A53,#REF!,12,FALSE)</f>
        <v>#REF!</v>
      </c>
      <c r="R53" s="120" t="e">
        <f>#REF!</f>
        <v>#REF!</v>
      </c>
      <c r="S53" s="106" t="e">
        <f>IF(Q53=0,#REF!,ROUND(Q53*R53,4))</f>
        <v>#REF!</v>
      </c>
      <c r="T53" s="121" t="e">
        <f>VLOOKUP($A53,#REF!,15,FALSE)</f>
        <v>#REF!</v>
      </c>
      <c r="U53" s="121" t="e">
        <f>VLOOKUP($A53,#REF!,19,FALSE)</f>
        <v>#REF!</v>
      </c>
      <c r="V53" s="109" t="e">
        <f t="shared" si="8"/>
        <v>#REF!</v>
      </c>
      <c r="W53" s="109" t="e">
        <f t="shared" si="9"/>
        <v>#REF!</v>
      </c>
      <c r="X53" s="105" t="e">
        <f t="shared" si="10"/>
        <v>#REF!</v>
      </c>
      <c r="Y53" s="113" t="e">
        <f t="shared" si="11"/>
        <v>#REF!</v>
      </c>
      <c r="Z53" s="109" t="e">
        <f t="shared" si="12"/>
        <v>#REF!</v>
      </c>
      <c r="AA53" s="113" t="e">
        <f t="shared" si="13"/>
        <v>#REF!</v>
      </c>
      <c r="AB53" s="109" t="e">
        <f t="shared" si="14"/>
        <v>#REF!</v>
      </c>
      <c r="AC53" s="113" t="e">
        <f t="shared" si="15"/>
        <v>#REF!</v>
      </c>
      <c r="AD53" s="105" t="e">
        <f t="shared" si="16"/>
        <v>#REF!</v>
      </c>
      <c r="AE53" s="105" t="e">
        <f t="shared" si="2"/>
        <v>#REF!</v>
      </c>
      <c r="AF53" s="105" t="e">
        <f t="shared" si="3"/>
        <v>#REF!</v>
      </c>
      <c r="AG53" s="105" t="e">
        <f t="shared" si="4"/>
        <v>#REF!</v>
      </c>
      <c r="AH53" s="111" t="e">
        <f>VLOOKUP($A53,#REF!,5,FALSE)</f>
        <v>#REF!</v>
      </c>
      <c r="AI53" s="111" t="e">
        <f>VLOOKUP($A53,#REF!,6,FALSE)</f>
        <v>#REF!</v>
      </c>
      <c r="AJ53" s="109" t="e">
        <f t="shared" si="17"/>
        <v>#REF!</v>
      </c>
      <c r="AK53" s="109" t="e">
        <f t="shared" si="18"/>
        <v>#REF!</v>
      </c>
      <c r="AL53" s="109"/>
      <c r="AM53" s="105"/>
      <c r="AN53" s="105"/>
      <c r="AO53" s="109"/>
      <c r="AP53" s="110"/>
      <c r="AQ53" s="110"/>
      <c r="AR53" s="110"/>
      <c r="AS53" s="110"/>
      <c r="AT53" s="110"/>
      <c r="AU53" s="112"/>
      <c r="AV53" s="112"/>
      <c r="AW53" s="110"/>
      <c r="AX53" s="105"/>
      <c r="AY53" s="105"/>
      <c r="AZ53" s="105"/>
      <c r="BA53" s="105"/>
      <c r="BB53" s="105"/>
      <c r="BC53" s="105"/>
    </row>
    <row r="54" spans="1:55" x14ac:dyDescent="0.15">
      <c r="A54" s="221">
        <v>82</v>
      </c>
      <c r="B54" s="98" t="e">
        <f>VLOOKUP($A54,#REF!,84,FALSE)</f>
        <v>#REF!</v>
      </c>
      <c r="C54" s="98" t="e">
        <f>VLOOKUP($A54,#REF!,85,FALSE)</f>
        <v>#REF!</v>
      </c>
      <c r="D54" s="98" t="e">
        <f>VLOOKUP($A54,#REF!,5,FALSE)</f>
        <v>#REF!</v>
      </c>
      <c r="E54" s="98" t="e">
        <f>VLOOKUP($A54,#REF!,6,FALSE)</f>
        <v>#REF!</v>
      </c>
      <c r="F54" s="105" t="e">
        <f>VLOOKUP($A54,#REF!,34,FALSE)</f>
        <v>#REF!</v>
      </c>
      <c r="G54" s="105" t="e">
        <f>VLOOKUP($A54,#REF!,29,FALSE)</f>
        <v>#REF!</v>
      </c>
      <c r="H54" s="105" t="e">
        <f>VLOOKUP(A54,#REF!,35,FALSE)+VLOOKUP(A54,#REF!,41,FALSE)</f>
        <v>#REF!</v>
      </c>
      <c r="I54" s="105" t="e">
        <f t="shared" si="5"/>
        <v>#REF!</v>
      </c>
      <c r="J54" s="105" t="e">
        <f>VLOOKUP(A54,#REF!,42,FALSE)</f>
        <v>#REF!</v>
      </c>
      <c r="K54" s="105" t="e">
        <f t="shared" si="6"/>
        <v>#REF!</v>
      </c>
      <c r="L54" s="164" t="e">
        <f t="shared" si="1"/>
        <v>#REF!</v>
      </c>
      <c r="M54" s="105" t="e">
        <f t="shared" si="7"/>
        <v>#REF!</v>
      </c>
      <c r="N54" s="105" t="e">
        <f>VLOOKUP(A54,#REF!,46,FALSE)</f>
        <v>#REF!</v>
      </c>
      <c r="O54" s="106" t="e">
        <f>VLOOKUP(A54,#REF!,9,FALSE)</f>
        <v>#REF!</v>
      </c>
      <c r="P54" s="114" t="e">
        <f>#REF!</f>
        <v>#REF!</v>
      </c>
      <c r="Q54" s="114" t="e">
        <f>VLOOKUP(A54,#REF!,12,FALSE)</f>
        <v>#REF!</v>
      </c>
      <c r="R54" s="120" t="e">
        <f>#REF!</f>
        <v>#REF!</v>
      </c>
      <c r="S54" s="106" t="e">
        <f>IF(Q54=0,#REF!,ROUND(Q54*R54,4))</f>
        <v>#REF!</v>
      </c>
      <c r="T54" s="121" t="e">
        <f>VLOOKUP($A54,#REF!,15,FALSE)</f>
        <v>#REF!</v>
      </c>
      <c r="U54" s="121" t="e">
        <f>VLOOKUP($A54,#REF!,19,FALSE)</f>
        <v>#REF!</v>
      </c>
      <c r="V54" s="109" t="e">
        <f t="shared" si="8"/>
        <v>#REF!</v>
      </c>
      <c r="W54" s="109" t="e">
        <f t="shared" si="9"/>
        <v>#REF!</v>
      </c>
      <c r="X54" s="105" t="e">
        <f t="shared" si="10"/>
        <v>#REF!</v>
      </c>
      <c r="Y54" s="113" t="e">
        <f t="shared" si="11"/>
        <v>#REF!</v>
      </c>
      <c r="Z54" s="109" t="e">
        <f t="shared" si="12"/>
        <v>#REF!</v>
      </c>
      <c r="AA54" s="113" t="e">
        <f t="shared" si="13"/>
        <v>#REF!</v>
      </c>
      <c r="AB54" s="109" t="e">
        <f t="shared" si="14"/>
        <v>#REF!</v>
      </c>
      <c r="AC54" s="113" t="e">
        <f t="shared" si="15"/>
        <v>#REF!</v>
      </c>
      <c r="AD54" s="105" t="e">
        <f t="shared" si="16"/>
        <v>#REF!</v>
      </c>
      <c r="AE54" s="105" t="e">
        <f t="shared" si="2"/>
        <v>#REF!</v>
      </c>
      <c r="AF54" s="105" t="e">
        <f t="shared" si="3"/>
        <v>#REF!</v>
      </c>
      <c r="AG54" s="105" t="e">
        <f t="shared" si="4"/>
        <v>#REF!</v>
      </c>
      <c r="AH54" s="111" t="e">
        <f>VLOOKUP($A54,#REF!,5,FALSE)</f>
        <v>#REF!</v>
      </c>
      <c r="AI54" s="111" t="e">
        <f>VLOOKUP($A54,#REF!,6,FALSE)</f>
        <v>#REF!</v>
      </c>
      <c r="AJ54" s="109" t="e">
        <f t="shared" si="17"/>
        <v>#REF!</v>
      </c>
      <c r="AK54" s="109" t="e">
        <f t="shared" si="18"/>
        <v>#REF!</v>
      </c>
      <c r="AL54" s="109"/>
      <c r="AM54" s="105"/>
      <c r="AN54" s="105"/>
      <c r="AO54" s="109"/>
      <c r="AP54" s="110"/>
      <c r="AQ54" s="110"/>
      <c r="AR54" s="110"/>
      <c r="AS54" s="110"/>
      <c r="AT54" s="110"/>
      <c r="AU54" s="112"/>
      <c r="AV54" s="112"/>
      <c r="AW54" s="110"/>
      <c r="AX54" s="105"/>
      <c r="AY54" s="105"/>
      <c r="AZ54" s="105"/>
      <c r="BA54" s="105"/>
      <c r="BB54" s="105"/>
      <c r="BC54" s="105"/>
    </row>
    <row r="55" spans="1:55" x14ac:dyDescent="0.15">
      <c r="A55" s="221">
        <v>1421</v>
      </c>
      <c r="B55" s="98" t="e">
        <f>VLOOKUP($A55,#REF!,84,FALSE)</f>
        <v>#REF!</v>
      </c>
      <c r="C55" s="98" t="e">
        <f>VLOOKUP($A55,#REF!,85,FALSE)</f>
        <v>#REF!</v>
      </c>
      <c r="D55" s="98" t="e">
        <f>VLOOKUP($A55,#REF!,5,FALSE)</f>
        <v>#REF!</v>
      </c>
      <c r="E55" s="98" t="e">
        <f>VLOOKUP($A55,#REF!,6,FALSE)</f>
        <v>#REF!</v>
      </c>
      <c r="F55" s="105" t="e">
        <f>VLOOKUP($A55,#REF!,34,FALSE)</f>
        <v>#REF!</v>
      </c>
      <c r="G55" s="105" t="e">
        <f>VLOOKUP($A55,#REF!,29,FALSE)</f>
        <v>#REF!</v>
      </c>
      <c r="H55" s="105" t="e">
        <f>VLOOKUP(A55,#REF!,35,FALSE)+VLOOKUP(A55,#REF!,41,FALSE)</f>
        <v>#REF!</v>
      </c>
      <c r="I55" s="105" t="e">
        <f t="shared" si="5"/>
        <v>#REF!</v>
      </c>
      <c r="J55" s="105" t="e">
        <f>VLOOKUP(A55,#REF!,42,FALSE)</f>
        <v>#REF!</v>
      </c>
      <c r="K55" s="105" t="e">
        <f t="shared" si="6"/>
        <v>#REF!</v>
      </c>
      <c r="L55" s="164" t="e">
        <f t="shared" si="1"/>
        <v>#REF!</v>
      </c>
      <c r="M55" s="105" t="e">
        <f t="shared" si="7"/>
        <v>#REF!</v>
      </c>
      <c r="N55" s="105" t="e">
        <f>VLOOKUP(A55,#REF!,46,FALSE)</f>
        <v>#REF!</v>
      </c>
      <c r="O55" s="106" t="e">
        <f>VLOOKUP(A55,#REF!,9,FALSE)</f>
        <v>#REF!</v>
      </c>
      <c r="P55" s="114" t="e">
        <f>#REF!</f>
        <v>#REF!</v>
      </c>
      <c r="Q55" s="114" t="e">
        <f>VLOOKUP(A55,#REF!,12,FALSE)</f>
        <v>#REF!</v>
      </c>
      <c r="R55" s="120" t="e">
        <f>#REF!</f>
        <v>#REF!</v>
      </c>
      <c r="S55" s="106" t="e">
        <f>IF(Q55=0,#REF!,ROUND(Q55*R55,4))</f>
        <v>#REF!</v>
      </c>
      <c r="T55" s="121" t="e">
        <f>VLOOKUP($A55,#REF!,15,FALSE)</f>
        <v>#REF!</v>
      </c>
      <c r="U55" s="121" t="e">
        <f>VLOOKUP($A55,#REF!,19,FALSE)</f>
        <v>#REF!</v>
      </c>
      <c r="V55" s="109" t="e">
        <f t="shared" si="8"/>
        <v>#REF!</v>
      </c>
      <c r="W55" s="109" t="e">
        <f t="shared" si="9"/>
        <v>#REF!</v>
      </c>
      <c r="X55" s="105" t="e">
        <f t="shared" si="10"/>
        <v>#REF!</v>
      </c>
      <c r="Y55" s="113" t="e">
        <f t="shared" si="11"/>
        <v>#REF!</v>
      </c>
      <c r="Z55" s="109" t="e">
        <f t="shared" si="12"/>
        <v>#REF!</v>
      </c>
      <c r="AA55" s="113" t="e">
        <f t="shared" si="13"/>
        <v>#REF!</v>
      </c>
      <c r="AB55" s="109" t="e">
        <f t="shared" si="14"/>
        <v>#REF!</v>
      </c>
      <c r="AC55" s="113" t="e">
        <f t="shared" si="15"/>
        <v>#REF!</v>
      </c>
      <c r="AD55" s="105" t="e">
        <f t="shared" si="16"/>
        <v>#REF!</v>
      </c>
      <c r="AE55" s="105" t="e">
        <f t="shared" si="2"/>
        <v>#REF!</v>
      </c>
      <c r="AF55" s="105" t="e">
        <f t="shared" si="3"/>
        <v>#REF!</v>
      </c>
      <c r="AG55" s="105" t="e">
        <f t="shared" si="4"/>
        <v>#REF!</v>
      </c>
      <c r="AH55" s="111" t="e">
        <f>VLOOKUP($A55,#REF!,5,FALSE)</f>
        <v>#REF!</v>
      </c>
      <c r="AI55" s="111" t="e">
        <f>VLOOKUP($A55,#REF!,6,FALSE)</f>
        <v>#REF!</v>
      </c>
      <c r="AJ55" s="109" t="e">
        <f t="shared" si="17"/>
        <v>#REF!</v>
      </c>
      <c r="AK55" s="109" t="e">
        <f t="shared" si="18"/>
        <v>#REF!</v>
      </c>
      <c r="AL55" s="109"/>
      <c r="AM55" s="105"/>
      <c r="AN55" s="105"/>
      <c r="AO55" s="109"/>
      <c r="AP55" s="110"/>
      <c r="AQ55" s="110"/>
      <c r="AR55" s="110"/>
      <c r="AS55" s="110"/>
      <c r="AT55" s="110"/>
      <c r="AU55" s="112"/>
      <c r="AV55" s="112"/>
      <c r="AW55" s="110"/>
      <c r="AX55" s="105"/>
      <c r="AY55" s="105"/>
      <c r="AZ55" s="105"/>
      <c r="BA55" s="105"/>
      <c r="BB55" s="105"/>
      <c r="BC55" s="105"/>
    </row>
    <row r="56" spans="1:55" x14ac:dyDescent="0.15">
      <c r="A56" s="221">
        <v>84</v>
      </c>
      <c r="B56" s="98" t="e">
        <f>VLOOKUP($A56,#REF!,84,FALSE)</f>
        <v>#REF!</v>
      </c>
      <c r="C56" s="98" t="e">
        <f>VLOOKUP($A56,#REF!,85,FALSE)</f>
        <v>#REF!</v>
      </c>
      <c r="D56" s="98" t="e">
        <f>VLOOKUP($A56,#REF!,5,FALSE)</f>
        <v>#REF!</v>
      </c>
      <c r="E56" s="98" t="e">
        <f>VLOOKUP($A56,#REF!,6,FALSE)</f>
        <v>#REF!</v>
      </c>
      <c r="F56" s="105" t="e">
        <f>VLOOKUP($A56,#REF!,34,FALSE)</f>
        <v>#REF!</v>
      </c>
      <c r="G56" s="105" t="e">
        <f>VLOOKUP($A56,#REF!,29,FALSE)</f>
        <v>#REF!</v>
      </c>
      <c r="H56" s="105" t="e">
        <f>VLOOKUP(A56,#REF!,35,FALSE)+VLOOKUP(A56,#REF!,41,FALSE)</f>
        <v>#REF!</v>
      </c>
      <c r="I56" s="105" t="e">
        <f t="shared" si="5"/>
        <v>#REF!</v>
      </c>
      <c r="J56" s="105" t="e">
        <f>VLOOKUP(A56,#REF!,42,FALSE)</f>
        <v>#REF!</v>
      </c>
      <c r="K56" s="105" t="e">
        <f t="shared" si="6"/>
        <v>#REF!</v>
      </c>
      <c r="L56" s="164" t="e">
        <f t="shared" si="1"/>
        <v>#REF!</v>
      </c>
      <c r="M56" s="105" t="e">
        <f t="shared" si="7"/>
        <v>#REF!</v>
      </c>
      <c r="N56" s="105" t="e">
        <f>VLOOKUP(A56,#REF!,46,FALSE)</f>
        <v>#REF!</v>
      </c>
      <c r="O56" s="106" t="e">
        <f>VLOOKUP(A56,#REF!,9,FALSE)</f>
        <v>#REF!</v>
      </c>
      <c r="P56" s="114" t="e">
        <f>#REF!</f>
        <v>#REF!</v>
      </c>
      <c r="Q56" s="114" t="e">
        <f>VLOOKUP(A56,#REF!,12,FALSE)</f>
        <v>#REF!</v>
      </c>
      <c r="R56" s="120" t="e">
        <f>#REF!</f>
        <v>#REF!</v>
      </c>
      <c r="S56" s="106" t="e">
        <f>IF(Q56=0,#REF!,ROUND(Q56*R56,4))</f>
        <v>#REF!</v>
      </c>
      <c r="T56" s="121" t="e">
        <f>VLOOKUP($A56,#REF!,15,FALSE)</f>
        <v>#REF!</v>
      </c>
      <c r="U56" s="121" t="e">
        <f>VLOOKUP($A56,#REF!,19,FALSE)</f>
        <v>#REF!</v>
      </c>
      <c r="V56" s="109" t="e">
        <f t="shared" si="8"/>
        <v>#REF!</v>
      </c>
      <c r="W56" s="109" t="e">
        <f t="shared" si="9"/>
        <v>#REF!</v>
      </c>
      <c r="X56" s="105" t="e">
        <f t="shared" si="10"/>
        <v>#REF!</v>
      </c>
      <c r="Y56" s="113" t="e">
        <f t="shared" si="11"/>
        <v>#REF!</v>
      </c>
      <c r="Z56" s="109" t="e">
        <f t="shared" si="12"/>
        <v>#REF!</v>
      </c>
      <c r="AA56" s="113" t="e">
        <f t="shared" si="13"/>
        <v>#REF!</v>
      </c>
      <c r="AB56" s="109" t="e">
        <f t="shared" si="14"/>
        <v>#REF!</v>
      </c>
      <c r="AC56" s="113" t="e">
        <f t="shared" si="15"/>
        <v>#REF!</v>
      </c>
      <c r="AD56" s="105" t="e">
        <f t="shared" si="16"/>
        <v>#REF!</v>
      </c>
      <c r="AE56" s="105" t="e">
        <f t="shared" si="2"/>
        <v>#REF!</v>
      </c>
      <c r="AF56" s="105" t="e">
        <f t="shared" si="3"/>
        <v>#REF!</v>
      </c>
      <c r="AG56" s="105" t="e">
        <f t="shared" si="4"/>
        <v>#REF!</v>
      </c>
      <c r="AH56" s="111" t="e">
        <f>VLOOKUP($A56,#REF!,5,FALSE)</f>
        <v>#REF!</v>
      </c>
      <c r="AI56" s="111" t="e">
        <f>VLOOKUP($A56,#REF!,6,FALSE)</f>
        <v>#REF!</v>
      </c>
      <c r="AJ56" s="109" t="e">
        <f t="shared" si="17"/>
        <v>#REF!</v>
      </c>
      <c r="AK56" s="109" t="e">
        <f t="shared" si="18"/>
        <v>#REF!</v>
      </c>
      <c r="AL56" s="109"/>
      <c r="AM56" s="105"/>
      <c r="AN56" s="105"/>
      <c r="AO56" s="109"/>
      <c r="AP56" s="110"/>
      <c r="AQ56" s="110"/>
      <c r="AR56" s="110"/>
      <c r="AS56" s="110"/>
      <c r="AT56" s="110"/>
      <c r="AU56" s="112"/>
      <c r="AV56" s="112"/>
      <c r="AW56" s="110"/>
      <c r="AX56" s="105"/>
      <c r="AY56" s="105"/>
      <c r="AZ56" s="105"/>
      <c r="BA56" s="105"/>
      <c r="BB56" s="105"/>
      <c r="BC56" s="105"/>
    </row>
    <row r="57" spans="1:55" x14ac:dyDescent="0.15">
      <c r="A57" s="221">
        <v>86</v>
      </c>
      <c r="B57" s="98" t="e">
        <f>VLOOKUP($A57,#REF!,84,FALSE)</f>
        <v>#REF!</v>
      </c>
      <c r="C57" s="98" t="e">
        <f>VLOOKUP($A57,#REF!,85,FALSE)</f>
        <v>#REF!</v>
      </c>
      <c r="D57" s="98" t="e">
        <f>VLOOKUP($A57,#REF!,5,FALSE)</f>
        <v>#REF!</v>
      </c>
      <c r="E57" s="98" t="e">
        <f>VLOOKUP($A57,#REF!,6,FALSE)</f>
        <v>#REF!</v>
      </c>
      <c r="F57" s="105" t="e">
        <f>VLOOKUP($A57,#REF!,34,FALSE)</f>
        <v>#REF!</v>
      </c>
      <c r="G57" s="105" t="e">
        <f>VLOOKUP($A57,#REF!,29,FALSE)</f>
        <v>#REF!</v>
      </c>
      <c r="H57" s="105" t="e">
        <f>VLOOKUP(A57,#REF!,35,FALSE)+VLOOKUP(A57,#REF!,41,FALSE)</f>
        <v>#REF!</v>
      </c>
      <c r="I57" s="105" t="e">
        <f t="shared" si="5"/>
        <v>#REF!</v>
      </c>
      <c r="J57" s="105" t="e">
        <f>VLOOKUP(A57,#REF!,42,FALSE)</f>
        <v>#REF!</v>
      </c>
      <c r="K57" s="105" t="e">
        <f t="shared" si="6"/>
        <v>#REF!</v>
      </c>
      <c r="L57" s="164" t="e">
        <f t="shared" si="1"/>
        <v>#REF!</v>
      </c>
      <c r="M57" s="105" t="e">
        <f t="shared" si="7"/>
        <v>#REF!</v>
      </c>
      <c r="N57" s="105" t="e">
        <f>VLOOKUP(A57,#REF!,46,FALSE)</f>
        <v>#REF!</v>
      </c>
      <c r="O57" s="106" t="e">
        <f>VLOOKUP(A57,#REF!,9,FALSE)</f>
        <v>#REF!</v>
      </c>
      <c r="P57" s="114" t="e">
        <f>#REF!</f>
        <v>#REF!</v>
      </c>
      <c r="Q57" s="114" t="e">
        <f>VLOOKUP(A57,#REF!,12,FALSE)</f>
        <v>#REF!</v>
      </c>
      <c r="R57" s="120" t="e">
        <f>#REF!</f>
        <v>#REF!</v>
      </c>
      <c r="S57" s="106" t="e">
        <f>IF(Q57=0,#REF!,ROUND(Q57*R57,4))</f>
        <v>#REF!</v>
      </c>
      <c r="T57" s="121" t="e">
        <f>VLOOKUP($A57,#REF!,15,FALSE)</f>
        <v>#REF!</v>
      </c>
      <c r="U57" s="121" t="e">
        <f>VLOOKUP($A57,#REF!,19,FALSE)</f>
        <v>#REF!</v>
      </c>
      <c r="V57" s="109" t="e">
        <f t="shared" si="8"/>
        <v>#REF!</v>
      </c>
      <c r="W57" s="109" t="e">
        <f t="shared" si="9"/>
        <v>#REF!</v>
      </c>
      <c r="X57" s="105" t="e">
        <f t="shared" si="10"/>
        <v>#REF!</v>
      </c>
      <c r="Y57" s="113" t="e">
        <f t="shared" si="11"/>
        <v>#REF!</v>
      </c>
      <c r="Z57" s="109" t="e">
        <f t="shared" si="12"/>
        <v>#REF!</v>
      </c>
      <c r="AA57" s="113" t="e">
        <f t="shared" si="13"/>
        <v>#REF!</v>
      </c>
      <c r="AB57" s="109" t="e">
        <f t="shared" si="14"/>
        <v>#REF!</v>
      </c>
      <c r="AC57" s="113" t="e">
        <f t="shared" si="15"/>
        <v>#REF!</v>
      </c>
      <c r="AD57" s="105" t="e">
        <f t="shared" si="16"/>
        <v>#REF!</v>
      </c>
      <c r="AE57" s="105" t="e">
        <f t="shared" si="2"/>
        <v>#REF!</v>
      </c>
      <c r="AF57" s="105" t="e">
        <f t="shared" si="3"/>
        <v>#REF!</v>
      </c>
      <c r="AG57" s="105" t="e">
        <f t="shared" si="4"/>
        <v>#REF!</v>
      </c>
      <c r="AH57" s="111" t="e">
        <f>VLOOKUP($A57,#REF!,5,FALSE)</f>
        <v>#REF!</v>
      </c>
      <c r="AI57" s="111" t="e">
        <f>VLOOKUP($A57,#REF!,6,FALSE)</f>
        <v>#REF!</v>
      </c>
      <c r="AJ57" s="109" t="e">
        <f t="shared" si="17"/>
        <v>#REF!</v>
      </c>
      <c r="AK57" s="109" t="e">
        <f t="shared" si="18"/>
        <v>#REF!</v>
      </c>
      <c r="AL57" s="109"/>
      <c r="AM57" s="105"/>
      <c r="AN57" s="105"/>
      <c r="AO57" s="109"/>
      <c r="AP57" s="110"/>
      <c r="AQ57" s="110"/>
      <c r="AR57" s="110"/>
      <c r="AS57" s="110"/>
      <c r="AT57" s="110"/>
      <c r="AU57" s="112"/>
      <c r="AV57" s="112"/>
      <c r="AW57" s="110"/>
      <c r="AX57" s="105"/>
      <c r="AY57" s="105"/>
      <c r="AZ57" s="105"/>
      <c r="BA57" s="105"/>
      <c r="BB57" s="105"/>
      <c r="BC57" s="105"/>
    </row>
    <row r="58" spans="1:55" x14ac:dyDescent="0.15">
      <c r="A58" s="221">
        <v>90</v>
      </c>
      <c r="B58" s="98" t="e">
        <f>VLOOKUP($A58,#REF!,84,FALSE)</f>
        <v>#REF!</v>
      </c>
      <c r="C58" s="98" t="e">
        <f>VLOOKUP($A58,#REF!,85,FALSE)</f>
        <v>#REF!</v>
      </c>
      <c r="D58" s="98" t="e">
        <f>VLOOKUP($A58,#REF!,5,FALSE)</f>
        <v>#REF!</v>
      </c>
      <c r="E58" s="98" t="e">
        <f>VLOOKUP($A58,#REF!,6,FALSE)</f>
        <v>#REF!</v>
      </c>
      <c r="F58" s="105" t="e">
        <f>VLOOKUP($A58,#REF!,34,FALSE)</f>
        <v>#REF!</v>
      </c>
      <c r="G58" s="105" t="e">
        <f>VLOOKUP($A58,#REF!,29,FALSE)</f>
        <v>#REF!</v>
      </c>
      <c r="H58" s="105" t="e">
        <f>VLOOKUP(A58,#REF!,35,FALSE)+VLOOKUP(A58,#REF!,41,FALSE)</f>
        <v>#REF!</v>
      </c>
      <c r="I58" s="105" t="e">
        <f t="shared" si="5"/>
        <v>#REF!</v>
      </c>
      <c r="J58" s="105" t="e">
        <f>VLOOKUP(A58,#REF!,42,FALSE)</f>
        <v>#REF!</v>
      </c>
      <c r="K58" s="105" t="e">
        <f t="shared" si="6"/>
        <v>#REF!</v>
      </c>
      <c r="L58" s="164" t="e">
        <f t="shared" si="1"/>
        <v>#REF!</v>
      </c>
      <c r="M58" s="105" t="e">
        <f t="shared" si="7"/>
        <v>#REF!</v>
      </c>
      <c r="N58" s="105" t="e">
        <f>VLOOKUP(A58,#REF!,46,FALSE)</f>
        <v>#REF!</v>
      </c>
      <c r="O58" s="106" t="e">
        <f>VLOOKUP(A58,#REF!,9,FALSE)</f>
        <v>#REF!</v>
      </c>
      <c r="P58" s="114" t="e">
        <f>#REF!</f>
        <v>#REF!</v>
      </c>
      <c r="Q58" s="114" t="e">
        <f>VLOOKUP(A58,#REF!,12,FALSE)</f>
        <v>#REF!</v>
      </c>
      <c r="R58" s="120" t="e">
        <f>#REF!</f>
        <v>#REF!</v>
      </c>
      <c r="S58" s="106" t="e">
        <f>IF(Q58=0,#REF!,ROUND(Q58*R58,4))</f>
        <v>#REF!</v>
      </c>
      <c r="T58" s="121" t="e">
        <f>VLOOKUP($A58,#REF!,15,FALSE)</f>
        <v>#REF!</v>
      </c>
      <c r="U58" s="121" t="e">
        <f>VLOOKUP($A58,#REF!,19,FALSE)</f>
        <v>#REF!</v>
      </c>
      <c r="V58" s="109" t="e">
        <f t="shared" si="8"/>
        <v>#REF!</v>
      </c>
      <c r="W58" s="109" t="e">
        <f t="shared" si="9"/>
        <v>#REF!</v>
      </c>
      <c r="X58" s="105" t="e">
        <f t="shared" si="10"/>
        <v>#REF!</v>
      </c>
      <c r="Y58" s="113" t="e">
        <f t="shared" si="11"/>
        <v>#REF!</v>
      </c>
      <c r="Z58" s="109" t="e">
        <f t="shared" si="12"/>
        <v>#REF!</v>
      </c>
      <c r="AA58" s="113" t="e">
        <f t="shared" si="13"/>
        <v>#REF!</v>
      </c>
      <c r="AB58" s="109" t="e">
        <f t="shared" si="14"/>
        <v>#REF!</v>
      </c>
      <c r="AC58" s="113" t="e">
        <f t="shared" si="15"/>
        <v>#REF!</v>
      </c>
      <c r="AD58" s="105" t="e">
        <f t="shared" si="16"/>
        <v>#REF!</v>
      </c>
      <c r="AE58" s="105" t="e">
        <f t="shared" si="2"/>
        <v>#REF!</v>
      </c>
      <c r="AF58" s="105" t="e">
        <f t="shared" si="3"/>
        <v>#REF!</v>
      </c>
      <c r="AG58" s="105" t="e">
        <f t="shared" si="4"/>
        <v>#REF!</v>
      </c>
      <c r="AH58" s="111" t="e">
        <f>VLOOKUP($A58,#REF!,5,FALSE)</f>
        <v>#REF!</v>
      </c>
      <c r="AI58" s="111" t="e">
        <f>VLOOKUP($A58,#REF!,6,FALSE)</f>
        <v>#REF!</v>
      </c>
      <c r="AJ58" s="109" t="e">
        <f t="shared" si="17"/>
        <v>#REF!</v>
      </c>
      <c r="AK58" s="109" t="e">
        <f t="shared" si="18"/>
        <v>#REF!</v>
      </c>
      <c r="AL58" s="109"/>
      <c r="AM58" s="105"/>
      <c r="AN58" s="105"/>
      <c r="AO58" s="109"/>
      <c r="AP58" s="110"/>
      <c r="AQ58" s="110"/>
      <c r="AR58" s="110"/>
      <c r="AS58" s="110"/>
      <c r="AT58" s="110"/>
      <c r="AU58" s="112"/>
      <c r="AV58" s="112"/>
      <c r="AW58" s="110"/>
      <c r="AX58" s="105"/>
      <c r="AY58" s="105"/>
      <c r="AZ58" s="105"/>
      <c r="BA58" s="105"/>
      <c r="BB58" s="105"/>
      <c r="BC58" s="105"/>
    </row>
    <row r="59" spans="1:55" x14ac:dyDescent="0.15">
      <c r="A59" s="221">
        <v>94</v>
      </c>
      <c r="B59" s="98" t="e">
        <f>VLOOKUP($A59,#REF!,84,FALSE)</f>
        <v>#REF!</v>
      </c>
      <c r="C59" s="98" t="e">
        <f>VLOOKUP($A59,#REF!,85,FALSE)</f>
        <v>#REF!</v>
      </c>
      <c r="D59" s="98" t="e">
        <f>VLOOKUP($A59,#REF!,5,FALSE)</f>
        <v>#REF!</v>
      </c>
      <c r="E59" s="98" t="e">
        <f>VLOOKUP($A59,#REF!,6,FALSE)</f>
        <v>#REF!</v>
      </c>
      <c r="F59" s="105" t="e">
        <f>VLOOKUP($A59,#REF!,34,FALSE)</f>
        <v>#REF!</v>
      </c>
      <c r="G59" s="105" t="e">
        <f>VLOOKUP($A59,#REF!,29,FALSE)</f>
        <v>#REF!</v>
      </c>
      <c r="H59" s="105" t="e">
        <f>VLOOKUP(A59,#REF!,35,FALSE)+VLOOKUP(A59,#REF!,41,FALSE)</f>
        <v>#REF!</v>
      </c>
      <c r="I59" s="105" t="e">
        <f t="shared" si="5"/>
        <v>#REF!</v>
      </c>
      <c r="J59" s="105" t="e">
        <f>VLOOKUP(A59,#REF!,42,FALSE)</f>
        <v>#REF!</v>
      </c>
      <c r="K59" s="105" t="e">
        <f t="shared" si="6"/>
        <v>#REF!</v>
      </c>
      <c r="L59" s="164" t="e">
        <f t="shared" si="1"/>
        <v>#REF!</v>
      </c>
      <c r="M59" s="105" t="e">
        <f t="shared" si="7"/>
        <v>#REF!</v>
      </c>
      <c r="N59" s="105" t="e">
        <f>VLOOKUP(A59,#REF!,46,FALSE)</f>
        <v>#REF!</v>
      </c>
      <c r="O59" s="106" t="e">
        <f>VLOOKUP(A59,#REF!,9,FALSE)</f>
        <v>#REF!</v>
      </c>
      <c r="P59" s="114" t="e">
        <f>#REF!</f>
        <v>#REF!</v>
      </c>
      <c r="Q59" s="114" t="e">
        <f>VLOOKUP(A59,#REF!,12,FALSE)</f>
        <v>#REF!</v>
      </c>
      <c r="R59" s="120" t="e">
        <f>#REF!</f>
        <v>#REF!</v>
      </c>
      <c r="S59" s="106" t="e">
        <f>IF(Q59=0,#REF!,ROUND(Q59*R59,4))</f>
        <v>#REF!</v>
      </c>
      <c r="T59" s="121" t="e">
        <f>VLOOKUP($A59,#REF!,15,FALSE)</f>
        <v>#REF!</v>
      </c>
      <c r="U59" s="121" t="e">
        <f>VLOOKUP($A59,#REF!,19,FALSE)</f>
        <v>#REF!</v>
      </c>
      <c r="V59" s="109" t="e">
        <f t="shared" si="8"/>
        <v>#REF!</v>
      </c>
      <c r="W59" s="109" t="e">
        <f t="shared" si="9"/>
        <v>#REF!</v>
      </c>
      <c r="X59" s="105" t="e">
        <f t="shared" si="10"/>
        <v>#REF!</v>
      </c>
      <c r="Y59" s="113" t="e">
        <f t="shared" si="11"/>
        <v>#REF!</v>
      </c>
      <c r="Z59" s="109" t="e">
        <f t="shared" si="12"/>
        <v>#REF!</v>
      </c>
      <c r="AA59" s="113" t="e">
        <f t="shared" si="13"/>
        <v>#REF!</v>
      </c>
      <c r="AB59" s="109" t="e">
        <f t="shared" si="14"/>
        <v>#REF!</v>
      </c>
      <c r="AC59" s="113" t="e">
        <f t="shared" si="15"/>
        <v>#REF!</v>
      </c>
      <c r="AD59" s="105" t="e">
        <f t="shared" si="16"/>
        <v>#REF!</v>
      </c>
      <c r="AE59" s="105" t="e">
        <f t="shared" si="2"/>
        <v>#REF!</v>
      </c>
      <c r="AF59" s="105" t="e">
        <f t="shared" si="3"/>
        <v>#REF!</v>
      </c>
      <c r="AG59" s="105" t="e">
        <f t="shared" si="4"/>
        <v>#REF!</v>
      </c>
      <c r="AH59" s="111" t="e">
        <f>VLOOKUP($A59,#REF!,5,FALSE)</f>
        <v>#REF!</v>
      </c>
      <c r="AI59" s="111" t="e">
        <f>VLOOKUP($A59,#REF!,6,FALSE)</f>
        <v>#REF!</v>
      </c>
      <c r="AJ59" s="109" t="e">
        <f t="shared" si="17"/>
        <v>#REF!</v>
      </c>
      <c r="AK59" s="109" t="e">
        <f t="shared" si="18"/>
        <v>#REF!</v>
      </c>
      <c r="AL59" s="109"/>
      <c r="AM59" s="105"/>
      <c r="AN59" s="105"/>
      <c r="AO59" s="109"/>
      <c r="AP59" s="110"/>
      <c r="AQ59" s="110"/>
      <c r="AR59" s="110"/>
      <c r="AS59" s="110"/>
      <c r="AT59" s="110"/>
      <c r="AU59" s="112"/>
      <c r="AV59" s="112"/>
      <c r="AW59" s="110"/>
      <c r="AX59" s="105"/>
      <c r="AY59" s="105"/>
      <c r="AZ59" s="105"/>
      <c r="BA59" s="105"/>
      <c r="BB59" s="105"/>
      <c r="BC59" s="105"/>
    </row>
    <row r="60" spans="1:55" x14ac:dyDescent="0.15">
      <c r="A60" s="221">
        <v>677</v>
      </c>
      <c r="B60" s="98" t="e">
        <f>VLOOKUP($A60,#REF!,84,FALSE)</f>
        <v>#REF!</v>
      </c>
      <c r="C60" s="98" t="e">
        <f>VLOOKUP($A60,#REF!,85,FALSE)</f>
        <v>#REF!</v>
      </c>
      <c r="D60" s="98" t="e">
        <f>VLOOKUP($A60,#REF!,5,FALSE)</f>
        <v>#REF!</v>
      </c>
      <c r="E60" s="98" t="e">
        <f>VLOOKUP($A60,#REF!,6,FALSE)</f>
        <v>#REF!</v>
      </c>
      <c r="F60" s="105" t="e">
        <f>VLOOKUP($A60,#REF!,34,FALSE)</f>
        <v>#REF!</v>
      </c>
      <c r="G60" s="105" t="e">
        <f>VLOOKUP($A60,#REF!,29,FALSE)</f>
        <v>#REF!</v>
      </c>
      <c r="H60" s="105" t="e">
        <f>VLOOKUP(A60,#REF!,35,FALSE)+VLOOKUP(A60,#REF!,41,FALSE)</f>
        <v>#REF!</v>
      </c>
      <c r="I60" s="105" t="e">
        <f t="shared" si="5"/>
        <v>#REF!</v>
      </c>
      <c r="J60" s="105" t="e">
        <f>VLOOKUP(A60,#REF!,42,FALSE)</f>
        <v>#REF!</v>
      </c>
      <c r="K60" s="105" t="e">
        <f t="shared" si="6"/>
        <v>#REF!</v>
      </c>
      <c r="L60" s="164" t="e">
        <f t="shared" si="1"/>
        <v>#REF!</v>
      </c>
      <c r="M60" s="105" t="e">
        <f t="shared" si="7"/>
        <v>#REF!</v>
      </c>
      <c r="N60" s="105" t="e">
        <f>VLOOKUP(A60,#REF!,46,FALSE)</f>
        <v>#REF!</v>
      </c>
      <c r="O60" s="106" t="e">
        <f>VLOOKUP(A60,#REF!,9,FALSE)</f>
        <v>#REF!</v>
      </c>
      <c r="P60" s="114" t="e">
        <f>#REF!</f>
        <v>#REF!</v>
      </c>
      <c r="Q60" s="114" t="e">
        <f>VLOOKUP(A60,#REF!,12,FALSE)</f>
        <v>#REF!</v>
      </c>
      <c r="R60" s="120" t="e">
        <f>#REF!</f>
        <v>#REF!</v>
      </c>
      <c r="S60" s="106" t="e">
        <f>IF(Q60=0,#REF!,ROUND(Q60*R60,4))</f>
        <v>#REF!</v>
      </c>
      <c r="T60" s="121" t="e">
        <f>VLOOKUP($A60,#REF!,15,FALSE)</f>
        <v>#REF!</v>
      </c>
      <c r="U60" s="121" t="e">
        <f>VLOOKUP($A60,#REF!,19,FALSE)</f>
        <v>#REF!</v>
      </c>
      <c r="V60" s="109" t="e">
        <f t="shared" si="8"/>
        <v>#REF!</v>
      </c>
      <c r="W60" s="109" t="e">
        <f t="shared" si="9"/>
        <v>#REF!</v>
      </c>
      <c r="X60" s="105" t="e">
        <f t="shared" si="10"/>
        <v>#REF!</v>
      </c>
      <c r="Y60" s="113" t="e">
        <f t="shared" si="11"/>
        <v>#REF!</v>
      </c>
      <c r="Z60" s="109" t="e">
        <f t="shared" si="12"/>
        <v>#REF!</v>
      </c>
      <c r="AA60" s="113" t="e">
        <f t="shared" si="13"/>
        <v>#REF!</v>
      </c>
      <c r="AB60" s="109" t="e">
        <f t="shared" si="14"/>
        <v>#REF!</v>
      </c>
      <c r="AC60" s="113" t="e">
        <f t="shared" si="15"/>
        <v>#REF!</v>
      </c>
      <c r="AD60" s="105" t="e">
        <f t="shared" si="16"/>
        <v>#REF!</v>
      </c>
      <c r="AE60" s="105" t="e">
        <f t="shared" si="2"/>
        <v>#REF!</v>
      </c>
      <c r="AF60" s="105" t="e">
        <f t="shared" si="3"/>
        <v>#REF!</v>
      </c>
      <c r="AG60" s="105" t="e">
        <f t="shared" si="4"/>
        <v>#REF!</v>
      </c>
      <c r="AH60" s="111" t="e">
        <f>VLOOKUP($A60,#REF!,5,FALSE)</f>
        <v>#REF!</v>
      </c>
      <c r="AI60" s="111" t="e">
        <f>VLOOKUP($A60,#REF!,6,FALSE)</f>
        <v>#REF!</v>
      </c>
      <c r="AJ60" s="109" t="e">
        <f t="shared" si="17"/>
        <v>#REF!</v>
      </c>
      <c r="AK60" s="109" t="e">
        <f t="shared" si="18"/>
        <v>#REF!</v>
      </c>
      <c r="AL60" s="109"/>
      <c r="AM60" s="105"/>
      <c r="AN60" s="105"/>
      <c r="AO60" s="109"/>
      <c r="AP60" s="110"/>
      <c r="AQ60" s="110"/>
      <c r="AR60" s="110"/>
      <c r="AS60" s="110"/>
      <c r="AT60" s="110"/>
      <c r="AU60" s="112"/>
      <c r="AV60" s="112"/>
      <c r="AW60" s="110"/>
      <c r="AX60" s="105"/>
      <c r="AY60" s="105"/>
      <c r="AZ60" s="105"/>
      <c r="BA60" s="105"/>
      <c r="BB60" s="105"/>
      <c r="BC60" s="105"/>
    </row>
    <row r="61" spans="1:55" x14ac:dyDescent="0.15">
      <c r="A61" s="221">
        <v>104</v>
      </c>
      <c r="B61" s="98" t="e">
        <f>VLOOKUP($A61,#REF!,84,FALSE)</f>
        <v>#REF!</v>
      </c>
      <c r="C61" s="98" t="e">
        <f>VLOOKUP($A61,#REF!,85,FALSE)</f>
        <v>#REF!</v>
      </c>
      <c r="D61" s="98" t="e">
        <f>VLOOKUP($A61,#REF!,5,FALSE)</f>
        <v>#REF!</v>
      </c>
      <c r="E61" s="98" t="e">
        <f>VLOOKUP($A61,#REF!,6,FALSE)</f>
        <v>#REF!</v>
      </c>
      <c r="F61" s="105" t="e">
        <f>VLOOKUP($A61,#REF!,34,FALSE)</f>
        <v>#REF!</v>
      </c>
      <c r="G61" s="105" t="e">
        <f>VLOOKUP($A61,#REF!,29,FALSE)</f>
        <v>#REF!</v>
      </c>
      <c r="H61" s="105" t="e">
        <f>VLOOKUP(A61,#REF!,35,FALSE)+VLOOKUP(A61,#REF!,41,FALSE)</f>
        <v>#REF!</v>
      </c>
      <c r="I61" s="105" t="e">
        <f t="shared" si="5"/>
        <v>#REF!</v>
      </c>
      <c r="J61" s="105" t="e">
        <f>VLOOKUP(A61,#REF!,42,FALSE)</f>
        <v>#REF!</v>
      </c>
      <c r="K61" s="105" t="e">
        <f t="shared" si="6"/>
        <v>#REF!</v>
      </c>
      <c r="L61" s="164" t="e">
        <f t="shared" si="1"/>
        <v>#REF!</v>
      </c>
      <c r="M61" s="105" t="e">
        <f t="shared" si="7"/>
        <v>#REF!</v>
      </c>
      <c r="N61" s="105" t="e">
        <f>VLOOKUP(A61,#REF!,46,FALSE)</f>
        <v>#REF!</v>
      </c>
      <c r="O61" s="106" t="e">
        <f>VLOOKUP(A61,#REF!,9,FALSE)</f>
        <v>#REF!</v>
      </c>
      <c r="P61" s="114" t="e">
        <f>#REF!</f>
        <v>#REF!</v>
      </c>
      <c r="Q61" s="114" t="e">
        <f>VLOOKUP(A61,#REF!,12,FALSE)</f>
        <v>#REF!</v>
      </c>
      <c r="R61" s="120" t="e">
        <f>#REF!</f>
        <v>#REF!</v>
      </c>
      <c r="S61" s="106" t="e">
        <f>IF(Q61=0,#REF!,ROUND(Q61*R61,4))</f>
        <v>#REF!</v>
      </c>
      <c r="T61" s="121" t="e">
        <f>VLOOKUP($A61,#REF!,15,FALSE)</f>
        <v>#REF!</v>
      </c>
      <c r="U61" s="121" t="e">
        <f>VLOOKUP($A61,#REF!,19,FALSE)</f>
        <v>#REF!</v>
      </c>
      <c r="V61" s="109" t="e">
        <f t="shared" si="8"/>
        <v>#REF!</v>
      </c>
      <c r="W61" s="109" t="e">
        <f t="shared" si="9"/>
        <v>#REF!</v>
      </c>
      <c r="X61" s="105" t="e">
        <f t="shared" si="10"/>
        <v>#REF!</v>
      </c>
      <c r="Y61" s="113" t="e">
        <f t="shared" si="11"/>
        <v>#REF!</v>
      </c>
      <c r="Z61" s="109" t="e">
        <f t="shared" si="12"/>
        <v>#REF!</v>
      </c>
      <c r="AA61" s="113" t="e">
        <f t="shared" si="13"/>
        <v>#REF!</v>
      </c>
      <c r="AB61" s="109" t="e">
        <f t="shared" si="14"/>
        <v>#REF!</v>
      </c>
      <c r="AC61" s="113" t="e">
        <f t="shared" si="15"/>
        <v>#REF!</v>
      </c>
      <c r="AD61" s="105" t="e">
        <f t="shared" si="16"/>
        <v>#REF!</v>
      </c>
      <c r="AE61" s="105" t="e">
        <f t="shared" si="2"/>
        <v>#REF!</v>
      </c>
      <c r="AF61" s="105" t="e">
        <f t="shared" si="3"/>
        <v>#REF!</v>
      </c>
      <c r="AG61" s="105" t="e">
        <f t="shared" si="4"/>
        <v>#REF!</v>
      </c>
      <c r="AH61" s="111" t="e">
        <f>VLOOKUP($A61,#REF!,5,FALSE)</f>
        <v>#REF!</v>
      </c>
      <c r="AI61" s="111" t="e">
        <f>VLOOKUP($A61,#REF!,6,FALSE)</f>
        <v>#REF!</v>
      </c>
      <c r="AJ61" s="109" t="e">
        <f t="shared" si="17"/>
        <v>#REF!</v>
      </c>
      <c r="AK61" s="109" t="e">
        <f t="shared" si="18"/>
        <v>#REF!</v>
      </c>
      <c r="AL61" s="109"/>
      <c r="AM61" s="105"/>
      <c r="AN61" s="105"/>
      <c r="AO61" s="109"/>
      <c r="AP61" s="110"/>
      <c r="AQ61" s="110"/>
      <c r="AR61" s="110"/>
      <c r="AS61" s="110"/>
      <c r="AT61" s="110"/>
      <c r="AU61" s="112"/>
      <c r="AV61" s="112"/>
      <c r="AW61" s="110"/>
      <c r="AX61" s="105"/>
      <c r="AY61" s="105"/>
      <c r="AZ61" s="105"/>
      <c r="BA61" s="105"/>
      <c r="BB61" s="105"/>
      <c r="BC61" s="105"/>
    </row>
    <row r="62" spans="1:55" x14ac:dyDescent="0.15">
      <c r="A62" s="221">
        <v>108</v>
      </c>
      <c r="B62" s="98" t="e">
        <f>VLOOKUP($A62,#REF!,84,FALSE)</f>
        <v>#REF!</v>
      </c>
      <c r="C62" s="98" t="e">
        <f>VLOOKUP($A62,#REF!,85,FALSE)</f>
        <v>#REF!</v>
      </c>
      <c r="D62" s="98" t="e">
        <f>VLOOKUP($A62,#REF!,5,FALSE)</f>
        <v>#REF!</v>
      </c>
      <c r="E62" s="98" t="e">
        <f>VLOOKUP($A62,#REF!,6,FALSE)</f>
        <v>#REF!</v>
      </c>
      <c r="F62" s="105" t="e">
        <f>VLOOKUP($A62,#REF!,34,FALSE)</f>
        <v>#REF!</v>
      </c>
      <c r="G62" s="105" t="e">
        <f>VLOOKUP($A62,#REF!,29,FALSE)</f>
        <v>#REF!</v>
      </c>
      <c r="H62" s="105" t="e">
        <f>VLOOKUP(A62,#REF!,35,FALSE)+VLOOKUP(A62,#REF!,41,FALSE)</f>
        <v>#REF!</v>
      </c>
      <c r="I62" s="105" t="e">
        <f t="shared" si="5"/>
        <v>#REF!</v>
      </c>
      <c r="J62" s="105" t="e">
        <f>VLOOKUP(A62,#REF!,42,FALSE)</f>
        <v>#REF!</v>
      </c>
      <c r="K62" s="105" t="e">
        <f t="shared" si="6"/>
        <v>#REF!</v>
      </c>
      <c r="L62" s="164" t="e">
        <f t="shared" si="1"/>
        <v>#REF!</v>
      </c>
      <c r="M62" s="105" t="e">
        <f t="shared" si="7"/>
        <v>#REF!</v>
      </c>
      <c r="N62" s="105" t="e">
        <f>VLOOKUP(A62,#REF!,46,FALSE)</f>
        <v>#REF!</v>
      </c>
      <c r="O62" s="106" t="e">
        <f>VLOOKUP(A62,#REF!,9,FALSE)</f>
        <v>#REF!</v>
      </c>
      <c r="P62" s="114" t="e">
        <f>#REF!</f>
        <v>#REF!</v>
      </c>
      <c r="Q62" s="114" t="e">
        <f>VLOOKUP(A62,#REF!,12,FALSE)</f>
        <v>#REF!</v>
      </c>
      <c r="R62" s="120" t="e">
        <f>#REF!</f>
        <v>#REF!</v>
      </c>
      <c r="S62" s="106" t="e">
        <f>IF(Q62=0,#REF!,ROUND(Q62*R62,4))</f>
        <v>#REF!</v>
      </c>
      <c r="T62" s="121" t="e">
        <f>VLOOKUP($A62,#REF!,15,FALSE)</f>
        <v>#REF!</v>
      </c>
      <c r="U62" s="121" t="e">
        <f>VLOOKUP($A62,#REF!,19,FALSE)</f>
        <v>#REF!</v>
      </c>
      <c r="V62" s="109" t="e">
        <f t="shared" si="8"/>
        <v>#REF!</v>
      </c>
      <c r="W62" s="109" t="e">
        <f t="shared" si="9"/>
        <v>#REF!</v>
      </c>
      <c r="X62" s="105" t="e">
        <f t="shared" si="10"/>
        <v>#REF!</v>
      </c>
      <c r="Y62" s="113" t="e">
        <f t="shared" si="11"/>
        <v>#REF!</v>
      </c>
      <c r="Z62" s="109" t="e">
        <f t="shared" si="12"/>
        <v>#REF!</v>
      </c>
      <c r="AA62" s="113" t="e">
        <f t="shared" si="13"/>
        <v>#REF!</v>
      </c>
      <c r="AB62" s="109" t="e">
        <f t="shared" si="14"/>
        <v>#REF!</v>
      </c>
      <c r="AC62" s="113" t="e">
        <f t="shared" si="15"/>
        <v>#REF!</v>
      </c>
      <c r="AD62" s="105" t="e">
        <f t="shared" si="16"/>
        <v>#REF!</v>
      </c>
      <c r="AE62" s="105" t="e">
        <f t="shared" si="2"/>
        <v>#REF!</v>
      </c>
      <c r="AF62" s="105" t="e">
        <f t="shared" si="3"/>
        <v>#REF!</v>
      </c>
      <c r="AG62" s="105" t="e">
        <f t="shared" si="4"/>
        <v>#REF!</v>
      </c>
      <c r="AH62" s="111" t="e">
        <f>VLOOKUP($A62,#REF!,5,FALSE)</f>
        <v>#REF!</v>
      </c>
      <c r="AI62" s="111" t="e">
        <f>VLOOKUP($A62,#REF!,6,FALSE)</f>
        <v>#REF!</v>
      </c>
      <c r="AJ62" s="109" t="e">
        <f t="shared" si="17"/>
        <v>#REF!</v>
      </c>
      <c r="AK62" s="109" t="e">
        <f t="shared" si="18"/>
        <v>#REF!</v>
      </c>
      <c r="AL62" s="109"/>
      <c r="AM62" s="105"/>
      <c r="AN62" s="105"/>
      <c r="AO62" s="109"/>
      <c r="AP62" s="110"/>
      <c r="AQ62" s="110"/>
      <c r="AR62" s="110"/>
      <c r="AS62" s="110"/>
      <c r="AT62" s="110"/>
      <c r="AU62" s="112"/>
      <c r="AV62" s="112"/>
      <c r="AW62" s="110"/>
      <c r="AX62" s="105"/>
      <c r="AY62" s="105"/>
      <c r="AZ62" s="105"/>
      <c r="BA62" s="105"/>
      <c r="BB62" s="105"/>
      <c r="BC62" s="105"/>
    </row>
    <row r="63" spans="1:55" x14ac:dyDescent="0.15">
      <c r="A63" s="221">
        <v>106</v>
      </c>
      <c r="B63" s="98" t="e">
        <f>VLOOKUP($A63,#REF!,84,FALSE)</f>
        <v>#REF!</v>
      </c>
      <c r="C63" s="98" t="e">
        <f>VLOOKUP($A63,#REF!,85,FALSE)</f>
        <v>#REF!</v>
      </c>
      <c r="D63" s="98" t="e">
        <f>VLOOKUP($A63,#REF!,5,FALSE)</f>
        <v>#REF!</v>
      </c>
      <c r="E63" s="98" t="e">
        <f>VLOOKUP($A63,#REF!,6,FALSE)</f>
        <v>#REF!</v>
      </c>
      <c r="F63" s="105" t="e">
        <f>VLOOKUP($A63,#REF!,34,FALSE)</f>
        <v>#REF!</v>
      </c>
      <c r="G63" s="105" t="e">
        <f>VLOOKUP($A63,#REF!,29,FALSE)</f>
        <v>#REF!</v>
      </c>
      <c r="H63" s="105" t="e">
        <f>VLOOKUP(A63,#REF!,35,FALSE)+VLOOKUP(A63,#REF!,41,FALSE)</f>
        <v>#REF!</v>
      </c>
      <c r="I63" s="105" t="e">
        <f t="shared" si="5"/>
        <v>#REF!</v>
      </c>
      <c r="J63" s="105" t="e">
        <f>VLOOKUP(A63,#REF!,42,FALSE)</f>
        <v>#REF!</v>
      </c>
      <c r="K63" s="105" t="e">
        <f t="shared" si="6"/>
        <v>#REF!</v>
      </c>
      <c r="L63" s="164" t="e">
        <f t="shared" si="1"/>
        <v>#REF!</v>
      </c>
      <c r="M63" s="105" t="e">
        <f t="shared" si="7"/>
        <v>#REF!</v>
      </c>
      <c r="N63" s="105" t="e">
        <f>VLOOKUP(A63,#REF!,46,FALSE)</f>
        <v>#REF!</v>
      </c>
      <c r="O63" s="106" t="e">
        <f>VLOOKUP(A63,#REF!,9,FALSE)</f>
        <v>#REF!</v>
      </c>
      <c r="P63" s="114" t="e">
        <f>#REF!</f>
        <v>#REF!</v>
      </c>
      <c r="Q63" s="114" t="e">
        <f>VLOOKUP(A63,#REF!,12,FALSE)</f>
        <v>#REF!</v>
      </c>
      <c r="R63" s="120" t="e">
        <f>#REF!</f>
        <v>#REF!</v>
      </c>
      <c r="S63" s="106" t="e">
        <f>IF(Q63=0,#REF!,ROUND(Q63*R63,4))</f>
        <v>#REF!</v>
      </c>
      <c r="T63" s="121" t="e">
        <f>VLOOKUP($A63,#REF!,15,FALSE)</f>
        <v>#REF!</v>
      </c>
      <c r="U63" s="121" t="e">
        <f>VLOOKUP($A63,#REF!,19,FALSE)</f>
        <v>#REF!</v>
      </c>
      <c r="V63" s="109" t="e">
        <f t="shared" si="8"/>
        <v>#REF!</v>
      </c>
      <c r="W63" s="109" t="e">
        <f t="shared" si="9"/>
        <v>#REF!</v>
      </c>
      <c r="X63" s="105" t="e">
        <f t="shared" si="10"/>
        <v>#REF!</v>
      </c>
      <c r="Y63" s="113" t="e">
        <f t="shared" si="11"/>
        <v>#REF!</v>
      </c>
      <c r="Z63" s="109" t="e">
        <f t="shared" si="12"/>
        <v>#REF!</v>
      </c>
      <c r="AA63" s="113" t="e">
        <f t="shared" si="13"/>
        <v>#REF!</v>
      </c>
      <c r="AB63" s="109" t="e">
        <f t="shared" si="14"/>
        <v>#REF!</v>
      </c>
      <c r="AC63" s="113" t="e">
        <f t="shared" si="15"/>
        <v>#REF!</v>
      </c>
      <c r="AD63" s="105" t="e">
        <f t="shared" si="16"/>
        <v>#REF!</v>
      </c>
      <c r="AE63" s="105" t="e">
        <f t="shared" si="2"/>
        <v>#REF!</v>
      </c>
      <c r="AF63" s="105" t="e">
        <f t="shared" si="3"/>
        <v>#REF!</v>
      </c>
      <c r="AG63" s="105" t="e">
        <f t="shared" si="4"/>
        <v>#REF!</v>
      </c>
      <c r="AH63" s="111" t="e">
        <f>VLOOKUP($A63,#REF!,5,FALSE)</f>
        <v>#REF!</v>
      </c>
      <c r="AI63" s="111" t="e">
        <f>VLOOKUP($A63,#REF!,6,FALSE)</f>
        <v>#REF!</v>
      </c>
      <c r="AJ63" s="109" t="e">
        <f t="shared" si="17"/>
        <v>#REF!</v>
      </c>
      <c r="AK63" s="109" t="e">
        <f t="shared" si="18"/>
        <v>#REF!</v>
      </c>
      <c r="AL63" s="109"/>
      <c r="AM63" s="105"/>
      <c r="AN63" s="105"/>
      <c r="AO63" s="109"/>
      <c r="AP63" s="110"/>
      <c r="AQ63" s="110"/>
      <c r="AR63" s="110"/>
      <c r="AS63" s="110"/>
      <c r="AT63" s="110"/>
      <c r="AU63" s="112"/>
      <c r="AV63" s="112"/>
      <c r="AW63" s="110"/>
      <c r="AX63" s="105"/>
      <c r="AY63" s="105"/>
      <c r="AZ63" s="105"/>
      <c r="BA63" s="105"/>
      <c r="BB63" s="105"/>
      <c r="BC63" s="105"/>
    </row>
    <row r="64" spans="1:55" x14ac:dyDescent="0.15">
      <c r="A64" s="221">
        <v>112</v>
      </c>
      <c r="B64" s="98" t="e">
        <f>VLOOKUP($A64,#REF!,84,FALSE)</f>
        <v>#REF!</v>
      </c>
      <c r="C64" s="98" t="e">
        <f>VLOOKUP($A64,#REF!,85,FALSE)</f>
        <v>#REF!</v>
      </c>
      <c r="D64" s="98" t="e">
        <f>VLOOKUP($A64,#REF!,5,FALSE)</f>
        <v>#REF!</v>
      </c>
      <c r="E64" s="98" t="e">
        <f>VLOOKUP($A64,#REF!,6,FALSE)</f>
        <v>#REF!</v>
      </c>
      <c r="F64" s="105" t="e">
        <f>VLOOKUP($A64,#REF!,34,FALSE)</f>
        <v>#REF!</v>
      </c>
      <c r="G64" s="105" t="e">
        <f>VLOOKUP($A64,#REF!,29,FALSE)</f>
        <v>#REF!</v>
      </c>
      <c r="H64" s="105" t="e">
        <f>VLOOKUP(A64,#REF!,35,FALSE)+VLOOKUP(A64,#REF!,41,FALSE)</f>
        <v>#REF!</v>
      </c>
      <c r="I64" s="105" t="e">
        <f t="shared" si="5"/>
        <v>#REF!</v>
      </c>
      <c r="J64" s="105" t="e">
        <f>VLOOKUP(A64,#REF!,42,FALSE)</f>
        <v>#REF!</v>
      </c>
      <c r="K64" s="105" t="e">
        <f t="shared" si="6"/>
        <v>#REF!</v>
      </c>
      <c r="L64" s="164" t="e">
        <f t="shared" si="1"/>
        <v>#REF!</v>
      </c>
      <c r="M64" s="105" t="e">
        <f t="shared" si="7"/>
        <v>#REF!</v>
      </c>
      <c r="N64" s="105" t="e">
        <f>VLOOKUP(A64,#REF!,46,FALSE)</f>
        <v>#REF!</v>
      </c>
      <c r="O64" s="106" t="e">
        <f>VLOOKUP(A64,#REF!,9,FALSE)</f>
        <v>#REF!</v>
      </c>
      <c r="P64" s="114" t="e">
        <f>#REF!</f>
        <v>#REF!</v>
      </c>
      <c r="Q64" s="114" t="e">
        <f>VLOOKUP(A64,#REF!,12,FALSE)</f>
        <v>#REF!</v>
      </c>
      <c r="R64" s="120" t="e">
        <f>#REF!</f>
        <v>#REF!</v>
      </c>
      <c r="S64" s="106" t="e">
        <f>IF(Q64=0,#REF!,ROUND(Q64*R64,4))</f>
        <v>#REF!</v>
      </c>
      <c r="T64" s="121" t="e">
        <f>VLOOKUP($A64,#REF!,15,FALSE)</f>
        <v>#REF!</v>
      </c>
      <c r="U64" s="121" t="e">
        <f>VLOOKUP($A64,#REF!,19,FALSE)</f>
        <v>#REF!</v>
      </c>
      <c r="V64" s="109" t="e">
        <f t="shared" si="8"/>
        <v>#REF!</v>
      </c>
      <c r="W64" s="109" t="e">
        <f t="shared" si="9"/>
        <v>#REF!</v>
      </c>
      <c r="X64" s="105" t="e">
        <f t="shared" si="10"/>
        <v>#REF!</v>
      </c>
      <c r="Y64" s="113" t="e">
        <f t="shared" si="11"/>
        <v>#REF!</v>
      </c>
      <c r="Z64" s="109" t="e">
        <f t="shared" si="12"/>
        <v>#REF!</v>
      </c>
      <c r="AA64" s="113" t="e">
        <f t="shared" si="13"/>
        <v>#REF!</v>
      </c>
      <c r="AB64" s="109" t="e">
        <f t="shared" si="14"/>
        <v>#REF!</v>
      </c>
      <c r="AC64" s="113" t="e">
        <f t="shared" si="15"/>
        <v>#REF!</v>
      </c>
      <c r="AD64" s="105" t="e">
        <f t="shared" si="16"/>
        <v>#REF!</v>
      </c>
      <c r="AE64" s="105" t="e">
        <f t="shared" si="2"/>
        <v>#REF!</v>
      </c>
      <c r="AF64" s="105" t="e">
        <f t="shared" si="3"/>
        <v>#REF!</v>
      </c>
      <c r="AG64" s="105" t="e">
        <f t="shared" si="4"/>
        <v>#REF!</v>
      </c>
      <c r="AH64" s="111" t="e">
        <f>VLOOKUP($A64,#REF!,5,FALSE)</f>
        <v>#REF!</v>
      </c>
      <c r="AI64" s="111" t="e">
        <f>VLOOKUP($A64,#REF!,6,FALSE)</f>
        <v>#REF!</v>
      </c>
      <c r="AJ64" s="109" t="e">
        <f t="shared" si="17"/>
        <v>#REF!</v>
      </c>
      <c r="AK64" s="109" t="e">
        <f t="shared" si="18"/>
        <v>#REF!</v>
      </c>
      <c r="AL64" s="109"/>
      <c r="AM64" s="105"/>
      <c r="AN64" s="105"/>
      <c r="AO64" s="109"/>
      <c r="AP64" s="110"/>
      <c r="AQ64" s="110"/>
      <c r="AR64" s="110"/>
      <c r="AS64" s="110"/>
      <c r="AT64" s="110"/>
      <c r="AU64" s="112"/>
      <c r="AV64" s="112"/>
      <c r="AW64" s="110"/>
      <c r="AX64" s="105"/>
      <c r="AY64" s="105"/>
      <c r="AZ64" s="105"/>
      <c r="BA64" s="105"/>
      <c r="BB64" s="105"/>
      <c r="BC64" s="105"/>
    </row>
    <row r="65" spans="1:55" x14ac:dyDescent="0.15">
      <c r="A65" s="221">
        <v>114</v>
      </c>
      <c r="B65" s="98" t="e">
        <f>VLOOKUP($A65,#REF!,84,FALSE)</f>
        <v>#REF!</v>
      </c>
      <c r="C65" s="98" t="e">
        <f>VLOOKUP($A65,#REF!,85,FALSE)</f>
        <v>#REF!</v>
      </c>
      <c r="D65" s="98" t="e">
        <f>VLOOKUP($A65,#REF!,5,FALSE)</f>
        <v>#REF!</v>
      </c>
      <c r="E65" s="98" t="e">
        <f>VLOOKUP($A65,#REF!,6,FALSE)</f>
        <v>#REF!</v>
      </c>
      <c r="F65" s="105" t="e">
        <f>VLOOKUP($A65,#REF!,34,FALSE)</f>
        <v>#REF!</v>
      </c>
      <c r="G65" s="105" t="e">
        <f>VLOOKUP($A65,#REF!,29,FALSE)</f>
        <v>#REF!</v>
      </c>
      <c r="H65" s="105" t="e">
        <f>VLOOKUP(A65,#REF!,35,FALSE)+VLOOKUP(A65,#REF!,41,FALSE)</f>
        <v>#REF!</v>
      </c>
      <c r="I65" s="105" t="e">
        <f t="shared" si="5"/>
        <v>#REF!</v>
      </c>
      <c r="J65" s="105" t="e">
        <f>VLOOKUP(A65,#REF!,42,FALSE)</f>
        <v>#REF!</v>
      </c>
      <c r="K65" s="105" t="e">
        <f t="shared" si="6"/>
        <v>#REF!</v>
      </c>
      <c r="L65" s="164" t="e">
        <f t="shared" si="1"/>
        <v>#REF!</v>
      </c>
      <c r="M65" s="105" t="e">
        <f t="shared" si="7"/>
        <v>#REF!</v>
      </c>
      <c r="N65" s="105" t="e">
        <f>VLOOKUP(A65,#REF!,46,FALSE)</f>
        <v>#REF!</v>
      </c>
      <c r="O65" s="106" t="e">
        <f>VLOOKUP(A65,#REF!,9,FALSE)</f>
        <v>#REF!</v>
      </c>
      <c r="P65" s="114" t="e">
        <f>#REF!</f>
        <v>#REF!</v>
      </c>
      <c r="Q65" s="114" t="e">
        <f>VLOOKUP(A65,#REF!,12,FALSE)</f>
        <v>#REF!</v>
      </c>
      <c r="R65" s="120" t="e">
        <f>#REF!</f>
        <v>#REF!</v>
      </c>
      <c r="S65" s="106" t="e">
        <f>IF(Q65=0,#REF!,ROUND(Q65*R65,4))</f>
        <v>#REF!</v>
      </c>
      <c r="T65" s="121" t="e">
        <f>VLOOKUP($A65,#REF!,15,FALSE)</f>
        <v>#REF!</v>
      </c>
      <c r="U65" s="121" t="e">
        <f>VLOOKUP($A65,#REF!,19,FALSE)</f>
        <v>#REF!</v>
      </c>
      <c r="V65" s="109" t="e">
        <f t="shared" si="8"/>
        <v>#REF!</v>
      </c>
      <c r="W65" s="109" t="e">
        <f t="shared" si="9"/>
        <v>#REF!</v>
      </c>
      <c r="X65" s="105" t="e">
        <f t="shared" si="10"/>
        <v>#REF!</v>
      </c>
      <c r="Y65" s="113" t="e">
        <f t="shared" si="11"/>
        <v>#REF!</v>
      </c>
      <c r="Z65" s="109" t="e">
        <f t="shared" si="12"/>
        <v>#REF!</v>
      </c>
      <c r="AA65" s="113" t="e">
        <f t="shared" si="13"/>
        <v>#REF!</v>
      </c>
      <c r="AB65" s="109" t="e">
        <f t="shared" si="14"/>
        <v>#REF!</v>
      </c>
      <c r="AC65" s="113" t="e">
        <f t="shared" si="15"/>
        <v>#REF!</v>
      </c>
      <c r="AD65" s="105" t="e">
        <f t="shared" si="16"/>
        <v>#REF!</v>
      </c>
      <c r="AE65" s="105" t="e">
        <f t="shared" si="2"/>
        <v>#REF!</v>
      </c>
      <c r="AF65" s="105" t="e">
        <f t="shared" si="3"/>
        <v>#REF!</v>
      </c>
      <c r="AG65" s="105" t="e">
        <f t="shared" si="4"/>
        <v>#REF!</v>
      </c>
      <c r="AH65" s="111" t="e">
        <f>VLOOKUP($A65,#REF!,5,FALSE)</f>
        <v>#REF!</v>
      </c>
      <c r="AI65" s="111" t="e">
        <f>VLOOKUP($A65,#REF!,6,FALSE)</f>
        <v>#REF!</v>
      </c>
      <c r="AJ65" s="109" t="e">
        <f t="shared" si="17"/>
        <v>#REF!</v>
      </c>
      <c r="AK65" s="109" t="e">
        <f t="shared" si="18"/>
        <v>#REF!</v>
      </c>
      <c r="AL65" s="109"/>
      <c r="AM65" s="105"/>
      <c r="AN65" s="105"/>
      <c r="AO65" s="109"/>
      <c r="AP65" s="110"/>
      <c r="AQ65" s="110"/>
      <c r="AR65" s="110"/>
      <c r="AS65" s="110"/>
      <c r="AT65" s="110"/>
      <c r="AU65" s="112"/>
      <c r="AV65" s="112"/>
      <c r="AW65" s="110"/>
      <c r="AX65" s="105"/>
      <c r="AY65" s="105"/>
      <c r="AZ65" s="105"/>
      <c r="BA65" s="105"/>
      <c r="BB65" s="105"/>
      <c r="BC65" s="105"/>
    </row>
    <row r="66" spans="1:55" x14ac:dyDescent="0.15">
      <c r="A66" s="221">
        <v>118</v>
      </c>
      <c r="B66" s="98" t="e">
        <f>VLOOKUP($A66,#REF!,84,FALSE)</f>
        <v>#REF!</v>
      </c>
      <c r="C66" s="98" t="e">
        <f>VLOOKUP($A66,#REF!,85,FALSE)</f>
        <v>#REF!</v>
      </c>
      <c r="D66" s="98" t="e">
        <f>VLOOKUP($A66,#REF!,5,FALSE)</f>
        <v>#REF!</v>
      </c>
      <c r="E66" s="98" t="e">
        <f>VLOOKUP($A66,#REF!,6,FALSE)</f>
        <v>#REF!</v>
      </c>
      <c r="F66" s="105" t="e">
        <f>VLOOKUP($A66,#REF!,34,FALSE)</f>
        <v>#REF!</v>
      </c>
      <c r="G66" s="105" t="e">
        <f>VLOOKUP($A66,#REF!,29,FALSE)</f>
        <v>#REF!</v>
      </c>
      <c r="H66" s="105" t="e">
        <f>VLOOKUP(A66,#REF!,35,FALSE)+VLOOKUP(A66,#REF!,41,FALSE)</f>
        <v>#REF!</v>
      </c>
      <c r="I66" s="105" t="e">
        <f t="shared" si="5"/>
        <v>#REF!</v>
      </c>
      <c r="J66" s="105" t="e">
        <f>VLOOKUP(A66,#REF!,42,FALSE)</f>
        <v>#REF!</v>
      </c>
      <c r="K66" s="105" t="e">
        <f t="shared" si="6"/>
        <v>#REF!</v>
      </c>
      <c r="L66" s="164" t="e">
        <f t="shared" si="1"/>
        <v>#REF!</v>
      </c>
      <c r="M66" s="105" t="e">
        <f t="shared" si="7"/>
        <v>#REF!</v>
      </c>
      <c r="N66" s="105" t="e">
        <f>VLOOKUP(A66,#REF!,46,FALSE)</f>
        <v>#REF!</v>
      </c>
      <c r="O66" s="106" t="e">
        <f>VLOOKUP(A66,#REF!,9,FALSE)</f>
        <v>#REF!</v>
      </c>
      <c r="P66" s="114" t="e">
        <f>#REF!</f>
        <v>#REF!</v>
      </c>
      <c r="Q66" s="114" t="e">
        <f>VLOOKUP(A66,#REF!,12,FALSE)</f>
        <v>#REF!</v>
      </c>
      <c r="R66" s="120" t="e">
        <f>#REF!</f>
        <v>#REF!</v>
      </c>
      <c r="S66" s="106" t="e">
        <f>IF(Q66=0,#REF!,ROUND(Q66*R66,4))</f>
        <v>#REF!</v>
      </c>
      <c r="T66" s="121" t="e">
        <f>VLOOKUP($A66,#REF!,15,FALSE)</f>
        <v>#REF!</v>
      </c>
      <c r="U66" s="121" t="e">
        <f>VLOOKUP($A66,#REF!,19,FALSE)</f>
        <v>#REF!</v>
      </c>
      <c r="V66" s="109" t="e">
        <f t="shared" si="8"/>
        <v>#REF!</v>
      </c>
      <c r="W66" s="109" t="e">
        <f t="shared" si="9"/>
        <v>#REF!</v>
      </c>
      <c r="X66" s="105" t="e">
        <f t="shared" si="10"/>
        <v>#REF!</v>
      </c>
      <c r="Y66" s="113" t="e">
        <f t="shared" si="11"/>
        <v>#REF!</v>
      </c>
      <c r="Z66" s="109" t="e">
        <f t="shared" si="12"/>
        <v>#REF!</v>
      </c>
      <c r="AA66" s="113" t="e">
        <f t="shared" si="13"/>
        <v>#REF!</v>
      </c>
      <c r="AB66" s="109" t="e">
        <f t="shared" si="14"/>
        <v>#REF!</v>
      </c>
      <c r="AC66" s="113" t="e">
        <f t="shared" si="15"/>
        <v>#REF!</v>
      </c>
      <c r="AD66" s="105" t="e">
        <f t="shared" si="16"/>
        <v>#REF!</v>
      </c>
      <c r="AE66" s="105" t="e">
        <f t="shared" si="2"/>
        <v>#REF!</v>
      </c>
      <c r="AF66" s="105" t="e">
        <f t="shared" si="3"/>
        <v>#REF!</v>
      </c>
      <c r="AG66" s="105" t="e">
        <f t="shared" si="4"/>
        <v>#REF!</v>
      </c>
      <c r="AH66" s="111" t="e">
        <f>VLOOKUP($A66,#REF!,5,FALSE)</f>
        <v>#REF!</v>
      </c>
      <c r="AI66" s="111" t="e">
        <f>VLOOKUP($A66,#REF!,6,FALSE)</f>
        <v>#REF!</v>
      </c>
      <c r="AJ66" s="109" t="e">
        <f t="shared" si="17"/>
        <v>#REF!</v>
      </c>
      <c r="AK66" s="109" t="e">
        <f t="shared" si="18"/>
        <v>#REF!</v>
      </c>
      <c r="AL66" s="109"/>
      <c r="AM66" s="105"/>
      <c r="AN66" s="105"/>
      <c r="AO66" s="109"/>
      <c r="AP66" s="110"/>
      <c r="AQ66" s="110"/>
      <c r="AR66" s="110"/>
      <c r="AS66" s="110"/>
      <c r="AT66" s="110"/>
      <c r="AU66" s="112"/>
      <c r="AV66" s="112"/>
      <c r="AW66" s="110"/>
      <c r="AX66" s="105"/>
      <c r="AY66" s="105"/>
      <c r="AZ66" s="105"/>
      <c r="BA66" s="105"/>
      <c r="BB66" s="105"/>
      <c r="BC66" s="105"/>
    </row>
    <row r="67" spans="1:55" x14ac:dyDescent="0.15">
      <c r="A67" s="221">
        <v>665</v>
      </c>
      <c r="B67" s="98" t="e">
        <f>VLOOKUP($A67,#REF!,84,FALSE)</f>
        <v>#REF!</v>
      </c>
      <c r="C67" s="98" t="e">
        <f>VLOOKUP($A67,#REF!,85,FALSE)</f>
        <v>#REF!</v>
      </c>
      <c r="D67" s="98" t="e">
        <f>VLOOKUP($A67,#REF!,5,FALSE)</f>
        <v>#REF!</v>
      </c>
      <c r="E67" s="98" t="e">
        <f>VLOOKUP($A67,#REF!,6,FALSE)</f>
        <v>#REF!</v>
      </c>
      <c r="F67" s="105" t="e">
        <f>VLOOKUP($A67,#REF!,34,FALSE)</f>
        <v>#REF!</v>
      </c>
      <c r="G67" s="105" t="e">
        <f>VLOOKUP($A67,#REF!,29,FALSE)</f>
        <v>#REF!</v>
      </c>
      <c r="H67" s="105" t="e">
        <f>VLOOKUP(A67,#REF!,35,FALSE)+VLOOKUP(A67,#REF!,41,FALSE)</f>
        <v>#REF!</v>
      </c>
      <c r="I67" s="105" t="e">
        <f t="shared" si="5"/>
        <v>#REF!</v>
      </c>
      <c r="J67" s="105" t="e">
        <f>VLOOKUP(A67,#REF!,42,FALSE)</f>
        <v>#REF!</v>
      </c>
      <c r="K67" s="105" t="e">
        <f t="shared" si="6"/>
        <v>#REF!</v>
      </c>
      <c r="L67" s="164" t="e">
        <f t="shared" ref="L67:L130" si="19">+BAF</f>
        <v>#REF!</v>
      </c>
      <c r="M67" s="105" t="e">
        <f t="shared" si="7"/>
        <v>#REF!</v>
      </c>
      <c r="N67" s="105" t="e">
        <f>VLOOKUP(A67,#REF!,46,FALSE)</f>
        <v>#REF!</v>
      </c>
      <c r="O67" s="106" t="e">
        <f>VLOOKUP(A67,#REF!,9,FALSE)</f>
        <v>#REF!</v>
      </c>
      <c r="P67" s="114" t="e">
        <f>#REF!</f>
        <v>#REF!</v>
      </c>
      <c r="Q67" s="114" t="e">
        <f>VLOOKUP(A67,#REF!,12,FALSE)</f>
        <v>#REF!</v>
      </c>
      <c r="R67" s="120" t="e">
        <f>#REF!</f>
        <v>#REF!</v>
      </c>
      <c r="S67" s="106" t="e">
        <f>IF(Q67=0,#REF!,ROUND(Q67*R67,4))</f>
        <v>#REF!</v>
      </c>
      <c r="T67" s="121" t="e">
        <f>VLOOKUP($A67,#REF!,15,FALSE)</f>
        <v>#REF!</v>
      </c>
      <c r="U67" s="121" t="e">
        <f>VLOOKUP($A67,#REF!,19,FALSE)</f>
        <v>#REF!</v>
      </c>
      <c r="V67" s="109" t="e">
        <f t="shared" si="8"/>
        <v>#REF!</v>
      </c>
      <c r="W67" s="109" t="e">
        <f t="shared" si="9"/>
        <v>#REF!</v>
      </c>
      <c r="X67" s="105" t="e">
        <f t="shared" si="10"/>
        <v>#REF!</v>
      </c>
      <c r="Y67" s="113" t="e">
        <f t="shared" si="11"/>
        <v>#REF!</v>
      </c>
      <c r="Z67" s="109" t="e">
        <f t="shared" si="12"/>
        <v>#REF!</v>
      </c>
      <c r="AA67" s="113" t="e">
        <f t="shared" si="13"/>
        <v>#REF!</v>
      </c>
      <c r="AB67" s="109" t="e">
        <f t="shared" si="14"/>
        <v>#REF!</v>
      </c>
      <c r="AC67" s="113" t="e">
        <f t="shared" si="15"/>
        <v>#REF!</v>
      </c>
      <c r="AD67" s="105" t="e">
        <f t="shared" si="16"/>
        <v>#REF!</v>
      </c>
      <c r="AE67" s="105" t="e">
        <f t="shared" ref="AE67:AE130" si="20">+M67+N67</f>
        <v>#REF!</v>
      </c>
      <c r="AF67" s="105" t="e">
        <f t="shared" ref="AF67:AF130" si="21">+AC67+N67</f>
        <v>#REF!</v>
      </c>
      <c r="AG67" s="105" t="e">
        <f t="shared" ref="AG67:AG130" si="22">+AD67+N67</f>
        <v>#REF!</v>
      </c>
      <c r="AH67" s="111" t="e">
        <f>VLOOKUP($A67,#REF!,5,FALSE)</f>
        <v>#REF!</v>
      </c>
      <c r="AI67" s="111" t="e">
        <f>VLOOKUP($A67,#REF!,6,FALSE)</f>
        <v>#REF!</v>
      </c>
      <c r="AJ67" s="109" t="e">
        <f t="shared" si="17"/>
        <v>#REF!</v>
      </c>
      <c r="AK67" s="109" t="e">
        <f t="shared" si="18"/>
        <v>#REF!</v>
      </c>
      <c r="AL67" s="109"/>
      <c r="AM67" s="105"/>
      <c r="AN67" s="105"/>
      <c r="AO67" s="109"/>
      <c r="AP67" s="110"/>
      <c r="AQ67" s="110"/>
      <c r="AR67" s="110"/>
      <c r="AS67" s="110"/>
      <c r="AT67" s="110"/>
      <c r="AU67" s="112"/>
      <c r="AV67" s="112"/>
      <c r="AW67" s="110"/>
      <c r="AX67" s="105"/>
      <c r="AY67" s="105"/>
      <c r="AZ67" s="105"/>
      <c r="BA67" s="105"/>
      <c r="BB67" s="105"/>
      <c r="BC67" s="105"/>
    </row>
    <row r="68" spans="1:55" x14ac:dyDescent="0.15">
      <c r="A68" s="221">
        <v>126</v>
      </c>
      <c r="B68" s="98" t="e">
        <f>VLOOKUP($A68,#REF!,84,FALSE)</f>
        <v>#REF!</v>
      </c>
      <c r="C68" s="98" t="e">
        <f>VLOOKUP($A68,#REF!,85,FALSE)</f>
        <v>#REF!</v>
      </c>
      <c r="D68" s="98" t="e">
        <f>VLOOKUP($A68,#REF!,5,FALSE)</f>
        <v>#REF!</v>
      </c>
      <c r="E68" s="98" t="e">
        <f>VLOOKUP($A68,#REF!,6,FALSE)</f>
        <v>#REF!</v>
      </c>
      <c r="F68" s="105" t="e">
        <f>VLOOKUP($A68,#REF!,34,FALSE)</f>
        <v>#REF!</v>
      </c>
      <c r="G68" s="105" t="e">
        <f>VLOOKUP($A68,#REF!,29,FALSE)</f>
        <v>#REF!</v>
      </c>
      <c r="H68" s="105" t="e">
        <f>VLOOKUP(A68,#REF!,35,FALSE)+VLOOKUP(A68,#REF!,41,FALSE)</f>
        <v>#REF!</v>
      </c>
      <c r="I68" s="105" t="e">
        <f t="shared" ref="I68:I131" si="23">+Y68</f>
        <v>#REF!</v>
      </c>
      <c r="J68" s="105" t="e">
        <f>VLOOKUP(A68,#REF!,42,FALSE)</f>
        <v>#REF!</v>
      </c>
      <c r="K68" s="105" t="e">
        <f t="shared" ref="K68:K131" si="24">SUM(F68:J68)</f>
        <v>#REF!</v>
      </c>
      <c r="L68" s="164" t="e">
        <f t="shared" si="19"/>
        <v>#REF!</v>
      </c>
      <c r="M68" s="105" t="e">
        <f t="shared" ref="M68:M131" si="25">ROUND(K68*L68,2)</f>
        <v>#REF!</v>
      </c>
      <c r="N68" s="105" t="e">
        <f>VLOOKUP(A68,#REF!,46,FALSE)</f>
        <v>#REF!</v>
      </c>
      <c r="O68" s="106" t="e">
        <f>VLOOKUP(A68,#REF!,9,FALSE)</f>
        <v>#REF!</v>
      </c>
      <c r="P68" s="114" t="e">
        <f>#REF!</f>
        <v>#REF!</v>
      </c>
      <c r="Q68" s="114" t="e">
        <f>VLOOKUP(A68,#REF!,12,FALSE)</f>
        <v>#REF!</v>
      </c>
      <c r="R68" s="120" t="e">
        <f>#REF!</f>
        <v>#REF!</v>
      </c>
      <c r="S68" s="106" t="e">
        <f>IF(Q68=0,#REF!,ROUND(Q68*R68,4))</f>
        <v>#REF!</v>
      </c>
      <c r="T68" s="121" t="e">
        <f>VLOOKUP($A68,#REF!,15,FALSE)</f>
        <v>#REF!</v>
      </c>
      <c r="U68" s="121" t="e">
        <f>VLOOKUP($A68,#REF!,19,FALSE)</f>
        <v>#REF!</v>
      </c>
      <c r="V68" s="109" t="e">
        <f t="shared" ref="V68:V131" si="26">IF($O68="NA","NA",ROUND(U68*(O68/P68),2))</f>
        <v>#REF!</v>
      </c>
      <c r="W68" s="109" t="e">
        <f t="shared" ref="W68:W131" si="27">IF($O68="NA",ROUND(U68*S68,2),ROUND(V68*(S68/O68),2))</f>
        <v>#REF!</v>
      </c>
      <c r="X68" s="105" t="e">
        <f t="shared" ref="X68:X131" si="28">IF(O68="NA","NA",ROUND(MAX(0,AB68)*-1,2))</f>
        <v>#REF!</v>
      </c>
      <c r="Y68" s="113" t="e">
        <f t="shared" ref="Y68:Y131" si="29">IF(O68="NA", W68,W68+X68)</f>
        <v>#REF!</v>
      </c>
      <c r="Z68" s="109" t="e">
        <f t="shared" ref="Z68:Z131" si="30">IF(O68="NA","NA",ROUND(T68*(S68/O68),2))</f>
        <v>#REF!</v>
      </c>
      <c r="AA68" s="113" t="e">
        <f t="shared" ref="AA68:AA131" si="31">IF(O68="NA","NA",ROUND(W68*0.95,2))</f>
        <v>#REF!</v>
      </c>
      <c r="AB68" s="109" t="e">
        <f t="shared" ref="AB68:AB131" si="32">IF(O68="NA","NA",AA68-Z68)</f>
        <v>#REF!</v>
      </c>
      <c r="AC68" s="113" t="e">
        <f t="shared" ref="AC68:AC131" si="33">+F68+G68+H68+ROUND((I68*0.5),2)+J68</f>
        <v>#REF!</v>
      </c>
      <c r="AD68" s="105" t="e">
        <f t="shared" ref="AD68:AD131" si="34">+F68+G68+H68+J68</f>
        <v>#REF!</v>
      </c>
      <c r="AE68" s="105" t="e">
        <f t="shared" si="20"/>
        <v>#REF!</v>
      </c>
      <c r="AF68" s="105" t="e">
        <f t="shared" si="21"/>
        <v>#REF!</v>
      </c>
      <c r="AG68" s="105" t="e">
        <f t="shared" si="22"/>
        <v>#REF!</v>
      </c>
      <c r="AH68" s="111" t="e">
        <f>VLOOKUP($A68,#REF!,5,FALSE)</f>
        <v>#REF!</v>
      </c>
      <c r="AI68" s="111" t="e">
        <f>VLOOKUP($A68,#REF!,6,FALSE)</f>
        <v>#REF!</v>
      </c>
      <c r="AJ68" s="109" t="e">
        <f t="shared" ref="AJ68:AJ131" si="35">ROUND((AH68*0.75)+(AE68*0.25),2)</f>
        <v>#REF!</v>
      </c>
      <c r="AK68" s="109" t="e">
        <f t="shared" ref="AK68:AK131" si="36">ROUND((AI68*0.75)+(AF68*0.25),2)</f>
        <v>#REF!</v>
      </c>
      <c r="AL68" s="109"/>
      <c r="AM68" s="105"/>
      <c r="AN68" s="105"/>
      <c r="AO68" s="109"/>
      <c r="AP68" s="110"/>
      <c r="AQ68" s="110"/>
      <c r="AR68" s="110"/>
      <c r="AS68" s="110"/>
      <c r="AT68" s="110"/>
      <c r="AU68" s="112"/>
      <c r="AV68" s="112"/>
      <c r="AW68" s="110"/>
      <c r="AX68" s="105"/>
      <c r="AY68" s="105"/>
      <c r="AZ68" s="105"/>
      <c r="BA68" s="105"/>
      <c r="BB68" s="105"/>
      <c r="BC68" s="105"/>
    </row>
    <row r="69" spans="1:55" x14ac:dyDescent="0.15">
      <c r="A69" s="221">
        <v>48</v>
      </c>
      <c r="B69" s="98" t="e">
        <f>VLOOKUP($A69,#REF!,84,FALSE)</f>
        <v>#REF!</v>
      </c>
      <c r="C69" s="98" t="e">
        <f>VLOOKUP($A69,#REF!,85,FALSE)</f>
        <v>#REF!</v>
      </c>
      <c r="D69" s="98" t="e">
        <f>VLOOKUP($A69,#REF!,5,FALSE)</f>
        <v>#REF!</v>
      </c>
      <c r="E69" s="98" t="e">
        <f>VLOOKUP($A69,#REF!,6,FALSE)</f>
        <v>#REF!</v>
      </c>
      <c r="F69" s="105" t="e">
        <f>VLOOKUP($A69,#REF!,34,FALSE)</f>
        <v>#REF!</v>
      </c>
      <c r="G69" s="105" t="e">
        <f>VLOOKUP($A69,#REF!,29,FALSE)</f>
        <v>#REF!</v>
      </c>
      <c r="H69" s="105" t="e">
        <f>VLOOKUP(A69,#REF!,35,FALSE)+VLOOKUP(A69,#REF!,41,FALSE)</f>
        <v>#REF!</v>
      </c>
      <c r="I69" s="105" t="e">
        <f t="shared" si="23"/>
        <v>#REF!</v>
      </c>
      <c r="J69" s="105" t="e">
        <f>VLOOKUP(A69,#REF!,42,FALSE)</f>
        <v>#REF!</v>
      </c>
      <c r="K69" s="105" t="e">
        <f t="shared" si="24"/>
        <v>#REF!</v>
      </c>
      <c r="L69" s="164" t="e">
        <f t="shared" si="19"/>
        <v>#REF!</v>
      </c>
      <c r="M69" s="105" t="e">
        <f t="shared" si="25"/>
        <v>#REF!</v>
      </c>
      <c r="N69" s="105" t="e">
        <f>VLOOKUP(A69,#REF!,46,FALSE)</f>
        <v>#REF!</v>
      </c>
      <c r="O69" s="106" t="e">
        <f>VLOOKUP(A69,#REF!,9,FALSE)</f>
        <v>#REF!</v>
      </c>
      <c r="P69" s="114" t="e">
        <f>#REF!</f>
        <v>#REF!</v>
      </c>
      <c r="Q69" s="114" t="e">
        <f>VLOOKUP(A69,#REF!,12,FALSE)</f>
        <v>#REF!</v>
      </c>
      <c r="R69" s="120" t="e">
        <f>#REF!</f>
        <v>#REF!</v>
      </c>
      <c r="S69" s="106" t="e">
        <f>IF(Q69=0,#REF!,ROUND(Q69*R69,4))</f>
        <v>#REF!</v>
      </c>
      <c r="T69" s="121" t="e">
        <f>VLOOKUP($A69,#REF!,15,FALSE)</f>
        <v>#REF!</v>
      </c>
      <c r="U69" s="121" t="e">
        <f>VLOOKUP($A69,#REF!,19,FALSE)</f>
        <v>#REF!</v>
      </c>
      <c r="V69" s="109" t="e">
        <f t="shared" si="26"/>
        <v>#REF!</v>
      </c>
      <c r="W69" s="109" t="e">
        <f t="shared" si="27"/>
        <v>#REF!</v>
      </c>
      <c r="X69" s="105" t="e">
        <f t="shared" si="28"/>
        <v>#REF!</v>
      </c>
      <c r="Y69" s="113" t="e">
        <f t="shared" si="29"/>
        <v>#REF!</v>
      </c>
      <c r="Z69" s="109" t="e">
        <f t="shared" si="30"/>
        <v>#REF!</v>
      </c>
      <c r="AA69" s="113" t="e">
        <f t="shared" si="31"/>
        <v>#REF!</v>
      </c>
      <c r="AB69" s="109" t="e">
        <f t="shared" si="32"/>
        <v>#REF!</v>
      </c>
      <c r="AC69" s="113" t="e">
        <f t="shared" si="33"/>
        <v>#REF!</v>
      </c>
      <c r="AD69" s="105" t="e">
        <f t="shared" si="34"/>
        <v>#REF!</v>
      </c>
      <c r="AE69" s="105" t="e">
        <f t="shared" si="20"/>
        <v>#REF!</v>
      </c>
      <c r="AF69" s="105" t="e">
        <f t="shared" si="21"/>
        <v>#REF!</v>
      </c>
      <c r="AG69" s="105" t="e">
        <f t="shared" si="22"/>
        <v>#REF!</v>
      </c>
      <c r="AH69" s="111" t="e">
        <f>VLOOKUP($A69,#REF!,5,FALSE)</f>
        <v>#REF!</v>
      </c>
      <c r="AI69" s="111" t="e">
        <f>VLOOKUP($A69,#REF!,6,FALSE)</f>
        <v>#REF!</v>
      </c>
      <c r="AJ69" s="109" t="e">
        <f t="shared" si="35"/>
        <v>#REF!</v>
      </c>
      <c r="AK69" s="109" t="e">
        <f t="shared" si="36"/>
        <v>#REF!</v>
      </c>
      <c r="AL69" s="109"/>
      <c r="AM69" s="105"/>
      <c r="AN69" s="105"/>
      <c r="AO69" s="109"/>
      <c r="AP69" s="110"/>
      <c r="AQ69" s="110"/>
      <c r="AR69" s="110"/>
      <c r="AS69" s="110"/>
      <c r="AT69" s="110"/>
      <c r="AU69" s="112"/>
      <c r="AV69" s="112"/>
      <c r="AW69" s="110"/>
      <c r="AX69" s="105"/>
      <c r="AY69" s="105"/>
      <c r="AZ69" s="105"/>
      <c r="BA69" s="105"/>
      <c r="BB69" s="105"/>
      <c r="BC69" s="105"/>
    </row>
    <row r="70" spans="1:55" x14ac:dyDescent="0.15">
      <c r="A70" s="221">
        <v>232</v>
      </c>
      <c r="B70" s="98" t="e">
        <f>VLOOKUP($A70,#REF!,84,FALSE)</f>
        <v>#REF!</v>
      </c>
      <c r="C70" s="98" t="e">
        <f>VLOOKUP($A70,#REF!,85,FALSE)</f>
        <v>#REF!</v>
      </c>
      <c r="D70" s="98" t="e">
        <f>VLOOKUP($A70,#REF!,5,FALSE)</f>
        <v>#REF!</v>
      </c>
      <c r="E70" s="98" t="e">
        <f>VLOOKUP($A70,#REF!,6,FALSE)</f>
        <v>#REF!</v>
      </c>
      <c r="F70" s="105" t="e">
        <f>VLOOKUP($A70,#REF!,34,FALSE)</f>
        <v>#REF!</v>
      </c>
      <c r="G70" s="105" t="e">
        <f>VLOOKUP($A70,#REF!,29,FALSE)</f>
        <v>#REF!</v>
      </c>
      <c r="H70" s="105" t="e">
        <f>VLOOKUP(A70,#REF!,35,FALSE)+VLOOKUP(A70,#REF!,41,FALSE)</f>
        <v>#REF!</v>
      </c>
      <c r="I70" s="105" t="e">
        <f t="shared" si="23"/>
        <v>#REF!</v>
      </c>
      <c r="J70" s="105" t="e">
        <f>VLOOKUP(A70,#REF!,42,FALSE)</f>
        <v>#REF!</v>
      </c>
      <c r="K70" s="105" t="e">
        <f t="shared" si="24"/>
        <v>#REF!</v>
      </c>
      <c r="L70" s="164" t="e">
        <f t="shared" si="19"/>
        <v>#REF!</v>
      </c>
      <c r="M70" s="105" t="e">
        <f t="shared" si="25"/>
        <v>#REF!</v>
      </c>
      <c r="N70" s="105" t="e">
        <f>VLOOKUP(A70,#REF!,46,FALSE)</f>
        <v>#REF!</v>
      </c>
      <c r="O70" s="106" t="e">
        <f>VLOOKUP(A70,#REF!,9,FALSE)</f>
        <v>#REF!</v>
      </c>
      <c r="P70" s="114" t="e">
        <f>#REF!</f>
        <v>#REF!</v>
      </c>
      <c r="Q70" s="114" t="e">
        <f>VLOOKUP(A70,#REF!,12,FALSE)</f>
        <v>#REF!</v>
      </c>
      <c r="R70" s="120" t="e">
        <f>#REF!</f>
        <v>#REF!</v>
      </c>
      <c r="S70" s="106" t="e">
        <f>IF(Q70=0,#REF!,ROUND(Q70*R70,4))</f>
        <v>#REF!</v>
      </c>
      <c r="T70" s="121" t="e">
        <f>VLOOKUP($A70,#REF!,15,FALSE)</f>
        <v>#REF!</v>
      </c>
      <c r="U70" s="121" t="e">
        <f>VLOOKUP($A70,#REF!,19,FALSE)</f>
        <v>#REF!</v>
      </c>
      <c r="V70" s="109" t="e">
        <f t="shared" si="26"/>
        <v>#REF!</v>
      </c>
      <c r="W70" s="109" t="e">
        <f t="shared" si="27"/>
        <v>#REF!</v>
      </c>
      <c r="X70" s="105" t="e">
        <f t="shared" si="28"/>
        <v>#REF!</v>
      </c>
      <c r="Y70" s="113" t="e">
        <f t="shared" si="29"/>
        <v>#REF!</v>
      </c>
      <c r="Z70" s="109" t="e">
        <f t="shared" si="30"/>
        <v>#REF!</v>
      </c>
      <c r="AA70" s="113" t="e">
        <f t="shared" si="31"/>
        <v>#REF!</v>
      </c>
      <c r="AB70" s="109" t="e">
        <f t="shared" si="32"/>
        <v>#REF!</v>
      </c>
      <c r="AC70" s="113" t="e">
        <f t="shared" si="33"/>
        <v>#REF!</v>
      </c>
      <c r="AD70" s="105" t="e">
        <f t="shared" si="34"/>
        <v>#REF!</v>
      </c>
      <c r="AE70" s="105" t="e">
        <f t="shared" si="20"/>
        <v>#REF!</v>
      </c>
      <c r="AF70" s="105" t="e">
        <f t="shared" si="21"/>
        <v>#REF!</v>
      </c>
      <c r="AG70" s="105" t="e">
        <f t="shared" si="22"/>
        <v>#REF!</v>
      </c>
      <c r="AH70" s="111" t="e">
        <f>VLOOKUP($A70,#REF!,5,FALSE)</f>
        <v>#REF!</v>
      </c>
      <c r="AI70" s="111" t="e">
        <f>VLOOKUP($A70,#REF!,6,FALSE)</f>
        <v>#REF!</v>
      </c>
      <c r="AJ70" s="109" t="e">
        <f t="shared" si="35"/>
        <v>#REF!</v>
      </c>
      <c r="AK70" s="109" t="e">
        <f t="shared" si="36"/>
        <v>#REF!</v>
      </c>
      <c r="AL70" s="109"/>
      <c r="AM70" s="105"/>
      <c r="AN70" s="105"/>
      <c r="AO70" s="109"/>
      <c r="AP70" s="110"/>
      <c r="AQ70" s="110"/>
      <c r="AR70" s="110"/>
      <c r="AS70" s="110"/>
      <c r="AT70" s="110"/>
      <c r="AU70" s="112"/>
      <c r="AV70" s="112"/>
      <c r="AW70" s="110"/>
      <c r="AX70" s="105"/>
      <c r="AY70" s="105"/>
      <c r="AZ70" s="105"/>
      <c r="BA70" s="105"/>
      <c r="BB70" s="105"/>
      <c r="BC70" s="105"/>
    </row>
    <row r="71" spans="1:55" x14ac:dyDescent="0.15">
      <c r="A71" s="221">
        <v>735</v>
      </c>
      <c r="B71" s="98" t="e">
        <f>VLOOKUP($A71,#REF!,84,FALSE)</f>
        <v>#REF!</v>
      </c>
      <c r="C71" s="98" t="e">
        <f>VLOOKUP($A71,#REF!,85,FALSE)</f>
        <v>#REF!</v>
      </c>
      <c r="D71" s="98" t="e">
        <f>VLOOKUP($A71,#REF!,5,FALSE)</f>
        <v>#REF!</v>
      </c>
      <c r="E71" s="98" t="e">
        <f>VLOOKUP($A71,#REF!,6,FALSE)</f>
        <v>#REF!</v>
      </c>
      <c r="F71" s="105" t="e">
        <f>VLOOKUP($A71,#REF!,34,FALSE)</f>
        <v>#REF!</v>
      </c>
      <c r="G71" s="105" t="e">
        <f>VLOOKUP($A71,#REF!,29,FALSE)</f>
        <v>#REF!</v>
      </c>
      <c r="H71" s="105" t="e">
        <f>VLOOKUP(A71,#REF!,35,FALSE)+VLOOKUP(A71,#REF!,41,FALSE)</f>
        <v>#REF!</v>
      </c>
      <c r="I71" s="105" t="e">
        <f t="shared" si="23"/>
        <v>#REF!</v>
      </c>
      <c r="J71" s="105" t="e">
        <f>VLOOKUP(A71,#REF!,42,FALSE)</f>
        <v>#REF!</v>
      </c>
      <c r="K71" s="105" t="e">
        <f t="shared" si="24"/>
        <v>#REF!</v>
      </c>
      <c r="L71" s="164" t="e">
        <f t="shared" si="19"/>
        <v>#REF!</v>
      </c>
      <c r="M71" s="105" t="e">
        <f t="shared" si="25"/>
        <v>#REF!</v>
      </c>
      <c r="N71" s="105" t="e">
        <f>VLOOKUP(A71,#REF!,46,FALSE)</f>
        <v>#REF!</v>
      </c>
      <c r="O71" s="106" t="e">
        <f>VLOOKUP(A71,#REF!,9,FALSE)</f>
        <v>#REF!</v>
      </c>
      <c r="P71" s="114" t="e">
        <f>#REF!</f>
        <v>#REF!</v>
      </c>
      <c r="Q71" s="114" t="e">
        <f>VLOOKUP(A71,#REF!,12,FALSE)</f>
        <v>#REF!</v>
      </c>
      <c r="R71" s="120" t="e">
        <f>#REF!</f>
        <v>#REF!</v>
      </c>
      <c r="S71" s="106" t="e">
        <f>IF(Q71=0,#REF!,ROUND(Q71*R71,4))</f>
        <v>#REF!</v>
      </c>
      <c r="T71" s="121" t="e">
        <f>VLOOKUP($A71,#REF!,15,FALSE)</f>
        <v>#REF!</v>
      </c>
      <c r="U71" s="121" t="e">
        <f>VLOOKUP($A71,#REF!,19,FALSE)</f>
        <v>#REF!</v>
      </c>
      <c r="V71" s="109" t="e">
        <f t="shared" si="26"/>
        <v>#REF!</v>
      </c>
      <c r="W71" s="109" t="e">
        <f t="shared" si="27"/>
        <v>#REF!</v>
      </c>
      <c r="X71" s="105" t="e">
        <f t="shared" si="28"/>
        <v>#REF!</v>
      </c>
      <c r="Y71" s="113" t="e">
        <f t="shared" si="29"/>
        <v>#REF!</v>
      </c>
      <c r="Z71" s="109" t="e">
        <f t="shared" si="30"/>
        <v>#REF!</v>
      </c>
      <c r="AA71" s="113" t="e">
        <f t="shared" si="31"/>
        <v>#REF!</v>
      </c>
      <c r="AB71" s="109" t="e">
        <f t="shared" si="32"/>
        <v>#REF!</v>
      </c>
      <c r="AC71" s="113" t="e">
        <f t="shared" si="33"/>
        <v>#REF!</v>
      </c>
      <c r="AD71" s="105" t="e">
        <f t="shared" si="34"/>
        <v>#REF!</v>
      </c>
      <c r="AE71" s="105" t="e">
        <f t="shared" si="20"/>
        <v>#REF!</v>
      </c>
      <c r="AF71" s="105" t="e">
        <f t="shared" si="21"/>
        <v>#REF!</v>
      </c>
      <c r="AG71" s="105" t="e">
        <f t="shared" si="22"/>
        <v>#REF!</v>
      </c>
      <c r="AH71" s="111" t="e">
        <f>VLOOKUP($A71,#REF!,5,FALSE)</f>
        <v>#REF!</v>
      </c>
      <c r="AI71" s="111" t="e">
        <f>VLOOKUP($A71,#REF!,6,FALSE)</f>
        <v>#REF!</v>
      </c>
      <c r="AJ71" s="109" t="e">
        <f t="shared" si="35"/>
        <v>#REF!</v>
      </c>
      <c r="AK71" s="109" t="e">
        <f t="shared" si="36"/>
        <v>#REF!</v>
      </c>
      <c r="AL71" s="109"/>
      <c r="AM71" s="105"/>
      <c r="AN71" s="105"/>
      <c r="AO71" s="109"/>
      <c r="AP71" s="110"/>
      <c r="AQ71" s="110"/>
      <c r="AR71" s="110"/>
      <c r="AS71" s="110"/>
      <c r="AT71" s="110"/>
      <c r="AU71" s="112"/>
      <c r="AV71" s="112"/>
      <c r="AW71" s="110"/>
      <c r="AX71" s="105"/>
      <c r="AY71" s="105"/>
      <c r="AZ71" s="105"/>
      <c r="BA71" s="105"/>
      <c r="BB71" s="105"/>
      <c r="BC71" s="105"/>
    </row>
    <row r="72" spans="1:55" x14ac:dyDescent="0.15">
      <c r="A72" s="221">
        <v>262</v>
      </c>
      <c r="B72" s="98" t="e">
        <f>VLOOKUP($A72,#REF!,84,FALSE)</f>
        <v>#REF!</v>
      </c>
      <c r="C72" s="98" t="e">
        <f>VLOOKUP($A72,#REF!,85,FALSE)</f>
        <v>#REF!</v>
      </c>
      <c r="D72" s="98" t="e">
        <f>VLOOKUP($A72,#REF!,5,FALSE)</f>
        <v>#REF!</v>
      </c>
      <c r="E72" s="98" t="e">
        <f>VLOOKUP($A72,#REF!,6,FALSE)</f>
        <v>#REF!</v>
      </c>
      <c r="F72" s="105" t="e">
        <f>VLOOKUP($A72,#REF!,34,FALSE)</f>
        <v>#REF!</v>
      </c>
      <c r="G72" s="105" t="e">
        <f>VLOOKUP($A72,#REF!,29,FALSE)</f>
        <v>#REF!</v>
      </c>
      <c r="H72" s="105" t="e">
        <f>VLOOKUP(A72,#REF!,35,FALSE)+VLOOKUP(A72,#REF!,41,FALSE)</f>
        <v>#REF!</v>
      </c>
      <c r="I72" s="105" t="e">
        <f t="shared" si="23"/>
        <v>#REF!</v>
      </c>
      <c r="J72" s="105" t="e">
        <f>VLOOKUP(A72,#REF!,42,FALSE)</f>
        <v>#REF!</v>
      </c>
      <c r="K72" s="105" t="e">
        <f t="shared" si="24"/>
        <v>#REF!</v>
      </c>
      <c r="L72" s="164" t="e">
        <f t="shared" si="19"/>
        <v>#REF!</v>
      </c>
      <c r="M72" s="105" t="e">
        <f t="shared" si="25"/>
        <v>#REF!</v>
      </c>
      <c r="N72" s="105" t="e">
        <f>VLOOKUP(A72,#REF!,46,FALSE)</f>
        <v>#REF!</v>
      </c>
      <c r="O72" s="106" t="e">
        <f>VLOOKUP(A72,#REF!,9,FALSE)</f>
        <v>#REF!</v>
      </c>
      <c r="P72" s="114" t="e">
        <f>#REF!</f>
        <v>#REF!</v>
      </c>
      <c r="Q72" s="114" t="e">
        <f>VLOOKUP(A72,#REF!,12,FALSE)</f>
        <v>#REF!</v>
      </c>
      <c r="R72" s="120" t="e">
        <f>#REF!</f>
        <v>#REF!</v>
      </c>
      <c r="S72" s="106" t="e">
        <f>IF(Q72=0,#REF!,ROUND(Q72*R72,4))</f>
        <v>#REF!</v>
      </c>
      <c r="T72" s="121" t="e">
        <f>VLOOKUP($A72,#REF!,15,FALSE)</f>
        <v>#REF!</v>
      </c>
      <c r="U72" s="121" t="e">
        <f>VLOOKUP($A72,#REF!,19,FALSE)</f>
        <v>#REF!</v>
      </c>
      <c r="V72" s="109" t="e">
        <f t="shared" si="26"/>
        <v>#REF!</v>
      </c>
      <c r="W72" s="109" t="e">
        <f t="shared" si="27"/>
        <v>#REF!</v>
      </c>
      <c r="X72" s="105" t="e">
        <f t="shared" si="28"/>
        <v>#REF!</v>
      </c>
      <c r="Y72" s="113" t="e">
        <f t="shared" si="29"/>
        <v>#REF!</v>
      </c>
      <c r="Z72" s="109" t="e">
        <f t="shared" si="30"/>
        <v>#REF!</v>
      </c>
      <c r="AA72" s="113" t="e">
        <f t="shared" si="31"/>
        <v>#REF!</v>
      </c>
      <c r="AB72" s="109" t="e">
        <f t="shared" si="32"/>
        <v>#REF!</v>
      </c>
      <c r="AC72" s="113" t="e">
        <f t="shared" si="33"/>
        <v>#REF!</v>
      </c>
      <c r="AD72" s="105" t="e">
        <f t="shared" si="34"/>
        <v>#REF!</v>
      </c>
      <c r="AE72" s="105" t="e">
        <f t="shared" si="20"/>
        <v>#REF!</v>
      </c>
      <c r="AF72" s="105" t="e">
        <f t="shared" si="21"/>
        <v>#REF!</v>
      </c>
      <c r="AG72" s="105" t="e">
        <f t="shared" si="22"/>
        <v>#REF!</v>
      </c>
      <c r="AH72" s="111" t="e">
        <f>VLOOKUP($A72,#REF!,5,FALSE)</f>
        <v>#REF!</v>
      </c>
      <c r="AI72" s="111" t="e">
        <f>VLOOKUP($A72,#REF!,6,FALSE)</f>
        <v>#REF!</v>
      </c>
      <c r="AJ72" s="109" t="e">
        <f t="shared" si="35"/>
        <v>#REF!</v>
      </c>
      <c r="AK72" s="109" t="e">
        <f t="shared" si="36"/>
        <v>#REF!</v>
      </c>
      <c r="AL72" s="109"/>
      <c r="AM72" s="105"/>
      <c r="AN72" s="105"/>
      <c r="AO72" s="109"/>
      <c r="AP72" s="110"/>
      <c r="AQ72" s="110"/>
      <c r="AR72" s="110"/>
      <c r="AS72" s="110"/>
      <c r="AT72" s="110"/>
      <c r="AU72" s="112"/>
      <c r="AV72" s="112"/>
      <c r="AW72" s="110"/>
      <c r="AX72" s="105"/>
      <c r="AY72" s="105"/>
      <c r="AZ72" s="105"/>
      <c r="BA72" s="105"/>
      <c r="BB72" s="105"/>
      <c r="BC72" s="105"/>
    </row>
    <row r="73" spans="1:55" x14ac:dyDescent="0.15">
      <c r="A73" s="221">
        <v>342</v>
      </c>
      <c r="B73" s="98" t="e">
        <f>VLOOKUP($A73,#REF!,84,FALSE)</f>
        <v>#REF!</v>
      </c>
      <c r="C73" s="98" t="e">
        <f>VLOOKUP($A73,#REF!,85,FALSE)</f>
        <v>#REF!</v>
      </c>
      <c r="D73" s="98" t="e">
        <f>VLOOKUP($A73,#REF!,5,FALSE)</f>
        <v>#REF!</v>
      </c>
      <c r="E73" s="98" t="e">
        <f>VLOOKUP($A73,#REF!,6,FALSE)</f>
        <v>#REF!</v>
      </c>
      <c r="F73" s="105" t="e">
        <f>VLOOKUP($A73,#REF!,34,FALSE)</f>
        <v>#REF!</v>
      </c>
      <c r="G73" s="105" t="e">
        <f>VLOOKUP($A73,#REF!,29,FALSE)</f>
        <v>#REF!</v>
      </c>
      <c r="H73" s="105" t="e">
        <f>VLOOKUP(A73,#REF!,35,FALSE)+VLOOKUP(A73,#REF!,41,FALSE)</f>
        <v>#REF!</v>
      </c>
      <c r="I73" s="105" t="e">
        <f t="shared" si="23"/>
        <v>#REF!</v>
      </c>
      <c r="J73" s="105" t="e">
        <f>VLOOKUP(A73,#REF!,42,FALSE)</f>
        <v>#REF!</v>
      </c>
      <c r="K73" s="105" t="e">
        <f t="shared" si="24"/>
        <v>#REF!</v>
      </c>
      <c r="L73" s="164" t="e">
        <f t="shared" si="19"/>
        <v>#REF!</v>
      </c>
      <c r="M73" s="105" t="e">
        <f t="shared" si="25"/>
        <v>#REF!</v>
      </c>
      <c r="N73" s="105" t="e">
        <f>VLOOKUP(A73,#REF!,46,FALSE)</f>
        <v>#REF!</v>
      </c>
      <c r="O73" s="106" t="e">
        <f>VLOOKUP(A73,#REF!,9,FALSE)</f>
        <v>#REF!</v>
      </c>
      <c r="P73" s="114" t="e">
        <f>#REF!</f>
        <v>#REF!</v>
      </c>
      <c r="Q73" s="114" t="e">
        <f>VLOOKUP(A73,#REF!,12,FALSE)</f>
        <v>#REF!</v>
      </c>
      <c r="R73" s="120" t="e">
        <f>#REF!</f>
        <v>#REF!</v>
      </c>
      <c r="S73" s="106" t="e">
        <f>IF(Q73=0,#REF!,ROUND(Q73*R73,4))</f>
        <v>#REF!</v>
      </c>
      <c r="T73" s="121" t="e">
        <f>VLOOKUP($A73,#REF!,15,FALSE)</f>
        <v>#REF!</v>
      </c>
      <c r="U73" s="121" t="e">
        <f>VLOOKUP($A73,#REF!,19,FALSE)</f>
        <v>#REF!</v>
      </c>
      <c r="V73" s="109" t="e">
        <f t="shared" si="26"/>
        <v>#REF!</v>
      </c>
      <c r="W73" s="109" t="e">
        <f t="shared" si="27"/>
        <v>#REF!</v>
      </c>
      <c r="X73" s="105" t="e">
        <f t="shared" si="28"/>
        <v>#REF!</v>
      </c>
      <c r="Y73" s="113" t="e">
        <f t="shared" si="29"/>
        <v>#REF!</v>
      </c>
      <c r="Z73" s="109" t="e">
        <f t="shared" si="30"/>
        <v>#REF!</v>
      </c>
      <c r="AA73" s="113" t="e">
        <f t="shared" si="31"/>
        <v>#REF!</v>
      </c>
      <c r="AB73" s="109" t="e">
        <f t="shared" si="32"/>
        <v>#REF!</v>
      </c>
      <c r="AC73" s="113" t="e">
        <f t="shared" si="33"/>
        <v>#REF!</v>
      </c>
      <c r="AD73" s="105" t="e">
        <f t="shared" si="34"/>
        <v>#REF!</v>
      </c>
      <c r="AE73" s="105" t="e">
        <f t="shared" si="20"/>
        <v>#REF!</v>
      </c>
      <c r="AF73" s="105" t="e">
        <f t="shared" si="21"/>
        <v>#REF!</v>
      </c>
      <c r="AG73" s="105" t="e">
        <f t="shared" si="22"/>
        <v>#REF!</v>
      </c>
      <c r="AH73" s="111" t="e">
        <f>VLOOKUP($A73,#REF!,5,FALSE)</f>
        <v>#REF!</v>
      </c>
      <c r="AI73" s="111" t="e">
        <f>VLOOKUP($A73,#REF!,6,FALSE)</f>
        <v>#REF!</v>
      </c>
      <c r="AJ73" s="109" t="e">
        <f t="shared" si="35"/>
        <v>#REF!</v>
      </c>
      <c r="AK73" s="109" t="e">
        <f t="shared" si="36"/>
        <v>#REF!</v>
      </c>
      <c r="AL73" s="109"/>
      <c r="AM73" s="105"/>
      <c r="AN73" s="105"/>
      <c r="AO73" s="109"/>
      <c r="AP73" s="110"/>
      <c r="AQ73" s="110"/>
      <c r="AR73" s="110"/>
      <c r="AS73" s="110"/>
      <c r="AT73" s="110"/>
      <c r="AU73" s="112"/>
      <c r="AV73" s="112"/>
      <c r="AW73" s="110"/>
      <c r="AX73" s="105"/>
      <c r="AY73" s="105"/>
      <c r="AZ73" s="105"/>
      <c r="BA73" s="105"/>
      <c r="BB73" s="105"/>
      <c r="BC73" s="105"/>
    </row>
    <row r="74" spans="1:55" x14ac:dyDescent="0.15">
      <c r="A74" s="221">
        <v>400</v>
      </c>
      <c r="B74" s="98" t="e">
        <f>VLOOKUP($A74,#REF!,84,FALSE)</f>
        <v>#REF!</v>
      </c>
      <c r="C74" s="98" t="e">
        <f>VLOOKUP($A74,#REF!,85,FALSE)</f>
        <v>#REF!</v>
      </c>
      <c r="D74" s="98" t="e">
        <f>VLOOKUP($A74,#REF!,5,FALSE)</f>
        <v>#REF!</v>
      </c>
      <c r="E74" s="98" t="e">
        <f>VLOOKUP($A74,#REF!,6,FALSE)</f>
        <v>#REF!</v>
      </c>
      <c r="F74" s="105" t="e">
        <f>VLOOKUP($A74,#REF!,34,FALSE)</f>
        <v>#REF!</v>
      </c>
      <c r="G74" s="105" t="e">
        <f>VLOOKUP($A74,#REF!,29,FALSE)</f>
        <v>#REF!</v>
      </c>
      <c r="H74" s="105" t="e">
        <f>VLOOKUP(A74,#REF!,35,FALSE)+VLOOKUP(A74,#REF!,41,FALSE)</f>
        <v>#REF!</v>
      </c>
      <c r="I74" s="105" t="e">
        <f t="shared" si="23"/>
        <v>#REF!</v>
      </c>
      <c r="J74" s="105" t="e">
        <f>VLOOKUP(A74,#REF!,42,FALSE)</f>
        <v>#REF!</v>
      </c>
      <c r="K74" s="105" t="e">
        <f t="shared" si="24"/>
        <v>#REF!</v>
      </c>
      <c r="L74" s="164" t="e">
        <f t="shared" si="19"/>
        <v>#REF!</v>
      </c>
      <c r="M74" s="105" t="e">
        <f t="shared" si="25"/>
        <v>#REF!</v>
      </c>
      <c r="N74" s="105" t="e">
        <f>VLOOKUP(A74,#REF!,46,FALSE)</f>
        <v>#REF!</v>
      </c>
      <c r="O74" s="106" t="e">
        <f>VLOOKUP(A74,#REF!,9,FALSE)</f>
        <v>#REF!</v>
      </c>
      <c r="P74" s="114" t="e">
        <f>#REF!</f>
        <v>#REF!</v>
      </c>
      <c r="Q74" s="114" t="e">
        <f>VLOOKUP(A74,#REF!,12,FALSE)</f>
        <v>#REF!</v>
      </c>
      <c r="R74" s="120" t="e">
        <f>#REF!</f>
        <v>#REF!</v>
      </c>
      <c r="S74" s="106" t="e">
        <f>IF(Q74=0,#REF!,ROUND(Q74*R74,4))</f>
        <v>#REF!</v>
      </c>
      <c r="T74" s="121" t="e">
        <f>VLOOKUP($A74,#REF!,15,FALSE)</f>
        <v>#REF!</v>
      </c>
      <c r="U74" s="121" t="e">
        <f>VLOOKUP($A74,#REF!,19,FALSE)</f>
        <v>#REF!</v>
      </c>
      <c r="V74" s="109" t="e">
        <f t="shared" si="26"/>
        <v>#REF!</v>
      </c>
      <c r="W74" s="109" t="e">
        <f t="shared" si="27"/>
        <v>#REF!</v>
      </c>
      <c r="X74" s="105" t="e">
        <f t="shared" si="28"/>
        <v>#REF!</v>
      </c>
      <c r="Y74" s="113" t="e">
        <f t="shared" si="29"/>
        <v>#REF!</v>
      </c>
      <c r="Z74" s="109" t="e">
        <f t="shared" si="30"/>
        <v>#REF!</v>
      </c>
      <c r="AA74" s="113" t="e">
        <f t="shared" si="31"/>
        <v>#REF!</v>
      </c>
      <c r="AB74" s="109" t="e">
        <f t="shared" si="32"/>
        <v>#REF!</v>
      </c>
      <c r="AC74" s="113" t="e">
        <f t="shared" si="33"/>
        <v>#REF!</v>
      </c>
      <c r="AD74" s="105" t="e">
        <f t="shared" si="34"/>
        <v>#REF!</v>
      </c>
      <c r="AE74" s="105" t="e">
        <f t="shared" si="20"/>
        <v>#REF!</v>
      </c>
      <c r="AF74" s="105" t="e">
        <f t="shared" si="21"/>
        <v>#REF!</v>
      </c>
      <c r="AG74" s="105" t="e">
        <f t="shared" si="22"/>
        <v>#REF!</v>
      </c>
      <c r="AH74" s="111" t="e">
        <f>VLOOKUP($A74,#REF!,5,FALSE)</f>
        <v>#REF!</v>
      </c>
      <c r="AI74" s="111" t="e">
        <f>VLOOKUP($A74,#REF!,6,FALSE)</f>
        <v>#REF!</v>
      </c>
      <c r="AJ74" s="109" t="e">
        <f t="shared" si="35"/>
        <v>#REF!</v>
      </c>
      <c r="AK74" s="109" t="e">
        <f t="shared" si="36"/>
        <v>#REF!</v>
      </c>
      <c r="AL74" s="109"/>
      <c r="AM74" s="105"/>
      <c r="AN74" s="105"/>
      <c r="AO74" s="109"/>
      <c r="AP74" s="110"/>
      <c r="AQ74" s="110"/>
      <c r="AR74" s="110"/>
      <c r="AS74" s="110"/>
      <c r="AT74" s="110"/>
      <c r="AU74" s="112"/>
      <c r="AV74" s="112"/>
      <c r="AW74" s="110"/>
      <c r="AX74" s="105"/>
      <c r="AY74" s="105"/>
      <c r="AZ74" s="105"/>
      <c r="BA74" s="105"/>
      <c r="BB74" s="105"/>
      <c r="BC74" s="105"/>
    </row>
    <row r="75" spans="1:55" x14ac:dyDescent="0.15">
      <c r="A75" s="221">
        <v>412</v>
      </c>
      <c r="B75" s="98" t="e">
        <f>VLOOKUP($A75,#REF!,84,FALSE)</f>
        <v>#REF!</v>
      </c>
      <c r="C75" s="98" t="e">
        <f>VLOOKUP($A75,#REF!,85,FALSE)</f>
        <v>#REF!</v>
      </c>
      <c r="D75" s="98" t="e">
        <f>VLOOKUP($A75,#REF!,5,FALSE)</f>
        <v>#REF!</v>
      </c>
      <c r="E75" s="98" t="e">
        <f>VLOOKUP($A75,#REF!,6,FALSE)</f>
        <v>#REF!</v>
      </c>
      <c r="F75" s="105" t="e">
        <f>VLOOKUP($A75,#REF!,34,FALSE)</f>
        <v>#REF!</v>
      </c>
      <c r="G75" s="105" t="e">
        <f>VLOOKUP($A75,#REF!,29,FALSE)</f>
        <v>#REF!</v>
      </c>
      <c r="H75" s="105" t="e">
        <f>VLOOKUP(A75,#REF!,35,FALSE)+VLOOKUP(A75,#REF!,41,FALSE)</f>
        <v>#REF!</v>
      </c>
      <c r="I75" s="105" t="e">
        <f t="shared" si="23"/>
        <v>#REF!</v>
      </c>
      <c r="J75" s="105" t="e">
        <f>VLOOKUP(A75,#REF!,42,FALSE)</f>
        <v>#REF!</v>
      </c>
      <c r="K75" s="105" t="e">
        <f t="shared" si="24"/>
        <v>#REF!</v>
      </c>
      <c r="L75" s="164" t="e">
        <f t="shared" si="19"/>
        <v>#REF!</v>
      </c>
      <c r="M75" s="105" t="e">
        <f t="shared" si="25"/>
        <v>#REF!</v>
      </c>
      <c r="N75" s="105" t="e">
        <f>VLOOKUP(A75,#REF!,46,FALSE)</f>
        <v>#REF!</v>
      </c>
      <c r="O75" s="106" t="e">
        <f>VLOOKUP(A75,#REF!,9,FALSE)</f>
        <v>#REF!</v>
      </c>
      <c r="P75" s="114" t="e">
        <f>#REF!</f>
        <v>#REF!</v>
      </c>
      <c r="Q75" s="114" t="e">
        <f>VLOOKUP(A75,#REF!,12,FALSE)</f>
        <v>#REF!</v>
      </c>
      <c r="R75" s="120" t="e">
        <f>#REF!</f>
        <v>#REF!</v>
      </c>
      <c r="S75" s="106" t="e">
        <f>IF(Q75=0,#REF!,ROUND(Q75*R75,4))</f>
        <v>#REF!</v>
      </c>
      <c r="T75" s="121" t="e">
        <f>VLOOKUP($A75,#REF!,15,FALSE)</f>
        <v>#REF!</v>
      </c>
      <c r="U75" s="121" t="e">
        <f>VLOOKUP($A75,#REF!,19,FALSE)</f>
        <v>#REF!</v>
      </c>
      <c r="V75" s="109" t="e">
        <f t="shared" si="26"/>
        <v>#REF!</v>
      </c>
      <c r="W75" s="109" t="e">
        <f t="shared" si="27"/>
        <v>#REF!</v>
      </c>
      <c r="X75" s="105" t="e">
        <f t="shared" si="28"/>
        <v>#REF!</v>
      </c>
      <c r="Y75" s="113" t="e">
        <f t="shared" si="29"/>
        <v>#REF!</v>
      </c>
      <c r="Z75" s="109" t="e">
        <f t="shared" si="30"/>
        <v>#REF!</v>
      </c>
      <c r="AA75" s="113" t="e">
        <f t="shared" si="31"/>
        <v>#REF!</v>
      </c>
      <c r="AB75" s="109" t="e">
        <f t="shared" si="32"/>
        <v>#REF!</v>
      </c>
      <c r="AC75" s="113" t="e">
        <f t="shared" si="33"/>
        <v>#REF!</v>
      </c>
      <c r="AD75" s="105" t="e">
        <f t="shared" si="34"/>
        <v>#REF!</v>
      </c>
      <c r="AE75" s="105" t="e">
        <f t="shared" si="20"/>
        <v>#REF!</v>
      </c>
      <c r="AF75" s="105" t="e">
        <f t="shared" si="21"/>
        <v>#REF!</v>
      </c>
      <c r="AG75" s="105" t="e">
        <f t="shared" si="22"/>
        <v>#REF!</v>
      </c>
      <c r="AH75" s="111" t="e">
        <f>VLOOKUP($A75,#REF!,5,FALSE)</f>
        <v>#REF!</v>
      </c>
      <c r="AI75" s="111" t="e">
        <f>VLOOKUP($A75,#REF!,6,FALSE)</f>
        <v>#REF!</v>
      </c>
      <c r="AJ75" s="109" t="e">
        <f t="shared" si="35"/>
        <v>#REF!</v>
      </c>
      <c r="AK75" s="109" t="e">
        <f t="shared" si="36"/>
        <v>#REF!</v>
      </c>
      <c r="AL75" s="109"/>
      <c r="AM75" s="105"/>
      <c r="AN75" s="105"/>
      <c r="AO75" s="109"/>
      <c r="AP75" s="110"/>
      <c r="AQ75" s="110"/>
      <c r="AR75" s="110"/>
      <c r="AS75" s="110"/>
      <c r="AT75" s="110"/>
      <c r="AU75" s="112"/>
      <c r="AV75" s="112"/>
      <c r="AW75" s="110"/>
      <c r="AX75" s="105"/>
      <c r="AY75" s="105"/>
      <c r="AZ75" s="105"/>
      <c r="BA75" s="105"/>
      <c r="BB75" s="105"/>
      <c r="BC75" s="105"/>
    </row>
    <row r="76" spans="1:55" x14ac:dyDescent="0.15">
      <c r="A76" s="221">
        <v>372</v>
      </c>
      <c r="B76" s="98" t="e">
        <f>VLOOKUP($A76,#REF!,84,FALSE)</f>
        <v>#REF!</v>
      </c>
      <c r="C76" s="98" t="e">
        <f>VLOOKUP($A76,#REF!,85,FALSE)</f>
        <v>#REF!</v>
      </c>
      <c r="D76" s="98" t="e">
        <f>VLOOKUP($A76,#REF!,5,FALSE)</f>
        <v>#REF!</v>
      </c>
      <c r="E76" s="98" t="e">
        <f>VLOOKUP($A76,#REF!,6,FALSE)</f>
        <v>#REF!</v>
      </c>
      <c r="F76" s="105" t="e">
        <f>VLOOKUP($A76,#REF!,34,FALSE)</f>
        <v>#REF!</v>
      </c>
      <c r="G76" s="105" t="e">
        <f>VLOOKUP($A76,#REF!,29,FALSE)</f>
        <v>#REF!</v>
      </c>
      <c r="H76" s="105" t="e">
        <f>VLOOKUP(A76,#REF!,35,FALSE)+VLOOKUP(A76,#REF!,41,FALSE)</f>
        <v>#REF!</v>
      </c>
      <c r="I76" s="105" t="e">
        <f t="shared" si="23"/>
        <v>#REF!</v>
      </c>
      <c r="J76" s="105" t="e">
        <f>VLOOKUP(A76,#REF!,42,FALSE)</f>
        <v>#REF!</v>
      </c>
      <c r="K76" s="105" t="e">
        <f t="shared" si="24"/>
        <v>#REF!</v>
      </c>
      <c r="L76" s="164" t="e">
        <f t="shared" si="19"/>
        <v>#REF!</v>
      </c>
      <c r="M76" s="105" t="e">
        <f t="shared" si="25"/>
        <v>#REF!</v>
      </c>
      <c r="N76" s="105" t="e">
        <f>VLOOKUP(A76,#REF!,46,FALSE)</f>
        <v>#REF!</v>
      </c>
      <c r="O76" s="106" t="e">
        <f>VLOOKUP(A76,#REF!,9,FALSE)</f>
        <v>#REF!</v>
      </c>
      <c r="P76" s="114" t="e">
        <f>#REF!</f>
        <v>#REF!</v>
      </c>
      <c r="Q76" s="114" t="e">
        <f>VLOOKUP(A76,#REF!,12,FALSE)</f>
        <v>#REF!</v>
      </c>
      <c r="R76" s="120" t="e">
        <f>#REF!</f>
        <v>#REF!</v>
      </c>
      <c r="S76" s="106" t="e">
        <f>IF(Q76=0,#REF!,ROUND(Q76*R76,4))</f>
        <v>#REF!</v>
      </c>
      <c r="T76" s="121" t="e">
        <f>VLOOKUP($A76,#REF!,15,FALSE)</f>
        <v>#REF!</v>
      </c>
      <c r="U76" s="121" t="e">
        <f>VLOOKUP($A76,#REF!,19,FALSE)</f>
        <v>#REF!</v>
      </c>
      <c r="V76" s="109" t="e">
        <f t="shared" si="26"/>
        <v>#REF!</v>
      </c>
      <c r="W76" s="109" t="e">
        <f t="shared" si="27"/>
        <v>#REF!</v>
      </c>
      <c r="X76" s="105" t="e">
        <f t="shared" si="28"/>
        <v>#REF!</v>
      </c>
      <c r="Y76" s="113" t="e">
        <f t="shared" si="29"/>
        <v>#REF!</v>
      </c>
      <c r="Z76" s="109" t="e">
        <f t="shared" si="30"/>
        <v>#REF!</v>
      </c>
      <c r="AA76" s="113" t="e">
        <f t="shared" si="31"/>
        <v>#REF!</v>
      </c>
      <c r="AB76" s="109" t="e">
        <f t="shared" si="32"/>
        <v>#REF!</v>
      </c>
      <c r="AC76" s="113" t="e">
        <f t="shared" si="33"/>
        <v>#REF!</v>
      </c>
      <c r="AD76" s="105" t="e">
        <f t="shared" si="34"/>
        <v>#REF!</v>
      </c>
      <c r="AE76" s="105" t="e">
        <f t="shared" si="20"/>
        <v>#REF!</v>
      </c>
      <c r="AF76" s="105" t="e">
        <f t="shared" si="21"/>
        <v>#REF!</v>
      </c>
      <c r="AG76" s="105" t="e">
        <f t="shared" si="22"/>
        <v>#REF!</v>
      </c>
      <c r="AH76" s="111" t="e">
        <f>VLOOKUP($A76,#REF!,5,FALSE)</f>
        <v>#REF!</v>
      </c>
      <c r="AI76" s="111" t="e">
        <f>VLOOKUP($A76,#REF!,6,FALSE)</f>
        <v>#REF!</v>
      </c>
      <c r="AJ76" s="109" t="e">
        <f t="shared" si="35"/>
        <v>#REF!</v>
      </c>
      <c r="AK76" s="109" t="e">
        <f t="shared" si="36"/>
        <v>#REF!</v>
      </c>
      <c r="AL76" s="109"/>
      <c r="AM76" s="105"/>
      <c r="AN76" s="105"/>
      <c r="AO76" s="109"/>
      <c r="AP76" s="110"/>
      <c r="AQ76" s="110"/>
      <c r="AR76" s="110"/>
      <c r="AS76" s="110"/>
      <c r="AT76" s="110"/>
      <c r="AU76" s="112"/>
      <c r="AV76" s="112"/>
      <c r="AW76" s="110"/>
      <c r="AX76" s="105"/>
      <c r="AY76" s="105"/>
      <c r="AZ76" s="105"/>
      <c r="BA76" s="105"/>
      <c r="BB76" s="105"/>
      <c r="BC76" s="105"/>
    </row>
    <row r="77" spans="1:55" x14ac:dyDescent="0.15">
      <c r="A77" s="221">
        <v>374</v>
      </c>
      <c r="B77" s="98" t="e">
        <f>VLOOKUP($A77,#REF!,84,FALSE)</f>
        <v>#REF!</v>
      </c>
      <c r="C77" s="98" t="e">
        <f>VLOOKUP($A77,#REF!,85,FALSE)</f>
        <v>#REF!</v>
      </c>
      <c r="D77" s="98" t="e">
        <f>VLOOKUP($A77,#REF!,5,FALSE)</f>
        <v>#REF!</v>
      </c>
      <c r="E77" s="98" t="e">
        <f>VLOOKUP($A77,#REF!,6,FALSE)</f>
        <v>#REF!</v>
      </c>
      <c r="F77" s="105" t="e">
        <f>VLOOKUP($A77,#REF!,34,FALSE)</f>
        <v>#REF!</v>
      </c>
      <c r="G77" s="105" t="e">
        <f>VLOOKUP($A77,#REF!,29,FALSE)</f>
        <v>#REF!</v>
      </c>
      <c r="H77" s="105" t="e">
        <f>VLOOKUP(A77,#REF!,35,FALSE)+VLOOKUP(A77,#REF!,41,FALSE)</f>
        <v>#REF!</v>
      </c>
      <c r="I77" s="105" t="e">
        <f t="shared" si="23"/>
        <v>#REF!</v>
      </c>
      <c r="J77" s="105" t="e">
        <f>VLOOKUP(A77,#REF!,42,FALSE)</f>
        <v>#REF!</v>
      </c>
      <c r="K77" s="105" t="e">
        <f t="shared" si="24"/>
        <v>#REF!</v>
      </c>
      <c r="L77" s="164" t="e">
        <f t="shared" si="19"/>
        <v>#REF!</v>
      </c>
      <c r="M77" s="105" t="e">
        <f t="shared" si="25"/>
        <v>#REF!</v>
      </c>
      <c r="N77" s="105" t="e">
        <f>VLOOKUP(A77,#REF!,46,FALSE)</f>
        <v>#REF!</v>
      </c>
      <c r="O77" s="106" t="e">
        <f>VLOOKUP(A77,#REF!,9,FALSE)</f>
        <v>#REF!</v>
      </c>
      <c r="P77" s="114" t="e">
        <f>#REF!</f>
        <v>#REF!</v>
      </c>
      <c r="Q77" s="114" t="e">
        <f>VLOOKUP(A77,#REF!,12,FALSE)</f>
        <v>#REF!</v>
      </c>
      <c r="R77" s="120" t="e">
        <f>#REF!</f>
        <v>#REF!</v>
      </c>
      <c r="S77" s="106" t="e">
        <f>IF(Q77=0,#REF!,ROUND(Q77*R77,4))</f>
        <v>#REF!</v>
      </c>
      <c r="T77" s="121" t="e">
        <f>VLOOKUP($A77,#REF!,15,FALSE)</f>
        <v>#REF!</v>
      </c>
      <c r="U77" s="121" t="e">
        <f>VLOOKUP($A77,#REF!,19,FALSE)</f>
        <v>#REF!</v>
      </c>
      <c r="V77" s="109" t="e">
        <f t="shared" si="26"/>
        <v>#REF!</v>
      </c>
      <c r="W77" s="109" t="e">
        <f t="shared" si="27"/>
        <v>#REF!</v>
      </c>
      <c r="X77" s="105" t="e">
        <f t="shared" si="28"/>
        <v>#REF!</v>
      </c>
      <c r="Y77" s="113" t="e">
        <f t="shared" si="29"/>
        <v>#REF!</v>
      </c>
      <c r="Z77" s="109" t="e">
        <f t="shared" si="30"/>
        <v>#REF!</v>
      </c>
      <c r="AA77" s="113" t="e">
        <f t="shared" si="31"/>
        <v>#REF!</v>
      </c>
      <c r="AB77" s="109" t="e">
        <f t="shared" si="32"/>
        <v>#REF!</v>
      </c>
      <c r="AC77" s="113" t="e">
        <f t="shared" si="33"/>
        <v>#REF!</v>
      </c>
      <c r="AD77" s="105" t="e">
        <f t="shared" si="34"/>
        <v>#REF!</v>
      </c>
      <c r="AE77" s="105" t="e">
        <f t="shared" si="20"/>
        <v>#REF!</v>
      </c>
      <c r="AF77" s="105" t="e">
        <f t="shared" si="21"/>
        <v>#REF!</v>
      </c>
      <c r="AG77" s="105" t="e">
        <f t="shared" si="22"/>
        <v>#REF!</v>
      </c>
      <c r="AH77" s="111" t="e">
        <f>VLOOKUP($A77,#REF!,5,FALSE)</f>
        <v>#REF!</v>
      </c>
      <c r="AI77" s="111" t="e">
        <f>VLOOKUP($A77,#REF!,6,FALSE)</f>
        <v>#REF!</v>
      </c>
      <c r="AJ77" s="109" t="e">
        <f t="shared" si="35"/>
        <v>#REF!</v>
      </c>
      <c r="AK77" s="109" t="e">
        <f t="shared" si="36"/>
        <v>#REF!</v>
      </c>
      <c r="AL77" s="109"/>
      <c r="AM77" s="105"/>
      <c r="AN77" s="105"/>
      <c r="AO77" s="109"/>
      <c r="AP77" s="110"/>
      <c r="AQ77" s="110"/>
      <c r="AR77" s="110"/>
      <c r="AS77" s="110"/>
      <c r="AT77" s="110"/>
      <c r="AU77" s="112"/>
      <c r="AV77" s="112"/>
      <c r="AW77" s="110"/>
      <c r="AX77" s="105"/>
      <c r="AY77" s="105"/>
      <c r="AZ77" s="105"/>
      <c r="BA77" s="105"/>
      <c r="BB77" s="105"/>
      <c r="BC77" s="105"/>
    </row>
    <row r="78" spans="1:55" x14ac:dyDescent="0.15">
      <c r="A78" s="221">
        <v>130</v>
      </c>
      <c r="B78" s="98" t="e">
        <f>VLOOKUP($A78,#REF!,84,FALSE)</f>
        <v>#REF!</v>
      </c>
      <c r="C78" s="98" t="e">
        <f>VLOOKUP($A78,#REF!,85,FALSE)</f>
        <v>#REF!</v>
      </c>
      <c r="D78" s="98" t="e">
        <f>VLOOKUP($A78,#REF!,5,FALSE)</f>
        <v>#REF!</v>
      </c>
      <c r="E78" s="98" t="e">
        <f>VLOOKUP($A78,#REF!,6,FALSE)</f>
        <v>#REF!</v>
      </c>
      <c r="F78" s="105" t="e">
        <f>VLOOKUP($A78,#REF!,34,FALSE)</f>
        <v>#REF!</v>
      </c>
      <c r="G78" s="105" t="e">
        <f>VLOOKUP($A78,#REF!,29,FALSE)</f>
        <v>#REF!</v>
      </c>
      <c r="H78" s="105" t="e">
        <f>VLOOKUP(A78,#REF!,35,FALSE)+VLOOKUP(A78,#REF!,41,FALSE)</f>
        <v>#REF!</v>
      </c>
      <c r="I78" s="105" t="e">
        <f t="shared" si="23"/>
        <v>#REF!</v>
      </c>
      <c r="J78" s="105" t="e">
        <f>VLOOKUP(A78,#REF!,42,FALSE)</f>
        <v>#REF!</v>
      </c>
      <c r="K78" s="105" t="e">
        <f t="shared" si="24"/>
        <v>#REF!</v>
      </c>
      <c r="L78" s="164" t="e">
        <f t="shared" si="19"/>
        <v>#REF!</v>
      </c>
      <c r="M78" s="105" t="e">
        <f t="shared" si="25"/>
        <v>#REF!</v>
      </c>
      <c r="N78" s="105" t="e">
        <f>VLOOKUP(A78,#REF!,46,FALSE)</f>
        <v>#REF!</v>
      </c>
      <c r="O78" s="106" t="e">
        <f>VLOOKUP(A78,#REF!,9,FALSE)</f>
        <v>#REF!</v>
      </c>
      <c r="P78" s="114" t="e">
        <f>#REF!</f>
        <v>#REF!</v>
      </c>
      <c r="Q78" s="114" t="e">
        <f>VLOOKUP(A78,#REF!,12,FALSE)</f>
        <v>#REF!</v>
      </c>
      <c r="R78" s="120" t="e">
        <f>#REF!</f>
        <v>#REF!</v>
      </c>
      <c r="S78" s="106" t="e">
        <f>IF(Q78=0,#REF!,ROUND(Q78*R78,4))</f>
        <v>#REF!</v>
      </c>
      <c r="T78" s="121" t="e">
        <f>VLOOKUP($A78,#REF!,15,FALSE)</f>
        <v>#REF!</v>
      </c>
      <c r="U78" s="121" t="e">
        <f>VLOOKUP($A78,#REF!,19,FALSE)</f>
        <v>#REF!</v>
      </c>
      <c r="V78" s="109" t="e">
        <f t="shared" si="26"/>
        <v>#REF!</v>
      </c>
      <c r="W78" s="109" t="e">
        <f t="shared" si="27"/>
        <v>#REF!</v>
      </c>
      <c r="X78" s="105" t="e">
        <f t="shared" si="28"/>
        <v>#REF!</v>
      </c>
      <c r="Y78" s="113" t="e">
        <f t="shared" si="29"/>
        <v>#REF!</v>
      </c>
      <c r="Z78" s="109" t="e">
        <f t="shared" si="30"/>
        <v>#REF!</v>
      </c>
      <c r="AA78" s="113" t="e">
        <f t="shared" si="31"/>
        <v>#REF!</v>
      </c>
      <c r="AB78" s="109" t="e">
        <f t="shared" si="32"/>
        <v>#REF!</v>
      </c>
      <c r="AC78" s="113" t="e">
        <f t="shared" si="33"/>
        <v>#REF!</v>
      </c>
      <c r="AD78" s="105" t="e">
        <f t="shared" si="34"/>
        <v>#REF!</v>
      </c>
      <c r="AE78" s="105" t="e">
        <f t="shared" si="20"/>
        <v>#REF!</v>
      </c>
      <c r="AF78" s="105" t="e">
        <f t="shared" si="21"/>
        <v>#REF!</v>
      </c>
      <c r="AG78" s="105" t="e">
        <f t="shared" si="22"/>
        <v>#REF!</v>
      </c>
      <c r="AH78" s="111" t="e">
        <f>VLOOKUP($A78,#REF!,5,FALSE)</f>
        <v>#REF!</v>
      </c>
      <c r="AI78" s="111" t="e">
        <f>VLOOKUP($A78,#REF!,6,FALSE)</f>
        <v>#REF!</v>
      </c>
      <c r="AJ78" s="109" t="e">
        <f t="shared" si="35"/>
        <v>#REF!</v>
      </c>
      <c r="AK78" s="109" t="e">
        <f t="shared" si="36"/>
        <v>#REF!</v>
      </c>
      <c r="AL78" s="109"/>
      <c r="AM78" s="105"/>
      <c r="AN78" s="105"/>
      <c r="AO78" s="109"/>
      <c r="AP78" s="110"/>
      <c r="AQ78" s="110"/>
      <c r="AR78" s="110"/>
      <c r="AS78" s="110"/>
      <c r="AT78" s="110"/>
      <c r="AU78" s="112"/>
      <c r="AV78" s="112"/>
      <c r="AW78" s="110"/>
      <c r="AX78" s="105"/>
      <c r="AY78" s="105"/>
      <c r="AZ78" s="105"/>
      <c r="BA78" s="105"/>
      <c r="BB78" s="105"/>
      <c r="BC78" s="105"/>
    </row>
    <row r="79" spans="1:55" x14ac:dyDescent="0.15">
      <c r="A79" s="221">
        <v>136</v>
      </c>
      <c r="B79" s="98" t="e">
        <f>VLOOKUP($A79,#REF!,84,FALSE)</f>
        <v>#REF!</v>
      </c>
      <c r="C79" s="98" t="e">
        <f>VLOOKUP($A79,#REF!,85,FALSE)</f>
        <v>#REF!</v>
      </c>
      <c r="D79" s="98" t="e">
        <f>VLOOKUP($A79,#REF!,5,FALSE)</f>
        <v>#REF!</v>
      </c>
      <c r="E79" s="98" t="e">
        <f>VLOOKUP($A79,#REF!,6,FALSE)</f>
        <v>#REF!</v>
      </c>
      <c r="F79" s="105" t="e">
        <f>VLOOKUP($A79,#REF!,34,FALSE)</f>
        <v>#REF!</v>
      </c>
      <c r="G79" s="105" t="e">
        <f>VLOOKUP($A79,#REF!,29,FALSE)</f>
        <v>#REF!</v>
      </c>
      <c r="H79" s="105" t="e">
        <f>VLOOKUP(A79,#REF!,35,FALSE)+VLOOKUP(A79,#REF!,41,FALSE)</f>
        <v>#REF!</v>
      </c>
      <c r="I79" s="105" t="e">
        <f t="shared" si="23"/>
        <v>#REF!</v>
      </c>
      <c r="J79" s="105" t="e">
        <f>VLOOKUP(A79,#REF!,42,FALSE)</f>
        <v>#REF!</v>
      </c>
      <c r="K79" s="105" t="e">
        <f t="shared" si="24"/>
        <v>#REF!</v>
      </c>
      <c r="L79" s="164" t="e">
        <f t="shared" si="19"/>
        <v>#REF!</v>
      </c>
      <c r="M79" s="105" t="e">
        <f t="shared" si="25"/>
        <v>#REF!</v>
      </c>
      <c r="N79" s="105" t="e">
        <f>VLOOKUP(A79,#REF!,46,FALSE)</f>
        <v>#REF!</v>
      </c>
      <c r="O79" s="106" t="e">
        <f>VLOOKUP(A79,#REF!,9,FALSE)</f>
        <v>#REF!</v>
      </c>
      <c r="P79" s="114" t="e">
        <f>#REF!</f>
        <v>#REF!</v>
      </c>
      <c r="Q79" s="114" t="e">
        <f>VLOOKUP(A79,#REF!,12,FALSE)</f>
        <v>#REF!</v>
      </c>
      <c r="R79" s="120" t="e">
        <f>#REF!</f>
        <v>#REF!</v>
      </c>
      <c r="S79" s="106" t="e">
        <f>IF(Q79=0,#REF!,ROUND(Q79*R79,4))</f>
        <v>#REF!</v>
      </c>
      <c r="T79" s="121" t="e">
        <f>VLOOKUP($A79,#REF!,15,FALSE)</f>
        <v>#REF!</v>
      </c>
      <c r="U79" s="121" t="e">
        <f>VLOOKUP($A79,#REF!,19,FALSE)</f>
        <v>#REF!</v>
      </c>
      <c r="V79" s="109" t="e">
        <f t="shared" si="26"/>
        <v>#REF!</v>
      </c>
      <c r="W79" s="109" t="e">
        <f t="shared" si="27"/>
        <v>#REF!</v>
      </c>
      <c r="X79" s="105" t="e">
        <f t="shared" si="28"/>
        <v>#REF!</v>
      </c>
      <c r="Y79" s="113" t="e">
        <f t="shared" si="29"/>
        <v>#REF!</v>
      </c>
      <c r="Z79" s="109" t="e">
        <f t="shared" si="30"/>
        <v>#REF!</v>
      </c>
      <c r="AA79" s="113" t="e">
        <f t="shared" si="31"/>
        <v>#REF!</v>
      </c>
      <c r="AB79" s="109" t="e">
        <f t="shared" si="32"/>
        <v>#REF!</v>
      </c>
      <c r="AC79" s="113" t="e">
        <f t="shared" si="33"/>
        <v>#REF!</v>
      </c>
      <c r="AD79" s="105" t="e">
        <f t="shared" si="34"/>
        <v>#REF!</v>
      </c>
      <c r="AE79" s="105" t="e">
        <f t="shared" si="20"/>
        <v>#REF!</v>
      </c>
      <c r="AF79" s="105" t="e">
        <f t="shared" si="21"/>
        <v>#REF!</v>
      </c>
      <c r="AG79" s="105" t="e">
        <f t="shared" si="22"/>
        <v>#REF!</v>
      </c>
      <c r="AH79" s="111" t="e">
        <f>VLOOKUP($A79,#REF!,5,FALSE)</f>
        <v>#REF!</v>
      </c>
      <c r="AI79" s="111" t="e">
        <f>VLOOKUP($A79,#REF!,6,FALSE)</f>
        <v>#REF!</v>
      </c>
      <c r="AJ79" s="109" t="e">
        <f t="shared" si="35"/>
        <v>#REF!</v>
      </c>
      <c r="AK79" s="109" t="e">
        <f t="shared" si="36"/>
        <v>#REF!</v>
      </c>
      <c r="AL79" s="109"/>
      <c r="AM79" s="105"/>
      <c r="AN79" s="105"/>
      <c r="AO79" s="109"/>
      <c r="AP79" s="110"/>
      <c r="AQ79" s="110"/>
      <c r="AR79" s="110"/>
      <c r="AS79" s="110"/>
      <c r="AT79" s="110"/>
      <c r="AU79" s="112"/>
      <c r="AV79" s="112"/>
      <c r="AW79" s="110"/>
      <c r="AX79" s="105"/>
      <c r="AY79" s="105"/>
      <c r="AZ79" s="105"/>
      <c r="BA79" s="105"/>
      <c r="BB79" s="105"/>
      <c r="BC79" s="105"/>
    </row>
    <row r="80" spans="1:55" x14ac:dyDescent="0.15">
      <c r="A80" s="221">
        <v>669</v>
      </c>
      <c r="B80" s="98" t="e">
        <f>VLOOKUP($A80,#REF!,84,FALSE)</f>
        <v>#REF!</v>
      </c>
      <c r="C80" s="98" t="e">
        <f>VLOOKUP($A80,#REF!,85,FALSE)</f>
        <v>#REF!</v>
      </c>
      <c r="D80" s="98" t="e">
        <f>VLOOKUP($A80,#REF!,5,FALSE)</f>
        <v>#REF!</v>
      </c>
      <c r="E80" s="98" t="e">
        <f>VLOOKUP($A80,#REF!,6,FALSE)</f>
        <v>#REF!</v>
      </c>
      <c r="F80" s="105" t="e">
        <f>VLOOKUP($A80,#REF!,34,FALSE)</f>
        <v>#REF!</v>
      </c>
      <c r="G80" s="105" t="e">
        <f>VLOOKUP($A80,#REF!,29,FALSE)</f>
        <v>#REF!</v>
      </c>
      <c r="H80" s="105" t="e">
        <f>VLOOKUP(A80,#REF!,35,FALSE)+VLOOKUP(A80,#REF!,41,FALSE)</f>
        <v>#REF!</v>
      </c>
      <c r="I80" s="105" t="e">
        <f t="shared" si="23"/>
        <v>#REF!</v>
      </c>
      <c r="J80" s="105" t="e">
        <f>VLOOKUP(A80,#REF!,42,FALSE)</f>
        <v>#REF!</v>
      </c>
      <c r="K80" s="105" t="e">
        <f t="shared" si="24"/>
        <v>#REF!</v>
      </c>
      <c r="L80" s="164" t="e">
        <f t="shared" si="19"/>
        <v>#REF!</v>
      </c>
      <c r="M80" s="105" t="e">
        <f t="shared" si="25"/>
        <v>#REF!</v>
      </c>
      <c r="N80" s="105" t="e">
        <f>VLOOKUP(A80,#REF!,46,FALSE)</f>
        <v>#REF!</v>
      </c>
      <c r="O80" s="106" t="e">
        <f>VLOOKUP(A80,#REF!,9,FALSE)</f>
        <v>#REF!</v>
      </c>
      <c r="P80" s="114" t="e">
        <f>#REF!</f>
        <v>#REF!</v>
      </c>
      <c r="Q80" s="114" t="e">
        <f>VLOOKUP(A80,#REF!,12,FALSE)</f>
        <v>#REF!</v>
      </c>
      <c r="R80" s="120" t="e">
        <f>#REF!</f>
        <v>#REF!</v>
      </c>
      <c r="S80" s="106" t="e">
        <f>IF(Q80=0,#REF!,ROUND(Q80*R80,4))</f>
        <v>#REF!</v>
      </c>
      <c r="T80" s="121" t="e">
        <f>VLOOKUP($A80,#REF!,15,FALSE)</f>
        <v>#REF!</v>
      </c>
      <c r="U80" s="121" t="e">
        <f>VLOOKUP($A80,#REF!,19,FALSE)</f>
        <v>#REF!</v>
      </c>
      <c r="V80" s="109" t="e">
        <f t="shared" si="26"/>
        <v>#REF!</v>
      </c>
      <c r="W80" s="109" t="e">
        <f t="shared" si="27"/>
        <v>#REF!</v>
      </c>
      <c r="X80" s="105" t="e">
        <f t="shared" si="28"/>
        <v>#REF!</v>
      </c>
      <c r="Y80" s="113" t="e">
        <f t="shared" si="29"/>
        <v>#REF!</v>
      </c>
      <c r="Z80" s="109" t="e">
        <f t="shared" si="30"/>
        <v>#REF!</v>
      </c>
      <c r="AA80" s="113" t="e">
        <f t="shared" si="31"/>
        <v>#REF!</v>
      </c>
      <c r="AB80" s="109" t="e">
        <f t="shared" si="32"/>
        <v>#REF!</v>
      </c>
      <c r="AC80" s="113" t="e">
        <f t="shared" si="33"/>
        <v>#REF!</v>
      </c>
      <c r="AD80" s="105" t="e">
        <f t="shared" si="34"/>
        <v>#REF!</v>
      </c>
      <c r="AE80" s="105" t="e">
        <f t="shared" si="20"/>
        <v>#REF!</v>
      </c>
      <c r="AF80" s="105" t="e">
        <f t="shared" si="21"/>
        <v>#REF!</v>
      </c>
      <c r="AG80" s="105" t="e">
        <f t="shared" si="22"/>
        <v>#REF!</v>
      </c>
      <c r="AH80" s="111" t="e">
        <f>VLOOKUP($A80,#REF!,5,FALSE)</f>
        <v>#REF!</v>
      </c>
      <c r="AI80" s="111" t="e">
        <f>VLOOKUP($A80,#REF!,6,FALSE)</f>
        <v>#REF!</v>
      </c>
      <c r="AJ80" s="109" t="e">
        <f t="shared" si="35"/>
        <v>#REF!</v>
      </c>
      <c r="AK80" s="109" t="e">
        <f t="shared" si="36"/>
        <v>#REF!</v>
      </c>
      <c r="AL80" s="109"/>
      <c r="AM80" s="105"/>
      <c r="AN80" s="105"/>
      <c r="AO80" s="109"/>
      <c r="AP80" s="110"/>
      <c r="AQ80" s="110"/>
      <c r="AR80" s="110"/>
      <c r="AS80" s="110"/>
      <c r="AT80" s="110"/>
      <c r="AU80" s="112"/>
      <c r="AV80" s="112"/>
      <c r="AW80" s="110"/>
      <c r="AX80" s="105"/>
      <c r="AY80" s="105"/>
      <c r="AZ80" s="105"/>
      <c r="BA80" s="105"/>
      <c r="BB80" s="105"/>
      <c r="BC80" s="105"/>
    </row>
    <row r="81" spans="1:55" x14ac:dyDescent="0.15">
      <c r="A81" s="221">
        <v>142</v>
      </c>
      <c r="B81" s="98" t="e">
        <f>VLOOKUP($A81,#REF!,84,FALSE)</f>
        <v>#REF!</v>
      </c>
      <c r="C81" s="98" t="e">
        <f>VLOOKUP($A81,#REF!,85,FALSE)</f>
        <v>#REF!</v>
      </c>
      <c r="D81" s="98" t="e">
        <f>VLOOKUP($A81,#REF!,5,FALSE)</f>
        <v>#REF!</v>
      </c>
      <c r="E81" s="98" t="e">
        <f>VLOOKUP($A81,#REF!,6,FALSE)</f>
        <v>#REF!</v>
      </c>
      <c r="F81" s="105" t="e">
        <f>VLOOKUP($A81,#REF!,34,FALSE)</f>
        <v>#REF!</v>
      </c>
      <c r="G81" s="105" t="e">
        <f>VLOOKUP($A81,#REF!,29,FALSE)</f>
        <v>#REF!</v>
      </c>
      <c r="H81" s="105" t="e">
        <f>VLOOKUP(A81,#REF!,35,FALSE)+VLOOKUP(A81,#REF!,41,FALSE)</f>
        <v>#REF!</v>
      </c>
      <c r="I81" s="105" t="e">
        <f t="shared" si="23"/>
        <v>#REF!</v>
      </c>
      <c r="J81" s="105" t="e">
        <f>VLOOKUP(A81,#REF!,42,FALSE)</f>
        <v>#REF!</v>
      </c>
      <c r="K81" s="105" t="e">
        <f t="shared" si="24"/>
        <v>#REF!</v>
      </c>
      <c r="L81" s="164" t="e">
        <f t="shared" si="19"/>
        <v>#REF!</v>
      </c>
      <c r="M81" s="105" t="e">
        <f t="shared" si="25"/>
        <v>#REF!</v>
      </c>
      <c r="N81" s="105" t="e">
        <f>VLOOKUP(A81,#REF!,46,FALSE)</f>
        <v>#REF!</v>
      </c>
      <c r="O81" s="106" t="e">
        <f>VLOOKUP(A81,#REF!,9,FALSE)</f>
        <v>#REF!</v>
      </c>
      <c r="P81" s="114" t="e">
        <f>#REF!</f>
        <v>#REF!</v>
      </c>
      <c r="Q81" s="114" t="e">
        <f>VLOOKUP(A81,#REF!,12,FALSE)</f>
        <v>#REF!</v>
      </c>
      <c r="R81" s="120" t="e">
        <f>#REF!</f>
        <v>#REF!</v>
      </c>
      <c r="S81" s="106" t="e">
        <f>IF(Q81=0,#REF!,ROUND(Q81*R81,4))</f>
        <v>#REF!</v>
      </c>
      <c r="T81" s="121" t="e">
        <f>VLOOKUP($A81,#REF!,15,FALSE)</f>
        <v>#REF!</v>
      </c>
      <c r="U81" s="121" t="e">
        <f>VLOOKUP($A81,#REF!,19,FALSE)</f>
        <v>#REF!</v>
      </c>
      <c r="V81" s="109" t="e">
        <f t="shared" si="26"/>
        <v>#REF!</v>
      </c>
      <c r="W81" s="109" t="e">
        <f t="shared" si="27"/>
        <v>#REF!</v>
      </c>
      <c r="X81" s="105" t="e">
        <f t="shared" si="28"/>
        <v>#REF!</v>
      </c>
      <c r="Y81" s="113" t="e">
        <f t="shared" si="29"/>
        <v>#REF!</v>
      </c>
      <c r="Z81" s="109" t="e">
        <f t="shared" si="30"/>
        <v>#REF!</v>
      </c>
      <c r="AA81" s="113" t="e">
        <f t="shared" si="31"/>
        <v>#REF!</v>
      </c>
      <c r="AB81" s="109" t="e">
        <f t="shared" si="32"/>
        <v>#REF!</v>
      </c>
      <c r="AC81" s="113" t="e">
        <f t="shared" si="33"/>
        <v>#REF!</v>
      </c>
      <c r="AD81" s="105" t="e">
        <f t="shared" si="34"/>
        <v>#REF!</v>
      </c>
      <c r="AE81" s="105" t="e">
        <f t="shared" si="20"/>
        <v>#REF!</v>
      </c>
      <c r="AF81" s="105" t="e">
        <f t="shared" si="21"/>
        <v>#REF!</v>
      </c>
      <c r="AG81" s="105" t="e">
        <f t="shared" si="22"/>
        <v>#REF!</v>
      </c>
      <c r="AH81" s="111" t="e">
        <f>VLOOKUP($A81,#REF!,5,FALSE)</f>
        <v>#REF!</v>
      </c>
      <c r="AI81" s="111" t="e">
        <f>VLOOKUP($A81,#REF!,6,FALSE)</f>
        <v>#REF!</v>
      </c>
      <c r="AJ81" s="109" t="e">
        <f t="shared" si="35"/>
        <v>#REF!</v>
      </c>
      <c r="AK81" s="109" t="e">
        <f t="shared" si="36"/>
        <v>#REF!</v>
      </c>
      <c r="AL81" s="109"/>
      <c r="AM81" s="105"/>
      <c r="AN81" s="105"/>
      <c r="AO81" s="109"/>
      <c r="AP81" s="110"/>
      <c r="AQ81" s="110"/>
      <c r="AR81" s="110"/>
      <c r="AS81" s="110"/>
      <c r="AT81" s="110"/>
      <c r="AU81" s="112"/>
      <c r="AV81" s="112"/>
      <c r="AW81" s="110"/>
      <c r="AX81" s="105"/>
      <c r="AY81" s="105"/>
      <c r="AZ81" s="105"/>
      <c r="BA81" s="105"/>
      <c r="BB81" s="105"/>
      <c r="BC81" s="105"/>
    </row>
    <row r="82" spans="1:55" x14ac:dyDescent="0.15">
      <c r="A82" s="221">
        <v>298</v>
      </c>
      <c r="B82" s="98" t="e">
        <f>VLOOKUP($A82,#REF!,84,FALSE)</f>
        <v>#REF!</v>
      </c>
      <c r="C82" s="98" t="e">
        <f>VLOOKUP($A82,#REF!,85,FALSE)</f>
        <v>#REF!</v>
      </c>
      <c r="D82" s="98" t="e">
        <f>VLOOKUP($A82,#REF!,5,FALSE)</f>
        <v>#REF!</v>
      </c>
      <c r="E82" s="98" t="e">
        <f>VLOOKUP($A82,#REF!,6,FALSE)</f>
        <v>#REF!</v>
      </c>
      <c r="F82" s="105" t="e">
        <f>VLOOKUP($A82,#REF!,34,FALSE)</f>
        <v>#REF!</v>
      </c>
      <c r="G82" s="105" t="e">
        <f>VLOOKUP($A82,#REF!,29,FALSE)</f>
        <v>#REF!</v>
      </c>
      <c r="H82" s="105" t="e">
        <f>VLOOKUP(A82,#REF!,35,FALSE)+VLOOKUP(A82,#REF!,41,FALSE)</f>
        <v>#REF!</v>
      </c>
      <c r="I82" s="105" t="e">
        <f t="shared" si="23"/>
        <v>#REF!</v>
      </c>
      <c r="J82" s="105" t="e">
        <f>VLOOKUP(A82,#REF!,42,FALSE)</f>
        <v>#REF!</v>
      </c>
      <c r="K82" s="105" t="e">
        <f t="shared" si="24"/>
        <v>#REF!</v>
      </c>
      <c r="L82" s="164" t="e">
        <f t="shared" si="19"/>
        <v>#REF!</v>
      </c>
      <c r="M82" s="105" t="e">
        <f t="shared" si="25"/>
        <v>#REF!</v>
      </c>
      <c r="N82" s="105" t="e">
        <f>VLOOKUP(A82,#REF!,46,FALSE)</f>
        <v>#REF!</v>
      </c>
      <c r="O82" s="106" t="e">
        <f>VLOOKUP(A82,#REF!,9,FALSE)</f>
        <v>#REF!</v>
      </c>
      <c r="P82" s="114" t="e">
        <f>#REF!</f>
        <v>#REF!</v>
      </c>
      <c r="Q82" s="114" t="e">
        <f>VLOOKUP(A82,#REF!,12,FALSE)</f>
        <v>#REF!</v>
      </c>
      <c r="R82" s="120" t="e">
        <f>#REF!</f>
        <v>#REF!</v>
      </c>
      <c r="S82" s="106" t="e">
        <f>IF(Q82=0,#REF!,ROUND(Q82*R82,4))</f>
        <v>#REF!</v>
      </c>
      <c r="T82" s="121" t="e">
        <f>VLOOKUP($A82,#REF!,15,FALSE)</f>
        <v>#REF!</v>
      </c>
      <c r="U82" s="121" t="e">
        <f>VLOOKUP($A82,#REF!,19,FALSE)</f>
        <v>#REF!</v>
      </c>
      <c r="V82" s="109" t="e">
        <f t="shared" si="26"/>
        <v>#REF!</v>
      </c>
      <c r="W82" s="109" t="e">
        <f t="shared" si="27"/>
        <v>#REF!</v>
      </c>
      <c r="X82" s="105" t="e">
        <f t="shared" si="28"/>
        <v>#REF!</v>
      </c>
      <c r="Y82" s="113" t="e">
        <f t="shared" si="29"/>
        <v>#REF!</v>
      </c>
      <c r="Z82" s="109" t="e">
        <f t="shared" si="30"/>
        <v>#REF!</v>
      </c>
      <c r="AA82" s="113" t="e">
        <f t="shared" si="31"/>
        <v>#REF!</v>
      </c>
      <c r="AB82" s="109" t="e">
        <f t="shared" si="32"/>
        <v>#REF!</v>
      </c>
      <c r="AC82" s="113" t="e">
        <f t="shared" si="33"/>
        <v>#REF!</v>
      </c>
      <c r="AD82" s="105" t="e">
        <f t="shared" si="34"/>
        <v>#REF!</v>
      </c>
      <c r="AE82" s="105" t="e">
        <f t="shared" si="20"/>
        <v>#REF!</v>
      </c>
      <c r="AF82" s="105" t="e">
        <f t="shared" si="21"/>
        <v>#REF!</v>
      </c>
      <c r="AG82" s="105" t="e">
        <f t="shared" si="22"/>
        <v>#REF!</v>
      </c>
      <c r="AH82" s="111" t="e">
        <f>VLOOKUP($A82,#REF!,5,FALSE)</f>
        <v>#REF!</v>
      </c>
      <c r="AI82" s="111" t="e">
        <f>VLOOKUP($A82,#REF!,6,FALSE)</f>
        <v>#REF!</v>
      </c>
      <c r="AJ82" s="109" t="e">
        <f t="shared" si="35"/>
        <v>#REF!</v>
      </c>
      <c r="AK82" s="109" t="e">
        <f t="shared" si="36"/>
        <v>#REF!</v>
      </c>
      <c r="AL82" s="109"/>
      <c r="AM82" s="105"/>
      <c r="AN82" s="105"/>
      <c r="AO82" s="109"/>
      <c r="AP82" s="110"/>
      <c r="AQ82" s="110"/>
      <c r="AR82" s="110"/>
      <c r="AS82" s="110"/>
      <c r="AT82" s="110"/>
      <c r="AU82" s="112"/>
      <c r="AV82" s="112"/>
      <c r="AW82" s="110"/>
      <c r="AX82" s="105"/>
      <c r="AY82" s="105"/>
      <c r="AZ82" s="105"/>
      <c r="BA82" s="105"/>
      <c r="BB82" s="105"/>
      <c r="BC82" s="105"/>
    </row>
    <row r="83" spans="1:55" x14ac:dyDescent="0.15">
      <c r="A83" s="221">
        <v>146</v>
      </c>
      <c r="B83" s="98" t="e">
        <f>VLOOKUP($A83,#REF!,84,FALSE)</f>
        <v>#REF!</v>
      </c>
      <c r="C83" s="98" t="e">
        <f>VLOOKUP($A83,#REF!,85,FALSE)</f>
        <v>#REF!</v>
      </c>
      <c r="D83" s="98" t="e">
        <f>VLOOKUP($A83,#REF!,5,FALSE)</f>
        <v>#REF!</v>
      </c>
      <c r="E83" s="98" t="e">
        <f>VLOOKUP($A83,#REF!,6,FALSE)</f>
        <v>#REF!</v>
      </c>
      <c r="F83" s="105" t="e">
        <f>VLOOKUP($A83,#REF!,34,FALSE)</f>
        <v>#REF!</v>
      </c>
      <c r="G83" s="105" t="e">
        <f>VLOOKUP($A83,#REF!,29,FALSE)</f>
        <v>#REF!</v>
      </c>
      <c r="H83" s="105" t="e">
        <f>VLOOKUP(A83,#REF!,35,FALSE)+VLOOKUP(A83,#REF!,41,FALSE)</f>
        <v>#REF!</v>
      </c>
      <c r="I83" s="105" t="e">
        <f t="shared" si="23"/>
        <v>#REF!</v>
      </c>
      <c r="J83" s="105" t="e">
        <f>VLOOKUP(A83,#REF!,42,FALSE)</f>
        <v>#REF!</v>
      </c>
      <c r="K83" s="105" t="e">
        <f t="shared" si="24"/>
        <v>#REF!</v>
      </c>
      <c r="L83" s="164" t="e">
        <f t="shared" si="19"/>
        <v>#REF!</v>
      </c>
      <c r="M83" s="105" t="e">
        <f t="shared" si="25"/>
        <v>#REF!</v>
      </c>
      <c r="N83" s="105" t="e">
        <f>VLOOKUP(A83,#REF!,46,FALSE)</f>
        <v>#REF!</v>
      </c>
      <c r="O83" s="106" t="e">
        <f>VLOOKUP(A83,#REF!,9,FALSE)</f>
        <v>#REF!</v>
      </c>
      <c r="P83" s="114" t="e">
        <f>#REF!</f>
        <v>#REF!</v>
      </c>
      <c r="Q83" s="114" t="e">
        <f>VLOOKUP(A83,#REF!,12,FALSE)</f>
        <v>#REF!</v>
      </c>
      <c r="R83" s="120" t="e">
        <f>#REF!</f>
        <v>#REF!</v>
      </c>
      <c r="S83" s="106" t="e">
        <f>IF(Q83=0,#REF!,ROUND(Q83*R83,4))</f>
        <v>#REF!</v>
      </c>
      <c r="T83" s="121" t="e">
        <f>VLOOKUP($A83,#REF!,15,FALSE)</f>
        <v>#REF!</v>
      </c>
      <c r="U83" s="121" t="e">
        <f>VLOOKUP($A83,#REF!,19,FALSE)</f>
        <v>#REF!</v>
      </c>
      <c r="V83" s="109" t="e">
        <f t="shared" si="26"/>
        <v>#REF!</v>
      </c>
      <c r="W83" s="109" t="e">
        <f t="shared" si="27"/>
        <v>#REF!</v>
      </c>
      <c r="X83" s="105" t="e">
        <f t="shared" si="28"/>
        <v>#REF!</v>
      </c>
      <c r="Y83" s="113" t="e">
        <f t="shared" si="29"/>
        <v>#REF!</v>
      </c>
      <c r="Z83" s="109" t="e">
        <f t="shared" si="30"/>
        <v>#REF!</v>
      </c>
      <c r="AA83" s="113" t="e">
        <f t="shared" si="31"/>
        <v>#REF!</v>
      </c>
      <c r="AB83" s="109" t="e">
        <f t="shared" si="32"/>
        <v>#REF!</v>
      </c>
      <c r="AC83" s="113" t="e">
        <f t="shared" si="33"/>
        <v>#REF!</v>
      </c>
      <c r="AD83" s="105" t="e">
        <f t="shared" si="34"/>
        <v>#REF!</v>
      </c>
      <c r="AE83" s="105" t="e">
        <f t="shared" si="20"/>
        <v>#REF!</v>
      </c>
      <c r="AF83" s="105" t="e">
        <f t="shared" si="21"/>
        <v>#REF!</v>
      </c>
      <c r="AG83" s="105" t="e">
        <f t="shared" si="22"/>
        <v>#REF!</v>
      </c>
      <c r="AH83" s="111" t="e">
        <f>VLOOKUP($A83,#REF!,5,FALSE)</f>
        <v>#REF!</v>
      </c>
      <c r="AI83" s="111" t="e">
        <f>VLOOKUP($A83,#REF!,6,FALSE)</f>
        <v>#REF!</v>
      </c>
      <c r="AJ83" s="109" t="e">
        <f t="shared" si="35"/>
        <v>#REF!</v>
      </c>
      <c r="AK83" s="109" t="e">
        <f t="shared" si="36"/>
        <v>#REF!</v>
      </c>
      <c r="AL83" s="109"/>
      <c r="AM83" s="105"/>
      <c r="AN83" s="105"/>
      <c r="AO83" s="109"/>
      <c r="AP83" s="110"/>
      <c r="AQ83" s="110"/>
      <c r="AR83" s="110"/>
      <c r="AS83" s="110"/>
      <c r="AT83" s="110"/>
      <c r="AU83" s="112"/>
      <c r="AV83" s="112"/>
      <c r="AW83" s="110"/>
      <c r="AX83" s="105"/>
      <c r="AY83" s="105"/>
      <c r="AZ83" s="105"/>
      <c r="BA83" s="105"/>
      <c r="BB83" s="105"/>
      <c r="BC83" s="105"/>
    </row>
    <row r="84" spans="1:55" x14ac:dyDescent="0.15">
      <c r="A84" s="221">
        <v>434</v>
      </c>
      <c r="B84" s="98" t="e">
        <f>VLOOKUP($A84,#REF!,84,FALSE)</f>
        <v>#REF!</v>
      </c>
      <c r="C84" s="98" t="e">
        <f>VLOOKUP($A84,#REF!,85,FALSE)</f>
        <v>#REF!</v>
      </c>
      <c r="D84" s="98" t="e">
        <f>VLOOKUP($A84,#REF!,5,FALSE)</f>
        <v>#REF!</v>
      </c>
      <c r="E84" s="98" t="e">
        <f>VLOOKUP($A84,#REF!,6,FALSE)</f>
        <v>#REF!</v>
      </c>
      <c r="F84" s="105" t="e">
        <f>VLOOKUP($A84,#REF!,34,FALSE)</f>
        <v>#REF!</v>
      </c>
      <c r="G84" s="105" t="e">
        <f>VLOOKUP($A84,#REF!,29,FALSE)</f>
        <v>#REF!</v>
      </c>
      <c r="H84" s="105" t="e">
        <f>VLOOKUP(A84,#REF!,35,FALSE)+VLOOKUP(A84,#REF!,41,FALSE)</f>
        <v>#REF!</v>
      </c>
      <c r="I84" s="105" t="e">
        <f t="shared" si="23"/>
        <v>#REF!</v>
      </c>
      <c r="J84" s="105" t="e">
        <f>VLOOKUP(A84,#REF!,42,FALSE)</f>
        <v>#REF!</v>
      </c>
      <c r="K84" s="105" t="e">
        <f t="shared" si="24"/>
        <v>#REF!</v>
      </c>
      <c r="L84" s="164" t="e">
        <f t="shared" si="19"/>
        <v>#REF!</v>
      </c>
      <c r="M84" s="105" t="e">
        <f t="shared" si="25"/>
        <v>#REF!</v>
      </c>
      <c r="N84" s="105" t="e">
        <f>VLOOKUP(A84,#REF!,46,FALSE)</f>
        <v>#REF!</v>
      </c>
      <c r="O84" s="106" t="e">
        <f>VLOOKUP(A84,#REF!,9,FALSE)</f>
        <v>#REF!</v>
      </c>
      <c r="P84" s="114" t="e">
        <f>#REF!</f>
        <v>#REF!</v>
      </c>
      <c r="Q84" s="114" t="e">
        <f>VLOOKUP(A84,#REF!,12,FALSE)</f>
        <v>#REF!</v>
      </c>
      <c r="R84" s="120" t="e">
        <f>#REF!</f>
        <v>#REF!</v>
      </c>
      <c r="S84" s="106" t="e">
        <f>IF(Q84=0,#REF!,ROUND(Q84*R84,4))</f>
        <v>#REF!</v>
      </c>
      <c r="T84" s="121" t="e">
        <f>VLOOKUP($A84,#REF!,15,FALSE)</f>
        <v>#REF!</v>
      </c>
      <c r="U84" s="121" t="e">
        <f>VLOOKUP($A84,#REF!,19,FALSE)</f>
        <v>#REF!</v>
      </c>
      <c r="V84" s="109" t="e">
        <f t="shared" si="26"/>
        <v>#REF!</v>
      </c>
      <c r="W84" s="109" t="e">
        <f t="shared" si="27"/>
        <v>#REF!</v>
      </c>
      <c r="X84" s="105" t="e">
        <f t="shared" si="28"/>
        <v>#REF!</v>
      </c>
      <c r="Y84" s="113" t="e">
        <f t="shared" si="29"/>
        <v>#REF!</v>
      </c>
      <c r="Z84" s="109" t="e">
        <f t="shared" si="30"/>
        <v>#REF!</v>
      </c>
      <c r="AA84" s="113" t="e">
        <f t="shared" si="31"/>
        <v>#REF!</v>
      </c>
      <c r="AB84" s="109" t="e">
        <f t="shared" si="32"/>
        <v>#REF!</v>
      </c>
      <c r="AC84" s="113" t="e">
        <f t="shared" si="33"/>
        <v>#REF!</v>
      </c>
      <c r="AD84" s="105" t="e">
        <f t="shared" si="34"/>
        <v>#REF!</v>
      </c>
      <c r="AE84" s="105" t="e">
        <f t="shared" si="20"/>
        <v>#REF!</v>
      </c>
      <c r="AF84" s="105" t="e">
        <f t="shared" si="21"/>
        <v>#REF!</v>
      </c>
      <c r="AG84" s="105" t="e">
        <f t="shared" si="22"/>
        <v>#REF!</v>
      </c>
      <c r="AH84" s="111" t="e">
        <f>VLOOKUP($A84,#REF!,5,FALSE)</f>
        <v>#REF!</v>
      </c>
      <c r="AI84" s="111" t="e">
        <f>VLOOKUP($A84,#REF!,6,FALSE)</f>
        <v>#REF!</v>
      </c>
      <c r="AJ84" s="109" t="e">
        <f t="shared" si="35"/>
        <v>#REF!</v>
      </c>
      <c r="AK84" s="109" t="e">
        <f t="shared" si="36"/>
        <v>#REF!</v>
      </c>
      <c r="AL84" s="109"/>
      <c r="AM84" s="105"/>
      <c r="AN84" s="105"/>
      <c r="AO84" s="109"/>
      <c r="AP84" s="110"/>
      <c r="AQ84" s="110"/>
      <c r="AR84" s="110"/>
      <c r="AS84" s="110"/>
      <c r="AT84" s="110"/>
      <c r="AU84" s="112"/>
      <c r="AV84" s="112"/>
      <c r="AW84" s="110"/>
      <c r="AX84" s="105"/>
      <c r="AY84" s="105"/>
      <c r="AZ84" s="105"/>
      <c r="BA84" s="105"/>
      <c r="BB84" s="105"/>
      <c r="BC84" s="105"/>
    </row>
    <row r="85" spans="1:55" x14ac:dyDescent="0.15">
      <c r="A85" s="221">
        <v>733</v>
      </c>
      <c r="B85" s="98" t="e">
        <f>VLOOKUP($A85,#REF!,84,FALSE)</f>
        <v>#REF!</v>
      </c>
      <c r="C85" s="98" t="e">
        <f>VLOOKUP($A85,#REF!,85,FALSE)</f>
        <v>#REF!</v>
      </c>
      <c r="D85" s="98" t="e">
        <f>VLOOKUP($A85,#REF!,5,FALSE)</f>
        <v>#REF!</v>
      </c>
      <c r="E85" s="98" t="e">
        <f>VLOOKUP($A85,#REF!,6,FALSE)</f>
        <v>#REF!</v>
      </c>
      <c r="F85" s="105" t="e">
        <f>VLOOKUP($A85,#REF!,34,FALSE)</f>
        <v>#REF!</v>
      </c>
      <c r="G85" s="105" t="e">
        <f>VLOOKUP($A85,#REF!,29,FALSE)</f>
        <v>#REF!</v>
      </c>
      <c r="H85" s="105" t="e">
        <f>VLOOKUP(A85,#REF!,35,FALSE)+VLOOKUP(A85,#REF!,41,FALSE)</f>
        <v>#REF!</v>
      </c>
      <c r="I85" s="105" t="e">
        <f t="shared" si="23"/>
        <v>#REF!</v>
      </c>
      <c r="J85" s="105" t="e">
        <f>VLOOKUP(A85,#REF!,42,FALSE)</f>
        <v>#REF!</v>
      </c>
      <c r="K85" s="105" t="e">
        <f t="shared" si="24"/>
        <v>#REF!</v>
      </c>
      <c r="L85" s="164" t="e">
        <f t="shared" si="19"/>
        <v>#REF!</v>
      </c>
      <c r="M85" s="105" t="e">
        <f t="shared" si="25"/>
        <v>#REF!</v>
      </c>
      <c r="N85" s="105" t="e">
        <f>VLOOKUP(A85,#REF!,46,FALSE)</f>
        <v>#REF!</v>
      </c>
      <c r="O85" s="106" t="e">
        <f>VLOOKUP(A85,#REF!,9,FALSE)</f>
        <v>#REF!</v>
      </c>
      <c r="P85" s="114" t="e">
        <f>#REF!</f>
        <v>#REF!</v>
      </c>
      <c r="Q85" s="114" t="e">
        <f>VLOOKUP(A85,#REF!,12,FALSE)</f>
        <v>#REF!</v>
      </c>
      <c r="R85" s="120" t="e">
        <f>#REF!</f>
        <v>#REF!</v>
      </c>
      <c r="S85" s="106" t="e">
        <f>IF(Q85=0,#REF!,ROUND(Q85*R85,4))</f>
        <v>#REF!</v>
      </c>
      <c r="T85" s="121" t="e">
        <f>VLOOKUP($A85,#REF!,15,FALSE)</f>
        <v>#REF!</v>
      </c>
      <c r="U85" s="121" t="e">
        <f>VLOOKUP($A85,#REF!,19,FALSE)</f>
        <v>#REF!</v>
      </c>
      <c r="V85" s="109" t="e">
        <f t="shared" si="26"/>
        <v>#REF!</v>
      </c>
      <c r="W85" s="109" t="e">
        <f t="shared" si="27"/>
        <v>#REF!</v>
      </c>
      <c r="X85" s="105" t="e">
        <f t="shared" si="28"/>
        <v>#REF!</v>
      </c>
      <c r="Y85" s="113" t="e">
        <f t="shared" si="29"/>
        <v>#REF!</v>
      </c>
      <c r="Z85" s="109" t="e">
        <f t="shared" si="30"/>
        <v>#REF!</v>
      </c>
      <c r="AA85" s="113" t="e">
        <f t="shared" si="31"/>
        <v>#REF!</v>
      </c>
      <c r="AB85" s="109" t="e">
        <f t="shared" si="32"/>
        <v>#REF!</v>
      </c>
      <c r="AC85" s="113" t="e">
        <f t="shared" si="33"/>
        <v>#REF!</v>
      </c>
      <c r="AD85" s="105" t="e">
        <f t="shared" si="34"/>
        <v>#REF!</v>
      </c>
      <c r="AE85" s="105" t="e">
        <f t="shared" si="20"/>
        <v>#REF!</v>
      </c>
      <c r="AF85" s="105" t="e">
        <f t="shared" si="21"/>
        <v>#REF!</v>
      </c>
      <c r="AG85" s="105" t="e">
        <f t="shared" si="22"/>
        <v>#REF!</v>
      </c>
      <c r="AH85" s="111" t="e">
        <f>VLOOKUP($A85,#REF!,5,FALSE)</f>
        <v>#REF!</v>
      </c>
      <c r="AI85" s="111" t="e">
        <f>VLOOKUP($A85,#REF!,6,FALSE)</f>
        <v>#REF!</v>
      </c>
      <c r="AJ85" s="109" t="e">
        <f t="shared" si="35"/>
        <v>#REF!</v>
      </c>
      <c r="AK85" s="109" t="e">
        <f t="shared" si="36"/>
        <v>#REF!</v>
      </c>
      <c r="AL85" s="109"/>
      <c r="AM85" s="105"/>
      <c r="AN85" s="105"/>
      <c r="AO85" s="109"/>
      <c r="AP85" s="110"/>
      <c r="AQ85" s="110"/>
      <c r="AR85" s="110"/>
      <c r="AS85" s="110"/>
      <c r="AT85" s="110"/>
      <c r="AU85" s="112"/>
      <c r="AV85" s="112"/>
      <c r="AW85" s="110"/>
      <c r="AX85" s="105"/>
      <c r="AY85" s="105"/>
      <c r="AZ85" s="105"/>
      <c r="BA85" s="105"/>
      <c r="BB85" s="105"/>
      <c r="BC85" s="105"/>
    </row>
    <row r="86" spans="1:55" x14ac:dyDescent="0.15">
      <c r="A86" s="221">
        <v>1132</v>
      </c>
      <c r="B86" s="98" t="e">
        <f>VLOOKUP($A86,#REF!,84,FALSE)</f>
        <v>#REF!</v>
      </c>
      <c r="C86" s="98" t="e">
        <f>VLOOKUP($A86,#REF!,85,FALSE)</f>
        <v>#REF!</v>
      </c>
      <c r="D86" s="98" t="e">
        <f>VLOOKUP($A86,#REF!,5,FALSE)</f>
        <v>#REF!</v>
      </c>
      <c r="E86" s="98" t="e">
        <f>VLOOKUP($A86,#REF!,6,FALSE)</f>
        <v>#REF!</v>
      </c>
      <c r="F86" s="105" t="e">
        <f>VLOOKUP($A86,#REF!,34,FALSE)</f>
        <v>#REF!</v>
      </c>
      <c r="G86" s="105" t="e">
        <f>VLOOKUP($A86,#REF!,29,FALSE)</f>
        <v>#REF!</v>
      </c>
      <c r="H86" s="105" t="e">
        <f>VLOOKUP(A86,#REF!,35,FALSE)+VLOOKUP(A86,#REF!,41,FALSE)</f>
        <v>#REF!</v>
      </c>
      <c r="I86" s="105" t="e">
        <f t="shared" si="23"/>
        <v>#REF!</v>
      </c>
      <c r="J86" s="105" t="e">
        <f>VLOOKUP(A86,#REF!,42,FALSE)</f>
        <v>#REF!</v>
      </c>
      <c r="K86" s="105" t="e">
        <f t="shared" si="24"/>
        <v>#REF!</v>
      </c>
      <c r="L86" s="164" t="e">
        <f t="shared" si="19"/>
        <v>#REF!</v>
      </c>
      <c r="M86" s="105" t="e">
        <f t="shared" si="25"/>
        <v>#REF!</v>
      </c>
      <c r="N86" s="105" t="e">
        <f>VLOOKUP(A86,#REF!,46,FALSE)</f>
        <v>#REF!</v>
      </c>
      <c r="O86" s="106" t="e">
        <f>VLOOKUP(A86,#REF!,9,FALSE)</f>
        <v>#REF!</v>
      </c>
      <c r="P86" s="114" t="e">
        <f>#REF!</f>
        <v>#REF!</v>
      </c>
      <c r="Q86" s="114" t="e">
        <f>VLOOKUP(A86,#REF!,12,FALSE)</f>
        <v>#REF!</v>
      </c>
      <c r="R86" s="120" t="e">
        <f>#REF!</f>
        <v>#REF!</v>
      </c>
      <c r="S86" s="106" t="e">
        <f>IF(Q86=0,#REF!,ROUND(Q86*R86,4))</f>
        <v>#REF!</v>
      </c>
      <c r="T86" s="121" t="e">
        <f>VLOOKUP($A86,#REF!,15,FALSE)</f>
        <v>#REF!</v>
      </c>
      <c r="U86" s="121" t="e">
        <f>VLOOKUP($A86,#REF!,19,FALSE)</f>
        <v>#REF!</v>
      </c>
      <c r="V86" s="109" t="e">
        <f t="shared" si="26"/>
        <v>#REF!</v>
      </c>
      <c r="W86" s="109" t="e">
        <f t="shared" si="27"/>
        <v>#REF!</v>
      </c>
      <c r="X86" s="105" t="e">
        <f t="shared" si="28"/>
        <v>#REF!</v>
      </c>
      <c r="Y86" s="113" t="e">
        <f t="shared" si="29"/>
        <v>#REF!</v>
      </c>
      <c r="Z86" s="109" t="e">
        <f t="shared" si="30"/>
        <v>#REF!</v>
      </c>
      <c r="AA86" s="113" t="e">
        <f t="shared" si="31"/>
        <v>#REF!</v>
      </c>
      <c r="AB86" s="109" t="e">
        <f t="shared" si="32"/>
        <v>#REF!</v>
      </c>
      <c r="AC86" s="113" t="e">
        <f t="shared" si="33"/>
        <v>#REF!</v>
      </c>
      <c r="AD86" s="105" t="e">
        <f t="shared" si="34"/>
        <v>#REF!</v>
      </c>
      <c r="AE86" s="105" t="e">
        <f t="shared" si="20"/>
        <v>#REF!</v>
      </c>
      <c r="AF86" s="105" t="e">
        <f t="shared" si="21"/>
        <v>#REF!</v>
      </c>
      <c r="AG86" s="105" t="e">
        <f t="shared" si="22"/>
        <v>#REF!</v>
      </c>
      <c r="AH86" s="111" t="e">
        <f>VLOOKUP($A86,#REF!,5,FALSE)</f>
        <v>#REF!</v>
      </c>
      <c r="AI86" s="111" t="e">
        <f>VLOOKUP($A86,#REF!,6,FALSE)</f>
        <v>#REF!</v>
      </c>
      <c r="AJ86" s="109" t="e">
        <f t="shared" si="35"/>
        <v>#REF!</v>
      </c>
      <c r="AK86" s="109" t="e">
        <f t="shared" si="36"/>
        <v>#REF!</v>
      </c>
      <c r="AL86" s="109"/>
      <c r="AM86" s="105"/>
      <c r="AN86" s="105"/>
      <c r="AO86" s="109"/>
      <c r="AP86" s="110"/>
      <c r="AQ86" s="110"/>
      <c r="AR86" s="110"/>
      <c r="AS86" s="110"/>
      <c r="AT86" s="110"/>
      <c r="AU86" s="112"/>
      <c r="AV86" s="112"/>
      <c r="AW86" s="110"/>
      <c r="AX86" s="105"/>
      <c r="AY86" s="105"/>
      <c r="AZ86" s="105"/>
      <c r="BA86" s="105"/>
      <c r="BB86" s="105"/>
      <c r="BC86" s="105"/>
    </row>
    <row r="87" spans="1:55" x14ac:dyDescent="0.15">
      <c r="A87" s="221">
        <v>150</v>
      </c>
      <c r="B87" s="98" t="e">
        <f>VLOOKUP($A87,#REF!,84,FALSE)</f>
        <v>#REF!</v>
      </c>
      <c r="C87" s="98" t="e">
        <f>VLOOKUP($A87,#REF!,85,FALSE)</f>
        <v>#REF!</v>
      </c>
      <c r="D87" s="98" t="e">
        <f>VLOOKUP($A87,#REF!,5,FALSE)</f>
        <v>#REF!</v>
      </c>
      <c r="E87" s="98" t="e">
        <f>VLOOKUP($A87,#REF!,6,FALSE)</f>
        <v>#REF!</v>
      </c>
      <c r="F87" s="105" t="e">
        <f>VLOOKUP($A87,#REF!,34,FALSE)</f>
        <v>#REF!</v>
      </c>
      <c r="G87" s="105" t="e">
        <f>VLOOKUP($A87,#REF!,29,FALSE)</f>
        <v>#REF!</v>
      </c>
      <c r="H87" s="105" t="e">
        <f>VLOOKUP(A87,#REF!,35,FALSE)+VLOOKUP(A87,#REF!,41,FALSE)</f>
        <v>#REF!</v>
      </c>
      <c r="I87" s="105" t="e">
        <f t="shared" si="23"/>
        <v>#REF!</v>
      </c>
      <c r="J87" s="105" t="e">
        <f>VLOOKUP(A87,#REF!,42,FALSE)</f>
        <v>#REF!</v>
      </c>
      <c r="K87" s="105" t="e">
        <f t="shared" si="24"/>
        <v>#REF!</v>
      </c>
      <c r="L87" s="164" t="e">
        <f t="shared" si="19"/>
        <v>#REF!</v>
      </c>
      <c r="M87" s="105" t="e">
        <f t="shared" si="25"/>
        <v>#REF!</v>
      </c>
      <c r="N87" s="105" t="e">
        <f>VLOOKUP(A87,#REF!,46,FALSE)</f>
        <v>#REF!</v>
      </c>
      <c r="O87" s="106" t="e">
        <f>VLOOKUP(A87,#REF!,9,FALSE)</f>
        <v>#REF!</v>
      </c>
      <c r="P87" s="114" t="e">
        <f>#REF!</f>
        <v>#REF!</v>
      </c>
      <c r="Q87" s="114" t="e">
        <f>VLOOKUP(A87,#REF!,12,FALSE)</f>
        <v>#REF!</v>
      </c>
      <c r="R87" s="120" t="e">
        <f>#REF!</f>
        <v>#REF!</v>
      </c>
      <c r="S87" s="106" t="e">
        <f>IF(Q87=0,#REF!,ROUND(Q87*R87,4))</f>
        <v>#REF!</v>
      </c>
      <c r="T87" s="121" t="e">
        <f>VLOOKUP($A87,#REF!,15,FALSE)</f>
        <v>#REF!</v>
      </c>
      <c r="U87" s="121" t="e">
        <f>VLOOKUP($A87,#REF!,19,FALSE)</f>
        <v>#REF!</v>
      </c>
      <c r="V87" s="109" t="e">
        <f t="shared" si="26"/>
        <v>#REF!</v>
      </c>
      <c r="W87" s="109" t="e">
        <f t="shared" si="27"/>
        <v>#REF!</v>
      </c>
      <c r="X87" s="105" t="e">
        <f t="shared" si="28"/>
        <v>#REF!</v>
      </c>
      <c r="Y87" s="113" t="e">
        <f t="shared" si="29"/>
        <v>#REF!</v>
      </c>
      <c r="Z87" s="109" t="e">
        <f t="shared" si="30"/>
        <v>#REF!</v>
      </c>
      <c r="AA87" s="113" t="e">
        <f t="shared" si="31"/>
        <v>#REF!</v>
      </c>
      <c r="AB87" s="109" t="e">
        <f t="shared" si="32"/>
        <v>#REF!</v>
      </c>
      <c r="AC87" s="113" t="e">
        <f t="shared" si="33"/>
        <v>#REF!</v>
      </c>
      <c r="AD87" s="105" t="e">
        <f t="shared" si="34"/>
        <v>#REF!</v>
      </c>
      <c r="AE87" s="105" t="e">
        <f t="shared" si="20"/>
        <v>#REF!</v>
      </c>
      <c r="AF87" s="105" t="e">
        <f t="shared" si="21"/>
        <v>#REF!</v>
      </c>
      <c r="AG87" s="105" t="e">
        <f t="shared" si="22"/>
        <v>#REF!</v>
      </c>
      <c r="AH87" s="111" t="e">
        <f>VLOOKUP($A87,#REF!,5,FALSE)</f>
        <v>#REF!</v>
      </c>
      <c r="AI87" s="111" t="e">
        <f>VLOOKUP($A87,#REF!,6,FALSE)</f>
        <v>#REF!</v>
      </c>
      <c r="AJ87" s="109" t="e">
        <f t="shared" si="35"/>
        <v>#REF!</v>
      </c>
      <c r="AK87" s="109" t="e">
        <f t="shared" si="36"/>
        <v>#REF!</v>
      </c>
      <c r="AL87" s="109"/>
      <c r="AM87" s="105"/>
      <c r="AN87" s="105"/>
      <c r="AO87" s="109"/>
      <c r="AP87" s="110"/>
      <c r="AQ87" s="110"/>
      <c r="AR87" s="110"/>
      <c r="AS87" s="110"/>
      <c r="AT87" s="110"/>
      <c r="AU87" s="112"/>
      <c r="AV87" s="112"/>
      <c r="AW87" s="110"/>
      <c r="AX87" s="105"/>
      <c r="AY87" s="105"/>
      <c r="AZ87" s="105"/>
      <c r="BA87" s="105"/>
      <c r="BB87" s="105"/>
      <c r="BC87" s="105"/>
    </row>
    <row r="88" spans="1:55" x14ac:dyDescent="0.15">
      <c r="A88" s="221">
        <v>152</v>
      </c>
      <c r="B88" s="98" t="e">
        <f>VLOOKUP($A88,#REF!,84,FALSE)</f>
        <v>#REF!</v>
      </c>
      <c r="C88" s="98" t="e">
        <f>VLOOKUP($A88,#REF!,85,FALSE)</f>
        <v>#REF!</v>
      </c>
      <c r="D88" s="98" t="e">
        <f>VLOOKUP($A88,#REF!,5,FALSE)</f>
        <v>#REF!</v>
      </c>
      <c r="E88" s="98" t="e">
        <f>VLOOKUP($A88,#REF!,6,FALSE)</f>
        <v>#REF!</v>
      </c>
      <c r="F88" s="105" t="e">
        <f>VLOOKUP($A88,#REF!,34,FALSE)</f>
        <v>#REF!</v>
      </c>
      <c r="G88" s="105" t="e">
        <f>VLOOKUP($A88,#REF!,29,FALSE)</f>
        <v>#REF!</v>
      </c>
      <c r="H88" s="105" t="e">
        <f>VLOOKUP(A88,#REF!,35,FALSE)+VLOOKUP(A88,#REF!,41,FALSE)</f>
        <v>#REF!</v>
      </c>
      <c r="I88" s="105" t="e">
        <f t="shared" si="23"/>
        <v>#REF!</v>
      </c>
      <c r="J88" s="105" t="e">
        <f>VLOOKUP(A88,#REF!,42,FALSE)</f>
        <v>#REF!</v>
      </c>
      <c r="K88" s="105" t="e">
        <f t="shared" si="24"/>
        <v>#REF!</v>
      </c>
      <c r="L88" s="164" t="e">
        <f t="shared" si="19"/>
        <v>#REF!</v>
      </c>
      <c r="M88" s="105" t="e">
        <f t="shared" si="25"/>
        <v>#REF!</v>
      </c>
      <c r="N88" s="105" t="e">
        <f>VLOOKUP(A88,#REF!,46,FALSE)</f>
        <v>#REF!</v>
      </c>
      <c r="O88" s="106" t="e">
        <f>VLOOKUP(A88,#REF!,9,FALSE)</f>
        <v>#REF!</v>
      </c>
      <c r="P88" s="114" t="e">
        <f>#REF!</f>
        <v>#REF!</v>
      </c>
      <c r="Q88" s="114" t="e">
        <f>VLOOKUP(A88,#REF!,12,FALSE)</f>
        <v>#REF!</v>
      </c>
      <c r="R88" s="120" t="e">
        <f>#REF!</f>
        <v>#REF!</v>
      </c>
      <c r="S88" s="106" t="e">
        <f>IF(Q88=0,#REF!,ROUND(Q88*R88,4))</f>
        <v>#REF!</v>
      </c>
      <c r="T88" s="121" t="e">
        <f>VLOOKUP($A88,#REF!,15,FALSE)</f>
        <v>#REF!</v>
      </c>
      <c r="U88" s="121" t="e">
        <f>VLOOKUP($A88,#REF!,19,FALSE)</f>
        <v>#REF!</v>
      </c>
      <c r="V88" s="109" t="e">
        <f t="shared" si="26"/>
        <v>#REF!</v>
      </c>
      <c r="W88" s="109" t="e">
        <f t="shared" si="27"/>
        <v>#REF!</v>
      </c>
      <c r="X88" s="105" t="e">
        <f t="shared" si="28"/>
        <v>#REF!</v>
      </c>
      <c r="Y88" s="113" t="e">
        <f t="shared" si="29"/>
        <v>#REF!</v>
      </c>
      <c r="Z88" s="109" t="e">
        <f t="shared" si="30"/>
        <v>#REF!</v>
      </c>
      <c r="AA88" s="113" t="e">
        <f t="shared" si="31"/>
        <v>#REF!</v>
      </c>
      <c r="AB88" s="109" t="e">
        <f t="shared" si="32"/>
        <v>#REF!</v>
      </c>
      <c r="AC88" s="113" t="e">
        <f t="shared" si="33"/>
        <v>#REF!</v>
      </c>
      <c r="AD88" s="105" t="e">
        <f t="shared" si="34"/>
        <v>#REF!</v>
      </c>
      <c r="AE88" s="105" t="e">
        <f t="shared" si="20"/>
        <v>#REF!</v>
      </c>
      <c r="AF88" s="105" t="e">
        <f t="shared" si="21"/>
        <v>#REF!</v>
      </c>
      <c r="AG88" s="105" t="e">
        <f t="shared" si="22"/>
        <v>#REF!</v>
      </c>
      <c r="AH88" s="111" t="e">
        <f>VLOOKUP($A88,#REF!,5,FALSE)</f>
        <v>#REF!</v>
      </c>
      <c r="AI88" s="111" t="e">
        <f>VLOOKUP($A88,#REF!,6,FALSE)</f>
        <v>#REF!</v>
      </c>
      <c r="AJ88" s="109" t="e">
        <f t="shared" si="35"/>
        <v>#REF!</v>
      </c>
      <c r="AK88" s="109" t="e">
        <f t="shared" si="36"/>
        <v>#REF!</v>
      </c>
      <c r="AL88" s="109"/>
      <c r="AM88" s="105"/>
      <c r="AN88" s="105"/>
      <c r="AO88" s="109"/>
      <c r="AP88" s="110"/>
      <c r="AQ88" s="110"/>
      <c r="AR88" s="110"/>
      <c r="AS88" s="110"/>
      <c r="AT88" s="110"/>
      <c r="AU88" s="112"/>
      <c r="AV88" s="112"/>
      <c r="AW88" s="110"/>
      <c r="AX88" s="105"/>
      <c r="AY88" s="105"/>
      <c r="AZ88" s="105"/>
      <c r="BA88" s="105"/>
      <c r="BB88" s="105"/>
      <c r="BC88" s="105"/>
    </row>
    <row r="89" spans="1:55" x14ac:dyDescent="0.15">
      <c r="A89" s="221">
        <v>1324</v>
      </c>
      <c r="B89" s="98" t="e">
        <f>VLOOKUP($A89,#REF!,84,FALSE)</f>
        <v>#REF!</v>
      </c>
      <c r="C89" s="98" t="e">
        <f>VLOOKUP($A89,#REF!,85,FALSE)</f>
        <v>#REF!</v>
      </c>
      <c r="D89" s="98" t="e">
        <f>VLOOKUP($A89,#REF!,5,FALSE)</f>
        <v>#REF!</v>
      </c>
      <c r="E89" s="98" t="e">
        <f>VLOOKUP($A89,#REF!,6,FALSE)</f>
        <v>#REF!</v>
      </c>
      <c r="F89" s="105" t="e">
        <f>VLOOKUP($A89,#REF!,34,FALSE)</f>
        <v>#REF!</v>
      </c>
      <c r="G89" s="105" t="e">
        <f>VLOOKUP($A89,#REF!,29,FALSE)</f>
        <v>#REF!</v>
      </c>
      <c r="H89" s="105" t="e">
        <f>VLOOKUP(A89,#REF!,35,FALSE)+VLOOKUP(A89,#REF!,41,FALSE)</f>
        <v>#REF!</v>
      </c>
      <c r="I89" s="105" t="e">
        <f t="shared" si="23"/>
        <v>#REF!</v>
      </c>
      <c r="J89" s="105" t="e">
        <f>VLOOKUP(A89,#REF!,42,FALSE)</f>
        <v>#REF!</v>
      </c>
      <c r="K89" s="105" t="e">
        <f t="shared" si="24"/>
        <v>#REF!</v>
      </c>
      <c r="L89" s="164" t="e">
        <f t="shared" si="19"/>
        <v>#REF!</v>
      </c>
      <c r="M89" s="105" t="e">
        <f t="shared" si="25"/>
        <v>#REF!</v>
      </c>
      <c r="N89" s="105" t="e">
        <f>VLOOKUP(A89,#REF!,46,FALSE)</f>
        <v>#REF!</v>
      </c>
      <c r="O89" s="106" t="e">
        <f>VLOOKUP(A89,#REF!,9,FALSE)</f>
        <v>#REF!</v>
      </c>
      <c r="P89" s="114" t="e">
        <f>#REF!</f>
        <v>#REF!</v>
      </c>
      <c r="Q89" s="114" t="e">
        <f>VLOOKUP(A89,#REF!,12,FALSE)</f>
        <v>#REF!</v>
      </c>
      <c r="R89" s="120" t="e">
        <f>#REF!</f>
        <v>#REF!</v>
      </c>
      <c r="S89" s="106" t="e">
        <f>IF(Q89=0,#REF!,ROUND(Q89*R89,4))</f>
        <v>#REF!</v>
      </c>
      <c r="T89" s="121" t="e">
        <f>VLOOKUP($A89,#REF!,15,FALSE)</f>
        <v>#REF!</v>
      </c>
      <c r="U89" s="121" t="e">
        <f>VLOOKUP($A89,#REF!,19,FALSE)</f>
        <v>#REF!</v>
      </c>
      <c r="V89" s="109" t="e">
        <f t="shared" si="26"/>
        <v>#REF!</v>
      </c>
      <c r="W89" s="109" t="e">
        <f t="shared" si="27"/>
        <v>#REF!</v>
      </c>
      <c r="X89" s="105" t="e">
        <f t="shared" si="28"/>
        <v>#REF!</v>
      </c>
      <c r="Y89" s="113" t="e">
        <f t="shared" si="29"/>
        <v>#REF!</v>
      </c>
      <c r="Z89" s="109" t="e">
        <f t="shared" si="30"/>
        <v>#REF!</v>
      </c>
      <c r="AA89" s="113" t="e">
        <f t="shared" si="31"/>
        <v>#REF!</v>
      </c>
      <c r="AB89" s="109" t="e">
        <f t="shared" si="32"/>
        <v>#REF!</v>
      </c>
      <c r="AC89" s="113" t="e">
        <f t="shared" si="33"/>
        <v>#REF!</v>
      </c>
      <c r="AD89" s="105" t="e">
        <f t="shared" si="34"/>
        <v>#REF!</v>
      </c>
      <c r="AE89" s="105" t="e">
        <f t="shared" si="20"/>
        <v>#REF!</v>
      </c>
      <c r="AF89" s="105" t="e">
        <f t="shared" si="21"/>
        <v>#REF!</v>
      </c>
      <c r="AG89" s="105" t="e">
        <f t="shared" si="22"/>
        <v>#REF!</v>
      </c>
      <c r="AH89" s="111" t="e">
        <f>VLOOKUP($A89,#REF!,5,FALSE)</f>
        <v>#REF!</v>
      </c>
      <c r="AI89" s="111" t="e">
        <f>VLOOKUP($A89,#REF!,6,FALSE)</f>
        <v>#REF!</v>
      </c>
      <c r="AJ89" s="109" t="e">
        <f t="shared" si="35"/>
        <v>#REF!</v>
      </c>
      <c r="AK89" s="109" t="e">
        <f t="shared" si="36"/>
        <v>#REF!</v>
      </c>
      <c r="AL89" s="109"/>
      <c r="AM89" s="105"/>
      <c r="AN89" s="105"/>
      <c r="AO89" s="109"/>
      <c r="AP89" s="110"/>
      <c r="AQ89" s="110"/>
      <c r="AR89" s="110"/>
      <c r="AS89" s="110"/>
      <c r="AT89" s="110"/>
      <c r="AU89" s="112"/>
      <c r="AV89" s="112"/>
      <c r="AW89" s="110"/>
      <c r="AX89" s="105"/>
      <c r="AY89" s="105"/>
      <c r="AZ89" s="105"/>
      <c r="BA89" s="105"/>
      <c r="BB89" s="105"/>
      <c r="BC89" s="105"/>
    </row>
    <row r="90" spans="1:55" x14ac:dyDescent="0.15">
      <c r="A90" s="221">
        <v>26</v>
      </c>
      <c r="B90" s="98" t="e">
        <f>VLOOKUP($A90,#REF!,84,FALSE)</f>
        <v>#REF!</v>
      </c>
      <c r="C90" s="98" t="e">
        <f>VLOOKUP($A90,#REF!,85,FALSE)</f>
        <v>#REF!</v>
      </c>
      <c r="D90" s="98" t="e">
        <f>VLOOKUP($A90,#REF!,5,FALSE)</f>
        <v>#REF!</v>
      </c>
      <c r="E90" s="98" t="e">
        <f>VLOOKUP($A90,#REF!,6,FALSE)</f>
        <v>#REF!</v>
      </c>
      <c r="F90" s="105" t="e">
        <f>VLOOKUP($A90,#REF!,34,FALSE)</f>
        <v>#REF!</v>
      </c>
      <c r="G90" s="105" t="e">
        <f>VLOOKUP($A90,#REF!,29,FALSE)</f>
        <v>#REF!</v>
      </c>
      <c r="H90" s="105" t="e">
        <f>VLOOKUP(A90,#REF!,35,FALSE)+VLOOKUP(A90,#REF!,41,FALSE)</f>
        <v>#REF!</v>
      </c>
      <c r="I90" s="105" t="e">
        <f t="shared" si="23"/>
        <v>#REF!</v>
      </c>
      <c r="J90" s="105" t="e">
        <f>VLOOKUP(A90,#REF!,42,FALSE)</f>
        <v>#REF!</v>
      </c>
      <c r="K90" s="105" t="e">
        <f t="shared" si="24"/>
        <v>#REF!</v>
      </c>
      <c r="L90" s="164" t="e">
        <f t="shared" si="19"/>
        <v>#REF!</v>
      </c>
      <c r="M90" s="105" t="e">
        <f t="shared" si="25"/>
        <v>#REF!</v>
      </c>
      <c r="N90" s="105" t="e">
        <f>VLOOKUP(A90,#REF!,46,FALSE)</f>
        <v>#REF!</v>
      </c>
      <c r="O90" s="106" t="e">
        <f>VLOOKUP(A90,#REF!,9,FALSE)</f>
        <v>#REF!</v>
      </c>
      <c r="P90" s="114" t="e">
        <f>#REF!</f>
        <v>#REF!</v>
      </c>
      <c r="Q90" s="114" t="e">
        <f>VLOOKUP(A90,#REF!,12,FALSE)</f>
        <v>#REF!</v>
      </c>
      <c r="R90" s="120" t="e">
        <f>#REF!</f>
        <v>#REF!</v>
      </c>
      <c r="S90" s="106" t="e">
        <f>IF(Q90=0,#REF!,ROUND(Q90*R90,4))</f>
        <v>#REF!</v>
      </c>
      <c r="T90" s="121" t="e">
        <f>VLOOKUP($A90,#REF!,15,FALSE)</f>
        <v>#REF!</v>
      </c>
      <c r="U90" s="121" t="e">
        <f>VLOOKUP($A90,#REF!,19,FALSE)</f>
        <v>#REF!</v>
      </c>
      <c r="V90" s="109" t="e">
        <f t="shared" si="26"/>
        <v>#REF!</v>
      </c>
      <c r="W90" s="109" t="e">
        <f t="shared" si="27"/>
        <v>#REF!</v>
      </c>
      <c r="X90" s="105" t="e">
        <f t="shared" si="28"/>
        <v>#REF!</v>
      </c>
      <c r="Y90" s="113" t="e">
        <f t="shared" si="29"/>
        <v>#REF!</v>
      </c>
      <c r="Z90" s="109" t="e">
        <f t="shared" si="30"/>
        <v>#REF!</v>
      </c>
      <c r="AA90" s="113" t="e">
        <f t="shared" si="31"/>
        <v>#REF!</v>
      </c>
      <c r="AB90" s="109" t="e">
        <f t="shared" si="32"/>
        <v>#REF!</v>
      </c>
      <c r="AC90" s="113" t="e">
        <f t="shared" si="33"/>
        <v>#REF!</v>
      </c>
      <c r="AD90" s="105" t="e">
        <f t="shared" si="34"/>
        <v>#REF!</v>
      </c>
      <c r="AE90" s="105" t="e">
        <f t="shared" si="20"/>
        <v>#REF!</v>
      </c>
      <c r="AF90" s="105" t="e">
        <f t="shared" si="21"/>
        <v>#REF!</v>
      </c>
      <c r="AG90" s="105" t="e">
        <f t="shared" si="22"/>
        <v>#REF!</v>
      </c>
      <c r="AH90" s="111" t="e">
        <f>VLOOKUP($A90,#REF!,5,FALSE)</f>
        <v>#REF!</v>
      </c>
      <c r="AI90" s="111" t="e">
        <f>VLOOKUP($A90,#REF!,6,FALSE)</f>
        <v>#REF!</v>
      </c>
      <c r="AJ90" s="109" t="e">
        <f t="shared" si="35"/>
        <v>#REF!</v>
      </c>
      <c r="AK90" s="109" t="e">
        <f t="shared" si="36"/>
        <v>#REF!</v>
      </c>
      <c r="AL90" s="109"/>
      <c r="AM90" s="105"/>
      <c r="AN90" s="105"/>
      <c r="AO90" s="109"/>
      <c r="AP90" s="110"/>
      <c r="AQ90" s="110"/>
      <c r="AR90" s="110"/>
      <c r="AS90" s="110"/>
      <c r="AT90" s="110"/>
      <c r="AU90" s="112"/>
      <c r="AV90" s="112"/>
      <c r="AW90" s="110"/>
      <c r="AX90" s="105"/>
      <c r="AY90" s="105"/>
      <c r="AZ90" s="105"/>
      <c r="BA90" s="105"/>
      <c r="BB90" s="105"/>
      <c r="BC90" s="105"/>
    </row>
    <row r="91" spans="1:55" x14ac:dyDescent="0.15">
      <c r="A91" s="221">
        <v>729</v>
      </c>
      <c r="B91" s="98" t="e">
        <f>VLOOKUP($A91,#REF!,84,FALSE)</f>
        <v>#REF!</v>
      </c>
      <c r="C91" s="98" t="e">
        <f>VLOOKUP($A91,#REF!,85,FALSE)</f>
        <v>#REF!</v>
      </c>
      <c r="D91" s="98" t="e">
        <f>VLOOKUP($A91,#REF!,5,FALSE)</f>
        <v>#REF!</v>
      </c>
      <c r="E91" s="98" t="e">
        <f>VLOOKUP($A91,#REF!,6,FALSE)</f>
        <v>#REF!</v>
      </c>
      <c r="F91" s="105" t="e">
        <f>VLOOKUP($A91,#REF!,34,FALSE)</f>
        <v>#REF!</v>
      </c>
      <c r="G91" s="105" t="e">
        <f>VLOOKUP($A91,#REF!,29,FALSE)</f>
        <v>#REF!</v>
      </c>
      <c r="H91" s="105" t="e">
        <f>VLOOKUP(A91,#REF!,35,FALSE)+VLOOKUP(A91,#REF!,41,FALSE)</f>
        <v>#REF!</v>
      </c>
      <c r="I91" s="105" t="e">
        <f t="shared" si="23"/>
        <v>#REF!</v>
      </c>
      <c r="J91" s="105" t="e">
        <f>VLOOKUP(A91,#REF!,42,FALSE)</f>
        <v>#REF!</v>
      </c>
      <c r="K91" s="105" t="e">
        <f t="shared" si="24"/>
        <v>#REF!</v>
      </c>
      <c r="L91" s="164" t="e">
        <f t="shared" si="19"/>
        <v>#REF!</v>
      </c>
      <c r="M91" s="105" t="e">
        <f t="shared" si="25"/>
        <v>#REF!</v>
      </c>
      <c r="N91" s="105" t="e">
        <f>VLOOKUP(A91,#REF!,46,FALSE)</f>
        <v>#REF!</v>
      </c>
      <c r="O91" s="106" t="e">
        <f>VLOOKUP(A91,#REF!,9,FALSE)</f>
        <v>#REF!</v>
      </c>
      <c r="P91" s="114" t="e">
        <f>#REF!</f>
        <v>#REF!</v>
      </c>
      <c r="Q91" s="114" t="e">
        <f>VLOOKUP(A91,#REF!,12,FALSE)</f>
        <v>#REF!</v>
      </c>
      <c r="R91" s="120" t="e">
        <f>#REF!</f>
        <v>#REF!</v>
      </c>
      <c r="S91" s="106" t="e">
        <f>IF(Q91=0,#REF!,ROUND(Q91*R91,4))</f>
        <v>#REF!</v>
      </c>
      <c r="T91" s="121" t="e">
        <f>VLOOKUP($A91,#REF!,15,FALSE)</f>
        <v>#REF!</v>
      </c>
      <c r="U91" s="121" t="e">
        <f>VLOOKUP($A91,#REF!,19,FALSE)</f>
        <v>#REF!</v>
      </c>
      <c r="V91" s="109" t="e">
        <f t="shared" si="26"/>
        <v>#REF!</v>
      </c>
      <c r="W91" s="109" t="e">
        <f t="shared" si="27"/>
        <v>#REF!</v>
      </c>
      <c r="X91" s="105" t="e">
        <f t="shared" si="28"/>
        <v>#REF!</v>
      </c>
      <c r="Y91" s="113" t="e">
        <f t="shared" si="29"/>
        <v>#REF!</v>
      </c>
      <c r="Z91" s="109" t="e">
        <f t="shared" si="30"/>
        <v>#REF!</v>
      </c>
      <c r="AA91" s="113" t="e">
        <f t="shared" si="31"/>
        <v>#REF!</v>
      </c>
      <c r="AB91" s="109" t="e">
        <f t="shared" si="32"/>
        <v>#REF!</v>
      </c>
      <c r="AC91" s="113" t="e">
        <f t="shared" si="33"/>
        <v>#REF!</v>
      </c>
      <c r="AD91" s="105" t="e">
        <f t="shared" si="34"/>
        <v>#REF!</v>
      </c>
      <c r="AE91" s="105" t="e">
        <f t="shared" si="20"/>
        <v>#REF!</v>
      </c>
      <c r="AF91" s="105" t="e">
        <f t="shared" si="21"/>
        <v>#REF!</v>
      </c>
      <c r="AG91" s="105" t="e">
        <f t="shared" si="22"/>
        <v>#REF!</v>
      </c>
      <c r="AH91" s="111" t="e">
        <f>VLOOKUP($A91,#REF!,5,FALSE)</f>
        <v>#REF!</v>
      </c>
      <c r="AI91" s="111" t="e">
        <f>VLOOKUP($A91,#REF!,6,FALSE)</f>
        <v>#REF!</v>
      </c>
      <c r="AJ91" s="109" t="e">
        <f t="shared" si="35"/>
        <v>#REF!</v>
      </c>
      <c r="AK91" s="109" t="e">
        <f t="shared" si="36"/>
        <v>#REF!</v>
      </c>
      <c r="AL91" s="109"/>
      <c r="AM91" s="105"/>
      <c r="AN91" s="105"/>
      <c r="AO91" s="109"/>
      <c r="AP91" s="110"/>
      <c r="AQ91" s="110"/>
      <c r="AR91" s="110"/>
      <c r="AS91" s="110"/>
      <c r="AT91" s="110"/>
      <c r="AU91" s="112"/>
      <c r="AV91" s="112"/>
      <c r="AW91" s="110"/>
      <c r="AX91" s="105"/>
      <c r="AY91" s="105"/>
      <c r="AZ91" s="105"/>
      <c r="BA91" s="105"/>
      <c r="BB91" s="105"/>
      <c r="BC91" s="105"/>
    </row>
    <row r="92" spans="1:55" x14ac:dyDescent="0.15">
      <c r="A92" s="221">
        <v>156</v>
      </c>
      <c r="B92" s="98" t="e">
        <f>VLOOKUP($A92,#REF!,84,FALSE)</f>
        <v>#REF!</v>
      </c>
      <c r="C92" s="98" t="e">
        <f>VLOOKUP($A92,#REF!,85,FALSE)</f>
        <v>#REF!</v>
      </c>
      <c r="D92" s="98" t="e">
        <f>VLOOKUP($A92,#REF!,5,FALSE)</f>
        <v>#REF!</v>
      </c>
      <c r="E92" s="98" t="e">
        <f>VLOOKUP($A92,#REF!,6,FALSE)</f>
        <v>#REF!</v>
      </c>
      <c r="F92" s="105" t="e">
        <f>VLOOKUP($A92,#REF!,34,FALSE)</f>
        <v>#REF!</v>
      </c>
      <c r="G92" s="105" t="e">
        <f>VLOOKUP($A92,#REF!,29,FALSE)</f>
        <v>#REF!</v>
      </c>
      <c r="H92" s="105" t="e">
        <f>VLOOKUP(A92,#REF!,35,FALSE)+VLOOKUP(A92,#REF!,41,FALSE)</f>
        <v>#REF!</v>
      </c>
      <c r="I92" s="105" t="e">
        <f t="shared" si="23"/>
        <v>#REF!</v>
      </c>
      <c r="J92" s="105" t="e">
        <f>VLOOKUP(A92,#REF!,42,FALSE)</f>
        <v>#REF!</v>
      </c>
      <c r="K92" s="105" t="e">
        <f t="shared" si="24"/>
        <v>#REF!</v>
      </c>
      <c r="L92" s="164" t="e">
        <f t="shared" si="19"/>
        <v>#REF!</v>
      </c>
      <c r="M92" s="105" t="e">
        <f t="shared" si="25"/>
        <v>#REF!</v>
      </c>
      <c r="N92" s="105" t="e">
        <f>VLOOKUP(A92,#REF!,46,FALSE)</f>
        <v>#REF!</v>
      </c>
      <c r="O92" s="106" t="e">
        <f>VLOOKUP(A92,#REF!,9,FALSE)</f>
        <v>#REF!</v>
      </c>
      <c r="P92" s="114" t="e">
        <f>#REF!</f>
        <v>#REF!</v>
      </c>
      <c r="Q92" s="114" t="e">
        <f>VLOOKUP(A92,#REF!,12,FALSE)</f>
        <v>#REF!</v>
      </c>
      <c r="R92" s="120" t="e">
        <f>#REF!</f>
        <v>#REF!</v>
      </c>
      <c r="S92" s="106" t="e">
        <f>IF(Q92=0,#REF!,ROUND(Q92*R92,4))</f>
        <v>#REF!</v>
      </c>
      <c r="T92" s="121" t="e">
        <f>VLOOKUP($A92,#REF!,15,FALSE)</f>
        <v>#REF!</v>
      </c>
      <c r="U92" s="121" t="e">
        <f>VLOOKUP($A92,#REF!,19,FALSE)</f>
        <v>#REF!</v>
      </c>
      <c r="V92" s="109" t="e">
        <f t="shared" si="26"/>
        <v>#REF!</v>
      </c>
      <c r="W92" s="109" t="e">
        <f t="shared" si="27"/>
        <v>#REF!</v>
      </c>
      <c r="X92" s="105" t="e">
        <f t="shared" si="28"/>
        <v>#REF!</v>
      </c>
      <c r="Y92" s="113" t="e">
        <f t="shared" si="29"/>
        <v>#REF!</v>
      </c>
      <c r="Z92" s="109" t="e">
        <f t="shared" si="30"/>
        <v>#REF!</v>
      </c>
      <c r="AA92" s="113" t="e">
        <f t="shared" si="31"/>
        <v>#REF!</v>
      </c>
      <c r="AB92" s="109" t="e">
        <f t="shared" si="32"/>
        <v>#REF!</v>
      </c>
      <c r="AC92" s="113" t="e">
        <f t="shared" si="33"/>
        <v>#REF!</v>
      </c>
      <c r="AD92" s="105" t="e">
        <f t="shared" si="34"/>
        <v>#REF!</v>
      </c>
      <c r="AE92" s="105" t="e">
        <f t="shared" si="20"/>
        <v>#REF!</v>
      </c>
      <c r="AF92" s="105" t="e">
        <f t="shared" si="21"/>
        <v>#REF!</v>
      </c>
      <c r="AG92" s="105" t="e">
        <f t="shared" si="22"/>
        <v>#REF!</v>
      </c>
      <c r="AH92" s="111" t="e">
        <f>VLOOKUP($A92,#REF!,5,FALSE)</f>
        <v>#REF!</v>
      </c>
      <c r="AI92" s="111" t="e">
        <f>VLOOKUP($A92,#REF!,6,FALSE)</f>
        <v>#REF!</v>
      </c>
      <c r="AJ92" s="109" t="e">
        <f t="shared" si="35"/>
        <v>#REF!</v>
      </c>
      <c r="AK92" s="109" t="e">
        <f t="shared" si="36"/>
        <v>#REF!</v>
      </c>
      <c r="AL92" s="109"/>
      <c r="AM92" s="105"/>
      <c r="AN92" s="105"/>
      <c r="AO92" s="109"/>
      <c r="AP92" s="110"/>
      <c r="AQ92" s="110"/>
      <c r="AR92" s="110"/>
      <c r="AS92" s="110"/>
      <c r="AT92" s="110"/>
      <c r="AU92" s="112"/>
      <c r="AV92" s="112"/>
      <c r="AW92" s="110"/>
      <c r="AX92" s="105"/>
      <c r="AY92" s="105"/>
      <c r="AZ92" s="105"/>
      <c r="BA92" s="105"/>
      <c r="BB92" s="105"/>
      <c r="BC92" s="105"/>
    </row>
    <row r="93" spans="1:55" x14ac:dyDescent="0.15">
      <c r="A93" s="221">
        <v>697</v>
      </c>
      <c r="B93" s="98" t="e">
        <f>VLOOKUP($A93,#REF!,84,FALSE)</f>
        <v>#REF!</v>
      </c>
      <c r="C93" s="98" t="e">
        <f>VLOOKUP($A93,#REF!,85,FALSE)</f>
        <v>#REF!</v>
      </c>
      <c r="D93" s="98" t="e">
        <f>VLOOKUP($A93,#REF!,5,FALSE)</f>
        <v>#REF!</v>
      </c>
      <c r="E93" s="98" t="e">
        <f>VLOOKUP($A93,#REF!,6,FALSE)</f>
        <v>#REF!</v>
      </c>
      <c r="F93" s="105" t="e">
        <f>VLOOKUP($A93,#REF!,34,FALSE)</f>
        <v>#REF!</v>
      </c>
      <c r="G93" s="105" t="e">
        <f>VLOOKUP($A93,#REF!,29,FALSE)</f>
        <v>#REF!</v>
      </c>
      <c r="H93" s="105" t="e">
        <f>VLOOKUP(A93,#REF!,35,FALSE)+VLOOKUP(A93,#REF!,41,FALSE)</f>
        <v>#REF!</v>
      </c>
      <c r="I93" s="105" t="e">
        <f t="shared" si="23"/>
        <v>#REF!</v>
      </c>
      <c r="J93" s="105" t="e">
        <f>VLOOKUP(A93,#REF!,42,FALSE)</f>
        <v>#REF!</v>
      </c>
      <c r="K93" s="105" t="e">
        <f t="shared" si="24"/>
        <v>#REF!</v>
      </c>
      <c r="L93" s="164" t="e">
        <f t="shared" si="19"/>
        <v>#REF!</v>
      </c>
      <c r="M93" s="105" t="e">
        <f t="shared" si="25"/>
        <v>#REF!</v>
      </c>
      <c r="N93" s="105" t="e">
        <f>VLOOKUP(A93,#REF!,46,FALSE)</f>
        <v>#REF!</v>
      </c>
      <c r="O93" s="106" t="e">
        <f>VLOOKUP(A93,#REF!,9,FALSE)</f>
        <v>#REF!</v>
      </c>
      <c r="P93" s="114" t="e">
        <f>#REF!</f>
        <v>#REF!</v>
      </c>
      <c r="Q93" s="114" t="e">
        <f>VLOOKUP(A93,#REF!,12,FALSE)</f>
        <v>#REF!</v>
      </c>
      <c r="R93" s="120" t="e">
        <f>#REF!</f>
        <v>#REF!</v>
      </c>
      <c r="S93" s="106" t="e">
        <f>IF(Q93=0,#REF!,ROUND(Q93*R93,4))</f>
        <v>#REF!</v>
      </c>
      <c r="T93" s="121" t="e">
        <f>VLOOKUP($A93,#REF!,15,FALSE)</f>
        <v>#REF!</v>
      </c>
      <c r="U93" s="121" t="e">
        <f>VLOOKUP($A93,#REF!,19,FALSE)</f>
        <v>#REF!</v>
      </c>
      <c r="V93" s="109" t="e">
        <f t="shared" si="26"/>
        <v>#REF!</v>
      </c>
      <c r="W93" s="109" t="e">
        <f t="shared" si="27"/>
        <v>#REF!</v>
      </c>
      <c r="X93" s="105" t="e">
        <f t="shared" si="28"/>
        <v>#REF!</v>
      </c>
      <c r="Y93" s="113" t="e">
        <f t="shared" si="29"/>
        <v>#REF!</v>
      </c>
      <c r="Z93" s="109" t="e">
        <f t="shared" si="30"/>
        <v>#REF!</v>
      </c>
      <c r="AA93" s="113" t="e">
        <f t="shared" si="31"/>
        <v>#REF!</v>
      </c>
      <c r="AB93" s="109" t="e">
        <f t="shared" si="32"/>
        <v>#REF!</v>
      </c>
      <c r="AC93" s="113" t="e">
        <f t="shared" si="33"/>
        <v>#REF!</v>
      </c>
      <c r="AD93" s="105" t="e">
        <f t="shared" si="34"/>
        <v>#REF!</v>
      </c>
      <c r="AE93" s="105" t="e">
        <f t="shared" si="20"/>
        <v>#REF!</v>
      </c>
      <c r="AF93" s="105" t="e">
        <f t="shared" si="21"/>
        <v>#REF!</v>
      </c>
      <c r="AG93" s="105" t="e">
        <f t="shared" si="22"/>
        <v>#REF!</v>
      </c>
      <c r="AH93" s="111" t="e">
        <f>VLOOKUP($A93,#REF!,5,FALSE)</f>
        <v>#REF!</v>
      </c>
      <c r="AI93" s="111" t="e">
        <f>VLOOKUP($A93,#REF!,6,FALSE)</f>
        <v>#REF!</v>
      </c>
      <c r="AJ93" s="109" t="e">
        <f t="shared" si="35"/>
        <v>#REF!</v>
      </c>
      <c r="AK93" s="109" t="e">
        <f t="shared" si="36"/>
        <v>#REF!</v>
      </c>
      <c r="AL93" s="109"/>
      <c r="AM93" s="105"/>
      <c r="AN93" s="105"/>
      <c r="AO93" s="109"/>
      <c r="AP93" s="110"/>
      <c r="AQ93" s="110"/>
      <c r="AR93" s="110"/>
      <c r="AS93" s="110"/>
      <c r="AT93" s="110"/>
      <c r="AU93" s="112"/>
      <c r="AV93" s="112"/>
      <c r="AW93" s="110"/>
      <c r="AX93" s="105"/>
      <c r="AY93" s="105"/>
      <c r="AZ93" s="105"/>
      <c r="BA93" s="105"/>
      <c r="BB93" s="105"/>
      <c r="BC93" s="105"/>
    </row>
    <row r="94" spans="1:55" x14ac:dyDescent="0.15">
      <c r="A94" s="221">
        <v>727</v>
      </c>
      <c r="B94" s="98" t="e">
        <f>VLOOKUP($A94,#REF!,84,FALSE)</f>
        <v>#REF!</v>
      </c>
      <c r="C94" s="98" t="e">
        <f>VLOOKUP($A94,#REF!,85,FALSE)</f>
        <v>#REF!</v>
      </c>
      <c r="D94" s="98" t="e">
        <f>VLOOKUP($A94,#REF!,5,FALSE)</f>
        <v>#REF!</v>
      </c>
      <c r="E94" s="98" t="e">
        <f>VLOOKUP($A94,#REF!,6,FALSE)</f>
        <v>#REF!</v>
      </c>
      <c r="F94" s="105" t="e">
        <f>VLOOKUP($A94,#REF!,34,FALSE)</f>
        <v>#REF!</v>
      </c>
      <c r="G94" s="105" t="e">
        <f>VLOOKUP($A94,#REF!,29,FALSE)</f>
        <v>#REF!</v>
      </c>
      <c r="H94" s="105" t="e">
        <f>VLOOKUP(A94,#REF!,35,FALSE)+VLOOKUP(A94,#REF!,41,FALSE)</f>
        <v>#REF!</v>
      </c>
      <c r="I94" s="105" t="e">
        <f t="shared" si="23"/>
        <v>#REF!</v>
      </c>
      <c r="J94" s="105" t="e">
        <f>VLOOKUP(A94,#REF!,42,FALSE)</f>
        <v>#REF!</v>
      </c>
      <c r="K94" s="105" t="e">
        <f t="shared" si="24"/>
        <v>#REF!</v>
      </c>
      <c r="L94" s="164" t="e">
        <f t="shared" si="19"/>
        <v>#REF!</v>
      </c>
      <c r="M94" s="105" t="e">
        <f t="shared" si="25"/>
        <v>#REF!</v>
      </c>
      <c r="N94" s="105" t="e">
        <f>VLOOKUP(A94,#REF!,46,FALSE)</f>
        <v>#REF!</v>
      </c>
      <c r="O94" s="106" t="e">
        <f>VLOOKUP(A94,#REF!,9,FALSE)</f>
        <v>#REF!</v>
      </c>
      <c r="P94" s="114" t="e">
        <f>#REF!</f>
        <v>#REF!</v>
      </c>
      <c r="Q94" s="114" t="e">
        <f>VLOOKUP(A94,#REF!,12,FALSE)</f>
        <v>#REF!</v>
      </c>
      <c r="R94" s="120" t="e">
        <f>#REF!</f>
        <v>#REF!</v>
      </c>
      <c r="S94" s="106" t="e">
        <f>IF(Q94=0,#REF!,ROUND(Q94*R94,4))</f>
        <v>#REF!</v>
      </c>
      <c r="T94" s="121" t="e">
        <f>VLOOKUP($A94,#REF!,15,FALSE)</f>
        <v>#REF!</v>
      </c>
      <c r="U94" s="121" t="e">
        <f>VLOOKUP($A94,#REF!,19,FALSE)</f>
        <v>#REF!</v>
      </c>
      <c r="V94" s="109" t="e">
        <f t="shared" si="26"/>
        <v>#REF!</v>
      </c>
      <c r="W94" s="109" t="e">
        <f t="shared" si="27"/>
        <v>#REF!</v>
      </c>
      <c r="X94" s="105" t="e">
        <f t="shared" si="28"/>
        <v>#REF!</v>
      </c>
      <c r="Y94" s="113" t="e">
        <f t="shared" si="29"/>
        <v>#REF!</v>
      </c>
      <c r="Z94" s="109" t="e">
        <f t="shared" si="30"/>
        <v>#REF!</v>
      </c>
      <c r="AA94" s="113" t="e">
        <f t="shared" si="31"/>
        <v>#REF!</v>
      </c>
      <c r="AB94" s="109" t="e">
        <f t="shared" si="32"/>
        <v>#REF!</v>
      </c>
      <c r="AC94" s="113" t="e">
        <f t="shared" si="33"/>
        <v>#REF!</v>
      </c>
      <c r="AD94" s="105" t="e">
        <f t="shared" si="34"/>
        <v>#REF!</v>
      </c>
      <c r="AE94" s="105" t="e">
        <f t="shared" si="20"/>
        <v>#REF!</v>
      </c>
      <c r="AF94" s="105" t="e">
        <f t="shared" si="21"/>
        <v>#REF!</v>
      </c>
      <c r="AG94" s="105" t="e">
        <f t="shared" si="22"/>
        <v>#REF!</v>
      </c>
      <c r="AH94" s="111" t="e">
        <f>VLOOKUP($A94,#REF!,5,FALSE)</f>
        <v>#REF!</v>
      </c>
      <c r="AI94" s="111" t="e">
        <f>VLOOKUP($A94,#REF!,6,FALSE)</f>
        <v>#REF!</v>
      </c>
      <c r="AJ94" s="109" t="e">
        <f t="shared" si="35"/>
        <v>#REF!</v>
      </c>
      <c r="AK94" s="109" t="e">
        <f t="shared" si="36"/>
        <v>#REF!</v>
      </c>
      <c r="AL94" s="109"/>
      <c r="AM94" s="105"/>
      <c r="AN94" s="105"/>
      <c r="AO94" s="109"/>
      <c r="AP94" s="110"/>
      <c r="AQ94" s="110"/>
      <c r="AR94" s="110"/>
      <c r="AS94" s="110"/>
      <c r="AT94" s="110"/>
      <c r="AU94" s="112"/>
      <c r="AV94" s="112"/>
      <c r="AW94" s="110"/>
      <c r="AX94" s="105"/>
      <c r="AY94" s="105"/>
      <c r="AZ94" s="105"/>
      <c r="BA94" s="105"/>
      <c r="BB94" s="105"/>
      <c r="BC94" s="105"/>
    </row>
    <row r="95" spans="1:55" x14ac:dyDescent="0.15">
      <c r="A95" s="221">
        <v>164</v>
      </c>
      <c r="B95" s="98" t="e">
        <f>VLOOKUP($A95,#REF!,84,FALSE)</f>
        <v>#REF!</v>
      </c>
      <c r="C95" s="98" t="e">
        <f>VLOOKUP($A95,#REF!,85,FALSE)</f>
        <v>#REF!</v>
      </c>
      <c r="D95" s="98" t="e">
        <f>VLOOKUP($A95,#REF!,5,FALSE)</f>
        <v>#REF!</v>
      </c>
      <c r="E95" s="98" t="e">
        <f>VLOOKUP($A95,#REF!,6,FALSE)</f>
        <v>#REF!</v>
      </c>
      <c r="F95" s="105" t="e">
        <f>VLOOKUP($A95,#REF!,34,FALSE)</f>
        <v>#REF!</v>
      </c>
      <c r="G95" s="105" t="e">
        <f>VLOOKUP($A95,#REF!,29,FALSE)</f>
        <v>#REF!</v>
      </c>
      <c r="H95" s="105" t="e">
        <f>VLOOKUP(A95,#REF!,35,FALSE)+VLOOKUP(A95,#REF!,41,FALSE)</f>
        <v>#REF!</v>
      </c>
      <c r="I95" s="105" t="e">
        <f t="shared" si="23"/>
        <v>#REF!</v>
      </c>
      <c r="J95" s="105" t="e">
        <f>VLOOKUP(A95,#REF!,42,FALSE)</f>
        <v>#REF!</v>
      </c>
      <c r="K95" s="105" t="e">
        <f t="shared" si="24"/>
        <v>#REF!</v>
      </c>
      <c r="L95" s="164" t="e">
        <f t="shared" si="19"/>
        <v>#REF!</v>
      </c>
      <c r="M95" s="105" t="e">
        <f t="shared" si="25"/>
        <v>#REF!</v>
      </c>
      <c r="N95" s="105" t="e">
        <f>VLOOKUP(A95,#REF!,46,FALSE)</f>
        <v>#REF!</v>
      </c>
      <c r="O95" s="106" t="e">
        <f>VLOOKUP(A95,#REF!,9,FALSE)</f>
        <v>#REF!</v>
      </c>
      <c r="P95" s="114" t="e">
        <f>#REF!</f>
        <v>#REF!</v>
      </c>
      <c r="Q95" s="114" t="e">
        <f>VLOOKUP(A95,#REF!,12,FALSE)</f>
        <v>#REF!</v>
      </c>
      <c r="R95" s="120" t="e">
        <f>#REF!</f>
        <v>#REF!</v>
      </c>
      <c r="S95" s="106" t="e">
        <f>IF(Q95=0,#REF!,ROUND(Q95*R95,4))</f>
        <v>#REF!</v>
      </c>
      <c r="T95" s="121" t="e">
        <f>VLOOKUP($A95,#REF!,15,FALSE)</f>
        <v>#REF!</v>
      </c>
      <c r="U95" s="121" t="e">
        <f>VLOOKUP($A95,#REF!,19,FALSE)</f>
        <v>#REF!</v>
      </c>
      <c r="V95" s="109" t="e">
        <f t="shared" si="26"/>
        <v>#REF!</v>
      </c>
      <c r="W95" s="109" t="e">
        <f t="shared" si="27"/>
        <v>#REF!</v>
      </c>
      <c r="X95" s="105" t="e">
        <f t="shared" si="28"/>
        <v>#REF!</v>
      </c>
      <c r="Y95" s="113" t="e">
        <f t="shared" si="29"/>
        <v>#REF!</v>
      </c>
      <c r="Z95" s="109" t="e">
        <f t="shared" si="30"/>
        <v>#REF!</v>
      </c>
      <c r="AA95" s="113" t="e">
        <f t="shared" si="31"/>
        <v>#REF!</v>
      </c>
      <c r="AB95" s="109" t="e">
        <f t="shared" si="32"/>
        <v>#REF!</v>
      </c>
      <c r="AC95" s="113" t="e">
        <f t="shared" si="33"/>
        <v>#REF!</v>
      </c>
      <c r="AD95" s="105" t="e">
        <f t="shared" si="34"/>
        <v>#REF!</v>
      </c>
      <c r="AE95" s="105" t="e">
        <f t="shared" si="20"/>
        <v>#REF!</v>
      </c>
      <c r="AF95" s="105" t="e">
        <f t="shared" si="21"/>
        <v>#REF!</v>
      </c>
      <c r="AG95" s="105" t="e">
        <f t="shared" si="22"/>
        <v>#REF!</v>
      </c>
      <c r="AH95" s="111" t="e">
        <f>VLOOKUP($A95,#REF!,5,FALSE)</f>
        <v>#REF!</v>
      </c>
      <c r="AI95" s="111" t="e">
        <f>VLOOKUP($A95,#REF!,6,FALSE)</f>
        <v>#REF!</v>
      </c>
      <c r="AJ95" s="109" t="e">
        <f t="shared" si="35"/>
        <v>#REF!</v>
      </c>
      <c r="AK95" s="109" t="e">
        <f t="shared" si="36"/>
        <v>#REF!</v>
      </c>
      <c r="AL95" s="109"/>
      <c r="AM95" s="105"/>
      <c r="AN95" s="105"/>
      <c r="AO95" s="109"/>
      <c r="AP95" s="110"/>
      <c r="AQ95" s="110"/>
      <c r="AR95" s="110"/>
      <c r="AS95" s="110"/>
      <c r="AT95" s="110"/>
      <c r="AU95" s="112"/>
      <c r="AV95" s="112"/>
      <c r="AW95" s="110"/>
      <c r="AX95" s="105"/>
      <c r="AY95" s="105"/>
      <c r="AZ95" s="105"/>
      <c r="BA95" s="105"/>
      <c r="BB95" s="105"/>
      <c r="BC95" s="105"/>
    </row>
    <row r="96" spans="1:55" x14ac:dyDescent="0.15">
      <c r="A96" s="221">
        <v>168</v>
      </c>
      <c r="B96" s="98" t="e">
        <f>VLOOKUP($A96,#REF!,84,FALSE)</f>
        <v>#REF!</v>
      </c>
      <c r="C96" s="98" t="e">
        <f>VLOOKUP($A96,#REF!,85,FALSE)</f>
        <v>#REF!</v>
      </c>
      <c r="D96" s="98" t="e">
        <f>VLOOKUP($A96,#REF!,5,FALSE)</f>
        <v>#REF!</v>
      </c>
      <c r="E96" s="98" t="e">
        <f>VLOOKUP($A96,#REF!,6,FALSE)</f>
        <v>#REF!</v>
      </c>
      <c r="F96" s="105" t="e">
        <f>VLOOKUP($A96,#REF!,34,FALSE)</f>
        <v>#REF!</v>
      </c>
      <c r="G96" s="105" t="e">
        <f>VLOOKUP($A96,#REF!,29,FALSE)</f>
        <v>#REF!</v>
      </c>
      <c r="H96" s="105" t="e">
        <f>VLOOKUP(A96,#REF!,35,FALSE)+VLOOKUP(A96,#REF!,41,FALSE)</f>
        <v>#REF!</v>
      </c>
      <c r="I96" s="105" t="e">
        <f t="shared" si="23"/>
        <v>#REF!</v>
      </c>
      <c r="J96" s="105" t="e">
        <f>VLOOKUP(A96,#REF!,42,FALSE)</f>
        <v>#REF!</v>
      </c>
      <c r="K96" s="105" t="e">
        <f t="shared" si="24"/>
        <v>#REF!</v>
      </c>
      <c r="L96" s="164" t="e">
        <f t="shared" si="19"/>
        <v>#REF!</v>
      </c>
      <c r="M96" s="105" t="e">
        <f t="shared" si="25"/>
        <v>#REF!</v>
      </c>
      <c r="N96" s="105" t="e">
        <f>VLOOKUP(A96,#REF!,46,FALSE)</f>
        <v>#REF!</v>
      </c>
      <c r="O96" s="106" t="e">
        <f>VLOOKUP(A96,#REF!,9,FALSE)</f>
        <v>#REF!</v>
      </c>
      <c r="P96" s="114" t="e">
        <f>#REF!</f>
        <v>#REF!</v>
      </c>
      <c r="Q96" s="114" t="e">
        <f>VLOOKUP(A96,#REF!,12,FALSE)</f>
        <v>#REF!</v>
      </c>
      <c r="R96" s="120" t="e">
        <f>#REF!</f>
        <v>#REF!</v>
      </c>
      <c r="S96" s="106" t="e">
        <f>IF(Q96=0,#REF!,ROUND(Q96*R96,4))</f>
        <v>#REF!</v>
      </c>
      <c r="T96" s="121" t="e">
        <f>VLOOKUP($A96,#REF!,15,FALSE)</f>
        <v>#REF!</v>
      </c>
      <c r="U96" s="121" t="e">
        <f>VLOOKUP($A96,#REF!,19,FALSE)</f>
        <v>#REF!</v>
      </c>
      <c r="V96" s="109" t="e">
        <f t="shared" si="26"/>
        <v>#REF!</v>
      </c>
      <c r="W96" s="109" t="e">
        <f t="shared" si="27"/>
        <v>#REF!</v>
      </c>
      <c r="X96" s="105" t="e">
        <f t="shared" si="28"/>
        <v>#REF!</v>
      </c>
      <c r="Y96" s="113" t="e">
        <f t="shared" si="29"/>
        <v>#REF!</v>
      </c>
      <c r="Z96" s="109" t="e">
        <f t="shared" si="30"/>
        <v>#REF!</v>
      </c>
      <c r="AA96" s="113" t="e">
        <f t="shared" si="31"/>
        <v>#REF!</v>
      </c>
      <c r="AB96" s="109" t="e">
        <f t="shared" si="32"/>
        <v>#REF!</v>
      </c>
      <c r="AC96" s="113" t="e">
        <f t="shared" si="33"/>
        <v>#REF!</v>
      </c>
      <c r="AD96" s="105" t="e">
        <f t="shared" si="34"/>
        <v>#REF!</v>
      </c>
      <c r="AE96" s="105" t="e">
        <f t="shared" si="20"/>
        <v>#REF!</v>
      </c>
      <c r="AF96" s="105" t="e">
        <f t="shared" si="21"/>
        <v>#REF!</v>
      </c>
      <c r="AG96" s="105" t="e">
        <f t="shared" si="22"/>
        <v>#REF!</v>
      </c>
      <c r="AH96" s="111" t="e">
        <f>VLOOKUP($A96,#REF!,5,FALSE)</f>
        <v>#REF!</v>
      </c>
      <c r="AI96" s="111" t="e">
        <f>VLOOKUP($A96,#REF!,6,FALSE)</f>
        <v>#REF!</v>
      </c>
      <c r="AJ96" s="109" t="e">
        <f t="shared" si="35"/>
        <v>#REF!</v>
      </c>
      <c r="AK96" s="109" t="e">
        <f t="shared" si="36"/>
        <v>#REF!</v>
      </c>
      <c r="AL96" s="109"/>
      <c r="AM96" s="105"/>
      <c r="AN96" s="105"/>
      <c r="AO96" s="109"/>
      <c r="AP96" s="110"/>
      <c r="AQ96" s="110"/>
      <c r="AR96" s="110"/>
      <c r="AS96" s="110"/>
      <c r="AT96" s="110"/>
      <c r="AU96" s="112"/>
      <c r="AV96" s="112"/>
      <c r="AW96" s="110"/>
      <c r="AX96" s="105"/>
      <c r="AY96" s="105"/>
      <c r="AZ96" s="105"/>
      <c r="BA96" s="105"/>
      <c r="BB96" s="105"/>
      <c r="BC96" s="105"/>
    </row>
    <row r="97" spans="1:55" x14ac:dyDescent="0.15">
      <c r="A97" s="221">
        <v>62</v>
      </c>
      <c r="B97" s="98" t="e">
        <f>VLOOKUP($A97,#REF!,84,FALSE)</f>
        <v>#REF!</v>
      </c>
      <c r="C97" s="98" t="e">
        <f>VLOOKUP($A97,#REF!,85,FALSE)</f>
        <v>#REF!</v>
      </c>
      <c r="D97" s="98" t="e">
        <f>VLOOKUP($A97,#REF!,5,FALSE)</f>
        <v>#REF!</v>
      </c>
      <c r="E97" s="98" t="e">
        <f>VLOOKUP($A97,#REF!,6,FALSE)</f>
        <v>#REF!</v>
      </c>
      <c r="F97" s="105" t="e">
        <f>VLOOKUP($A97,#REF!,34,FALSE)</f>
        <v>#REF!</v>
      </c>
      <c r="G97" s="105" t="e">
        <f>VLOOKUP($A97,#REF!,29,FALSE)</f>
        <v>#REF!</v>
      </c>
      <c r="H97" s="105" t="e">
        <f>VLOOKUP(A97,#REF!,35,FALSE)+VLOOKUP(A97,#REF!,41,FALSE)</f>
        <v>#REF!</v>
      </c>
      <c r="I97" s="105" t="e">
        <f t="shared" si="23"/>
        <v>#REF!</v>
      </c>
      <c r="J97" s="105" t="e">
        <f>VLOOKUP(A97,#REF!,42,FALSE)</f>
        <v>#REF!</v>
      </c>
      <c r="K97" s="105" t="e">
        <f t="shared" si="24"/>
        <v>#REF!</v>
      </c>
      <c r="L97" s="164" t="e">
        <f t="shared" si="19"/>
        <v>#REF!</v>
      </c>
      <c r="M97" s="105" t="e">
        <f t="shared" si="25"/>
        <v>#REF!</v>
      </c>
      <c r="N97" s="105" t="e">
        <f>VLOOKUP(A97,#REF!,46,FALSE)</f>
        <v>#REF!</v>
      </c>
      <c r="O97" s="106" t="e">
        <f>VLOOKUP(A97,#REF!,9,FALSE)</f>
        <v>#REF!</v>
      </c>
      <c r="P97" s="114" t="e">
        <f>#REF!</f>
        <v>#REF!</v>
      </c>
      <c r="Q97" s="114" t="e">
        <f>VLOOKUP(A97,#REF!,12,FALSE)</f>
        <v>#REF!</v>
      </c>
      <c r="R97" s="120" t="e">
        <f>#REF!</f>
        <v>#REF!</v>
      </c>
      <c r="S97" s="106" t="e">
        <f>IF(Q97=0,#REF!,ROUND(Q97*R97,4))</f>
        <v>#REF!</v>
      </c>
      <c r="T97" s="121" t="e">
        <f>VLOOKUP($A97,#REF!,15,FALSE)</f>
        <v>#REF!</v>
      </c>
      <c r="U97" s="121" t="e">
        <f>VLOOKUP($A97,#REF!,19,FALSE)</f>
        <v>#REF!</v>
      </c>
      <c r="V97" s="109" t="e">
        <f t="shared" si="26"/>
        <v>#REF!</v>
      </c>
      <c r="W97" s="109" t="e">
        <f t="shared" si="27"/>
        <v>#REF!</v>
      </c>
      <c r="X97" s="105" t="e">
        <f t="shared" si="28"/>
        <v>#REF!</v>
      </c>
      <c r="Y97" s="113" t="e">
        <f t="shared" si="29"/>
        <v>#REF!</v>
      </c>
      <c r="Z97" s="109" t="e">
        <f t="shared" si="30"/>
        <v>#REF!</v>
      </c>
      <c r="AA97" s="113" t="e">
        <f t="shared" si="31"/>
        <v>#REF!</v>
      </c>
      <c r="AB97" s="109" t="e">
        <f t="shared" si="32"/>
        <v>#REF!</v>
      </c>
      <c r="AC97" s="113" t="e">
        <f t="shared" si="33"/>
        <v>#REF!</v>
      </c>
      <c r="AD97" s="105" t="e">
        <f t="shared" si="34"/>
        <v>#REF!</v>
      </c>
      <c r="AE97" s="105" t="e">
        <f t="shared" si="20"/>
        <v>#REF!</v>
      </c>
      <c r="AF97" s="105" t="e">
        <f t="shared" si="21"/>
        <v>#REF!</v>
      </c>
      <c r="AG97" s="105" t="e">
        <f t="shared" si="22"/>
        <v>#REF!</v>
      </c>
      <c r="AH97" s="111" t="e">
        <f>VLOOKUP($A97,#REF!,5,FALSE)</f>
        <v>#REF!</v>
      </c>
      <c r="AI97" s="111" t="e">
        <f>VLOOKUP($A97,#REF!,6,FALSE)</f>
        <v>#REF!</v>
      </c>
      <c r="AJ97" s="109" t="e">
        <f t="shared" si="35"/>
        <v>#REF!</v>
      </c>
      <c r="AK97" s="109" t="e">
        <f t="shared" si="36"/>
        <v>#REF!</v>
      </c>
      <c r="AL97" s="109"/>
      <c r="AM97" s="105"/>
      <c r="AN97" s="105"/>
      <c r="AO97" s="109"/>
      <c r="AP97" s="110"/>
      <c r="AQ97" s="110"/>
      <c r="AR97" s="110"/>
      <c r="AS97" s="110"/>
      <c r="AT97" s="110"/>
      <c r="AU97" s="112"/>
      <c r="AV97" s="112"/>
      <c r="AW97" s="110"/>
      <c r="AX97" s="105"/>
      <c r="AY97" s="105"/>
      <c r="AZ97" s="105"/>
      <c r="BA97" s="105"/>
      <c r="BB97" s="105"/>
      <c r="BC97" s="105"/>
    </row>
    <row r="98" spans="1:55" x14ac:dyDescent="0.15">
      <c r="A98" s="221">
        <v>172</v>
      </c>
      <c r="B98" s="98" t="e">
        <f>VLOOKUP($A98,#REF!,84,FALSE)</f>
        <v>#REF!</v>
      </c>
      <c r="C98" s="98" t="e">
        <f>VLOOKUP($A98,#REF!,85,FALSE)</f>
        <v>#REF!</v>
      </c>
      <c r="D98" s="98" t="e">
        <f>VLOOKUP($A98,#REF!,5,FALSE)</f>
        <v>#REF!</v>
      </c>
      <c r="E98" s="98" t="e">
        <f>VLOOKUP($A98,#REF!,6,FALSE)</f>
        <v>#REF!</v>
      </c>
      <c r="F98" s="105" t="e">
        <f>VLOOKUP($A98,#REF!,34,FALSE)</f>
        <v>#REF!</v>
      </c>
      <c r="G98" s="105" t="e">
        <f>VLOOKUP($A98,#REF!,29,FALSE)</f>
        <v>#REF!</v>
      </c>
      <c r="H98" s="105" t="e">
        <f>VLOOKUP(A98,#REF!,35,FALSE)+VLOOKUP(A98,#REF!,41,FALSE)</f>
        <v>#REF!</v>
      </c>
      <c r="I98" s="105" t="e">
        <f t="shared" si="23"/>
        <v>#REF!</v>
      </c>
      <c r="J98" s="105" t="e">
        <f>VLOOKUP(A98,#REF!,42,FALSE)</f>
        <v>#REF!</v>
      </c>
      <c r="K98" s="105" t="e">
        <f t="shared" si="24"/>
        <v>#REF!</v>
      </c>
      <c r="L98" s="164" t="e">
        <f t="shared" si="19"/>
        <v>#REF!</v>
      </c>
      <c r="M98" s="105" t="e">
        <f t="shared" si="25"/>
        <v>#REF!</v>
      </c>
      <c r="N98" s="105" t="e">
        <f>VLOOKUP(A98,#REF!,46,FALSE)</f>
        <v>#REF!</v>
      </c>
      <c r="O98" s="106" t="e">
        <f>VLOOKUP(A98,#REF!,9,FALSE)</f>
        <v>#REF!</v>
      </c>
      <c r="P98" s="114" t="e">
        <f>#REF!</f>
        <v>#REF!</v>
      </c>
      <c r="Q98" s="114" t="e">
        <f>VLOOKUP(A98,#REF!,12,FALSE)</f>
        <v>#REF!</v>
      </c>
      <c r="R98" s="120" t="e">
        <f>#REF!</f>
        <v>#REF!</v>
      </c>
      <c r="S98" s="106" t="e">
        <f>IF(Q98=0,#REF!,ROUND(Q98*R98,4))</f>
        <v>#REF!</v>
      </c>
      <c r="T98" s="121" t="e">
        <f>VLOOKUP($A98,#REF!,15,FALSE)</f>
        <v>#REF!</v>
      </c>
      <c r="U98" s="121" t="e">
        <f>VLOOKUP($A98,#REF!,19,FALSE)</f>
        <v>#REF!</v>
      </c>
      <c r="V98" s="109" t="e">
        <f t="shared" si="26"/>
        <v>#REF!</v>
      </c>
      <c r="W98" s="109" t="e">
        <f t="shared" si="27"/>
        <v>#REF!</v>
      </c>
      <c r="X98" s="105" t="e">
        <f t="shared" si="28"/>
        <v>#REF!</v>
      </c>
      <c r="Y98" s="113" t="e">
        <f t="shared" si="29"/>
        <v>#REF!</v>
      </c>
      <c r="Z98" s="109" t="e">
        <f t="shared" si="30"/>
        <v>#REF!</v>
      </c>
      <c r="AA98" s="113" t="e">
        <f t="shared" si="31"/>
        <v>#REF!</v>
      </c>
      <c r="AB98" s="109" t="e">
        <f t="shared" si="32"/>
        <v>#REF!</v>
      </c>
      <c r="AC98" s="113" t="e">
        <f t="shared" si="33"/>
        <v>#REF!</v>
      </c>
      <c r="AD98" s="105" t="e">
        <f t="shared" si="34"/>
        <v>#REF!</v>
      </c>
      <c r="AE98" s="105" t="e">
        <f t="shared" si="20"/>
        <v>#REF!</v>
      </c>
      <c r="AF98" s="105" t="e">
        <f t="shared" si="21"/>
        <v>#REF!</v>
      </c>
      <c r="AG98" s="105" t="e">
        <f t="shared" si="22"/>
        <v>#REF!</v>
      </c>
      <c r="AH98" s="111" t="e">
        <f>VLOOKUP($A98,#REF!,5,FALSE)</f>
        <v>#REF!</v>
      </c>
      <c r="AI98" s="111" t="e">
        <f>VLOOKUP($A98,#REF!,6,FALSE)</f>
        <v>#REF!</v>
      </c>
      <c r="AJ98" s="109" t="e">
        <f t="shared" si="35"/>
        <v>#REF!</v>
      </c>
      <c r="AK98" s="109" t="e">
        <f t="shared" si="36"/>
        <v>#REF!</v>
      </c>
      <c r="AL98" s="109"/>
      <c r="AM98" s="105"/>
      <c r="AN98" s="105"/>
      <c r="AO98" s="109"/>
      <c r="AP98" s="110"/>
      <c r="AQ98" s="110"/>
      <c r="AR98" s="110"/>
      <c r="AS98" s="110"/>
      <c r="AT98" s="110"/>
      <c r="AU98" s="112"/>
      <c r="AV98" s="112"/>
      <c r="AW98" s="110"/>
      <c r="AX98" s="105"/>
      <c r="AY98" s="105"/>
      <c r="AZ98" s="105"/>
      <c r="BA98" s="105"/>
      <c r="BB98" s="105"/>
      <c r="BC98" s="105"/>
    </row>
    <row r="99" spans="1:55" x14ac:dyDescent="0.15">
      <c r="A99" s="221">
        <v>174</v>
      </c>
      <c r="B99" s="98" t="e">
        <f>VLOOKUP($A99,#REF!,84,FALSE)</f>
        <v>#REF!</v>
      </c>
      <c r="C99" s="98" t="e">
        <f>VLOOKUP($A99,#REF!,85,FALSE)</f>
        <v>#REF!</v>
      </c>
      <c r="D99" s="98" t="e">
        <f>VLOOKUP($A99,#REF!,5,FALSE)</f>
        <v>#REF!</v>
      </c>
      <c r="E99" s="98" t="e">
        <f>VLOOKUP($A99,#REF!,6,FALSE)</f>
        <v>#REF!</v>
      </c>
      <c r="F99" s="105" t="e">
        <f>VLOOKUP($A99,#REF!,34,FALSE)</f>
        <v>#REF!</v>
      </c>
      <c r="G99" s="105" t="e">
        <f>VLOOKUP($A99,#REF!,29,FALSE)</f>
        <v>#REF!</v>
      </c>
      <c r="H99" s="105" t="e">
        <f>VLOOKUP(A99,#REF!,35,FALSE)+VLOOKUP(A99,#REF!,41,FALSE)</f>
        <v>#REF!</v>
      </c>
      <c r="I99" s="105" t="e">
        <f t="shared" si="23"/>
        <v>#REF!</v>
      </c>
      <c r="J99" s="105" t="e">
        <f>VLOOKUP(A99,#REF!,42,FALSE)</f>
        <v>#REF!</v>
      </c>
      <c r="K99" s="105" t="e">
        <f t="shared" si="24"/>
        <v>#REF!</v>
      </c>
      <c r="L99" s="164" t="e">
        <f t="shared" si="19"/>
        <v>#REF!</v>
      </c>
      <c r="M99" s="105" t="e">
        <f t="shared" si="25"/>
        <v>#REF!</v>
      </c>
      <c r="N99" s="105" t="e">
        <f>VLOOKUP(A99,#REF!,46,FALSE)</f>
        <v>#REF!</v>
      </c>
      <c r="O99" s="106" t="e">
        <f>VLOOKUP(A99,#REF!,9,FALSE)</f>
        <v>#REF!</v>
      </c>
      <c r="P99" s="114" t="e">
        <f>#REF!</f>
        <v>#REF!</v>
      </c>
      <c r="Q99" s="114" t="e">
        <f>VLOOKUP(A99,#REF!,12,FALSE)</f>
        <v>#REF!</v>
      </c>
      <c r="R99" s="120" t="e">
        <f>#REF!</f>
        <v>#REF!</v>
      </c>
      <c r="S99" s="106" t="e">
        <f>IF(Q99=0,#REF!,ROUND(Q99*R99,4))</f>
        <v>#REF!</v>
      </c>
      <c r="T99" s="121" t="e">
        <f>VLOOKUP($A99,#REF!,15,FALSE)</f>
        <v>#REF!</v>
      </c>
      <c r="U99" s="121" t="e">
        <f>VLOOKUP($A99,#REF!,19,FALSE)</f>
        <v>#REF!</v>
      </c>
      <c r="V99" s="109" t="e">
        <f t="shared" si="26"/>
        <v>#REF!</v>
      </c>
      <c r="W99" s="109" t="e">
        <f t="shared" si="27"/>
        <v>#REF!</v>
      </c>
      <c r="X99" s="105" t="e">
        <f t="shared" si="28"/>
        <v>#REF!</v>
      </c>
      <c r="Y99" s="113" t="e">
        <f t="shared" si="29"/>
        <v>#REF!</v>
      </c>
      <c r="Z99" s="109" t="e">
        <f t="shared" si="30"/>
        <v>#REF!</v>
      </c>
      <c r="AA99" s="113" t="e">
        <f t="shared" si="31"/>
        <v>#REF!</v>
      </c>
      <c r="AB99" s="109" t="e">
        <f t="shared" si="32"/>
        <v>#REF!</v>
      </c>
      <c r="AC99" s="113" t="e">
        <f t="shared" si="33"/>
        <v>#REF!</v>
      </c>
      <c r="AD99" s="105" t="e">
        <f t="shared" si="34"/>
        <v>#REF!</v>
      </c>
      <c r="AE99" s="105" t="e">
        <f t="shared" si="20"/>
        <v>#REF!</v>
      </c>
      <c r="AF99" s="105" t="e">
        <f t="shared" si="21"/>
        <v>#REF!</v>
      </c>
      <c r="AG99" s="105" t="e">
        <f t="shared" si="22"/>
        <v>#REF!</v>
      </c>
      <c r="AH99" s="111" t="e">
        <f>VLOOKUP($A99,#REF!,5,FALSE)</f>
        <v>#REF!</v>
      </c>
      <c r="AI99" s="111" t="e">
        <f>VLOOKUP($A99,#REF!,6,FALSE)</f>
        <v>#REF!</v>
      </c>
      <c r="AJ99" s="109" t="e">
        <f t="shared" si="35"/>
        <v>#REF!</v>
      </c>
      <c r="AK99" s="109" t="e">
        <f t="shared" si="36"/>
        <v>#REF!</v>
      </c>
      <c r="AL99" s="109"/>
      <c r="AM99" s="105"/>
      <c r="AN99" s="105"/>
      <c r="AO99" s="109"/>
      <c r="AP99" s="110"/>
      <c r="AQ99" s="110"/>
      <c r="AR99" s="110"/>
      <c r="AS99" s="110"/>
      <c r="AT99" s="110"/>
      <c r="AU99" s="112"/>
      <c r="AV99" s="112"/>
      <c r="AW99" s="110"/>
      <c r="AX99" s="105"/>
      <c r="AY99" s="105"/>
      <c r="AZ99" s="105"/>
      <c r="BA99" s="105"/>
      <c r="BB99" s="105"/>
      <c r="BC99" s="105"/>
    </row>
    <row r="100" spans="1:55" x14ac:dyDescent="0.15">
      <c r="A100" s="221">
        <v>178</v>
      </c>
      <c r="B100" s="98" t="e">
        <f>VLOOKUP($A100,#REF!,84,FALSE)</f>
        <v>#REF!</v>
      </c>
      <c r="C100" s="98" t="e">
        <f>VLOOKUP($A100,#REF!,85,FALSE)</f>
        <v>#REF!</v>
      </c>
      <c r="D100" s="98" t="e">
        <f>VLOOKUP($A100,#REF!,5,FALSE)</f>
        <v>#REF!</v>
      </c>
      <c r="E100" s="98" t="e">
        <f>VLOOKUP($A100,#REF!,6,FALSE)</f>
        <v>#REF!</v>
      </c>
      <c r="F100" s="105" t="e">
        <f>VLOOKUP($A100,#REF!,34,FALSE)</f>
        <v>#REF!</v>
      </c>
      <c r="G100" s="105" t="e">
        <f>VLOOKUP($A100,#REF!,29,FALSE)</f>
        <v>#REF!</v>
      </c>
      <c r="H100" s="105" t="e">
        <f>VLOOKUP(A100,#REF!,35,FALSE)+VLOOKUP(A100,#REF!,41,FALSE)</f>
        <v>#REF!</v>
      </c>
      <c r="I100" s="105" t="e">
        <f t="shared" si="23"/>
        <v>#REF!</v>
      </c>
      <c r="J100" s="105" t="e">
        <f>VLOOKUP(A100,#REF!,42,FALSE)</f>
        <v>#REF!</v>
      </c>
      <c r="K100" s="105" t="e">
        <f t="shared" si="24"/>
        <v>#REF!</v>
      </c>
      <c r="L100" s="164" t="e">
        <f t="shared" si="19"/>
        <v>#REF!</v>
      </c>
      <c r="M100" s="105" t="e">
        <f t="shared" si="25"/>
        <v>#REF!</v>
      </c>
      <c r="N100" s="105" t="e">
        <f>VLOOKUP(A100,#REF!,46,FALSE)</f>
        <v>#REF!</v>
      </c>
      <c r="O100" s="106" t="e">
        <f>VLOOKUP(A100,#REF!,9,FALSE)</f>
        <v>#REF!</v>
      </c>
      <c r="P100" s="114" t="e">
        <f>#REF!</f>
        <v>#REF!</v>
      </c>
      <c r="Q100" s="114" t="e">
        <f>VLOOKUP(A100,#REF!,12,FALSE)</f>
        <v>#REF!</v>
      </c>
      <c r="R100" s="120" t="e">
        <f>#REF!</f>
        <v>#REF!</v>
      </c>
      <c r="S100" s="106" t="e">
        <f>IF(Q100=0,#REF!,ROUND(Q100*R100,4))</f>
        <v>#REF!</v>
      </c>
      <c r="T100" s="121" t="e">
        <f>VLOOKUP($A100,#REF!,15,FALSE)</f>
        <v>#REF!</v>
      </c>
      <c r="U100" s="121" t="e">
        <f>VLOOKUP($A100,#REF!,19,FALSE)</f>
        <v>#REF!</v>
      </c>
      <c r="V100" s="109" t="e">
        <f t="shared" si="26"/>
        <v>#REF!</v>
      </c>
      <c r="W100" s="109" t="e">
        <f t="shared" si="27"/>
        <v>#REF!</v>
      </c>
      <c r="X100" s="105" t="e">
        <f t="shared" si="28"/>
        <v>#REF!</v>
      </c>
      <c r="Y100" s="113" t="e">
        <f t="shared" si="29"/>
        <v>#REF!</v>
      </c>
      <c r="Z100" s="109" t="e">
        <f t="shared" si="30"/>
        <v>#REF!</v>
      </c>
      <c r="AA100" s="113" t="e">
        <f t="shared" si="31"/>
        <v>#REF!</v>
      </c>
      <c r="AB100" s="109" t="e">
        <f t="shared" si="32"/>
        <v>#REF!</v>
      </c>
      <c r="AC100" s="113" t="e">
        <f t="shared" si="33"/>
        <v>#REF!</v>
      </c>
      <c r="AD100" s="105" t="e">
        <f t="shared" si="34"/>
        <v>#REF!</v>
      </c>
      <c r="AE100" s="105" t="e">
        <f t="shared" si="20"/>
        <v>#REF!</v>
      </c>
      <c r="AF100" s="105" t="e">
        <f t="shared" si="21"/>
        <v>#REF!</v>
      </c>
      <c r="AG100" s="105" t="e">
        <f t="shared" si="22"/>
        <v>#REF!</v>
      </c>
      <c r="AH100" s="111" t="e">
        <f>VLOOKUP($A100,#REF!,5,FALSE)</f>
        <v>#REF!</v>
      </c>
      <c r="AI100" s="111" t="e">
        <f>VLOOKUP($A100,#REF!,6,FALSE)</f>
        <v>#REF!</v>
      </c>
      <c r="AJ100" s="109" t="e">
        <f t="shared" si="35"/>
        <v>#REF!</v>
      </c>
      <c r="AK100" s="109" t="e">
        <f t="shared" si="36"/>
        <v>#REF!</v>
      </c>
      <c r="AL100" s="109"/>
      <c r="AM100" s="105"/>
      <c r="AN100" s="105"/>
      <c r="AO100" s="109"/>
      <c r="AP100" s="110"/>
      <c r="AQ100" s="110"/>
      <c r="AR100" s="110"/>
      <c r="AS100" s="110"/>
      <c r="AT100" s="110"/>
      <c r="AU100" s="112"/>
      <c r="AV100" s="112"/>
      <c r="AW100" s="110"/>
      <c r="AX100" s="105"/>
      <c r="AY100" s="105"/>
      <c r="AZ100" s="105"/>
      <c r="BA100" s="105"/>
      <c r="BB100" s="105"/>
      <c r="BC100" s="105"/>
    </row>
    <row r="101" spans="1:55" x14ac:dyDescent="0.15">
      <c r="A101" s="221">
        <v>1366</v>
      </c>
      <c r="B101" s="98" t="e">
        <f>VLOOKUP($A101,#REF!,84,FALSE)</f>
        <v>#REF!</v>
      </c>
      <c r="C101" s="98" t="e">
        <f>VLOOKUP($A101,#REF!,85,FALSE)</f>
        <v>#REF!</v>
      </c>
      <c r="D101" s="98" t="e">
        <f>VLOOKUP($A101,#REF!,5,FALSE)</f>
        <v>#REF!</v>
      </c>
      <c r="E101" s="98" t="e">
        <f>VLOOKUP($A101,#REF!,6,FALSE)</f>
        <v>#REF!</v>
      </c>
      <c r="F101" s="105" t="e">
        <f>VLOOKUP($A101,#REF!,34,FALSE)</f>
        <v>#REF!</v>
      </c>
      <c r="G101" s="105" t="e">
        <f>VLOOKUP($A101,#REF!,29,FALSE)</f>
        <v>#REF!</v>
      </c>
      <c r="H101" s="105" t="e">
        <f>VLOOKUP(A101,#REF!,35,FALSE)+VLOOKUP(A101,#REF!,41,FALSE)</f>
        <v>#REF!</v>
      </c>
      <c r="I101" s="105" t="e">
        <f t="shared" si="23"/>
        <v>#REF!</v>
      </c>
      <c r="J101" s="105" t="e">
        <f>VLOOKUP(A101,#REF!,42,FALSE)</f>
        <v>#REF!</v>
      </c>
      <c r="K101" s="105" t="e">
        <f t="shared" si="24"/>
        <v>#REF!</v>
      </c>
      <c r="L101" s="164" t="e">
        <f t="shared" si="19"/>
        <v>#REF!</v>
      </c>
      <c r="M101" s="105" t="e">
        <f t="shared" si="25"/>
        <v>#REF!</v>
      </c>
      <c r="N101" s="105" t="e">
        <f>VLOOKUP(A101,#REF!,46,FALSE)</f>
        <v>#REF!</v>
      </c>
      <c r="O101" s="106" t="e">
        <f>VLOOKUP(A101,#REF!,9,FALSE)</f>
        <v>#REF!</v>
      </c>
      <c r="P101" s="114" t="e">
        <f>#REF!</f>
        <v>#REF!</v>
      </c>
      <c r="Q101" s="114" t="e">
        <f>VLOOKUP(A101,#REF!,12,FALSE)</f>
        <v>#REF!</v>
      </c>
      <c r="R101" s="120" t="e">
        <f>#REF!</f>
        <v>#REF!</v>
      </c>
      <c r="S101" s="106" t="e">
        <f>IF(Q101=0,#REF!,ROUND(Q101*R101,4))</f>
        <v>#REF!</v>
      </c>
      <c r="T101" s="121" t="e">
        <f>VLOOKUP($A101,#REF!,15,FALSE)</f>
        <v>#REF!</v>
      </c>
      <c r="U101" s="121" t="e">
        <f>VLOOKUP($A101,#REF!,19,FALSE)</f>
        <v>#REF!</v>
      </c>
      <c r="V101" s="109" t="e">
        <f t="shared" si="26"/>
        <v>#REF!</v>
      </c>
      <c r="W101" s="109" t="e">
        <f t="shared" si="27"/>
        <v>#REF!</v>
      </c>
      <c r="X101" s="105" t="e">
        <f t="shared" si="28"/>
        <v>#REF!</v>
      </c>
      <c r="Y101" s="113" t="e">
        <f t="shared" si="29"/>
        <v>#REF!</v>
      </c>
      <c r="Z101" s="109" t="e">
        <f t="shared" si="30"/>
        <v>#REF!</v>
      </c>
      <c r="AA101" s="113" t="e">
        <f t="shared" si="31"/>
        <v>#REF!</v>
      </c>
      <c r="AB101" s="109" t="e">
        <f t="shared" si="32"/>
        <v>#REF!</v>
      </c>
      <c r="AC101" s="113" t="e">
        <f t="shared" si="33"/>
        <v>#REF!</v>
      </c>
      <c r="AD101" s="105" t="e">
        <f t="shared" si="34"/>
        <v>#REF!</v>
      </c>
      <c r="AE101" s="105" t="e">
        <f t="shared" si="20"/>
        <v>#REF!</v>
      </c>
      <c r="AF101" s="105" t="e">
        <f t="shared" si="21"/>
        <v>#REF!</v>
      </c>
      <c r="AG101" s="105" t="e">
        <f t="shared" si="22"/>
        <v>#REF!</v>
      </c>
      <c r="AH101" s="111" t="e">
        <f>VLOOKUP($A101,#REF!,5,FALSE)</f>
        <v>#REF!</v>
      </c>
      <c r="AI101" s="111" t="e">
        <f>VLOOKUP($A101,#REF!,6,FALSE)</f>
        <v>#REF!</v>
      </c>
      <c r="AJ101" s="109" t="e">
        <f t="shared" si="35"/>
        <v>#REF!</v>
      </c>
      <c r="AK101" s="109" t="e">
        <f t="shared" si="36"/>
        <v>#REF!</v>
      </c>
      <c r="AL101" s="109"/>
      <c r="AM101" s="105"/>
      <c r="AN101" s="105"/>
      <c r="AO101" s="109"/>
      <c r="AP101" s="110"/>
      <c r="AQ101" s="110"/>
      <c r="AR101" s="110"/>
      <c r="AS101" s="110"/>
      <c r="AT101" s="110"/>
      <c r="AU101" s="112"/>
      <c r="AV101" s="112"/>
      <c r="AW101" s="110"/>
      <c r="AX101" s="105"/>
      <c r="AY101" s="105"/>
      <c r="AZ101" s="105"/>
      <c r="BA101" s="105"/>
      <c r="BB101" s="105"/>
      <c r="BC101" s="105"/>
    </row>
    <row r="102" spans="1:55" x14ac:dyDescent="0.15">
      <c r="A102" s="221">
        <v>723</v>
      </c>
      <c r="B102" s="98" t="e">
        <f>VLOOKUP($A102,#REF!,84,FALSE)</f>
        <v>#REF!</v>
      </c>
      <c r="C102" s="98" t="e">
        <f>VLOOKUP($A102,#REF!,85,FALSE)</f>
        <v>#REF!</v>
      </c>
      <c r="D102" s="98" t="e">
        <f>VLOOKUP($A102,#REF!,5,FALSE)</f>
        <v>#REF!</v>
      </c>
      <c r="E102" s="98" t="e">
        <f>VLOOKUP($A102,#REF!,6,FALSE)</f>
        <v>#REF!</v>
      </c>
      <c r="F102" s="105" t="e">
        <f>VLOOKUP($A102,#REF!,34,FALSE)</f>
        <v>#REF!</v>
      </c>
      <c r="G102" s="105" t="e">
        <f>VLOOKUP($A102,#REF!,29,FALSE)</f>
        <v>#REF!</v>
      </c>
      <c r="H102" s="105" t="e">
        <f>VLOOKUP(A102,#REF!,35,FALSE)+VLOOKUP(A102,#REF!,41,FALSE)</f>
        <v>#REF!</v>
      </c>
      <c r="I102" s="105" t="e">
        <f t="shared" si="23"/>
        <v>#REF!</v>
      </c>
      <c r="J102" s="105" t="e">
        <f>VLOOKUP(A102,#REF!,42,FALSE)</f>
        <v>#REF!</v>
      </c>
      <c r="K102" s="105" t="e">
        <f t="shared" si="24"/>
        <v>#REF!</v>
      </c>
      <c r="L102" s="164" t="e">
        <f t="shared" si="19"/>
        <v>#REF!</v>
      </c>
      <c r="M102" s="105" t="e">
        <f t="shared" si="25"/>
        <v>#REF!</v>
      </c>
      <c r="N102" s="105" t="e">
        <f>VLOOKUP(A102,#REF!,46,FALSE)</f>
        <v>#REF!</v>
      </c>
      <c r="O102" s="106" t="e">
        <f>VLOOKUP(A102,#REF!,9,FALSE)</f>
        <v>#REF!</v>
      </c>
      <c r="P102" s="114" t="e">
        <f>#REF!</f>
        <v>#REF!</v>
      </c>
      <c r="Q102" s="114" t="e">
        <f>VLOOKUP(A102,#REF!,12,FALSE)</f>
        <v>#REF!</v>
      </c>
      <c r="R102" s="120" t="e">
        <f>#REF!</f>
        <v>#REF!</v>
      </c>
      <c r="S102" s="106" t="e">
        <f>IF(Q102=0,#REF!,ROUND(Q102*R102,4))</f>
        <v>#REF!</v>
      </c>
      <c r="T102" s="121" t="e">
        <f>VLOOKUP($A102,#REF!,15,FALSE)</f>
        <v>#REF!</v>
      </c>
      <c r="U102" s="121" t="e">
        <f>VLOOKUP($A102,#REF!,19,FALSE)</f>
        <v>#REF!</v>
      </c>
      <c r="V102" s="109" t="e">
        <f t="shared" si="26"/>
        <v>#REF!</v>
      </c>
      <c r="W102" s="109" t="e">
        <f t="shared" si="27"/>
        <v>#REF!</v>
      </c>
      <c r="X102" s="105" t="e">
        <f t="shared" si="28"/>
        <v>#REF!</v>
      </c>
      <c r="Y102" s="113" t="e">
        <f t="shared" si="29"/>
        <v>#REF!</v>
      </c>
      <c r="Z102" s="109" t="e">
        <f t="shared" si="30"/>
        <v>#REF!</v>
      </c>
      <c r="AA102" s="113" t="e">
        <f t="shared" si="31"/>
        <v>#REF!</v>
      </c>
      <c r="AB102" s="109" t="e">
        <f t="shared" si="32"/>
        <v>#REF!</v>
      </c>
      <c r="AC102" s="113" t="e">
        <f t="shared" si="33"/>
        <v>#REF!</v>
      </c>
      <c r="AD102" s="105" t="e">
        <f t="shared" si="34"/>
        <v>#REF!</v>
      </c>
      <c r="AE102" s="105" t="e">
        <f t="shared" si="20"/>
        <v>#REF!</v>
      </c>
      <c r="AF102" s="105" t="e">
        <f t="shared" si="21"/>
        <v>#REF!</v>
      </c>
      <c r="AG102" s="105" t="e">
        <f t="shared" si="22"/>
        <v>#REF!</v>
      </c>
      <c r="AH102" s="111" t="e">
        <f>VLOOKUP($A102,#REF!,5,FALSE)</f>
        <v>#REF!</v>
      </c>
      <c r="AI102" s="111" t="e">
        <f>VLOOKUP($A102,#REF!,6,FALSE)</f>
        <v>#REF!</v>
      </c>
      <c r="AJ102" s="109" t="e">
        <f t="shared" si="35"/>
        <v>#REF!</v>
      </c>
      <c r="AK102" s="109" t="e">
        <f t="shared" si="36"/>
        <v>#REF!</v>
      </c>
      <c r="AL102" s="109"/>
      <c r="AM102" s="105"/>
      <c r="AN102" s="105"/>
      <c r="AO102" s="109"/>
      <c r="AP102" s="110"/>
      <c r="AQ102" s="110"/>
      <c r="AR102" s="110"/>
      <c r="AS102" s="110"/>
      <c r="AT102" s="110"/>
      <c r="AU102" s="112"/>
      <c r="AV102" s="112"/>
      <c r="AW102" s="110"/>
      <c r="AX102" s="105"/>
      <c r="AY102" s="105"/>
      <c r="AZ102" s="105"/>
      <c r="BA102" s="105"/>
      <c r="BB102" s="105"/>
      <c r="BC102" s="105"/>
    </row>
    <row r="103" spans="1:55" x14ac:dyDescent="0.15">
      <c r="A103" s="221">
        <v>182</v>
      </c>
      <c r="B103" s="98" t="e">
        <f>VLOOKUP($A103,#REF!,84,FALSE)</f>
        <v>#REF!</v>
      </c>
      <c r="C103" s="98" t="e">
        <f>VLOOKUP($A103,#REF!,85,FALSE)</f>
        <v>#REF!</v>
      </c>
      <c r="D103" s="98" t="e">
        <f>VLOOKUP($A103,#REF!,5,FALSE)</f>
        <v>#REF!</v>
      </c>
      <c r="E103" s="98" t="e">
        <f>VLOOKUP($A103,#REF!,6,FALSE)</f>
        <v>#REF!</v>
      </c>
      <c r="F103" s="105" t="e">
        <f>VLOOKUP($A103,#REF!,34,FALSE)</f>
        <v>#REF!</v>
      </c>
      <c r="G103" s="105" t="e">
        <f>VLOOKUP($A103,#REF!,29,FALSE)</f>
        <v>#REF!</v>
      </c>
      <c r="H103" s="105" t="e">
        <f>VLOOKUP(A103,#REF!,35,FALSE)+VLOOKUP(A103,#REF!,41,FALSE)</f>
        <v>#REF!</v>
      </c>
      <c r="I103" s="105" t="e">
        <f t="shared" si="23"/>
        <v>#REF!</v>
      </c>
      <c r="J103" s="105" t="e">
        <f>VLOOKUP(A103,#REF!,42,FALSE)</f>
        <v>#REF!</v>
      </c>
      <c r="K103" s="105" t="e">
        <f t="shared" si="24"/>
        <v>#REF!</v>
      </c>
      <c r="L103" s="164" t="e">
        <f t="shared" si="19"/>
        <v>#REF!</v>
      </c>
      <c r="M103" s="105" t="e">
        <f t="shared" si="25"/>
        <v>#REF!</v>
      </c>
      <c r="N103" s="105" t="e">
        <f>VLOOKUP(A103,#REF!,46,FALSE)</f>
        <v>#REF!</v>
      </c>
      <c r="O103" s="106" t="e">
        <f>VLOOKUP(A103,#REF!,9,FALSE)</f>
        <v>#REF!</v>
      </c>
      <c r="P103" s="114" t="e">
        <f>#REF!</f>
        <v>#REF!</v>
      </c>
      <c r="Q103" s="114" t="e">
        <f>VLOOKUP(A103,#REF!,12,FALSE)</f>
        <v>#REF!</v>
      </c>
      <c r="R103" s="120" t="e">
        <f>#REF!</f>
        <v>#REF!</v>
      </c>
      <c r="S103" s="106" t="e">
        <f>IF(Q103=0,#REF!,ROUND(Q103*R103,4))</f>
        <v>#REF!</v>
      </c>
      <c r="T103" s="121" t="e">
        <f>VLOOKUP($A103,#REF!,15,FALSE)</f>
        <v>#REF!</v>
      </c>
      <c r="U103" s="121" t="e">
        <f>VLOOKUP($A103,#REF!,19,FALSE)</f>
        <v>#REF!</v>
      </c>
      <c r="V103" s="109" t="e">
        <f t="shared" si="26"/>
        <v>#REF!</v>
      </c>
      <c r="W103" s="109" t="e">
        <f t="shared" si="27"/>
        <v>#REF!</v>
      </c>
      <c r="X103" s="105" t="e">
        <f t="shared" si="28"/>
        <v>#REF!</v>
      </c>
      <c r="Y103" s="113" t="e">
        <f t="shared" si="29"/>
        <v>#REF!</v>
      </c>
      <c r="Z103" s="109" t="e">
        <f t="shared" si="30"/>
        <v>#REF!</v>
      </c>
      <c r="AA103" s="113" t="e">
        <f t="shared" si="31"/>
        <v>#REF!</v>
      </c>
      <c r="AB103" s="109" t="e">
        <f t="shared" si="32"/>
        <v>#REF!</v>
      </c>
      <c r="AC103" s="113" t="e">
        <f t="shared" si="33"/>
        <v>#REF!</v>
      </c>
      <c r="AD103" s="105" t="e">
        <f t="shared" si="34"/>
        <v>#REF!</v>
      </c>
      <c r="AE103" s="105" t="e">
        <f t="shared" si="20"/>
        <v>#REF!</v>
      </c>
      <c r="AF103" s="105" t="e">
        <f t="shared" si="21"/>
        <v>#REF!</v>
      </c>
      <c r="AG103" s="105" t="e">
        <f t="shared" si="22"/>
        <v>#REF!</v>
      </c>
      <c r="AH103" s="111" t="e">
        <f>VLOOKUP($A103,#REF!,5,FALSE)</f>
        <v>#REF!</v>
      </c>
      <c r="AI103" s="111" t="e">
        <f>VLOOKUP($A103,#REF!,6,FALSE)</f>
        <v>#REF!</v>
      </c>
      <c r="AJ103" s="109" t="e">
        <f t="shared" si="35"/>
        <v>#REF!</v>
      </c>
      <c r="AK103" s="109" t="e">
        <f t="shared" si="36"/>
        <v>#REF!</v>
      </c>
      <c r="AL103" s="109"/>
      <c r="AM103" s="105"/>
      <c r="AN103" s="105"/>
      <c r="AO103" s="109"/>
      <c r="AP103" s="110"/>
      <c r="AQ103" s="110"/>
      <c r="AR103" s="110"/>
      <c r="AS103" s="110"/>
      <c r="AT103" s="110"/>
      <c r="AU103" s="112"/>
      <c r="AV103" s="112"/>
      <c r="AW103" s="110"/>
      <c r="AX103" s="105"/>
      <c r="AY103" s="105"/>
      <c r="AZ103" s="105"/>
      <c r="BA103" s="105"/>
      <c r="BB103" s="105"/>
      <c r="BC103" s="105"/>
    </row>
    <row r="104" spans="1:55" x14ac:dyDescent="0.15">
      <c r="A104" s="221">
        <v>184</v>
      </c>
      <c r="B104" s="98" t="e">
        <f>VLOOKUP($A104,#REF!,84,FALSE)</f>
        <v>#REF!</v>
      </c>
      <c r="C104" s="98" t="e">
        <f>VLOOKUP($A104,#REF!,85,FALSE)</f>
        <v>#REF!</v>
      </c>
      <c r="D104" s="98" t="e">
        <f>VLOOKUP($A104,#REF!,5,FALSE)</f>
        <v>#REF!</v>
      </c>
      <c r="E104" s="98" t="e">
        <f>VLOOKUP($A104,#REF!,6,FALSE)</f>
        <v>#REF!</v>
      </c>
      <c r="F104" s="105" t="e">
        <f>VLOOKUP($A104,#REF!,34,FALSE)</f>
        <v>#REF!</v>
      </c>
      <c r="G104" s="105" t="e">
        <f>VLOOKUP($A104,#REF!,29,FALSE)</f>
        <v>#REF!</v>
      </c>
      <c r="H104" s="105" t="e">
        <f>VLOOKUP(A104,#REF!,35,FALSE)+VLOOKUP(A104,#REF!,41,FALSE)</f>
        <v>#REF!</v>
      </c>
      <c r="I104" s="105" t="e">
        <f t="shared" si="23"/>
        <v>#REF!</v>
      </c>
      <c r="J104" s="105" t="e">
        <f>VLOOKUP(A104,#REF!,42,FALSE)</f>
        <v>#REF!</v>
      </c>
      <c r="K104" s="105" t="e">
        <f t="shared" si="24"/>
        <v>#REF!</v>
      </c>
      <c r="L104" s="164" t="e">
        <f t="shared" si="19"/>
        <v>#REF!</v>
      </c>
      <c r="M104" s="105" t="e">
        <f t="shared" si="25"/>
        <v>#REF!</v>
      </c>
      <c r="N104" s="105" t="e">
        <f>VLOOKUP(A104,#REF!,46,FALSE)</f>
        <v>#REF!</v>
      </c>
      <c r="O104" s="106" t="e">
        <f>VLOOKUP(A104,#REF!,9,FALSE)</f>
        <v>#REF!</v>
      </c>
      <c r="P104" s="114" t="e">
        <f>#REF!</f>
        <v>#REF!</v>
      </c>
      <c r="Q104" s="114" t="e">
        <f>VLOOKUP(A104,#REF!,12,FALSE)</f>
        <v>#REF!</v>
      </c>
      <c r="R104" s="120" t="e">
        <f>#REF!</f>
        <v>#REF!</v>
      </c>
      <c r="S104" s="106" t="e">
        <f>IF(Q104=0,#REF!,ROUND(Q104*R104,4))</f>
        <v>#REF!</v>
      </c>
      <c r="T104" s="121" t="e">
        <f>VLOOKUP($A104,#REF!,15,FALSE)</f>
        <v>#REF!</v>
      </c>
      <c r="U104" s="121" t="e">
        <f>VLOOKUP($A104,#REF!,19,FALSE)</f>
        <v>#REF!</v>
      </c>
      <c r="V104" s="109" t="e">
        <f t="shared" si="26"/>
        <v>#REF!</v>
      </c>
      <c r="W104" s="109" t="e">
        <f t="shared" si="27"/>
        <v>#REF!</v>
      </c>
      <c r="X104" s="105" t="e">
        <f t="shared" si="28"/>
        <v>#REF!</v>
      </c>
      <c r="Y104" s="113" t="e">
        <f t="shared" si="29"/>
        <v>#REF!</v>
      </c>
      <c r="Z104" s="109" t="e">
        <f t="shared" si="30"/>
        <v>#REF!</v>
      </c>
      <c r="AA104" s="113" t="e">
        <f t="shared" si="31"/>
        <v>#REF!</v>
      </c>
      <c r="AB104" s="109" t="e">
        <f t="shared" si="32"/>
        <v>#REF!</v>
      </c>
      <c r="AC104" s="113" t="e">
        <f t="shared" si="33"/>
        <v>#REF!</v>
      </c>
      <c r="AD104" s="105" t="e">
        <f t="shared" si="34"/>
        <v>#REF!</v>
      </c>
      <c r="AE104" s="105" t="e">
        <f t="shared" si="20"/>
        <v>#REF!</v>
      </c>
      <c r="AF104" s="105" t="e">
        <f t="shared" si="21"/>
        <v>#REF!</v>
      </c>
      <c r="AG104" s="105" t="e">
        <f t="shared" si="22"/>
        <v>#REF!</v>
      </c>
      <c r="AH104" s="111" t="e">
        <f>VLOOKUP($A104,#REF!,5,FALSE)</f>
        <v>#REF!</v>
      </c>
      <c r="AI104" s="111" t="e">
        <f>VLOOKUP($A104,#REF!,6,FALSE)</f>
        <v>#REF!</v>
      </c>
      <c r="AJ104" s="109" t="e">
        <f t="shared" si="35"/>
        <v>#REF!</v>
      </c>
      <c r="AK104" s="109" t="e">
        <f t="shared" si="36"/>
        <v>#REF!</v>
      </c>
      <c r="AL104" s="109"/>
      <c r="AM104" s="105"/>
      <c r="AN104" s="105"/>
      <c r="AO104" s="109"/>
      <c r="AP104" s="110"/>
      <c r="AQ104" s="110"/>
      <c r="AR104" s="110"/>
      <c r="AS104" s="110"/>
      <c r="AT104" s="110"/>
      <c r="AU104" s="112"/>
      <c r="AV104" s="112"/>
      <c r="AW104" s="110"/>
      <c r="AX104" s="105"/>
      <c r="AY104" s="105"/>
      <c r="AZ104" s="105"/>
      <c r="BA104" s="105"/>
      <c r="BB104" s="105"/>
      <c r="BC104" s="105"/>
    </row>
    <row r="105" spans="1:55" x14ac:dyDescent="0.15">
      <c r="A105" s="221">
        <v>220</v>
      </c>
      <c r="B105" s="98" t="e">
        <f>VLOOKUP($A105,#REF!,84,FALSE)</f>
        <v>#REF!</v>
      </c>
      <c r="C105" s="98" t="e">
        <f>VLOOKUP($A105,#REF!,85,FALSE)</f>
        <v>#REF!</v>
      </c>
      <c r="D105" s="98" t="e">
        <f>VLOOKUP($A105,#REF!,5,FALSE)</f>
        <v>#REF!</v>
      </c>
      <c r="E105" s="98" t="e">
        <f>VLOOKUP($A105,#REF!,6,FALSE)</f>
        <v>#REF!</v>
      </c>
      <c r="F105" s="105" t="e">
        <f>VLOOKUP($A105,#REF!,34,FALSE)</f>
        <v>#REF!</v>
      </c>
      <c r="G105" s="105" t="e">
        <f>VLOOKUP($A105,#REF!,29,FALSE)</f>
        <v>#REF!</v>
      </c>
      <c r="H105" s="105" t="e">
        <f>VLOOKUP(A105,#REF!,35,FALSE)+VLOOKUP(A105,#REF!,41,FALSE)</f>
        <v>#REF!</v>
      </c>
      <c r="I105" s="105" t="e">
        <f t="shared" si="23"/>
        <v>#REF!</v>
      </c>
      <c r="J105" s="105" t="e">
        <f>VLOOKUP(A105,#REF!,42,FALSE)</f>
        <v>#REF!</v>
      </c>
      <c r="K105" s="105" t="e">
        <f t="shared" si="24"/>
        <v>#REF!</v>
      </c>
      <c r="L105" s="164" t="e">
        <f t="shared" si="19"/>
        <v>#REF!</v>
      </c>
      <c r="M105" s="105" t="e">
        <f t="shared" si="25"/>
        <v>#REF!</v>
      </c>
      <c r="N105" s="105" t="e">
        <f>VLOOKUP(A105,#REF!,46,FALSE)</f>
        <v>#REF!</v>
      </c>
      <c r="O105" s="106" t="e">
        <f>VLOOKUP(A105,#REF!,9,FALSE)</f>
        <v>#REF!</v>
      </c>
      <c r="P105" s="114" t="e">
        <f>#REF!</f>
        <v>#REF!</v>
      </c>
      <c r="Q105" s="114" t="e">
        <f>VLOOKUP(A105,#REF!,12,FALSE)</f>
        <v>#REF!</v>
      </c>
      <c r="R105" s="120" t="e">
        <f>#REF!</f>
        <v>#REF!</v>
      </c>
      <c r="S105" s="106" t="e">
        <f>IF(Q105=0,#REF!,ROUND(Q105*R105,4))</f>
        <v>#REF!</v>
      </c>
      <c r="T105" s="121" t="e">
        <f>VLOOKUP($A105,#REF!,15,FALSE)</f>
        <v>#REF!</v>
      </c>
      <c r="U105" s="121" t="e">
        <f>VLOOKUP($A105,#REF!,19,FALSE)</f>
        <v>#REF!</v>
      </c>
      <c r="V105" s="109" t="e">
        <f t="shared" si="26"/>
        <v>#REF!</v>
      </c>
      <c r="W105" s="109" t="e">
        <f t="shared" si="27"/>
        <v>#REF!</v>
      </c>
      <c r="X105" s="105" t="e">
        <f t="shared" si="28"/>
        <v>#REF!</v>
      </c>
      <c r="Y105" s="113" t="e">
        <f t="shared" si="29"/>
        <v>#REF!</v>
      </c>
      <c r="Z105" s="109" t="e">
        <f t="shared" si="30"/>
        <v>#REF!</v>
      </c>
      <c r="AA105" s="113" t="e">
        <f t="shared" si="31"/>
        <v>#REF!</v>
      </c>
      <c r="AB105" s="109" t="e">
        <f t="shared" si="32"/>
        <v>#REF!</v>
      </c>
      <c r="AC105" s="113" t="e">
        <f t="shared" si="33"/>
        <v>#REF!</v>
      </c>
      <c r="AD105" s="105" t="e">
        <f t="shared" si="34"/>
        <v>#REF!</v>
      </c>
      <c r="AE105" s="105" t="e">
        <f t="shared" si="20"/>
        <v>#REF!</v>
      </c>
      <c r="AF105" s="105" t="e">
        <f t="shared" si="21"/>
        <v>#REF!</v>
      </c>
      <c r="AG105" s="105" t="e">
        <f t="shared" si="22"/>
        <v>#REF!</v>
      </c>
      <c r="AH105" s="111" t="e">
        <f>VLOOKUP($A105,#REF!,5,FALSE)</f>
        <v>#REF!</v>
      </c>
      <c r="AI105" s="111" t="e">
        <f>VLOOKUP($A105,#REF!,6,FALSE)</f>
        <v>#REF!</v>
      </c>
      <c r="AJ105" s="109" t="e">
        <f t="shared" si="35"/>
        <v>#REF!</v>
      </c>
      <c r="AK105" s="109" t="e">
        <f t="shared" si="36"/>
        <v>#REF!</v>
      </c>
      <c r="AL105" s="109"/>
      <c r="AM105" s="105"/>
      <c r="AN105" s="105"/>
      <c r="AO105" s="109"/>
      <c r="AP105" s="110"/>
      <c r="AQ105" s="110"/>
      <c r="AR105" s="110"/>
      <c r="AS105" s="110"/>
      <c r="AT105" s="110"/>
      <c r="AU105" s="112"/>
      <c r="AV105" s="112"/>
      <c r="AW105" s="110"/>
      <c r="AX105" s="105"/>
      <c r="AY105" s="105"/>
      <c r="AZ105" s="105"/>
      <c r="BA105" s="105"/>
      <c r="BB105" s="105"/>
      <c r="BC105" s="105"/>
    </row>
    <row r="106" spans="1:55" x14ac:dyDescent="0.15">
      <c r="A106" s="221">
        <v>250</v>
      </c>
      <c r="B106" s="98" t="e">
        <f>VLOOKUP($A106,#REF!,84,FALSE)</f>
        <v>#REF!</v>
      </c>
      <c r="C106" s="98" t="e">
        <f>VLOOKUP($A106,#REF!,85,FALSE)</f>
        <v>#REF!</v>
      </c>
      <c r="D106" s="98" t="e">
        <f>VLOOKUP($A106,#REF!,5,FALSE)</f>
        <v>#REF!</v>
      </c>
      <c r="E106" s="98" t="e">
        <f>VLOOKUP($A106,#REF!,6,FALSE)</f>
        <v>#REF!</v>
      </c>
      <c r="F106" s="105" t="e">
        <f>VLOOKUP($A106,#REF!,34,FALSE)</f>
        <v>#REF!</v>
      </c>
      <c r="G106" s="105" t="e">
        <f>VLOOKUP($A106,#REF!,29,FALSE)</f>
        <v>#REF!</v>
      </c>
      <c r="H106" s="105" t="e">
        <f>VLOOKUP(A106,#REF!,35,FALSE)+VLOOKUP(A106,#REF!,41,FALSE)</f>
        <v>#REF!</v>
      </c>
      <c r="I106" s="105" t="e">
        <f t="shared" si="23"/>
        <v>#REF!</v>
      </c>
      <c r="J106" s="105" t="e">
        <f>VLOOKUP(A106,#REF!,42,FALSE)</f>
        <v>#REF!</v>
      </c>
      <c r="K106" s="105" t="e">
        <f t="shared" si="24"/>
        <v>#REF!</v>
      </c>
      <c r="L106" s="164" t="e">
        <f t="shared" si="19"/>
        <v>#REF!</v>
      </c>
      <c r="M106" s="105" t="e">
        <f t="shared" si="25"/>
        <v>#REF!</v>
      </c>
      <c r="N106" s="105" t="e">
        <f>VLOOKUP(A106,#REF!,46,FALSE)</f>
        <v>#REF!</v>
      </c>
      <c r="O106" s="106" t="e">
        <f>VLOOKUP(A106,#REF!,9,FALSE)</f>
        <v>#REF!</v>
      </c>
      <c r="P106" s="114" t="e">
        <f>#REF!</f>
        <v>#REF!</v>
      </c>
      <c r="Q106" s="114" t="e">
        <f>VLOOKUP(A106,#REF!,12,FALSE)</f>
        <v>#REF!</v>
      </c>
      <c r="R106" s="120" t="e">
        <f>#REF!</f>
        <v>#REF!</v>
      </c>
      <c r="S106" s="106" t="e">
        <f>IF(Q106=0,#REF!,ROUND(Q106*R106,4))</f>
        <v>#REF!</v>
      </c>
      <c r="T106" s="121" t="e">
        <f>VLOOKUP($A106,#REF!,15,FALSE)</f>
        <v>#REF!</v>
      </c>
      <c r="U106" s="121" t="e">
        <f>VLOOKUP($A106,#REF!,19,FALSE)</f>
        <v>#REF!</v>
      </c>
      <c r="V106" s="109" t="e">
        <f t="shared" si="26"/>
        <v>#REF!</v>
      </c>
      <c r="W106" s="109" t="e">
        <f t="shared" si="27"/>
        <v>#REF!</v>
      </c>
      <c r="X106" s="105" t="e">
        <f t="shared" si="28"/>
        <v>#REF!</v>
      </c>
      <c r="Y106" s="113" t="e">
        <f t="shared" si="29"/>
        <v>#REF!</v>
      </c>
      <c r="Z106" s="109" t="e">
        <f t="shared" si="30"/>
        <v>#REF!</v>
      </c>
      <c r="AA106" s="113" t="e">
        <f t="shared" si="31"/>
        <v>#REF!</v>
      </c>
      <c r="AB106" s="109" t="e">
        <f t="shared" si="32"/>
        <v>#REF!</v>
      </c>
      <c r="AC106" s="113" t="e">
        <f t="shared" si="33"/>
        <v>#REF!</v>
      </c>
      <c r="AD106" s="105" t="e">
        <f t="shared" si="34"/>
        <v>#REF!</v>
      </c>
      <c r="AE106" s="105" t="e">
        <f t="shared" si="20"/>
        <v>#REF!</v>
      </c>
      <c r="AF106" s="105" t="e">
        <f t="shared" si="21"/>
        <v>#REF!</v>
      </c>
      <c r="AG106" s="105" t="e">
        <f t="shared" si="22"/>
        <v>#REF!</v>
      </c>
      <c r="AH106" s="111" t="e">
        <f>VLOOKUP($A106,#REF!,5,FALSE)</f>
        <v>#REF!</v>
      </c>
      <c r="AI106" s="111" t="e">
        <f>VLOOKUP($A106,#REF!,6,FALSE)</f>
        <v>#REF!</v>
      </c>
      <c r="AJ106" s="109" t="e">
        <f t="shared" si="35"/>
        <v>#REF!</v>
      </c>
      <c r="AK106" s="109" t="e">
        <f t="shared" si="36"/>
        <v>#REF!</v>
      </c>
      <c r="AL106" s="109"/>
      <c r="AM106" s="105"/>
      <c r="AN106" s="105"/>
      <c r="AO106" s="109"/>
      <c r="AP106" s="110"/>
      <c r="AQ106" s="110"/>
      <c r="AR106" s="110"/>
      <c r="AS106" s="110"/>
      <c r="AT106" s="110"/>
      <c r="AU106" s="112"/>
      <c r="AV106" s="112"/>
      <c r="AW106" s="110"/>
      <c r="AX106" s="105"/>
      <c r="AY106" s="105"/>
      <c r="AZ106" s="105"/>
      <c r="BA106" s="105"/>
      <c r="BB106" s="105"/>
      <c r="BC106" s="105"/>
    </row>
    <row r="107" spans="1:55" x14ac:dyDescent="0.15">
      <c r="A107" s="221">
        <v>186</v>
      </c>
      <c r="B107" s="98" t="e">
        <f>VLOOKUP($A107,#REF!,84,FALSE)</f>
        <v>#REF!</v>
      </c>
      <c r="C107" s="98" t="e">
        <f>VLOOKUP($A107,#REF!,85,FALSE)</f>
        <v>#REF!</v>
      </c>
      <c r="D107" s="98" t="e">
        <f>VLOOKUP($A107,#REF!,5,FALSE)</f>
        <v>#REF!</v>
      </c>
      <c r="E107" s="98" t="e">
        <f>VLOOKUP($A107,#REF!,6,FALSE)</f>
        <v>#REF!</v>
      </c>
      <c r="F107" s="105" t="e">
        <f>VLOOKUP($A107,#REF!,34,FALSE)</f>
        <v>#REF!</v>
      </c>
      <c r="G107" s="105" t="e">
        <f>VLOOKUP($A107,#REF!,29,FALSE)</f>
        <v>#REF!</v>
      </c>
      <c r="H107" s="105" t="e">
        <f>VLOOKUP(A107,#REF!,35,FALSE)+VLOOKUP(A107,#REF!,41,FALSE)</f>
        <v>#REF!</v>
      </c>
      <c r="I107" s="105" t="e">
        <f t="shared" si="23"/>
        <v>#REF!</v>
      </c>
      <c r="J107" s="105" t="e">
        <f>VLOOKUP(A107,#REF!,42,FALSE)</f>
        <v>#REF!</v>
      </c>
      <c r="K107" s="105" t="e">
        <f t="shared" si="24"/>
        <v>#REF!</v>
      </c>
      <c r="L107" s="164" t="e">
        <f t="shared" si="19"/>
        <v>#REF!</v>
      </c>
      <c r="M107" s="105" t="e">
        <f t="shared" si="25"/>
        <v>#REF!</v>
      </c>
      <c r="N107" s="105" t="e">
        <f>VLOOKUP(A107,#REF!,46,FALSE)</f>
        <v>#REF!</v>
      </c>
      <c r="O107" s="106" t="e">
        <f>VLOOKUP(A107,#REF!,9,FALSE)</f>
        <v>#REF!</v>
      </c>
      <c r="P107" s="114" t="e">
        <f>#REF!</f>
        <v>#REF!</v>
      </c>
      <c r="Q107" s="114" t="e">
        <f>VLOOKUP(A107,#REF!,12,FALSE)</f>
        <v>#REF!</v>
      </c>
      <c r="R107" s="120" t="e">
        <f>#REF!</f>
        <v>#REF!</v>
      </c>
      <c r="S107" s="106" t="e">
        <f>IF(Q107=0,#REF!,ROUND(Q107*R107,4))</f>
        <v>#REF!</v>
      </c>
      <c r="T107" s="121" t="e">
        <f>VLOOKUP($A107,#REF!,15,FALSE)</f>
        <v>#REF!</v>
      </c>
      <c r="U107" s="121" t="e">
        <f>VLOOKUP($A107,#REF!,19,FALSE)</f>
        <v>#REF!</v>
      </c>
      <c r="V107" s="109" t="e">
        <f t="shared" si="26"/>
        <v>#REF!</v>
      </c>
      <c r="W107" s="109" t="e">
        <f t="shared" si="27"/>
        <v>#REF!</v>
      </c>
      <c r="X107" s="105" t="e">
        <f t="shared" si="28"/>
        <v>#REF!</v>
      </c>
      <c r="Y107" s="113" t="e">
        <f t="shared" si="29"/>
        <v>#REF!</v>
      </c>
      <c r="Z107" s="109" t="e">
        <f t="shared" si="30"/>
        <v>#REF!</v>
      </c>
      <c r="AA107" s="113" t="e">
        <f t="shared" si="31"/>
        <v>#REF!</v>
      </c>
      <c r="AB107" s="109" t="e">
        <f t="shared" si="32"/>
        <v>#REF!</v>
      </c>
      <c r="AC107" s="113" t="e">
        <f t="shared" si="33"/>
        <v>#REF!</v>
      </c>
      <c r="AD107" s="105" t="e">
        <f t="shared" si="34"/>
        <v>#REF!</v>
      </c>
      <c r="AE107" s="105" t="e">
        <f t="shared" si="20"/>
        <v>#REF!</v>
      </c>
      <c r="AF107" s="105" t="e">
        <f t="shared" si="21"/>
        <v>#REF!</v>
      </c>
      <c r="AG107" s="105" t="e">
        <f t="shared" si="22"/>
        <v>#REF!</v>
      </c>
      <c r="AH107" s="111" t="e">
        <f>VLOOKUP($A107,#REF!,5,FALSE)</f>
        <v>#REF!</v>
      </c>
      <c r="AI107" s="111" t="e">
        <f>VLOOKUP($A107,#REF!,6,FALSE)</f>
        <v>#REF!</v>
      </c>
      <c r="AJ107" s="109" t="e">
        <f t="shared" si="35"/>
        <v>#REF!</v>
      </c>
      <c r="AK107" s="109" t="e">
        <f t="shared" si="36"/>
        <v>#REF!</v>
      </c>
      <c r="AL107" s="109"/>
      <c r="AM107" s="105"/>
      <c r="AN107" s="105"/>
      <c r="AO107" s="109"/>
      <c r="AP107" s="110"/>
      <c r="AQ107" s="110"/>
      <c r="AR107" s="110"/>
      <c r="AS107" s="110"/>
      <c r="AT107" s="110"/>
      <c r="AU107" s="112"/>
      <c r="AV107" s="112"/>
      <c r="AW107" s="110"/>
      <c r="AX107" s="105"/>
      <c r="AY107" s="105"/>
      <c r="AZ107" s="105"/>
      <c r="BA107" s="105"/>
      <c r="BB107" s="105"/>
      <c r="BC107" s="105"/>
    </row>
    <row r="108" spans="1:55" x14ac:dyDescent="0.15">
      <c r="A108" s="221">
        <v>713</v>
      </c>
      <c r="B108" s="98" t="e">
        <f>VLOOKUP($A108,#REF!,84,FALSE)</f>
        <v>#REF!</v>
      </c>
      <c r="C108" s="98" t="e">
        <f>VLOOKUP($A108,#REF!,85,FALSE)</f>
        <v>#REF!</v>
      </c>
      <c r="D108" s="98" t="e">
        <f>VLOOKUP($A108,#REF!,5,FALSE)</f>
        <v>#REF!</v>
      </c>
      <c r="E108" s="98" t="e">
        <f>VLOOKUP($A108,#REF!,6,FALSE)</f>
        <v>#REF!</v>
      </c>
      <c r="F108" s="105" t="e">
        <f>VLOOKUP($A108,#REF!,34,FALSE)</f>
        <v>#REF!</v>
      </c>
      <c r="G108" s="105" t="e">
        <f>VLOOKUP($A108,#REF!,29,FALSE)</f>
        <v>#REF!</v>
      </c>
      <c r="H108" s="105" t="e">
        <f>VLOOKUP(A108,#REF!,35,FALSE)+VLOOKUP(A108,#REF!,41,FALSE)</f>
        <v>#REF!</v>
      </c>
      <c r="I108" s="105" t="e">
        <f t="shared" si="23"/>
        <v>#REF!</v>
      </c>
      <c r="J108" s="105" t="e">
        <f>VLOOKUP(A108,#REF!,42,FALSE)</f>
        <v>#REF!</v>
      </c>
      <c r="K108" s="105" t="e">
        <f t="shared" si="24"/>
        <v>#REF!</v>
      </c>
      <c r="L108" s="164" t="e">
        <f t="shared" si="19"/>
        <v>#REF!</v>
      </c>
      <c r="M108" s="105" t="e">
        <f t="shared" si="25"/>
        <v>#REF!</v>
      </c>
      <c r="N108" s="105" t="e">
        <f>VLOOKUP(A108,#REF!,46,FALSE)</f>
        <v>#REF!</v>
      </c>
      <c r="O108" s="106" t="e">
        <f>VLOOKUP(A108,#REF!,9,FALSE)</f>
        <v>#REF!</v>
      </c>
      <c r="P108" s="114" t="e">
        <f>#REF!</f>
        <v>#REF!</v>
      </c>
      <c r="Q108" s="114" t="e">
        <f>VLOOKUP(A108,#REF!,12,FALSE)</f>
        <v>#REF!</v>
      </c>
      <c r="R108" s="120" t="e">
        <f>#REF!</f>
        <v>#REF!</v>
      </c>
      <c r="S108" s="106" t="e">
        <f>IF(Q108=0,#REF!,ROUND(Q108*R108,4))</f>
        <v>#REF!</v>
      </c>
      <c r="T108" s="121" t="e">
        <f>VLOOKUP($A108,#REF!,15,FALSE)</f>
        <v>#REF!</v>
      </c>
      <c r="U108" s="121" t="e">
        <f>VLOOKUP($A108,#REF!,19,FALSE)</f>
        <v>#REF!</v>
      </c>
      <c r="V108" s="109" t="e">
        <f t="shared" si="26"/>
        <v>#REF!</v>
      </c>
      <c r="W108" s="109" t="e">
        <f t="shared" si="27"/>
        <v>#REF!</v>
      </c>
      <c r="X108" s="105" t="e">
        <f t="shared" si="28"/>
        <v>#REF!</v>
      </c>
      <c r="Y108" s="113" t="e">
        <f t="shared" si="29"/>
        <v>#REF!</v>
      </c>
      <c r="Z108" s="109" t="e">
        <f t="shared" si="30"/>
        <v>#REF!</v>
      </c>
      <c r="AA108" s="113" t="e">
        <f t="shared" si="31"/>
        <v>#REF!</v>
      </c>
      <c r="AB108" s="109" t="e">
        <f t="shared" si="32"/>
        <v>#REF!</v>
      </c>
      <c r="AC108" s="113" t="e">
        <f t="shared" si="33"/>
        <v>#REF!</v>
      </c>
      <c r="AD108" s="105" t="e">
        <f t="shared" si="34"/>
        <v>#REF!</v>
      </c>
      <c r="AE108" s="105" t="e">
        <f t="shared" si="20"/>
        <v>#REF!</v>
      </c>
      <c r="AF108" s="105" t="e">
        <f t="shared" si="21"/>
        <v>#REF!</v>
      </c>
      <c r="AG108" s="105" t="e">
        <f t="shared" si="22"/>
        <v>#REF!</v>
      </c>
      <c r="AH108" s="111" t="e">
        <f>VLOOKUP($A108,#REF!,5,FALSE)</f>
        <v>#REF!</v>
      </c>
      <c r="AI108" s="111" t="e">
        <f>VLOOKUP($A108,#REF!,6,FALSE)</f>
        <v>#REF!</v>
      </c>
      <c r="AJ108" s="109" t="e">
        <f t="shared" si="35"/>
        <v>#REF!</v>
      </c>
      <c r="AK108" s="109" t="e">
        <f t="shared" si="36"/>
        <v>#REF!</v>
      </c>
      <c r="AL108" s="109"/>
      <c r="AM108" s="105"/>
      <c r="AN108" s="105"/>
      <c r="AO108" s="109"/>
      <c r="AP108" s="110"/>
      <c r="AQ108" s="110"/>
      <c r="AR108" s="110"/>
      <c r="AS108" s="110"/>
      <c r="AT108" s="110"/>
      <c r="AU108" s="112"/>
      <c r="AV108" s="112"/>
      <c r="AW108" s="110"/>
      <c r="AX108" s="105"/>
      <c r="AY108" s="105"/>
      <c r="AZ108" s="105"/>
      <c r="BA108" s="105"/>
      <c r="BB108" s="105"/>
      <c r="BC108" s="105"/>
    </row>
    <row r="109" spans="1:55" x14ac:dyDescent="0.15">
      <c r="A109" s="221">
        <v>717</v>
      </c>
      <c r="B109" s="98" t="e">
        <f>VLOOKUP($A109,#REF!,84,FALSE)</f>
        <v>#REF!</v>
      </c>
      <c r="C109" s="98" t="e">
        <f>VLOOKUP($A109,#REF!,85,FALSE)</f>
        <v>#REF!</v>
      </c>
      <c r="D109" s="98" t="e">
        <f>VLOOKUP($A109,#REF!,5,FALSE)</f>
        <v>#REF!</v>
      </c>
      <c r="E109" s="98" t="e">
        <f>VLOOKUP($A109,#REF!,6,FALSE)</f>
        <v>#REF!</v>
      </c>
      <c r="F109" s="105" t="e">
        <f>VLOOKUP($A109,#REF!,34,FALSE)</f>
        <v>#REF!</v>
      </c>
      <c r="G109" s="105" t="e">
        <f>VLOOKUP($A109,#REF!,29,FALSE)</f>
        <v>#REF!</v>
      </c>
      <c r="H109" s="105" t="e">
        <f>VLOOKUP(A109,#REF!,35,FALSE)+VLOOKUP(A109,#REF!,41,FALSE)</f>
        <v>#REF!</v>
      </c>
      <c r="I109" s="105" t="e">
        <f t="shared" si="23"/>
        <v>#REF!</v>
      </c>
      <c r="J109" s="105" t="e">
        <f>VLOOKUP(A109,#REF!,42,FALSE)</f>
        <v>#REF!</v>
      </c>
      <c r="K109" s="105" t="e">
        <f t="shared" si="24"/>
        <v>#REF!</v>
      </c>
      <c r="L109" s="164" t="e">
        <f t="shared" si="19"/>
        <v>#REF!</v>
      </c>
      <c r="M109" s="105" t="e">
        <f t="shared" si="25"/>
        <v>#REF!</v>
      </c>
      <c r="N109" s="105" t="e">
        <f>VLOOKUP(A109,#REF!,46,FALSE)</f>
        <v>#REF!</v>
      </c>
      <c r="O109" s="106" t="e">
        <f>VLOOKUP(A109,#REF!,9,FALSE)</f>
        <v>#REF!</v>
      </c>
      <c r="P109" s="114" t="e">
        <f>#REF!</f>
        <v>#REF!</v>
      </c>
      <c r="Q109" s="114" t="e">
        <f>VLOOKUP(A109,#REF!,12,FALSE)</f>
        <v>#REF!</v>
      </c>
      <c r="R109" s="120" t="e">
        <f>#REF!</f>
        <v>#REF!</v>
      </c>
      <c r="S109" s="106" t="e">
        <f>IF(Q109=0,#REF!,ROUND(Q109*R109,4))</f>
        <v>#REF!</v>
      </c>
      <c r="T109" s="121" t="e">
        <f>VLOOKUP($A109,#REF!,15,FALSE)</f>
        <v>#REF!</v>
      </c>
      <c r="U109" s="121" t="e">
        <f>VLOOKUP($A109,#REF!,19,FALSE)</f>
        <v>#REF!</v>
      </c>
      <c r="V109" s="109" t="e">
        <f t="shared" si="26"/>
        <v>#REF!</v>
      </c>
      <c r="W109" s="109" t="e">
        <f t="shared" si="27"/>
        <v>#REF!</v>
      </c>
      <c r="X109" s="105" t="e">
        <f t="shared" si="28"/>
        <v>#REF!</v>
      </c>
      <c r="Y109" s="113" t="e">
        <f t="shared" si="29"/>
        <v>#REF!</v>
      </c>
      <c r="Z109" s="109" t="e">
        <f t="shared" si="30"/>
        <v>#REF!</v>
      </c>
      <c r="AA109" s="113" t="e">
        <f t="shared" si="31"/>
        <v>#REF!</v>
      </c>
      <c r="AB109" s="109" t="e">
        <f t="shared" si="32"/>
        <v>#REF!</v>
      </c>
      <c r="AC109" s="113" t="e">
        <f t="shared" si="33"/>
        <v>#REF!</v>
      </c>
      <c r="AD109" s="105" t="e">
        <f t="shared" si="34"/>
        <v>#REF!</v>
      </c>
      <c r="AE109" s="105" t="e">
        <f t="shared" si="20"/>
        <v>#REF!</v>
      </c>
      <c r="AF109" s="105" t="e">
        <f t="shared" si="21"/>
        <v>#REF!</v>
      </c>
      <c r="AG109" s="105" t="e">
        <f t="shared" si="22"/>
        <v>#REF!</v>
      </c>
      <c r="AH109" s="111" t="e">
        <f>VLOOKUP($A109,#REF!,5,FALSE)</f>
        <v>#REF!</v>
      </c>
      <c r="AI109" s="111" t="e">
        <f>VLOOKUP($A109,#REF!,6,FALSE)</f>
        <v>#REF!</v>
      </c>
      <c r="AJ109" s="109" t="e">
        <f t="shared" si="35"/>
        <v>#REF!</v>
      </c>
      <c r="AK109" s="109" t="e">
        <f t="shared" si="36"/>
        <v>#REF!</v>
      </c>
      <c r="AL109" s="109"/>
      <c r="AM109" s="105"/>
      <c r="AN109" s="105"/>
      <c r="AO109" s="109"/>
      <c r="AP109" s="110"/>
      <c r="AQ109" s="110"/>
      <c r="AR109" s="110"/>
      <c r="AS109" s="110"/>
      <c r="AT109" s="110"/>
      <c r="AU109" s="112"/>
      <c r="AV109" s="112"/>
      <c r="AW109" s="110"/>
      <c r="AX109" s="105"/>
      <c r="AY109" s="105"/>
      <c r="AZ109" s="105"/>
      <c r="BA109" s="105"/>
      <c r="BB109" s="105"/>
      <c r="BC109" s="105"/>
    </row>
    <row r="110" spans="1:55" x14ac:dyDescent="0.15">
      <c r="A110" s="221">
        <v>144</v>
      </c>
      <c r="B110" s="98" t="e">
        <f>VLOOKUP($A110,#REF!,84,FALSE)</f>
        <v>#REF!</v>
      </c>
      <c r="C110" s="98" t="e">
        <f>VLOOKUP($A110,#REF!,85,FALSE)</f>
        <v>#REF!</v>
      </c>
      <c r="D110" s="98" t="e">
        <f>VLOOKUP($A110,#REF!,5,FALSE)</f>
        <v>#REF!</v>
      </c>
      <c r="E110" s="98" t="e">
        <f>VLOOKUP($A110,#REF!,6,FALSE)</f>
        <v>#REF!</v>
      </c>
      <c r="F110" s="105" t="e">
        <f>VLOOKUP($A110,#REF!,34,FALSE)</f>
        <v>#REF!</v>
      </c>
      <c r="G110" s="105" t="e">
        <f>VLOOKUP($A110,#REF!,29,FALSE)</f>
        <v>#REF!</v>
      </c>
      <c r="H110" s="105" t="e">
        <f>VLOOKUP(A110,#REF!,35,FALSE)+VLOOKUP(A110,#REF!,41,FALSE)</f>
        <v>#REF!</v>
      </c>
      <c r="I110" s="105" t="e">
        <f t="shared" si="23"/>
        <v>#REF!</v>
      </c>
      <c r="J110" s="105" t="e">
        <f>VLOOKUP(A110,#REF!,42,FALSE)</f>
        <v>#REF!</v>
      </c>
      <c r="K110" s="105" t="e">
        <f t="shared" si="24"/>
        <v>#REF!</v>
      </c>
      <c r="L110" s="164" t="e">
        <f t="shared" si="19"/>
        <v>#REF!</v>
      </c>
      <c r="M110" s="105" t="e">
        <f t="shared" si="25"/>
        <v>#REF!</v>
      </c>
      <c r="N110" s="105" t="e">
        <f>VLOOKUP(A110,#REF!,46,FALSE)</f>
        <v>#REF!</v>
      </c>
      <c r="O110" s="106" t="e">
        <f>VLOOKUP(A110,#REF!,9,FALSE)</f>
        <v>#REF!</v>
      </c>
      <c r="P110" s="114" t="e">
        <f>#REF!</f>
        <v>#REF!</v>
      </c>
      <c r="Q110" s="114" t="e">
        <f>VLOOKUP(A110,#REF!,12,FALSE)</f>
        <v>#REF!</v>
      </c>
      <c r="R110" s="120" t="e">
        <f>#REF!</f>
        <v>#REF!</v>
      </c>
      <c r="S110" s="106" t="e">
        <f>IF(Q110=0,#REF!,ROUND(Q110*R110,4))</f>
        <v>#REF!</v>
      </c>
      <c r="T110" s="121" t="e">
        <f>VLOOKUP($A110,#REF!,15,FALSE)</f>
        <v>#REF!</v>
      </c>
      <c r="U110" s="121" t="e">
        <f>VLOOKUP($A110,#REF!,19,FALSE)</f>
        <v>#REF!</v>
      </c>
      <c r="V110" s="109" t="e">
        <f t="shared" si="26"/>
        <v>#REF!</v>
      </c>
      <c r="W110" s="109" t="e">
        <f t="shared" si="27"/>
        <v>#REF!</v>
      </c>
      <c r="X110" s="105" t="e">
        <f t="shared" si="28"/>
        <v>#REF!</v>
      </c>
      <c r="Y110" s="113" t="e">
        <f t="shared" si="29"/>
        <v>#REF!</v>
      </c>
      <c r="Z110" s="109" t="e">
        <f t="shared" si="30"/>
        <v>#REF!</v>
      </c>
      <c r="AA110" s="113" t="e">
        <f t="shared" si="31"/>
        <v>#REF!</v>
      </c>
      <c r="AB110" s="109" t="e">
        <f t="shared" si="32"/>
        <v>#REF!</v>
      </c>
      <c r="AC110" s="113" t="e">
        <f t="shared" si="33"/>
        <v>#REF!</v>
      </c>
      <c r="AD110" s="105" t="e">
        <f t="shared" si="34"/>
        <v>#REF!</v>
      </c>
      <c r="AE110" s="105" t="e">
        <f t="shared" si="20"/>
        <v>#REF!</v>
      </c>
      <c r="AF110" s="105" t="e">
        <f t="shared" si="21"/>
        <v>#REF!</v>
      </c>
      <c r="AG110" s="105" t="e">
        <f t="shared" si="22"/>
        <v>#REF!</v>
      </c>
      <c r="AH110" s="111" t="e">
        <f>VLOOKUP($A110,#REF!,5,FALSE)</f>
        <v>#REF!</v>
      </c>
      <c r="AI110" s="111" t="e">
        <f>VLOOKUP($A110,#REF!,6,FALSE)</f>
        <v>#REF!</v>
      </c>
      <c r="AJ110" s="109" t="e">
        <f t="shared" si="35"/>
        <v>#REF!</v>
      </c>
      <c r="AK110" s="109" t="e">
        <f t="shared" si="36"/>
        <v>#REF!</v>
      </c>
      <c r="AL110" s="109"/>
      <c r="AM110" s="105"/>
      <c r="AN110" s="105"/>
      <c r="AO110" s="109"/>
      <c r="AP110" s="110"/>
      <c r="AQ110" s="110"/>
      <c r="AR110" s="110"/>
      <c r="AS110" s="110"/>
      <c r="AT110" s="110"/>
      <c r="AU110" s="112"/>
      <c r="AV110" s="112"/>
      <c r="AW110" s="110"/>
      <c r="AX110" s="105"/>
      <c r="AY110" s="105"/>
      <c r="AZ110" s="105"/>
      <c r="BA110" s="105"/>
      <c r="BB110" s="105"/>
      <c r="BC110" s="105"/>
    </row>
    <row r="111" spans="1:55" x14ac:dyDescent="0.15">
      <c r="A111" s="221">
        <v>190</v>
      </c>
      <c r="B111" s="98" t="e">
        <f>VLOOKUP($A111,#REF!,84,FALSE)</f>
        <v>#REF!</v>
      </c>
      <c r="C111" s="98" t="e">
        <f>VLOOKUP($A111,#REF!,85,FALSE)</f>
        <v>#REF!</v>
      </c>
      <c r="D111" s="98" t="e">
        <f>VLOOKUP($A111,#REF!,5,FALSE)</f>
        <v>#REF!</v>
      </c>
      <c r="E111" s="98" t="e">
        <f>VLOOKUP($A111,#REF!,6,FALSE)</f>
        <v>#REF!</v>
      </c>
      <c r="F111" s="105" t="e">
        <f>VLOOKUP($A111,#REF!,34,FALSE)</f>
        <v>#REF!</v>
      </c>
      <c r="G111" s="105" t="e">
        <f>VLOOKUP($A111,#REF!,29,FALSE)</f>
        <v>#REF!</v>
      </c>
      <c r="H111" s="105" t="e">
        <f>VLOOKUP(A111,#REF!,35,FALSE)+VLOOKUP(A111,#REF!,41,FALSE)</f>
        <v>#REF!</v>
      </c>
      <c r="I111" s="105" t="e">
        <f t="shared" si="23"/>
        <v>#REF!</v>
      </c>
      <c r="J111" s="105" t="e">
        <f>VLOOKUP(A111,#REF!,42,FALSE)</f>
        <v>#REF!</v>
      </c>
      <c r="K111" s="105" t="e">
        <f t="shared" si="24"/>
        <v>#REF!</v>
      </c>
      <c r="L111" s="164" t="e">
        <f t="shared" si="19"/>
        <v>#REF!</v>
      </c>
      <c r="M111" s="105" t="e">
        <f t="shared" si="25"/>
        <v>#REF!</v>
      </c>
      <c r="N111" s="105" t="e">
        <f>VLOOKUP(A111,#REF!,46,FALSE)</f>
        <v>#REF!</v>
      </c>
      <c r="O111" s="106" t="e">
        <f>VLOOKUP(A111,#REF!,9,FALSE)</f>
        <v>#REF!</v>
      </c>
      <c r="P111" s="114" t="e">
        <f>#REF!</f>
        <v>#REF!</v>
      </c>
      <c r="Q111" s="114" t="e">
        <f>VLOOKUP(A111,#REF!,12,FALSE)</f>
        <v>#REF!</v>
      </c>
      <c r="R111" s="120" t="e">
        <f>#REF!</f>
        <v>#REF!</v>
      </c>
      <c r="S111" s="106" t="e">
        <f>IF(Q111=0,#REF!,ROUND(Q111*R111,4))</f>
        <v>#REF!</v>
      </c>
      <c r="T111" s="121" t="e">
        <f>VLOOKUP($A111,#REF!,15,FALSE)</f>
        <v>#REF!</v>
      </c>
      <c r="U111" s="121" t="e">
        <f>VLOOKUP($A111,#REF!,19,FALSE)</f>
        <v>#REF!</v>
      </c>
      <c r="V111" s="109" t="e">
        <f t="shared" si="26"/>
        <v>#REF!</v>
      </c>
      <c r="W111" s="109" t="e">
        <f t="shared" si="27"/>
        <v>#REF!</v>
      </c>
      <c r="X111" s="105" t="e">
        <f t="shared" si="28"/>
        <v>#REF!</v>
      </c>
      <c r="Y111" s="113" t="e">
        <f t="shared" si="29"/>
        <v>#REF!</v>
      </c>
      <c r="Z111" s="109" t="e">
        <f t="shared" si="30"/>
        <v>#REF!</v>
      </c>
      <c r="AA111" s="113" t="e">
        <f t="shared" si="31"/>
        <v>#REF!</v>
      </c>
      <c r="AB111" s="109" t="e">
        <f t="shared" si="32"/>
        <v>#REF!</v>
      </c>
      <c r="AC111" s="113" t="e">
        <f t="shared" si="33"/>
        <v>#REF!</v>
      </c>
      <c r="AD111" s="105" t="e">
        <f t="shared" si="34"/>
        <v>#REF!</v>
      </c>
      <c r="AE111" s="105" t="e">
        <f t="shared" si="20"/>
        <v>#REF!</v>
      </c>
      <c r="AF111" s="105" t="e">
        <f t="shared" si="21"/>
        <v>#REF!</v>
      </c>
      <c r="AG111" s="105" t="e">
        <f t="shared" si="22"/>
        <v>#REF!</v>
      </c>
      <c r="AH111" s="111" t="e">
        <f>VLOOKUP($A111,#REF!,5,FALSE)</f>
        <v>#REF!</v>
      </c>
      <c r="AI111" s="111" t="e">
        <f>VLOOKUP($A111,#REF!,6,FALSE)</f>
        <v>#REF!</v>
      </c>
      <c r="AJ111" s="109" t="e">
        <f t="shared" si="35"/>
        <v>#REF!</v>
      </c>
      <c r="AK111" s="109" t="e">
        <f t="shared" si="36"/>
        <v>#REF!</v>
      </c>
      <c r="AL111" s="109"/>
      <c r="AM111" s="105"/>
      <c r="AN111" s="105"/>
      <c r="AO111" s="109"/>
      <c r="AP111" s="110"/>
      <c r="AQ111" s="110"/>
      <c r="AR111" s="110"/>
      <c r="AS111" s="110"/>
      <c r="AT111" s="110"/>
      <c r="AU111" s="112"/>
      <c r="AV111" s="112"/>
      <c r="AW111" s="110"/>
      <c r="AX111" s="105"/>
      <c r="AY111" s="105"/>
      <c r="AZ111" s="105"/>
      <c r="BA111" s="105"/>
      <c r="BB111" s="105"/>
      <c r="BC111" s="105"/>
    </row>
    <row r="112" spans="1:55" x14ac:dyDescent="0.15">
      <c r="A112" s="221">
        <v>192</v>
      </c>
      <c r="B112" s="98" t="e">
        <f>VLOOKUP($A112,#REF!,84,FALSE)</f>
        <v>#REF!</v>
      </c>
      <c r="C112" s="98" t="e">
        <f>VLOOKUP($A112,#REF!,85,FALSE)</f>
        <v>#REF!</v>
      </c>
      <c r="D112" s="98" t="e">
        <f>VLOOKUP($A112,#REF!,5,FALSE)</f>
        <v>#REF!</v>
      </c>
      <c r="E112" s="98" t="e">
        <f>VLOOKUP($A112,#REF!,6,FALSE)</f>
        <v>#REF!</v>
      </c>
      <c r="F112" s="105" t="e">
        <f>VLOOKUP($A112,#REF!,34,FALSE)</f>
        <v>#REF!</v>
      </c>
      <c r="G112" s="105" t="e">
        <f>VLOOKUP($A112,#REF!,29,FALSE)</f>
        <v>#REF!</v>
      </c>
      <c r="H112" s="105" t="e">
        <f>VLOOKUP(A112,#REF!,35,FALSE)+VLOOKUP(A112,#REF!,41,FALSE)</f>
        <v>#REF!</v>
      </c>
      <c r="I112" s="105" t="e">
        <f t="shared" si="23"/>
        <v>#REF!</v>
      </c>
      <c r="J112" s="105" t="e">
        <f>VLOOKUP(A112,#REF!,42,FALSE)</f>
        <v>#REF!</v>
      </c>
      <c r="K112" s="105" t="e">
        <f t="shared" si="24"/>
        <v>#REF!</v>
      </c>
      <c r="L112" s="164" t="e">
        <f t="shared" si="19"/>
        <v>#REF!</v>
      </c>
      <c r="M112" s="105" t="e">
        <f t="shared" si="25"/>
        <v>#REF!</v>
      </c>
      <c r="N112" s="105" t="e">
        <f>VLOOKUP(A112,#REF!,46,FALSE)</f>
        <v>#REF!</v>
      </c>
      <c r="O112" s="106" t="e">
        <f>VLOOKUP(A112,#REF!,9,FALSE)</f>
        <v>#REF!</v>
      </c>
      <c r="P112" s="114" t="e">
        <f>#REF!</f>
        <v>#REF!</v>
      </c>
      <c r="Q112" s="114" t="e">
        <f>VLOOKUP(A112,#REF!,12,FALSE)</f>
        <v>#REF!</v>
      </c>
      <c r="R112" s="120" t="e">
        <f>#REF!</f>
        <v>#REF!</v>
      </c>
      <c r="S112" s="106" t="e">
        <f>IF(Q112=0,#REF!,ROUND(Q112*R112,4))</f>
        <v>#REF!</v>
      </c>
      <c r="T112" s="121" t="e">
        <f>VLOOKUP($A112,#REF!,15,FALSE)</f>
        <v>#REF!</v>
      </c>
      <c r="U112" s="121" t="e">
        <f>VLOOKUP($A112,#REF!,19,FALSE)</f>
        <v>#REF!</v>
      </c>
      <c r="V112" s="109" t="e">
        <f t="shared" si="26"/>
        <v>#REF!</v>
      </c>
      <c r="W112" s="109" t="e">
        <f t="shared" si="27"/>
        <v>#REF!</v>
      </c>
      <c r="X112" s="105" t="e">
        <f t="shared" si="28"/>
        <v>#REF!</v>
      </c>
      <c r="Y112" s="113" t="e">
        <f t="shared" si="29"/>
        <v>#REF!</v>
      </c>
      <c r="Z112" s="109" t="e">
        <f t="shared" si="30"/>
        <v>#REF!</v>
      </c>
      <c r="AA112" s="113" t="e">
        <f t="shared" si="31"/>
        <v>#REF!</v>
      </c>
      <c r="AB112" s="109" t="e">
        <f t="shared" si="32"/>
        <v>#REF!</v>
      </c>
      <c r="AC112" s="113" t="e">
        <f t="shared" si="33"/>
        <v>#REF!</v>
      </c>
      <c r="AD112" s="105" t="e">
        <f t="shared" si="34"/>
        <v>#REF!</v>
      </c>
      <c r="AE112" s="105" t="e">
        <f t="shared" si="20"/>
        <v>#REF!</v>
      </c>
      <c r="AF112" s="105" t="e">
        <f t="shared" si="21"/>
        <v>#REF!</v>
      </c>
      <c r="AG112" s="105" t="e">
        <f t="shared" si="22"/>
        <v>#REF!</v>
      </c>
      <c r="AH112" s="111" t="e">
        <f>VLOOKUP($A112,#REF!,5,FALSE)</f>
        <v>#REF!</v>
      </c>
      <c r="AI112" s="111" t="e">
        <f>VLOOKUP($A112,#REF!,6,FALSE)</f>
        <v>#REF!</v>
      </c>
      <c r="AJ112" s="109" t="e">
        <f t="shared" si="35"/>
        <v>#REF!</v>
      </c>
      <c r="AK112" s="109" t="e">
        <f t="shared" si="36"/>
        <v>#REF!</v>
      </c>
      <c r="AL112" s="109"/>
      <c r="AM112" s="105"/>
      <c r="AN112" s="105"/>
      <c r="AO112" s="109"/>
      <c r="AP112" s="110"/>
      <c r="AQ112" s="110"/>
      <c r="AR112" s="110"/>
      <c r="AS112" s="110"/>
      <c r="AT112" s="110"/>
      <c r="AU112" s="112"/>
      <c r="AV112" s="112"/>
      <c r="AW112" s="110"/>
      <c r="AX112" s="105"/>
      <c r="AY112" s="105"/>
      <c r="AZ112" s="105"/>
      <c r="BA112" s="105"/>
      <c r="BB112" s="105"/>
      <c r="BC112" s="105"/>
    </row>
    <row r="113" spans="1:55" x14ac:dyDescent="0.15">
      <c r="A113" s="221">
        <v>194</v>
      </c>
      <c r="B113" s="98" t="e">
        <f>VLOOKUP($A113,#REF!,84,FALSE)</f>
        <v>#REF!</v>
      </c>
      <c r="C113" s="98" t="e">
        <f>VLOOKUP($A113,#REF!,85,FALSE)</f>
        <v>#REF!</v>
      </c>
      <c r="D113" s="98" t="e">
        <f>VLOOKUP($A113,#REF!,5,FALSE)</f>
        <v>#REF!</v>
      </c>
      <c r="E113" s="98" t="e">
        <f>VLOOKUP($A113,#REF!,6,FALSE)</f>
        <v>#REF!</v>
      </c>
      <c r="F113" s="105" t="e">
        <f>VLOOKUP($A113,#REF!,34,FALSE)</f>
        <v>#REF!</v>
      </c>
      <c r="G113" s="105" t="e">
        <f>VLOOKUP($A113,#REF!,29,FALSE)</f>
        <v>#REF!</v>
      </c>
      <c r="H113" s="105" t="e">
        <f>VLOOKUP(A113,#REF!,35,FALSE)+VLOOKUP(A113,#REF!,41,FALSE)</f>
        <v>#REF!</v>
      </c>
      <c r="I113" s="105" t="e">
        <f t="shared" si="23"/>
        <v>#REF!</v>
      </c>
      <c r="J113" s="105" t="e">
        <f>VLOOKUP(A113,#REF!,42,FALSE)</f>
        <v>#REF!</v>
      </c>
      <c r="K113" s="105" t="e">
        <f t="shared" si="24"/>
        <v>#REF!</v>
      </c>
      <c r="L113" s="164" t="e">
        <f t="shared" si="19"/>
        <v>#REF!</v>
      </c>
      <c r="M113" s="105" t="e">
        <f t="shared" si="25"/>
        <v>#REF!</v>
      </c>
      <c r="N113" s="105" t="e">
        <f>VLOOKUP(A113,#REF!,46,FALSE)</f>
        <v>#REF!</v>
      </c>
      <c r="O113" s="106" t="e">
        <f>VLOOKUP(A113,#REF!,9,FALSE)</f>
        <v>#REF!</v>
      </c>
      <c r="P113" s="114" t="e">
        <f>#REF!</f>
        <v>#REF!</v>
      </c>
      <c r="Q113" s="114" t="e">
        <f>VLOOKUP(A113,#REF!,12,FALSE)</f>
        <v>#REF!</v>
      </c>
      <c r="R113" s="120" t="e">
        <f>#REF!</f>
        <v>#REF!</v>
      </c>
      <c r="S113" s="106" t="e">
        <f>IF(Q113=0,#REF!,ROUND(Q113*R113,4))</f>
        <v>#REF!</v>
      </c>
      <c r="T113" s="121" t="e">
        <f>VLOOKUP($A113,#REF!,15,FALSE)</f>
        <v>#REF!</v>
      </c>
      <c r="U113" s="121" t="e">
        <f>VLOOKUP($A113,#REF!,19,FALSE)</f>
        <v>#REF!</v>
      </c>
      <c r="V113" s="109" t="e">
        <f t="shared" si="26"/>
        <v>#REF!</v>
      </c>
      <c r="W113" s="109" t="e">
        <f t="shared" si="27"/>
        <v>#REF!</v>
      </c>
      <c r="X113" s="105" t="e">
        <f t="shared" si="28"/>
        <v>#REF!</v>
      </c>
      <c r="Y113" s="113" t="e">
        <f t="shared" si="29"/>
        <v>#REF!</v>
      </c>
      <c r="Z113" s="109" t="e">
        <f t="shared" si="30"/>
        <v>#REF!</v>
      </c>
      <c r="AA113" s="113" t="e">
        <f t="shared" si="31"/>
        <v>#REF!</v>
      </c>
      <c r="AB113" s="109" t="e">
        <f t="shared" si="32"/>
        <v>#REF!</v>
      </c>
      <c r="AC113" s="113" t="e">
        <f t="shared" si="33"/>
        <v>#REF!</v>
      </c>
      <c r="AD113" s="105" t="e">
        <f t="shared" si="34"/>
        <v>#REF!</v>
      </c>
      <c r="AE113" s="105" t="e">
        <f t="shared" si="20"/>
        <v>#REF!</v>
      </c>
      <c r="AF113" s="105" t="e">
        <f t="shared" si="21"/>
        <v>#REF!</v>
      </c>
      <c r="AG113" s="105" t="e">
        <f t="shared" si="22"/>
        <v>#REF!</v>
      </c>
      <c r="AH113" s="111" t="e">
        <f>VLOOKUP($A113,#REF!,5,FALSE)</f>
        <v>#REF!</v>
      </c>
      <c r="AI113" s="111" t="e">
        <f>VLOOKUP($A113,#REF!,6,FALSE)</f>
        <v>#REF!</v>
      </c>
      <c r="AJ113" s="109" t="e">
        <f t="shared" si="35"/>
        <v>#REF!</v>
      </c>
      <c r="AK113" s="109" t="e">
        <f t="shared" si="36"/>
        <v>#REF!</v>
      </c>
      <c r="AL113" s="109"/>
      <c r="AM113" s="105"/>
      <c r="AN113" s="105"/>
      <c r="AO113" s="109"/>
      <c r="AP113" s="110"/>
      <c r="AQ113" s="110"/>
      <c r="AR113" s="110"/>
      <c r="AS113" s="110"/>
      <c r="AT113" s="110"/>
      <c r="AU113" s="112"/>
      <c r="AV113" s="112"/>
      <c r="AW113" s="110"/>
      <c r="AX113" s="105"/>
      <c r="AY113" s="105"/>
      <c r="AZ113" s="105"/>
      <c r="BA113" s="105"/>
      <c r="BB113" s="105"/>
      <c r="BC113" s="105"/>
    </row>
    <row r="114" spans="1:55" x14ac:dyDescent="0.15">
      <c r="A114" s="221">
        <v>208</v>
      </c>
      <c r="B114" s="98" t="e">
        <f>VLOOKUP($A114,#REF!,84,FALSE)</f>
        <v>#REF!</v>
      </c>
      <c r="C114" s="98" t="e">
        <f>VLOOKUP($A114,#REF!,85,FALSE)</f>
        <v>#REF!</v>
      </c>
      <c r="D114" s="98" t="e">
        <f>VLOOKUP($A114,#REF!,5,FALSE)</f>
        <v>#REF!</v>
      </c>
      <c r="E114" s="98" t="e">
        <f>VLOOKUP($A114,#REF!,6,FALSE)</f>
        <v>#REF!</v>
      </c>
      <c r="F114" s="105" t="e">
        <f>VLOOKUP($A114,#REF!,34,FALSE)</f>
        <v>#REF!</v>
      </c>
      <c r="G114" s="105" t="e">
        <f>VLOOKUP($A114,#REF!,29,FALSE)</f>
        <v>#REF!</v>
      </c>
      <c r="H114" s="105" t="e">
        <f>VLOOKUP(A114,#REF!,35,FALSE)+VLOOKUP(A114,#REF!,41,FALSE)</f>
        <v>#REF!</v>
      </c>
      <c r="I114" s="105" t="e">
        <f t="shared" si="23"/>
        <v>#REF!</v>
      </c>
      <c r="J114" s="105" t="e">
        <f>VLOOKUP(A114,#REF!,42,FALSE)</f>
        <v>#REF!</v>
      </c>
      <c r="K114" s="105" t="e">
        <f t="shared" si="24"/>
        <v>#REF!</v>
      </c>
      <c r="L114" s="164" t="e">
        <f t="shared" si="19"/>
        <v>#REF!</v>
      </c>
      <c r="M114" s="105" t="e">
        <f t="shared" si="25"/>
        <v>#REF!</v>
      </c>
      <c r="N114" s="105" t="e">
        <f>VLOOKUP(A114,#REF!,46,FALSE)</f>
        <v>#REF!</v>
      </c>
      <c r="O114" s="106" t="e">
        <f>VLOOKUP(A114,#REF!,9,FALSE)</f>
        <v>#REF!</v>
      </c>
      <c r="P114" s="114" t="e">
        <f>#REF!</f>
        <v>#REF!</v>
      </c>
      <c r="Q114" s="114" t="e">
        <f>VLOOKUP(A114,#REF!,12,FALSE)</f>
        <v>#REF!</v>
      </c>
      <c r="R114" s="120" t="e">
        <f>#REF!</f>
        <v>#REF!</v>
      </c>
      <c r="S114" s="106" t="e">
        <f>IF(Q114=0,#REF!,ROUND(Q114*R114,4))</f>
        <v>#REF!</v>
      </c>
      <c r="T114" s="121" t="e">
        <f>VLOOKUP($A114,#REF!,15,FALSE)</f>
        <v>#REF!</v>
      </c>
      <c r="U114" s="121" t="e">
        <f>VLOOKUP($A114,#REF!,19,FALSE)</f>
        <v>#REF!</v>
      </c>
      <c r="V114" s="109" t="e">
        <f t="shared" si="26"/>
        <v>#REF!</v>
      </c>
      <c r="W114" s="109" t="e">
        <f t="shared" si="27"/>
        <v>#REF!</v>
      </c>
      <c r="X114" s="105" t="e">
        <f t="shared" si="28"/>
        <v>#REF!</v>
      </c>
      <c r="Y114" s="113" t="e">
        <f t="shared" si="29"/>
        <v>#REF!</v>
      </c>
      <c r="Z114" s="109" t="e">
        <f t="shared" si="30"/>
        <v>#REF!</v>
      </c>
      <c r="AA114" s="113" t="e">
        <f t="shared" si="31"/>
        <v>#REF!</v>
      </c>
      <c r="AB114" s="109" t="e">
        <f t="shared" si="32"/>
        <v>#REF!</v>
      </c>
      <c r="AC114" s="113" t="e">
        <f t="shared" si="33"/>
        <v>#REF!</v>
      </c>
      <c r="AD114" s="105" t="e">
        <f t="shared" si="34"/>
        <v>#REF!</v>
      </c>
      <c r="AE114" s="105" t="e">
        <f t="shared" si="20"/>
        <v>#REF!</v>
      </c>
      <c r="AF114" s="105" t="e">
        <f t="shared" si="21"/>
        <v>#REF!</v>
      </c>
      <c r="AG114" s="105" t="e">
        <f t="shared" si="22"/>
        <v>#REF!</v>
      </c>
      <c r="AH114" s="111" t="e">
        <f>VLOOKUP($A114,#REF!,5,FALSE)</f>
        <v>#REF!</v>
      </c>
      <c r="AI114" s="111" t="e">
        <f>VLOOKUP($A114,#REF!,6,FALSE)</f>
        <v>#REF!</v>
      </c>
      <c r="AJ114" s="109" t="e">
        <f t="shared" si="35"/>
        <v>#REF!</v>
      </c>
      <c r="AK114" s="109" t="e">
        <f t="shared" si="36"/>
        <v>#REF!</v>
      </c>
      <c r="AL114" s="109"/>
      <c r="AM114" s="105"/>
      <c r="AN114" s="105"/>
      <c r="AO114" s="109"/>
      <c r="AP114" s="110"/>
      <c r="AQ114" s="110"/>
      <c r="AR114" s="110"/>
      <c r="AS114" s="110"/>
      <c r="AT114" s="110"/>
      <c r="AU114" s="112"/>
      <c r="AV114" s="112"/>
      <c r="AW114" s="110"/>
      <c r="AX114" s="105"/>
      <c r="AY114" s="105"/>
      <c r="AZ114" s="105"/>
      <c r="BA114" s="105"/>
      <c r="BB114" s="105"/>
      <c r="BC114" s="105"/>
    </row>
    <row r="115" spans="1:55" x14ac:dyDescent="0.15">
      <c r="A115" s="221">
        <v>204</v>
      </c>
      <c r="B115" s="98" t="e">
        <f>VLOOKUP($A115,#REF!,84,FALSE)</f>
        <v>#REF!</v>
      </c>
      <c r="C115" s="98" t="e">
        <f>VLOOKUP($A115,#REF!,85,FALSE)</f>
        <v>#REF!</v>
      </c>
      <c r="D115" s="98" t="e">
        <f>VLOOKUP($A115,#REF!,5,FALSE)</f>
        <v>#REF!</v>
      </c>
      <c r="E115" s="98" t="e">
        <f>VLOOKUP($A115,#REF!,6,FALSE)</f>
        <v>#REF!</v>
      </c>
      <c r="F115" s="105" t="e">
        <f>VLOOKUP($A115,#REF!,34,FALSE)</f>
        <v>#REF!</v>
      </c>
      <c r="G115" s="105" t="e">
        <f>VLOOKUP($A115,#REF!,29,FALSE)</f>
        <v>#REF!</v>
      </c>
      <c r="H115" s="105" t="e">
        <f>VLOOKUP(A115,#REF!,35,FALSE)+VLOOKUP(A115,#REF!,41,FALSE)</f>
        <v>#REF!</v>
      </c>
      <c r="I115" s="105" t="e">
        <f t="shared" si="23"/>
        <v>#REF!</v>
      </c>
      <c r="J115" s="105" t="e">
        <f>VLOOKUP(A115,#REF!,42,FALSE)</f>
        <v>#REF!</v>
      </c>
      <c r="K115" s="105" t="e">
        <f t="shared" si="24"/>
        <v>#REF!</v>
      </c>
      <c r="L115" s="164" t="e">
        <f t="shared" si="19"/>
        <v>#REF!</v>
      </c>
      <c r="M115" s="105" t="e">
        <f t="shared" si="25"/>
        <v>#REF!</v>
      </c>
      <c r="N115" s="105" t="e">
        <f>VLOOKUP(A115,#REF!,46,FALSE)</f>
        <v>#REF!</v>
      </c>
      <c r="O115" s="106" t="e">
        <f>VLOOKUP(A115,#REF!,9,FALSE)</f>
        <v>#REF!</v>
      </c>
      <c r="P115" s="114" t="e">
        <f>#REF!</f>
        <v>#REF!</v>
      </c>
      <c r="Q115" s="114" t="e">
        <f>VLOOKUP(A115,#REF!,12,FALSE)</f>
        <v>#REF!</v>
      </c>
      <c r="R115" s="120" t="e">
        <f>#REF!</f>
        <v>#REF!</v>
      </c>
      <c r="S115" s="106" t="e">
        <f>IF(Q115=0,#REF!,ROUND(Q115*R115,4))</f>
        <v>#REF!</v>
      </c>
      <c r="T115" s="121" t="e">
        <f>VLOOKUP($A115,#REF!,15,FALSE)</f>
        <v>#REF!</v>
      </c>
      <c r="U115" s="121" t="e">
        <f>VLOOKUP($A115,#REF!,19,FALSE)</f>
        <v>#REF!</v>
      </c>
      <c r="V115" s="109" t="e">
        <f t="shared" si="26"/>
        <v>#REF!</v>
      </c>
      <c r="W115" s="109" t="e">
        <f t="shared" si="27"/>
        <v>#REF!</v>
      </c>
      <c r="X115" s="105" t="e">
        <f t="shared" si="28"/>
        <v>#REF!</v>
      </c>
      <c r="Y115" s="113" t="e">
        <f t="shared" si="29"/>
        <v>#REF!</v>
      </c>
      <c r="Z115" s="109" t="e">
        <f t="shared" si="30"/>
        <v>#REF!</v>
      </c>
      <c r="AA115" s="113" t="e">
        <f t="shared" si="31"/>
        <v>#REF!</v>
      </c>
      <c r="AB115" s="109" t="e">
        <f t="shared" si="32"/>
        <v>#REF!</v>
      </c>
      <c r="AC115" s="113" t="e">
        <f t="shared" si="33"/>
        <v>#REF!</v>
      </c>
      <c r="AD115" s="105" t="e">
        <f t="shared" si="34"/>
        <v>#REF!</v>
      </c>
      <c r="AE115" s="105" t="e">
        <f t="shared" si="20"/>
        <v>#REF!</v>
      </c>
      <c r="AF115" s="105" t="e">
        <f t="shared" si="21"/>
        <v>#REF!</v>
      </c>
      <c r="AG115" s="105" t="e">
        <f t="shared" si="22"/>
        <v>#REF!</v>
      </c>
      <c r="AH115" s="111" t="e">
        <f>VLOOKUP($A115,#REF!,5,FALSE)</f>
        <v>#REF!</v>
      </c>
      <c r="AI115" s="111" t="e">
        <f>VLOOKUP($A115,#REF!,6,FALSE)</f>
        <v>#REF!</v>
      </c>
      <c r="AJ115" s="109" t="e">
        <f t="shared" si="35"/>
        <v>#REF!</v>
      </c>
      <c r="AK115" s="109" t="e">
        <f t="shared" si="36"/>
        <v>#REF!</v>
      </c>
      <c r="AL115" s="109"/>
      <c r="AM115" s="105"/>
      <c r="AN115" s="105"/>
      <c r="AO115" s="109"/>
      <c r="AP115" s="110"/>
      <c r="AQ115" s="110"/>
      <c r="AR115" s="110"/>
      <c r="AS115" s="110"/>
      <c r="AT115" s="110"/>
      <c r="AU115" s="112"/>
      <c r="AV115" s="112"/>
      <c r="AW115" s="110"/>
      <c r="AX115" s="105"/>
      <c r="AY115" s="105"/>
      <c r="AZ115" s="105"/>
      <c r="BA115" s="105"/>
      <c r="BB115" s="105"/>
      <c r="BC115" s="105"/>
    </row>
    <row r="116" spans="1:55" x14ac:dyDescent="0.15">
      <c r="A116" s="221">
        <v>210</v>
      </c>
      <c r="B116" s="98" t="e">
        <f>VLOOKUP($A116,#REF!,84,FALSE)</f>
        <v>#REF!</v>
      </c>
      <c r="C116" s="98" t="e">
        <f>VLOOKUP($A116,#REF!,85,FALSE)</f>
        <v>#REF!</v>
      </c>
      <c r="D116" s="98" t="e">
        <f>VLOOKUP($A116,#REF!,5,FALSE)</f>
        <v>#REF!</v>
      </c>
      <c r="E116" s="98" t="e">
        <f>VLOOKUP($A116,#REF!,6,FALSE)</f>
        <v>#REF!</v>
      </c>
      <c r="F116" s="105" t="e">
        <f>VLOOKUP($A116,#REF!,34,FALSE)</f>
        <v>#REF!</v>
      </c>
      <c r="G116" s="105" t="e">
        <f>VLOOKUP($A116,#REF!,29,FALSE)</f>
        <v>#REF!</v>
      </c>
      <c r="H116" s="105" t="e">
        <f>VLOOKUP(A116,#REF!,35,FALSE)+VLOOKUP(A116,#REF!,41,FALSE)</f>
        <v>#REF!</v>
      </c>
      <c r="I116" s="105" t="e">
        <f t="shared" si="23"/>
        <v>#REF!</v>
      </c>
      <c r="J116" s="105" t="e">
        <f>VLOOKUP(A116,#REF!,42,FALSE)</f>
        <v>#REF!</v>
      </c>
      <c r="K116" s="105" t="e">
        <f t="shared" si="24"/>
        <v>#REF!</v>
      </c>
      <c r="L116" s="164" t="e">
        <f t="shared" si="19"/>
        <v>#REF!</v>
      </c>
      <c r="M116" s="105" t="e">
        <f t="shared" si="25"/>
        <v>#REF!</v>
      </c>
      <c r="N116" s="105" t="e">
        <f>VLOOKUP(A116,#REF!,46,FALSE)</f>
        <v>#REF!</v>
      </c>
      <c r="O116" s="106" t="e">
        <f>VLOOKUP(A116,#REF!,9,FALSE)</f>
        <v>#REF!</v>
      </c>
      <c r="P116" s="114" t="e">
        <f>#REF!</f>
        <v>#REF!</v>
      </c>
      <c r="Q116" s="114" t="e">
        <f>VLOOKUP(A116,#REF!,12,FALSE)</f>
        <v>#REF!</v>
      </c>
      <c r="R116" s="120" t="e">
        <f>#REF!</f>
        <v>#REF!</v>
      </c>
      <c r="S116" s="106" t="e">
        <f>IF(Q116=0,#REF!,ROUND(Q116*R116,4))</f>
        <v>#REF!</v>
      </c>
      <c r="T116" s="121" t="e">
        <f>VLOOKUP($A116,#REF!,15,FALSE)</f>
        <v>#REF!</v>
      </c>
      <c r="U116" s="121" t="e">
        <f>VLOOKUP($A116,#REF!,19,FALSE)</f>
        <v>#REF!</v>
      </c>
      <c r="V116" s="109" t="e">
        <f t="shared" si="26"/>
        <v>#REF!</v>
      </c>
      <c r="W116" s="109" t="e">
        <f t="shared" si="27"/>
        <v>#REF!</v>
      </c>
      <c r="X116" s="105" t="e">
        <f t="shared" si="28"/>
        <v>#REF!</v>
      </c>
      <c r="Y116" s="113" t="e">
        <f t="shared" si="29"/>
        <v>#REF!</v>
      </c>
      <c r="Z116" s="109" t="e">
        <f t="shared" si="30"/>
        <v>#REF!</v>
      </c>
      <c r="AA116" s="113" t="e">
        <f t="shared" si="31"/>
        <v>#REF!</v>
      </c>
      <c r="AB116" s="109" t="e">
        <f t="shared" si="32"/>
        <v>#REF!</v>
      </c>
      <c r="AC116" s="113" t="e">
        <f t="shared" si="33"/>
        <v>#REF!</v>
      </c>
      <c r="AD116" s="105" t="e">
        <f t="shared" si="34"/>
        <v>#REF!</v>
      </c>
      <c r="AE116" s="105" t="e">
        <f t="shared" si="20"/>
        <v>#REF!</v>
      </c>
      <c r="AF116" s="105" t="e">
        <f t="shared" si="21"/>
        <v>#REF!</v>
      </c>
      <c r="AG116" s="105" t="e">
        <f t="shared" si="22"/>
        <v>#REF!</v>
      </c>
      <c r="AH116" s="111" t="e">
        <f>VLOOKUP($A116,#REF!,5,FALSE)</f>
        <v>#REF!</v>
      </c>
      <c r="AI116" s="111" t="e">
        <f>VLOOKUP($A116,#REF!,6,FALSE)</f>
        <v>#REF!</v>
      </c>
      <c r="AJ116" s="109" t="e">
        <f t="shared" si="35"/>
        <v>#REF!</v>
      </c>
      <c r="AK116" s="109" t="e">
        <f t="shared" si="36"/>
        <v>#REF!</v>
      </c>
      <c r="AL116" s="109"/>
      <c r="AM116" s="105"/>
      <c r="AN116" s="105"/>
      <c r="AO116" s="109"/>
      <c r="AP116" s="110"/>
      <c r="AQ116" s="110"/>
      <c r="AR116" s="110"/>
      <c r="AS116" s="110"/>
      <c r="AT116" s="110"/>
      <c r="AU116" s="112"/>
      <c r="AV116" s="112"/>
      <c r="AW116" s="110"/>
      <c r="AX116" s="105"/>
      <c r="AY116" s="105"/>
      <c r="AZ116" s="105"/>
      <c r="BA116" s="105"/>
      <c r="BB116" s="105"/>
      <c r="BC116" s="105"/>
    </row>
    <row r="117" spans="1:55" x14ac:dyDescent="0.15">
      <c r="A117" s="221">
        <v>64</v>
      </c>
      <c r="B117" s="98" t="e">
        <f>VLOOKUP($A117,#REF!,84,FALSE)</f>
        <v>#REF!</v>
      </c>
      <c r="C117" s="98" t="e">
        <f>VLOOKUP($A117,#REF!,85,FALSE)</f>
        <v>#REF!</v>
      </c>
      <c r="D117" s="98" t="e">
        <f>VLOOKUP($A117,#REF!,5,FALSE)</f>
        <v>#REF!</v>
      </c>
      <c r="E117" s="98" t="e">
        <f>VLOOKUP($A117,#REF!,6,FALSE)</f>
        <v>#REF!</v>
      </c>
      <c r="F117" s="105" t="e">
        <f>VLOOKUP($A117,#REF!,34,FALSE)</f>
        <v>#REF!</v>
      </c>
      <c r="G117" s="105" t="e">
        <f>VLOOKUP($A117,#REF!,29,FALSE)</f>
        <v>#REF!</v>
      </c>
      <c r="H117" s="105" t="e">
        <f>VLOOKUP(A117,#REF!,35,FALSE)+VLOOKUP(A117,#REF!,41,FALSE)</f>
        <v>#REF!</v>
      </c>
      <c r="I117" s="105" t="e">
        <f t="shared" si="23"/>
        <v>#REF!</v>
      </c>
      <c r="J117" s="105" t="e">
        <f>VLOOKUP(A117,#REF!,42,FALSE)</f>
        <v>#REF!</v>
      </c>
      <c r="K117" s="105" t="e">
        <f t="shared" si="24"/>
        <v>#REF!</v>
      </c>
      <c r="L117" s="164" t="e">
        <f t="shared" si="19"/>
        <v>#REF!</v>
      </c>
      <c r="M117" s="105" t="e">
        <f t="shared" si="25"/>
        <v>#REF!</v>
      </c>
      <c r="N117" s="105" t="e">
        <f>VLOOKUP(A117,#REF!,46,FALSE)</f>
        <v>#REF!</v>
      </c>
      <c r="O117" s="106" t="e">
        <f>VLOOKUP(A117,#REF!,9,FALSE)</f>
        <v>#REF!</v>
      </c>
      <c r="P117" s="114" t="e">
        <f>#REF!</f>
        <v>#REF!</v>
      </c>
      <c r="Q117" s="114" t="e">
        <f>VLOOKUP(A117,#REF!,12,FALSE)</f>
        <v>#REF!</v>
      </c>
      <c r="R117" s="120" t="e">
        <f>#REF!</f>
        <v>#REF!</v>
      </c>
      <c r="S117" s="106" t="e">
        <f>IF(Q117=0,#REF!,ROUND(Q117*R117,4))</f>
        <v>#REF!</v>
      </c>
      <c r="T117" s="121" t="e">
        <f>VLOOKUP($A117,#REF!,15,FALSE)</f>
        <v>#REF!</v>
      </c>
      <c r="U117" s="121" t="e">
        <f>VLOOKUP($A117,#REF!,19,FALSE)</f>
        <v>#REF!</v>
      </c>
      <c r="V117" s="109" t="e">
        <f t="shared" si="26"/>
        <v>#REF!</v>
      </c>
      <c r="W117" s="109" t="e">
        <f t="shared" si="27"/>
        <v>#REF!</v>
      </c>
      <c r="X117" s="105" t="e">
        <f t="shared" si="28"/>
        <v>#REF!</v>
      </c>
      <c r="Y117" s="113" t="e">
        <f t="shared" si="29"/>
        <v>#REF!</v>
      </c>
      <c r="Z117" s="109" t="e">
        <f t="shared" si="30"/>
        <v>#REF!</v>
      </c>
      <c r="AA117" s="113" t="e">
        <f t="shared" si="31"/>
        <v>#REF!</v>
      </c>
      <c r="AB117" s="109" t="e">
        <f t="shared" si="32"/>
        <v>#REF!</v>
      </c>
      <c r="AC117" s="113" t="e">
        <f t="shared" si="33"/>
        <v>#REF!</v>
      </c>
      <c r="AD117" s="105" t="e">
        <f t="shared" si="34"/>
        <v>#REF!</v>
      </c>
      <c r="AE117" s="105" t="e">
        <f t="shared" si="20"/>
        <v>#REF!</v>
      </c>
      <c r="AF117" s="105" t="e">
        <f t="shared" si="21"/>
        <v>#REF!</v>
      </c>
      <c r="AG117" s="105" t="e">
        <f t="shared" si="22"/>
        <v>#REF!</v>
      </c>
      <c r="AH117" s="111" t="e">
        <f>VLOOKUP($A117,#REF!,5,FALSE)</f>
        <v>#REF!</v>
      </c>
      <c r="AI117" s="111" t="e">
        <f>VLOOKUP($A117,#REF!,6,FALSE)</f>
        <v>#REF!</v>
      </c>
      <c r="AJ117" s="109" t="e">
        <f t="shared" si="35"/>
        <v>#REF!</v>
      </c>
      <c r="AK117" s="109" t="e">
        <f t="shared" si="36"/>
        <v>#REF!</v>
      </c>
      <c r="AL117" s="109"/>
      <c r="AM117" s="105"/>
      <c r="AN117" s="105"/>
      <c r="AO117" s="109"/>
      <c r="AP117" s="110"/>
      <c r="AQ117" s="110"/>
      <c r="AR117" s="110"/>
      <c r="AS117" s="110"/>
      <c r="AT117" s="110"/>
      <c r="AU117" s="112"/>
      <c r="AV117" s="112"/>
      <c r="AW117" s="110"/>
      <c r="AX117" s="105"/>
      <c r="AY117" s="105"/>
      <c r="AZ117" s="105"/>
      <c r="BA117" s="105"/>
      <c r="BB117" s="105"/>
      <c r="BC117" s="105"/>
    </row>
    <row r="118" spans="1:55" x14ac:dyDescent="0.15">
      <c r="A118" s="221">
        <v>218</v>
      </c>
      <c r="B118" s="98" t="e">
        <f>VLOOKUP($A118,#REF!,84,FALSE)</f>
        <v>#REF!</v>
      </c>
      <c r="C118" s="98" t="e">
        <f>VLOOKUP($A118,#REF!,85,FALSE)</f>
        <v>#REF!</v>
      </c>
      <c r="D118" s="98" t="e">
        <f>VLOOKUP($A118,#REF!,5,FALSE)</f>
        <v>#REF!</v>
      </c>
      <c r="E118" s="98" t="e">
        <f>VLOOKUP($A118,#REF!,6,FALSE)</f>
        <v>#REF!</v>
      </c>
      <c r="F118" s="105" t="e">
        <f>VLOOKUP($A118,#REF!,34,FALSE)</f>
        <v>#REF!</v>
      </c>
      <c r="G118" s="105" t="e">
        <f>VLOOKUP($A118,#REF!,29,FALSE)</f>
        <v>#REF!</v>
      </c>
      <c r="H118" s="105" t="e">
        <f>VLOOKUP(A118,#REF!,35,FALSE)+VLOOKUP(A118,#REF!,41,FALSE)</f>
        <v>#REF!</v>
      </c>
      <c r="I118" s="105" t="e">
        <f t="shared" si="23"/>
        <v>#REF!</v>
      </c>
      <c r="J118" s="105" t="e">
        <f>VLOOKUP(A118,#REF!,42,FALSE)</f>
        <v>#REF!</v>
      </c>
      <c r="K118" s="105" t="e">
        <f t="shared" si="24"/>
        <v>#REF!</v>
      </c>
      <c r="L118" s="164" t="e">
        <f t="shared" si="19"/>
        <v>#REF!</v>
      </c>
      <c r="M118" s="105" t="e">
        <f t="shared" si="25"/>
        <v>#REF!</v>
      </c>
      <c r="N118" s="105" t="e">
        <f>VLOOKUP(A118,#REF!,46,FALSE)</f>
        <v>#REF!</v>
      </c>
      <c r="O118" s="106" t="e">
        <f>VLOOKUP(A118,#REF!,9,FALSE)</f>
        <v>#REF!</v>
      </c>
      <c r="P118" s="114" t="e">
        <f>#REF!</f>
        <v>#REF!</v>
      </c>
      <c r="Q118" s="114" t="e">
        <f>VLOOKUP(A118,#REF!,12,FALSE)</f>
        <v>#REF!</v>
      </c>
      <c r="R118" s="120" t="e">
        <f>#REF!</f>
        <v>#REF!</v>
      </c>
      <c r="S118" s="106" t="e">
        <f>IF(Q118=0,#REF!,ROUND(Q118*R118,4))</f>
        <v>#REF!</v>
      </c>
      <c r="T118" s="121" t="e">
        <f>VLOOKUP($A118,#REF!,15,FALSE)</f>
        <v>#REF!</v>
      </c>
      <c r="U118" s="121" t="e">
        <f>VLOOKUP($A118,#REF!,19,FALSE)</f>
        <v>#REF!</v>
      </c>
      <c r="V118" s="109" t="e">
        <f t="shared" si="26"/>
        <v>#REF!</v>
      </c>
      <c r="W118" s="109" t="e">
        <f t="shared" si="27"/>
        <v>#REF!</v>
      </c>
      <c r="X118" s="105" t="e">
        <f t="shared" si="28"/>
        <v>#REF!</v>
      </c>
      <c r="Y118" s="113" t="e">
        <f t="shared" si="29"/>
        <v>#REF!</v>
      </c>
      <c r="Z118" s="109" t="e">
        <f t="shared" si="30"/>
        <v>#REF!</v>
      </c>
      <c r="AA118" s="113" t="e">
        <f t="shared" si="31"/>
        <v>#REF!</v>
      </c>
      <c r="AB118" s="109" t="e">
        <f t="shared" si="32"/>
        <v>#REF!</v>
      </c>
      <c r="AC118" s="113" t="e">
        <f t="shared" si="33"/>
        <v>#REF!</v>
      </c>
      <c r="AD118" s="105" t="e">
        <f t="shared" si="34"/>
        <v>#REF!</v>
      </c>
      <c r="AE118" s="105" t="e">
        <f t="shared" si="20"/>
        <v>#REF!</v>
      </c>
      <c r="AF118" s="105" t="e">
        <f t="shared" si="21"/>
        <v>#REF!</v>
      </c>
      <c r="AG118" s="105" t="e">
        <f t="shared" si="22"/>
        <v>#REF!</v>
      </c>
      <c r="AH118" s="111" t="e">
        <f>VLOOKUP($A118,#REF!,5,FALSE)</f>
        <v>#REF!</v>
      </c>
      <c r="AI118" s="111" t="e">
        <f>VLOOKUP($A118,#REF!,6,FALSE)</f>
        <v>#REF!</v>
      </c>
      <c r="AJ118" s="109" t="e">
        <f t="shared" si="35"/>
        <v>#REF!</v>
      </c>
      <c r="AK118" s="109" t="e">
        <f t="shared" si="36"/>
        <v>#REF!</v>
      </c>
      <c r="AL118" s="109"/>
      <c r="AM118" s="105"/>
      <c r="AN118" s="105"/>
      <c r="AO118" s="109"/>
      <c r="AP118" s="110"/>
      <c r="AQ118" s="110"/>
      <c r="AR118" s="110"/>
      <c r="AS118" s="110"/>
      <c r="AT118" s="110"/>
      <c r="AU118" s="112"/>
      <c r="AV118" s="112"/>
      <c r="AW118" s="110"/>
      <c r="AX118" s="105"/>
      <c r="AY118" s="105"/>
      <c r="AZ118" s="105"/>
      <c r="BA118" s="105"/>
      <c r="BB118" s="105"/>
      <c r="BC118" s="105"/>
    </row>
    <row r="119" spans="1:55" x14ac:dyDescent="0.15">
      <c r="A119" s="221">
        <v>222</v>
      </c>
      <c r="B119" s="98" t="e">
        <f>VLOOKUP($A119,#REF!,84,FALSE)</f>
        <v>#REF!</v>
      </c>
      <c r="C119" s="98" t="e">
        <f>VLOOKUP($A119,#REF!,85,FALSE)</f>
        <v>#REF!</v>
      </c>
      <c r="D119" s="98" t="e">
        <f>VLOOKUP($A119,#REF!,5,FALSE)</f>
        <v>#REF!</v>
      </c>
      <c r="E119" s="98" t="e">
        <f>VLOOKUP($A119,#REF!,6,FALSE)</f>
        <v>#REF!</v>
      </c>
      <c r="F119" s="105" t="e">
        <f>VLOOKUP($A119,#REF!,34,FALSE)</f>
        <v>#REF!</v>
      </c>
      <c r="G119" s="105" t="e">
        <f>VLOOKUP($A119,#REF!,29,FALSE)</f>
        <v>#REF!</v>
      </c>
      <c r="H119" s="105" t="e">
        <f>VLOOKUP(A119,#REF!,35,FALSE)+VLOOKUP(A119,#REF!,41,FALSE)</f>
        <v>#REF!</v>
      </c>
      <c r="I119" s="105" t="e">
        <f t="shared" si="23"/>
        <v>#REF!</v>
      </c>
      <c r="J119" s="105" t="e">
        <f>VLOOKUP(A119,#REF!,42,FALSE)</f>
        <v>#REF!</v>
      </c>
      <c r="K119" s="105" t="e">
        <f t="shared" si="24"/>
        <v>#REF!</v>
      </c>
      <c r="L119" s="164" t="e">
        <f t="shared" si="19"/>
        <v>#REF!</v>
      </c>
      <c r="M119" s="105" t="e">
        <f t="shared" si="25"/>
        <v>#REF!</v>
      </c>
      <c r="N119" s="105" t="e">
        <f>VLOOKUP(A119,#REF!,46,FALSE)</f>
        <v>#REF!</v>
      </c>
      <c r="O119" s="106" t="e">
        <f>VLOOKUP(A119,#REF!,9,FALSE)</f>
        <v>#REF!</v>
      </c>
      <c r="P119" s="114" t="e">
        <f>#REF!</f>
        <v>#REF!</v>
      </c>
      <c r="Q119" s="114" t="e">
        <f>VLOOKUP(A119,#REF!,12,FALSE)</f>
        <v>#REF!</v>
      </c>
      <c r="R119" s="120" t="e">
        <f>#REF!</f>
        <v>#REF!</v>
      </c>
      <c r="S119" s="106" t="e">
        <f>IF(Q119=0,#REF!,ROUND(Q119*R119,4))</f>
        <v>#REF!</v>
      </c>
      <c r="T119" s="121" t="e">
        <f>VLOOKUP($A119,#REF!,15,FALSE)</f>
        <v>#REF!</v>
      </c>
      <c r="U119" s="121" t="e">
        <f>VLOOKUP($A119,#REF!,19,FALSE)</f>
        <v>#REF!</v>
      </c>
      <c r="V119" s="109" t="e">
        <f t="shared" si="26"/>
        <v>#REF!</v>
      </c>
      <c r="W119" s="109" t="e">
        <f t="shared" si="27"/>
        <v>#REF!</v>
      </c>
      <c r="X119" s="105" t="e">
        <f t="shared" si="28"/>
        <v>#REF!</v>
      </c>
      <c r="Y119" s="113" t="e">
        <f t="shared" si="29"/>
        <v>#REF!</v>
      </c>
      <c r="Z119" s="109" t="e">
        <f t="shared" si="30"/>
        <v>#REF!</v>
      </c>
      <c r="AA119" s="113" t="e">
        <f t="shared" si="31"/>
        <v>#REF!</v>
      </c>
      <c r="AB119" s="109" t="e">
        <f t="shared" si="32"/>
        <v>#REF!</v>
      </c>
      <c r="AC119" s="113" t="e">
        <f t="shared" si="33"/>
        <v>#REF!</v>
      </c>
      <c r="AD119" s="105" t="e">
        <f t="shared" si="34"/>
        <v>#REF!</v>
      </c>
      <c r="AE119" s="105" t="e">
        <f t="shared" si="20"/>
        <v>#REF!</v>
      </c>
      <c r="AF119" s="105" t="e">
        <f t="shared" si="21"/>
        <v>#REF!</v>
      </c>
      <c r="AG119" s="105" t="e">
        <f t="shared" si="22"/>
        <v>#REF!</v>
      </c>
      <c r="AH119" s="111" t="e">
        <f>VLOOKUP($A119,#REF!,5,FALSE)</f>
        <v>#REF!</v>
      </c>
      <c r="AI119" s="111" t="e">
        <f>VLOOKUP($A119,#REF!,6,FALSE)</f>
        <v>#REF!</v>
      </c>
      <c r="AJ119" s="109" t="e">
        <f t="shared" si="35"/>
        <v>#REF!</v>
      </c>
      <c r="AK119" s="109" t="e">
        <f t="shared" si="36"/>
        <v>#REF!</v>
      </c>
      <c r="AL119" s="109"/>
      <c r="AM119" s="105"/>
      <c r="AN119" s="105"/>
      <c r="AO119" s="109"/>
      <c r="AP119" s="110"/>
      <c r="AQ119" s="110"/>
      <c r="AR119" s="110"/>
      <c r="AS119" s="110"/>
      <c r="AT119" s="110"/>
      <c r="AU119" s="112"/>
      <c r="AV119" s="112"/>
      <c r="AW119" s="110"/>
      <c r="AX119" s="105"/>
      <c r="AY119" s="105"/>
      <c r="AZ119" s="105"/>
      <c r="BA119" s="105"/>
      <c r="BB119" s="105"/>
      <c r="BC119" s="105"/>
    </row>
    <row r="120" spans="1:55" x14ac:dyDescent="0.15">
      <c r="A120" s="221">
        <v>230</v>
      </c>
      <c r="B120" s="98" t="e">
        <f>VLOOKUP($A120,#REF!,84,FALSE)</f>
        <v>#REF!</v>
      </c>
      <c r="C120" s="98" t="e">
        <f>VLOOKUP($A120,#REF!,85,FALSE)</f>
        <v>#REF!</v>
      </c>
      <c r="D120" s="98" t="e">
        <f>VLOOKUP($A120,#REF!,5,FALSE)</f>
        <v>#REF!</v>
      </c>
      <c r="E120" s="98" t="e">
        <f>VLOOKUP($A120,#REF!,6,FALSE)</f>
        <v>#REF!</v>
      </c>
      <c r="F120" s="105" t="e">
        <f>VLOOKUP($A120,#REF!,34,FALSE)</f>
        <v>#REF!</v>
      </c>
      <c r="G120" s="105" t="e">
        <f>VLOOKUP($A120,#REF!,29,FALSE)</f>
        <v>#REF!</v>
      </c>
      <c r="H120" s="105" t="e">
        <f>VLOOKUP(A120,#REF!,35,FALSE)+VLOOKUP(A120,#REF!,41,FALSE)</f>
        <v>#REF!</v>
      </c>
      <c r="I120" s="105" t="e">
        <f t="shared" si="23"/>
        <v>#REF!</v>
      </c>
      <c r="J120" s="105" t="e">
        <f>VLOOKUP(A120,#REF!,42,FALSE)</f>
        <v>#REF!</v>
      </c>
      <c r="K120" s="105" t="e">
        <f t="shared" si="24"/>
        <v>#REF!</v>
      </c>
      <c r="L120" s="164" t="e">
        <f t="shared" si="19"/>
        <v>#REF!</v>
      </c>
      <c r="M120" s="105" t="e">
        <f t="shared" si="25"/>
        <v>#REF!</v>
      </c>
      <c r="N120" s="105" t="e">
        <f>VLOOKUP(A120,#REF!,46,FALSE)</f>
        <v>#REF!</v>
      </c>
      <c r="O120" s="106" t="e">
        <f>VLOOKUP(A120,#REF!,9,FALSE)</f>
        <v>#REF!</v>
      </c>
      <c r="P120" s="114" t="e">
        <f>#REF!</f>
        <v>#REF!</v>
      </c>
      <c r="Q120" s="114" t="e">
        <f>VLOOKUP(A120,#REF!,12,FALSE)</f>
        <v>#REF!</v>
      </c>
      <c r="R120" s="120" t="e">
        <f>#REF!</f>
        <v>#REF!</v>
      </c>
      <c r="S120" s="106" t="e">
        <f>IF(Q120=0,#REF!,ROUND(Q120*R120,4))</f>
        <v>#REF!</v>
      </c>
      <c r="T120" s="121" t="e">
        <f>VLOOKUP($A120,#REF!,15,FALSE)</f>
        <v>#REF!</v>
      </c>
      <c r="U120" s="121" t="e">
        <f>VLOOKUP($A120,#REF!,19,FALSE)</f>
        <v>#REF!</v>
      </c>
      <c r="V120" s="109" t="e">
        <f t="shared" si="26"/>
        <v>#REF!</v>
      </c>
      <c r="W120" s="109" t="e">
        <f t="shared" si="27"/>
        <v>#REF!</v>
      </c>
      <c r="X120" s="105" t="e">
        <f t="shared" si="28"/>
        <v>#REF!</v>
      </c>
      <c r="Y120" s="113" t="e">
        <f t="shared" si="29"/>
        <v>#REF!</v>
      </c>
      <c r="Z120" s="109" t="e">
        <f t="shared" si="30"/>
        <v>#REF!</v>
      </c>
      <c r="AA120" s="113" t="e">
        <f t="shared" si="31"/>
        <v>#REF!</v>
      </c>
      <c r="AB120" s="109" t="e">
        <f t="shared" si="32"/>
        <v>#REF!</v>
      </c>
      <c r="AC120" s="113" t="e">
        <f t="shared" si="33"/>
        <v>#REF!</v>
      </c>
      <c r="AD120" s="105" t="e">
        <f t="shared" si="34"/>
        <v>#REF!</v>
      </c>
      <c r="AE120" s="105" t="e">
        <f t="shared" si="20"/>
        <v>#REF!</v>
      </c>
      <c r="AF120" s="105" t="e">
        <f t="shared" si="21"/>
        <v>#REF!</v>
      </c>
      <c r="AG120" s="105" t="e">
        <f t="shared" si="22"/>
        <v>#REF!</v>
      </c>
      <c r="AH120" s="111" t="e">
        <f>VLOOKUP($A120,#REF!,5,FALSE)</f>
        <v>#REF!</v>
      </c>
      <c r="AI120" s="111" t="e">
        <f>VLOOKUP($A120,#REF!,6,FALSE)</f>
        <v>#REF!</v>
      </c>
      <c r="AJ120" s="109" t="e">
        <f t="shared" si="35"/>
        <v>#REF!</v>
      </c>
      <c r="AK120" s="109" t="e">
        <f t="shared" si="36"/>
        <v>#REF!</v>
      </c>
      <c r="AL120" s="109"/>
      <c r="AM120" s="105"/>
      <c r="AN120" s="105"/>
      <c r="AO120" s="109"/>
      <c r="AP120" s="110"/>
      <c r="AQ120" s="110"/>
      <c r="AR120" s="110"/>
      <c r="AS120" s="110"/>
      <c r="AT120" s="110"/>
      <c r="AU120" s="112"/>
      <c r="AV120" s="112"/>
      <c r="AW120" s="110"/>
      <c r="AX120" s="105"/>
      <c r="AY120" s="105"/>
      <c r="AZ120" s="105"/>
      <c r="BA120" s="105"/>
      <c r="BB120" s="105"/>
      <c r="BC120" s="105"/>
    </row>
    <row r="121" spans="1:55" x14ac:dyDescent="0.15">
      <c r="A121" s="221">
        <v>460</v>
      </c>
      <c r="B121" s="98" t="e">
        <f>VLOOKUP($A121,#REF!,84,FALSE)</f>
        <v>#REF!</v>
      </c>
      <c r="C121" s="98" t="e">
        <f>VLOOKUP($A121,#REF!,85,FALSE)</f>
        <v>#REF!</v>
      </c>
      <c r="D121" s="98" t="e">
        <f>VLOOKUP($A121,#REF!,5,FALSE)</f>
        <v>#REF!</v>
      </c>
      <c r="E121" s="98" t="e">
        <f>VLOOKUP($A121,#REF!,6,FALSE)</f>
        <v>#REF!</v>
      </c>
      <c r="F121" s="105" t="e">
        <f>VLOOKUP($A121,#REF!,34,FALSE)</f>
        <v>#REF!</v>
      </c>
      <c r="G121" s="105" t="e">
        <f>VLOOKUP($A121,#REF!,29,FALSE)</f>
        <v>#REF!</v>
      </c>
      <c r="H121" s="105" t="e">
        <f>VLOOKUP(A121,#REF!,35,FALSE)+VLOOKUP(A121,#REF!,41,FALSE)</f>
        <v>#REF!</v>
      </c>
      <c r="I121" s="105" t="e">
        <f t="shared" si="23"/>
        <v>#REF!</v>
      </c>
      <c r="J121" s="105" t="e">
        <f>VLOOKUP(A121,#REF!,42,FALSE)</f>
        <v>#REF!</v>
      </c>
      <c r="K121" s="105" t="e">
        <f t="shared" si="24"/>
        <v>#REF!</v>
      </c>
      <c r="L121" s="164" t="e">
        <f t="shared" si="19"/>
        <v>#REF!</v>
      </c>
      <c r="M121" s="105" t="e">
        <f t="shared" si="25"/>
        <v>#REF!</v>
      </c>
      <c r="N121" s="105" t="e">
        <f>VLOOKUP(A121,#REF!,46,FALSE)</f>
        <v>#REF!</v>
      </c>
      <c r="O121" s="106" t="e">
        <f>VLOOKUP(A121,#REF!,9,FALSE)</f>
        <v>#REF!</v>
      </c>
      <c r="P121" s="114" t="e">
        <f>#REF!</f>
        <v>#REF!</v>
      </c>
      <c r="Q121" s="114" t="e">
        <f>VLOOKUP(A121,#REF!,12,FALSE)</f>
        <v>#REF!</v>
      </c>
      <c r="R121" s="120" t="e">
        <f>#REF!</f>
        <v>#REF!</v>
      </c>
      <c r="S121" s="106" t="e">
        <f>IF(Q121=0,#REF!,ROUND(Q121*R121,4))</f>
        <v>#REF!</v>
      </c>
      <c r="T121" s="121" t="e">
        <f>VLOOKUP($A121,#REF!,15,FALSE)</f>
        <v>#REF!</v>
      </c>
      <c r="U121" s="121" t="e">
        <f>VLOOKUP($A121,#REF!,19,FALSE)</f>
        <v>#REF!</v>
      </c>
      <c r="V121" s="109" t="e">
        <f t="shared" si="26"/>
        <v>#REF!</v>
      </c>
      <c r="W121" s="109" t="e">
        <f t="shared" si="27"/>
        <v>#REF!</v>
      </c>
      <c r="X121" s="105" t="e">
        <f t="shared" si="28"/>
        <v>#REF!</v>
      </c>
      <c r="Y121" s="113" t="e">
        <f t="shared" si="29"/>
        <v>#REF!</v>
      </c>
      <c r="Z121" s="109" t="e">
        <f t="shared" si="30"/>
        <v>#REF!</v>
      </c>
      <c r="AA121" s="113" t="e">
        <f t="shared" si="31"/>
        <v>#REF!</v>
      </c>
      <c r="AB121" s="109" t="e">
        <f t="shared" si="32"/>
        <v>#REF!</v>
      </c>
      <c r="AC121" s="113" t="e">
        <f t="shared" si="33"/>
        <v>#REF!</v>
      </c>
      <c r="AD121" s="105" t="e">
        <f t="shared" si="34"/>
        <v>#REF!</v>
      </c>
      <c r="AE121" s="105" t="e">
        <f t="shared" si="20"/>
        <v>#REF!</v>
      </c>
      <c r="AF121" s="105" t="e">
        <f t="shared" si="21"/>
        <v>#REF!</v>
      </c>
      <c r="AG121" s="105" t="e">
        <f t="shared" si="22"/>
        <v>#REF!</v>
      </c>
      <c r="AH121" s="111" t="e">
        <f>VLOOKUP($A121,#REF!,5,FALSE)</f>
        <v>#REF!</v>
      </c>
      <c r="AI121" s="111" t="e">
        <f>VLOOKUP($A121,#REF!,6,FALSE)</f>
        <v>#REF!</v>
      </c>
      <c r="AJ121" s="109" t="e">
        <f t="shared" si="35"/>
        <v>#REF!</v>
      </c>
      <c r="AK121" s="109" t="e">
        <f t="shared" si="36"/>
        <v>#REF!</v>
      </c>
      <c r="AL121" s="109"/>
      <c r="AM121" s="105"/>
      <c r="AN121" s="105"/>
      <c r="AO121" s="109"/>
      <c r="AP121" s="110"/>
      <c r="AQ121" s="110"/>
      <c r="AR121" s="110"/>
      <c r="AS121" s="110"/>
      <c r="AT121" s="110"/>
      <c r="AU121" s="112"/>
      <c r="AV121" s="112"/>
      <c r="AW121" s="110"/>
      <c r="AX121" s="105"/>
      <c r="AY121" s="105"/>
      <c r="AZ121" s="105"/>
      <c r="BA121" s="105"/>
      <c r="BB121" s="105"/>
      <c r="BC121" s="105"/>
    </row>
    <row r="122" spans="1:55" x14ac:dyDescent="0.15">
      <c r="A122" s="221">
        <v>238</v>
      </c>
      <c r="B122" s="98" t="e">
        <f>VLOOKUP($A122,#REF!,84,FALSE)</f>
        <v>#REF!</v>
      </c>
      <c r="C122" s="98" t="e">
        <f>VLOOKUP($A122,#REF!,85,FALSE)</f>
        <v>#REF!</v>
      </c>
      <c r="D122" s="98" t="e">
        <f>VLOOKUP($A122,#REF!,5,FALSE)</f>
        <v>#REF!</v>
      </c>
      <c r="E122" s="98" t="e">
        <f>VLOOKUP($A122,#REF!,6,FALSE)</f>
        <v>#REF!</v>
      </c>
      <c r="F122" s="105" t="e">
        <f>VLOOKUP($A122,#REF!,34,FALSE)</f>
        <v>#REF!</v>
      </c>
      <c r="G122" s="105" t="e">
        <f>VLOOKUP($A122,#REF!,29,FALSE)</f>
        <v>#REF!</v>
      </c>
      <c r="H122" s="105" t="e">
        <f>VLOOKUP(A122,#REF!,35,FALSE)+VLOOKUP(A122,#REF!,41,FALSE)</f>
        <v>#REF!</v>
      </c>
      <c r="I122" s="105" t="e">
        <f t="shared" si="23"/>
        <v>#REF!</v>
      </c>
      <c r="J122" s="105" t="e">
        <f>VLOOKUP(A122,#REF!,42,FALSE)</f>
        <v>#REF!</v>
      </c>
      <c r="K122" s="105" t="e">
        <f t="shared" si="24"/>
        <v>#REF!</v>
      </c>
      <c r="L122" s="164" t="e">
        <f t="shared" si="19"/>
        <v>#REF!</v>
      </c>
      <c r="M122" s="105" t="e">
        <f t="shared" si="25"/>
        <v>#REF!</v>
      </c>
      <c r="N122" s="105" t="e">
        <f>VLOOKUP(A122,#REF!,46,FALSE)</f>
        <v>#REF!</v>
      </c>
      <c r="O122" s="106" t="e">
        <f>VLOOKUP(A122,#REF!,9,FALSE)</f>
        <v>#REF!</v>
      </c>
      <c r="P122" s="114" t="e">
        <f>#REF!</f>
        <v>#REF!</v>
      </c>
      <c r="Q122" s="114" t="e">
        <f>VLOOKUP(A122,#REF!,12,FALSE)</f>
        <v>#REF!</v>
      </c>
      <c r="R122" s="120" t="e">
        <f>#REF!</f>
        <v>#REF!</v>
      </c>
      <c r="S122" s="106" t="e">
        <f>IF(Q122=0,#REF!,ROUND(Q122*R122,4))</f>
        <v>#REF!</v>
      </c>
      <c r="T122" s="121" t="e">
        <f>VLOOKUP($A122,#REF!,15,FALSE)</f>
        <v>#REF!</v>
      </c>
      <c r="U122" s="121" t="e">
        <f>VLOOKUP($A122,#REF!,19,FALSE)</f>
        <v>#REF!</v>
      </c>
      <c r="V122" s="109" t="e">
        <f t="shared" si="26"/>
        <v>#REF!</v>
      </c>
      <c r="W122" s="109" t="e">
        <f t="shared" si="27"/>
        <v>#REF!</v>
      </c>
      <c r="X122" s="105" t="e">
        <f t="shared" si="28"/>
        <v>#REF!</v>
      </c>
      <c r="Y122" s="113" t="e">
        <f t="shared" si="29"/>
        <v>#REF!</v>
      </c>
      <c r="Z122" s="109" t="e">
        <f t="shared" si="30"/>
        <v>#REF!</v>
      </c>
      <c r="AA122" s="113" t="e">
        <f t="shared" si="31"/>
        <v>#REF!</v>
      </c>
      <c r="AB122" s="109" t="e">
        <f t="shared" si="32"/>
        <v>#REF!</v>
      </c>
      <c r="AC122" s="113" t="e">
        <f t="shared" si="33"/>
        <v>#REF!</v>
      </c>
      <c r="AD122" s="105" t="e">
        <f t="shared" si="34"/>
        <v>#REF!</v>
      </c>
      <c r="AE122" s="105" t="e">
        <f t="shared" si="20"/>
        <v>#REF!</v>
      </c>
      <c r="AF122" s="105" t="e">
        <f t="shared" si="21"/>
        <v>#REF!</v>
      </c>
      <c r="AG122" s="105" t="e">
        <f t="shared" si="22"/>
        <v>#REF!</v>
      </c>
      <c r="AH122" s="111" t="e">
        <f>VLOOKUP($A122,#REF!,5,FALSE)</f>
        <v>#REF!</v>
      </c>
      <c r="AI122" s="111" t="e">
        <f>VLOOKUP($A122,#REF!,6,FALSE)</f>
        <v>#REF!</v>
      </c>
      <c r="AJ122" s="109" t="e">
        <f t="shared" si="35"/>
        <v>#REF!</v>
      </c>
      <c r="AK122" s="109" t="e">
        <f t="shared" si="36"/>
        <v>#REF!</v>
      </c>
      <c r="AL122" s="109"/>
      <c r="AM122" s="105"/>
      <c r="AN122" s="105"/>
      <c r="AO122" s="109"/>
      <c r="AP122" s="110"/>
      <c r="AQ122" s="110"/>
      <c r="AR122" s="110"/>
      <c r="AS122" s="110"/>
      <c r="AT122" s="110"/>
      <c r="AU122" s="112"/>
      <c r="AV122" s="112"/>
      <c r="AW122" s="110"/>
      <c r="AX122" s="105"/>
      <c r="AY122" s="105"/>
      <c r="AZ122" s="105"/>
      <c r="BA122" s="105"/>
      <c r="BB122" s="105"/>
      <c r="BC122" s="105"/>
    </row>
    <row r="123" spans="1:55" x14ac:dyDescent="0.15">
      <c r="A123" s="221">
        <v>242</v>
      </c>
      <c r="B123" s="98" t="e">
        <f>VLOOKUP($A123,#REF!,84,FALSE)</f>
        <v>#REF!</v>
      </c>
      <c r="C123" s="98" t="e">
        <f>VLOOKUP($A123,#REF!,85,FALSE)</f>
        <v>#REF!</v>
      </c>
      <c r="D123" s="98" t="e">
        <f>VLOOKUP($A123,#REF!,5,FALSE)</f>
        <v>#REF!</v>
      </c>
      <c r="E123" s="98" t="e">
        <f>VLOOKUP($A123,#REF!,6,FALSE)</f>
        <v>#REF!</v>
      </c>
      <c r="F123" s="105" t="e">
        <f>VLOOKUP($A123,#REF!,34,FALSE)</f>
        <v>#REF!</v>
      </c>
      <c r="G123" s="105" t="e">
        <f>VLOOKUP($A123,#REF!,29,FALSE)</f>
        <v>#REF!</v>
      </c>
      <c r="H123" s="105" t="e">
        <f>VLOOKUP(A123,#REF!,35,FALSE)+VLOOKUP(A123,#REF!,41,FALSE)</f>
        <v>#REF!</v>
      </c>
      <c r="I123" s="105" t="e">
        <f t="shared" si="23"/>
        <v>#REF!</v>
      </c>
      <c r="J123" s="105" t="e">
        <f>VLOOKUP(A123,#REF!,42,FALSE)</f>
        <v>#REF!</v>
      </c>
      <c r="K123" s="105" t="e">
        <f t="shared" si="24"/>
        <v>#REF!</v>
      </c>
      <c r="L123" s="164" t="e">
        <f t="shared" si="19"/>
        <v>#REF!</v>
      </c>
      <c r="M123" s="105" t="e">
        <f t="shared" si="25"/>
        <v>#REF!</v>
      </c>
      <c r="N123" s="105" t="e">
        <f>VLOOKUP(A123,#REF!,46,FALSE)</f>
        <v>#REF!</v>
      </c>
      <c r="O123" s="106" t="e">
        <f>VLOOKUP(A123,#REF!,9,FALSE)</f>
        <v>#REF!</v>
      </c>
      <c r="P123" s="114" t="e">
        <f>#REF!</f>
        <v>#REF!</v>
      </c>
      <c r="Q123" s="114" t="e">
        <f>VLOOKUP(A123,#REF!,12,FALSE)</f>
        <v>#REF!</v>
      </c>
      <c r="R123" s="120" t="e">
        <f>#REF!</f>
        <v>#REF!</v>
      </c>
      <c r="S123" s="106" t="e">
        <f>IF(Q123=0,#REF!,ROUND(Q123*R123,4))</f>
        <v>#REF!</v>
      </c>
      <c r="T123" s="121" t="e">
        <f>VLOOKUP($A123,#REF!,15,FALSE)</f>
        <v>#REF!</v>
      </c>
      <c r="U123" s="121" t="e">
        <f>VLOOKUP($A123,#REF!,19,FALSE)</f>
        <v>#REF!</v>
      </c>
      <c r="V123" s="109" t="e">
        <f t="shared" si="26"/>
        <v>#REF!</v>
      </c>
      <c r="W123" s="109" t="e">
        <f t="shared" si="27"/>
        <v>#REF!</v>
      </c>
      <c r="X123" s="105" t="e">
        <f t="shared" si="28"/>
        <v>#REF!</v>
      </c>
      <c r="Y123" s="113" t="e">
        <f t="shared" si="29"/>
        <v>#REF!</v>
      </c>
      <c r="Z123" s="109" t="e">
        <f t="shared" si="30"/>
        <v>#REF!</v>
      </c>
      <c r="AA123" s="113" t="e">
        <f t="shared" si="31"/>
        <v>#REF!</v>
      </c>
      <c r="AB123" s="109" t="e">
        <f t="shared" si="32"/>
        <v>#REF!</v>
      </c>
      <c r="AC123" s="113" t="e">
        <f t="shared" si="33"/>
        <v>#REF!</v>
      </c>
      <c r="AD123" s="105" t="e">
        <f t="shared" si="34"/>
        <v>#REF!</v>
      </c>
      <c r="AE123" s="105" t="e">
        <f t="shared" si="20"/>
        <v>#REF!</v>
      </c>
      <c r="AF123" s="105" t="e">
        <f t="shared" si="21"/>
        <v>#REF!</v>
      </c>
      <c r="AG123" s="105" t="e">
        <f t="shared" si="22"/>
        <v>#REF!</v>
      </c>
      <c r="AH123" s="111" t="e">
        <f>VLOOKUP($A123,#REF!,5,FALSE)</f>
        <v>#REF!</v>
      </c>
      <c r="AI123" s="111" t="e">
        <f>VLOOKUP($A123,#REF!,6,FALSE)</f>
        <v>#REF!</v>
      </c>
      <c r="AJ123" s="109" t="e">
        <f t="shared" si="35"/>
        <v>#REF!</v>
      </c>
      <c r="AK123" s="109" t="e">
        <f t="shared" si="36"/>
        <v>#REF!</v>
      </c>
      <c r="AL123" s="109"/>
      <c r="AM123" s="105"/>
      <c r="AN123" s="105"/>
      <c r="AO123" s="109"/>
      <c r="AP123" s="110"/>
      <c r="AQ123" s="110"/>
      <c r="AR123" s="110"/>
      <c r="AS123" s="110"/>
      <c r="AT123" s="110"/>
      <c r="AU123" s="112"/>
      <c r="AV123" s="112"/>
      <c r="AW123" s="110"/>
      <c r="AX123" s="105"/>
      <c r="AY123" s="105"/>
      <c r="AZ123" s="105"/>
      <c r="BA123" s="105"/>
      <c r="BB123" s="105"/>
      <c r="BC123" s="105"/>
    </row>
    <row r="124" spans="1:55" x14ac:dyDescent="0.15">
      <c r="A124" s="221">
        <v>244</v>
      </c>
      <c r="B124" s="98" t="e">
        <f>VLOOKUP($A124,#REF!,84,FALSE)</f>
        <v>#REF!</v>
      </c>
      <c r="C124" s="98" t="e">
        <f>VLOOKUP($A124,#REF!,85,FALSE)</f>
        <v>#REF!</v>
      </c>
      <c r="D124" s="98" t="e">
        <f>VLOOKUP($A124,#REF!,5,FALSE)</f>
        <v>#REF!</v>
      </c>
      <c r="E124" s="98" t="e">
        <f>VLOOKUP($A124,#REF!,6,FALSE)</f>
        <v>#REF!</v>
      </c>
      <c r="F124" s="105" t="e">
        <f>VLOOKUP($A124,#REF!,34,FALSE)</f>
        <v>#REF!</v>
      </c>
      <c r="G124" s="105" t="e">
        <f>VLOOKUP($A124,#REF!,29,FALSE)</f>
        <v>#REF!</v>
      </c>
      <c r="H124" s="105" t="e">
        <f>VLOOKUP(A124,#REF!,35,FALSE)+VLOOKUP(A124,#REF!,41,FALSE)</f>
        <v>#REF!</v>
      </c>
      <c r="I124" s="105" t="e">
        <f t="shared" si="23"/>
        <v>#REF!</v>
      </c>
      <c r="J124" s="105" t="e">
        <f>VLOOKUP(A124,#REF!,42,FALSE)</f>
        <v>#REF!</v>
      </c>
      <c r="K124" s="105" t="e">
        <f t="shared" si="24"/>
        <v>#REF!</v>
      </c>
      <c r="L124" s="164" t="e">
        <f t="shared" si="19"/>
        <v>#REF!</v>
      </c>
      <c r="M124" s="105" t="e">
        <f t="shared" si="25"/>
        <v>#REF!</v>
      </c>
      <c r="N124" s="105" t="e">
        <f>VLOOKUP(A124,#REF!,46,FALSE)</f>
        <v>#REF!</v>
      </c>
      <c r="O124" s="106" t="e">
        <f>VLOOKUP(A124,#REF!,9,FALSE)</f>
        <v>#REF!</v>
      </c>
      <c r="P124" s="114" t="e">
        <f>#REF!</f>
        <v>#REF!</v>
      </c>
      <c r="Q124" s="114" t="e">
        <f>VLOOKUP(A124,#REF!,12,FALSE)</f>
        <v>#REF!</v>
      </c>
      <c r="R124" s="120" t="e">
        <f>#REF!</f>
        <v>#REF!</v>
      </c>
      <c r="S124" s="106" t="e">
        <f>IF(Q124=0,#REF!,ROUND(Q124*R124,4))</f>
        <v>#REF!</v>
      </c>
      <c r="T124" s="121" t="e">
        <f>VLOOKUP($A124,#REF!,15,FALSE)</f>
        <v>#REF!</v>
      </c>
      <c r="U124" s="121" t="e">
        <f>VLOOKUP($A124,#REF!,19,FALSE)</f>
        <v>#REF!</v>
      </c>
      <c r="V124" s="109" t="e">
        <f t="shared" si="26"/>
        <v>#REF!</v>
      </c>
      <c r="W124" s="109" t="e">
        <f t="shared" si="27"/>
        <v>#REF!</v>
      </c>
      <c r="X124" s="105" t="e">
        <f t="shared" si="28"/>
        <v>#REF!</v>
      </c>
      <c r="Y124" s="113" t="e">
        <f t="shared" si="29"/>
        <v>#REF!</v>
      </c>
      <c r="Z124" s="109" t="e">
        <f t="shared" si="30"/>
        <v>#REF!</v>
      </c>
      <c r="AA124" s="113" t="e">
        <f t="shared" si="31"/>
        <v>#REF!</v>
      </c>
      <c r="AB124" s="109" t="e">
        <f t="shared" si="32"/>
        <v>#REF!</v>
      </c>
      <c r="AC124" s="113" t="e">
        <f t="shared" si="33"/>
        <v>#REF!</v>
      </c>
      <c r="AD124" s="105" t="e">
        <f t="shared" si="34"/>
        <v>#REF!</v>
      </c>
      <c r="AE124" s="105" t="e">
        <f t="shared" si="20"/>
        <v>#REF!</v>
      </c>
      <c r="AF124" s="105" t="e">
        <f t="shared" si="21"/>
        <v>#REF!</v>
      </c>
      <c r="AG124" s="105" t="e">
        <f t="shared" si="22"/>
        <v>#REF!</v>
      </c>
      <c r="AH124" s="111" t="e">
        <f>VLOOKUP($A124,#REF!,5,FALSE)</f>
        <v>#REF!</v>
      </c>
      <c r="AI124" s="111" t="e">
        <f>VLOOKUP($A124,#REF!,6,FALSE)</f>
        <v>#REF!</v>
      </c>
      <c r="AJ124" s="109" t="e">
        <f t="shared" si="35"/>
        <v>#REF!</v>
      </c>
      <c r="AK124" s="109" t="e">
        <f t="shared" si="36"/>
        <v>#REF!</v>
      </c>
      <c r="AL124" s="109"/>
      <c r="AM124" s="105"/>
      <c r="AN124" s="105"/>
      <c r="AO124" s="109"/>
      <c r="AP124" s="110"/>
      <c r="AQ124" s="110"/>
      <c r="AR124" s="110"/>
      <c r="AS124" s="110"/>
      <c r="AT124" s="110"/>
      <c r="AU124" s="112"/>
      <c r="AV124" s="112"/>
      <c r="AW124" s="110"/>
      <c r="AX124" s="105"/>
      <c r="AY124" s="105"/>
      <c r="AZ124" s="105"/>
      <c r="BA124" s="105"/>
      <c r="BB124" s="105"/>
      <c r="BC124" s="105"/>
    </row>
    <row r="125" spans="1:55" x14ac:dyDescent="0.15">
      <c r="A125" s="221">
        <v>226</v>
      </c>
      <c r="B125" s="98" t="e">
        <f>VLOOKUP($A125,#REF!,84,FALSE)</f>
        <v>#REF!</v>
      </c>
      <c r="C125" s="98" t="e">
        <f>VLOOKUP($A125,#REF!,85,FALSE)</f>
        <v>#REF!</v>
      </c>
      <c r="D125" s="98" t="e">
        <f>VLOOKUP($A125,#REF!,5,FALSE)</f>
        <v>#REF!</v>
      </c>
      <c r="E125" s="98" t="e">
        <f>VLOOKUP($A125,#REF!,6,FALSE)</f>
        <v>#REF!</v>
      </c>
      <c r="F125" s="105" t="e">
        <f>VLOOKUP($A125,#REF!,34,FALSE)</f>
        <v>#REF!</v>
      </c>
      <c r="G125" s="105" t="e">
        <f>VLOOKUP($A125,#REF!,29,FALSE)</f>
        <v>#REF!</v>
      </c>
      <c r="H125" s="105" t="e">
        <f>VLOOKUP(A125,#REF!,35,FALSE)+VLOOKUP(A125,#REF!,41,FALSE)</f>
        <v>#REF!</v>
      </c>
      <c r="I125" s="105" t="e">
        <f t="shared" si="23"/>
        <v>#REF!</v>
      </c>
      <c r="J125" s="105" t="e">
        <f>VLOOKUP(A125,#REF!,42,FALSE)</f>
        <v>#REF!</v>
      </c>
      <c r="K125" s="105" t="e">
        <f t="shared" si="24"/>
        <v>#REF!</v>
      </c>
      <c r="L125" s="164" t="e">
        <f t="shared" si="19"/>
        <v>#REF!</v>
      </c>
      <c r="M125" s="105" t="e">
        <f t="shared" si="25"/>
        <v>#REF!</v>
      </c>
      <c r="N125" s="105" t="e">
        <f>VLOOKUP(A125,#REF!,46,FALSE)</f>
        <v>#REF!</v>
      </c>
      <c r="O125" s="106" t="e">
        <f>VLOOKUP(A125,#REF!,9,FALSE)</f>
        <v>#REF!</v>
      </c>
      <c r="P125" s="114" t="e">
        <f>#REF!</f>
        <v>#REF!</v>
      </c>
      <c r="Q125" s="114" t="e">
        <f>VLOOKUP(A125,#REF!,12,FALSE)</f>
        <v>#REF!</v>
      </c>
      <c r="R125" s="120" t="e">
        <f>#REF!</f>
        <v>#REF!</v>
      </c>
      <c r="S125" s="106" t="e">
        <f>IF(Q125=0,#REF!,ROUND(Q125*R125,4))</f>
        <v>#REF!</v>
      </c>
      <c r="T125" s="121" t="e">
        <f>VLOOKUP($A125,#REF!,15,FALSE)</f>
        <v>#REF!</v>
      </c>
      <c r="U125" s="121" t="e">
        <f>VLOOKUP($A125,#REF!,19,FALSE)</f>
        <v>#REF!</v>
      </c>
      <c r="V125" s="109" t="e">
        <f t="shared" si="26"/>
        <v>#REF!</v>
      </c>
      <c r="W125" s="109" t="e">
        <f t="shared" si="27"/>
        <v>#REF!</v>
      </c>
      <c r="X125" s="105" t="e">
        <f t="shared" si="28"/>
        <v>#REF!</v>
      </c>
      <c r="Y125" s="113" t="e">
        <f t="shared" si="29"/>
        <v>#REF!</v>
      </c>
      <c r="Z125" s="109" t="e">
        <f t="shared" si="30"/>
        <v>#REF!</v>
      </c>
      <c r="AA125" s="113" t="e">
        <f t="shared" si="31"/>
        <v>#REF!</v>
      </c>
      <c r="AB125" s="109" t="e">
        <f t="shared" si="32"/>
        <v>#REF!</v>
      </c>
      <c r="AC125" s="113" t="e">
        <f t="shared" si="33"/>
        <v>#REF!</v>
      </c>
      <c r="AD125" s="105" t="e">
        <f t="shared" si="34"/>
        <v>#REF!</v>
      </c>
      <c r="AE125" s="105" t="e">
        <f t="shared" si="20"/>
        <v>#REF!</v>
      </c>
      <c r="AF125" s="105" t="e">
        <f t="shared" si="21"/>
        <v>#REF!</v>
      </c>
      <c r="AG125" s="105" t="e">
        <f t="shared" si="22"/>
        <v>#REF!</v>
      </c>
      <c r="AH125" s="111" t="e">
        <f>VLOOKUP($A125,#REF!,5,FALSE)</f>
        <v>#REF!</v>
      </c>
      <c r="AI125" s="111" t="e">
        <f>VLOOKUP($A125,#REF!,6,FALSE)</f>
        <v>#REF!</v>
      </c>
      <c r="AJ125" s="109" t="e">
        <f t="shared" si="35"/>
        <v>#REF!</v>
      </c>
      <c r="AK125" s="109" t="e">
        <f t="shared" si="36"/>
        <v>#REF!</v>
      </c>
      <c r="AL125" s="109"/>
      <c r="AM125" s="105"/>
      <c r="AN125" s="105"/>
      <c r="AO125" s="109"/>
      <c r="AP125" s="110"/>
      <c r="AQ125" s="110"/>
      <c r="AR125" s="110"/>
      <c r="AS125" s="110"/>
      <c r="AT125" s="110"/>
      <c r="AU125" s="112"/>
      <c r="AV125" s="112"/>
      <c r="AW125" s="110"/>
      <c r="AX125" s="105"/>
      <c r="AY125" s="105"/>
      <c r="AZ125" s="105"/>
      <c r="BA125" s="105"/>
      <c r="BB125" s="105"/>
      <c r="BC125" s="105"/>
    </row>
    <row r="126" spans="1:55" x14ac:dyDescent="0.15">
      <c r="A126" s="221">
        <v>1194</v>
      </c>
      <c r="B126" s="98" t="e">
        <f>VLOOKUP($A126,#REF!,84,FALSE)</f>
        <v>#REF!</v>
      </c>
      <c r="C126" s="98" t="e">
        <f>VLOOKUP($A126,#REF!,85,FALSE)</f>
        <v>#REF!</v>
      </c>
      <c r="D126" s="98" t="e">
        <f>VLOOKUP($A126,#REF!,5,FALSE)</f>
        <v>#REF!</v>
      </c>
      <c r="E126" s="98" t="e">
        <f>VLOOKUP($A126,#REF!,6,FALSE)</f>
        <v>#REF!</v>
      </c>
      <c r="F126" s="105" t="e">
        <f>VLOOKUP($A126,#REF!,34,FALSE)</f>
        <v>#REF!</v>
      </c>
      <c r="G126" s="105" t="e">
        <f>VLOOKUP($A126,#REF!,29,FALSE)</f>
        <v>#REF!</v>
      </c>
      <c r="H126" s="105" t="e">
        <f>VLOOKUP(A126,#REF!,35,FALSE)+VLOOKUP(A126,#REF!,41,FALSE)</f>
        <v>#REF!</v>
      </c>
      <c r="I126" s="105" t="e">
        <f t="shared" si="23"/>
        <v>#REF!</v>
      </c>
      <c r="J126" s="105" t="e">
        <f>VLOOKUP(A126,#REF!,42,FALSE)</f>
        <v>#REF!</v>
      </c>
      <c r="K126" s="105" t="e">
        <f t="shared" si="24"/>
        <v>#REF!</v>
      </c>
      <c r="L126" s="164" t="e">
        <f t="shared" si="19"/>
        <v>#REF!</v>
      </c>
      <c r="M126" s="105" t="e">
        <f t="shared" si="25"/>
        <v>#REF!</v>
      </c>
      <c r="N126" s="105" t="e">
        <f>VLOOKUP(A126,#REF!,46,FALSE)</f>
        <v>#REF!</v>
      </c>
      <c r="O126" s="106" t="e">
        <f>VLOOKUP(A126,#REF!,9,FALSE)</f>
        <v>#REF!</v>
      </c>
      <c r="P126" s="114" t="e">
        <f>#REF!</f>
        <v>#REF!</v>
      </c>
      <c r="Q126" s="114" t="e">
        <f>VLOOKUP(A126,#REF!,12,FALSE)</f>
        <v>#REF!</v>
      </c>
      <c r="R126" s="120" t="e">
        <f>#REF!</f>
        <v>#REF!</v>
      </c>
      <c r="S126" s="106" t="e">
        <f>IF(Q126=0,#REF!,ROUND(Q126*R126,4))</f>
        <v>#REF!</v>
      </c>
      <c r="T126" s="121" t="e">
        <f>VLOOKUP($A126,#REF!,15,FALSE)</f>
        <v>#REF!</v>
      </c>
      <c r="U126" s="121" t="e">
        <f>VLOOKUP($A126,#REF!,19,FALSE)</f>
        <v>#REF!</v>
      </c>
      <c r="V126" s="109" t="e">
        <f t="shared" si="26"/>
        <v>#REF!</v>
      </c>
      <c r="W126" s="109" t="e">
        <f t="shared" si="27"/>
        <v>#REF!</v>
      </c>
      <c r="X126" s="105" t="e">
        <f t="shared" si="28"/>
        <v>#REF!</v>
      </c>
      <c r="Y126" s="113" t="e">
        <f t="shared" si="29"/>
        <v>#REF!</v>
      </c>
      <c r="Z126" s="109" t="e">
        <f t="shared" si="30"/>
        <v>#REF!</v>
      </c>
      <c r="AA126" s="113" t="e">
        <f t="shared" si="31"/>
        <v>#REF!</v>
      </c>
      <c r="AB126" s="109" t="e">
        <f t="shared" si="32"/>
        <v>#REF!</v>
      </c>
      <c r="AC126" s="113" t="e">
        <f t="shared" si="33"/>
        <v>#REF!</v>
      </c>
      <c r="AD126" s="105" t="e">
        <f t="shared" si="34"/>
        <v>#REF!</v>
      </c>
      <c r="AE126" s="105" t="e">
        <f t="shared" si="20"/>
        <v>#REF!</v>
      </c>
      <c r="AF126" s="105" t="e">
        <f t="shared" si="21"/>
        <v>#REF!</v>
      </c>
      <c r="AG126" s="105" t="e">
        <f t="shared" si="22"/>
        <v>#REF!</v>
      </c>
      <c r="AH126" s="111" t="e">
        <f>VLOOKUP($A126,#REF!,5,FALSE)</f>
        <v>#REF!</v>
      </c>
      <c r="AI126" s="111" t="e">
        <f>VLOOKUP($A126,#REF!,6,FALSE)</f>
        <v>#REF!</v>
      </c>
      <c r="AJ126" s="109" t="e">
        <f t="shared" si="35"/>
        <v>#REF!</v>
      </c>
      <c r="AK126" s="109" t="e">
        <f t="shared" si="36"/>
        <v>#REF!</v>
      </c>
      <c r="AL126" s="109"/>
      <c r="AM126" s="105"/>
      <c r="AN126" s="105"/>
      <c r="AO126" s="109"/>
      <c r="AP126" s="110"/>
      <c r="AQ126" s="110"/>
      <c r="AR126" s="110"/>
      <c r="AS126" s="110"/>
      <c r="AT126" s="110"/>
      <c r="AU126" s="112"/>
      <c r="AV126" s="112"/>
      <c r="AW126" s="110"/>
      <c r="AX126" s="105"/>
      <c r="AY126" s="105"/>
      <c r="AZ126" s="105"/>
      <c r="BA126" s="105"/>
      <c r="BB126" s="105"/>
      <c r="BC126" s="105"/>
    </row>
    <row r="127" spans="1:55" x14ac:dyDescent="0.15">
      <c r="A127" s="221">
        <v>254</v>
      </c>
      <c r="B127" s="98" t="e">
        <f>VLOOKUP($A127,#REF!,84,FALSE)</f>
        <v>#REF!</v>
      </c>
      <c r="C127" s="98" t="e">
        <f>VLOOKUP($A127,#REF!,85,FALSE)</f>
        <v>#REF!</v>
      </c>
      <c r="D127" s="98" t="e">
        <f>VLOOKUP($A127,#REF!,5,FALSE)</f>
        <v>#REF!</v>
      </c>
      <c r="E127" s="98" t="e">
        <f>VLOOKUP($A127,#REF!,6,FALSE)</f>
        <v>#REF!</v>
      </c>
      <c r="F127" s="105" t="e">
        <f>VLOOKUP($A127,#REF!,34,FALSE)</f>
        <v>#REF!</v>
      </c>
      <c r="G127" s="105" t="e">
        <f>VLOOKUP($A127,#REF!,29,FALSE)</f>
        <v>#REF!</v>
      </c>
      <c r="H127" s="105" t="e">
        <f>VLOOKUP(A127,#REF!,35,FALSE)+VLOOKUP(A127,#REF!,41,FALSE)</f>
        <v>#REF!</v>
      </c>
      <c r="I127" s="105" t="e">
        <f t="shared" si="23"/>
        <v>#REF!</v>
      </c>
      <c r="J127" s="105" t="e">
        <f>VLOOKUP(A127,#REF!,42,FALSE)</f>
        <v>#REF!</v>
      </c>
      <c r="K127" s="105" t="e">
        <f t="shared" si="24"/>
        <v>#REF!</v>
      </c>
      <c r="L127" s="164" t="e">
        <f t="shared" si="19"/>
        <v>#REF!</v>
      </c>
      <c r="M127" s="105" t="e">
        <f t="shared" si="25"/>
        <v>#REF!</v>
      </c>
      <c r="N127" s="105" t="e">
        <f>VLOOKUP(A127,#REF!,46,FALSE)</f>
        <v>#REF!</v>
      </c>
      <c r="O127" s="106" t="e">
        <f>VLOOKUP(A127,#REF!,9,FALSE)</f>
        <v>#REF!</v>
      </c>
      <c r="P127" s="114" t="e">
        <f>#REF!</f>
        <v>#REF!</v>
      </c>
      <c r="Q127" s="114" t="e">
        <f>VLOOKUP(A127,#REF!,12,FALSE)</f>
        <v>#REF!</v>
      </c>
      <c r="R127" s="120" t="e">
        <f>#REF!</f>
        <v>#REF!</v>
      </c>
      <c r="S127" s="106" t="e">
        <f>IF(Q127=0,#REF!,ROUND(Q127*R127,4))</f>
        <v>#REF!</v>
      </c>
      <c r="T127" s="121" t="e">
        <f>VLOOKUP($A127,#REF!,15,FALSE)</f>
        <v>#REF!</v>
      </c>
      <c r="U127" s="121" t="e">
        <f>VLOOKUP($A127,#REF!,19,FALSE)</f>
        <v>#REF!</v>
      </c>
      <c r="V127" s="109" t="e">
        <f t="shared" si="26"/>
        <v>#REF!</v>
      </c>
      <c r="W127" s="109" t="e">
        <f t="shared" si="27"/>
        <v>#REF!</v>
      </c>
      <c r="X127" s="105" t="e">
        <f t="shared" si="28"/>
        <v>#REF!</v>
      </c>
      <c r="Y127" s="113" t="e">
        <f t="shared" si="29"/>
        <v>#REF!</v>
      </c>
      <c r="Z127" s="109" t="e">
        <f t="shared" si="30"/>
        <v>#REF!</v>
      </c>
      <c r="AA127" s="113" t="e">
        <f t="shared" si="31"/>
        <v>#REF!</v>
      </c>
      <c r="AB127" s="109" t="e">
        <f t="shared" si="32"/>
        <v>#REF!</v>
      </c>
      <c r="AC127" s="113" t="e">
        <f t="shared" si="33"/>
        <v>#REF!</v>
      </c>
      <c r="AD127" s="105" t="e">
        <f t="shared" si="34"/>
        <v>#REF!</v>
      </c>
      <c r="AE127" s="105" t="e">
        <f t="shared" si="20"/>
        <v>#REF!</v>
      </c>
      <c r="AF127" s="105" t="e">
        <f t="shared" si="21"/>
        <v>#REF!</v>
      </c>
      <c r="AG127" s="105" t="e">
        <f t="shared" si="22"/>
        <v>#REF!</v>
      </c>
      <c r="AH127" s="111" t="e">
        <f>VLOOKUP($A127,#REF!,5,FALSE)</f>
        <v>#REF!</v>
      </c>
      <c r="AI127" s="111" t="e">
        <f>VLOOKUP($A127,#REF!,6,FALSE)</f>
        <v>#REF!</v>
      </c>
      <c r="AJ127" s="109" t="e">
        <f t="shared" si="35"/>
        <v>#REF!</v>
      </c>
      <c r="AK127" s="109" t="e">
        <f t="shared" si="36"/>
        <v>#REF!</v>
      </c>
      <c r="AL127" s="109"/>
      <c r="AM127" s="105"/>
      <c r="AN127" s="105"/>
      <c r="AO127" s="109"/>
      <c r="AP127" s="110"/>
      <c r="AQ127" s="110"/>
      <c r="AR127" s="110"/>
      <c r="AS127" s="110"/>
      <c r="AT127" s="110"/>
      <c r="AU127" s="112"/>
      <c r="AV127" s="112"/>
      <c r="AW127" s="110"/>
      <c r="AX127" s="105"/>
      <c r="AY127" s="105"/>
      <c r="AZ127" s="105"/>
      <c r="BA127" s="105"/>
      <c r="BB127" s="105"/>
      <c r="BC127" s="105"/>
    </row>
    <row r="128" spans="1:55" x14ac:dyDescent="0.15">
      <c r="A128" s="221">
        <v>256</v>
      </c>
      <c r="B128" s="98" t="e">
        <f>VLOOKUP($A128,#REF!,84,FALSE)</f>
        <v>#REF!</v>
      </c>
      <c r="C128" s="98" t="e">
        <f>VLOOKUP($A128,#REF!,85,FALSE)</f>
        <v>#REF!</v>
      </c>
      <c r="D128" s="98" t="e">
        <f>VLOOKUP($A128,#REF!,5,FALSE)</f>
        <v>#REF!</v>
      </c>
      <c r="E128" s="98" t="e">
        <f>VLOOKUP($A128,#REF!,6,FALSE)</f>
        <v>#REF!</v>
      </c>
      <c r="F128" s="105" t="e">
        <f>VLOOKUP($A128,#REF!,34,FALSE)</f>
        <v>#REF!</v>
      </c>
      <c r="G128" s="105" t="e">
        <f>VLOOKUP($A128,#REF!,29,FALSE)</f>
        <v>#REF!</v>
      </c>
      <c r="H128" s="105" t="e">
        <f>VLOOKUP(A128,#REF!,35,FALSE)+VLOOKUP(A128,#REF!,41,FALSE)</f>
        <v>#REF!</v>
      </c>
      <c r="I128" s="105" t="e">
        <f t="shared" si="23"/>
        <v>#REF!</v>
      </c>
      <c r="J128" s="105" t="e">
        <f>VLOOKUP(A128,#REF!,42,FALSE)</f>
        <v>#REF!</v>
      </c>
      <c r="K128" s="105" t="e">
        <f t="shared" si="24"/>
        <v>#REF!</v>
      </c>
      <c r="L128" s="164" t="e">
        <f t="shared" si="19"/>
        <v>#REF!</v>
      </c>
      <c r="M128" s="105" t="e">
        <f t="shared" si="25"/>
        <v>#REF!</v>
      </c>
      <c r="N128" s="105" t="e">
        <f>VLOOKUP(A128,#REF!,46,FALSE)</f>
        <v>#REF!</v>
      </c>
      <c r="O128" s="106" t="e">
        <f>VLOOKUP(A128,#REF!,9,FALSE)</f>
        <v>#REF!</v>
      </c>
      <c r="P128" s="114" t="e">
        <f>#REF!</f>
        <v>#REF!</v>
      </c>
      <c r="Q128" s="114" t="e">
        <f>VLOOKUP(A128,#REF!,12,FALSE)</f>
        <v>#REF!</v>
      </c>
      <c r="R128" s="120" t="e">
        <f>#REF!</f>
        <v>#REF!</v>
      </c>
      <c r="S128" s="106" t="e">
        <f>IF(Q128=0,#REF!,ROUND(Q128*R128,4))</f>
        <v>#REF!</v>
      </c>
      <c r="T128" s="121" t="e">
        <f>VLOOKUP($A128,#REF!,15,FALSE)</f>
        <v>#REF!</v>
      </c>
      <c r="U128" s="121" t="e">
        <f>VLOOKUP($A128,#REF!,19,FALSE)</f>
        <v>#REF!</v>
      </c>
      <c r="V128" s="109" t="e">
        <f t="shared" si="26"/>
        <v>#REF!</v>
      </c>
      <c r="W128" s="109" t="e">
        <f t="shared" si="27"/>
        <v>#REF!</v>
      </c>
      <c r="X128" s="105" t="e">
        <f t="shared" si="28"/>
        <v>#REF!</v>
      </c>
      <c r="Y128" s="113" t="e">
        <f t="shared" si="29"/>
        <v>#REF!</v>
      </c>
      <c r="Z128" s="109" t="e">
        <f t="shared" si="30"/>
        <v>#REF!</v>
      </c>
      <c r="AA128" s="113" t="e">
        <f t="shared" si="31"/>
        <v>#REF!</v>
      </c>
      <c r="AB128" s="109" t="e">
        <f t="shared" si="32"/>
        <v>#REF!</v>
      </c>
      <c r="AC128" s="113" t="e">
        <f t="shared" si="33"/>
        <v>#REF!</v>
      </c>
      <c r="AD128" s="105" t="e">
        <f t="shared" si="34"/>
        <v>#REF!</v>
      </c>
      <c r="AE128" s="105" t="e">
        <f t="shared" si="20"/>
        <v>#REF!</v>
      </c>
      <c r="AF128" s="105" t="e">
        <f t="shared" si="21"/>
        <v>#REF!</v>
      </c>
      <c r="AG128" s="105" t="e">
        <f t="shared" si="22"/>
        <v>#REF!</v>
      </c>
      <c r="AH128" s="111" t="e">
        <f>VLOOKUP($A128,#REF!,5,FALSE)</f>
        <v>#REF!</v>
      </c>
      <c r="AI128" s="111" t="e">
        <f>VLOOKUP($A128,#REF!,6,FALSE)</f>
        <v>#REF!</v>
      </c>
      <c r="AJ128" s="109" t="e">
        <f t="shared" si="35"/>
        <v>#REF!</v>
      </c>
      <c r="AK128" s="109" t="e">
        <f t="shared" si="36"/>
        <v>#REF!</v>
      </c>
      <c r="AL128" s="109"/>
      <c r="AM128" s="105"/>
      <c r="AN128" s="105"/>
      <c r="AO128" s="109"/>
      <c r="AP128" s="110"/>
      <c r="AQ128" s="110"/>
      <c r="AR128" s="110"/>
      <c r="AS128" s="110"/>
      <c r="AT128" s="110"/>
      <c r="AU128" s="112"/>
      <c r="AV128" s="112"/>
      <c r="AW128" s="110"/>
      <c r="AX128" s="105"/>
      <c r="AY128" s="105"/>
      <c r="AZ128" s="105"/>
      <c r="BA128" s="105"/>
      <c r="BB128" s="105"/>
      <c r="BC128" s="105"/>
    </row>
    <row r="129" spans="1:55" x14ac:dyDescent="0.15">
      <c r="A129" s="221">
        <v>258</v>
      </c>
      <c r="B129" s="98" t="e">
        <f>VLOOKUP($A129,#REF!,84,FALSE)</f>
        <v>#REF!</v>
      </c>
      <c r="C129" s="98" t="e">
        <f>VLOOKUP($A129,#REF!,85,FALSE)</f>
        <v>#REF!</v>
      </c>
      <c r="D129" s="98" t="e">
        <f>VLOOKUP($A129,#REF!,5,FALSE)</f>
        <v>#REF!</v>
      </c>
      <c r="E129" s="98" t="e">
        <f>VLOOKUP($A129,#REF!,6,FALSE)</f>
        <v>#REF!</v>
      </c>
      <c r="F129" s="105" t="e">
        <f>VLOOKUP($A129,#REF!,34,FALSE)</f>
        <v>#REF!</v>
      </c>
      <c r="G129" s="105" t="e">
        <f>VLOOKUP($A129,#REF!,29,FALSE)</f>
        <v>#REF!</v>
      </c>
      <c r="H129" s="105" t="e">
        <f>VLOOKUP(A129,#REF!,35,FALSE)+VLOOKUP(A129,#REF!,41,FALSE)</f>
        <v>#REF!</v>
      </c>
      <c r="I129" s="105" t="e">
        <f t="shared" si="23"/>
        <v>#REF!</v>
      </c>
      <c r="J129" s="105" t="e">
        <f>VLOOKUP(A129,#REF!,42,FALSE)</f>
        <v>#REF!</v>
      </c>
      <c r="K129" s="105" t="e">
        <f t="shared" si="24"/>
        <v>#REF!</v>
      </c>
      <c r="L129" s="164" t="e">
        <f t="shared" si="19"/>
        <v>#REF!</v>
      </c>
      <c r="M129" s="105" t="e">
        <f t="shared" si="25"/>
        <v>#REF!</v>
      </c>
      <c r="N129" s="105" t="e">
        <f>VLOOKUP(A129,#REF!,46,FALSE)</f>
        <v>#REF!</v>
      </c>
      <c r="O129" s="106" t="e">
        <f>VLOOKUP(A129,#REF!,9,FALSE)</f>
        <v>#REF!</v>
      </c>
      <c r="P129" s="114" t="e">
        <f>#REF!</f>
        <v>#REF!</v>
      </c>
      <c r="Q129" s="114" t="e">
        <f>VLOOKUP(A129,#REF!,12,FALSE)</f>
        <v>#REF!</v>
      </c>
      <c r="R129" s="120" t="e">
        <f>#REF!</f>
        <v>#REF!</v>
      </c>
      <c r="S129" s="106" t="e">
        <f>IF(Q129=0,#REF!,ROUND(Q129*R129,4))</f>
        <v>#REF!</v>
      </c>
      <c r="T129" s="121" t="e">
        <f>VLOOKUP($A129,#REF!,15,FALSE)</f>
        <v>#REF!</v>
      </c>
      <c r="U129" s="121" t="e">
        <f>VLOOKUP($A129,#REF!,19,FALSE)</f>
        <v>#REF!</v>
      </c>
      <c r="V129" s="109" t="e">
        <f t="shared" si="26"/>
        <v>#REF!</v>
      </c>
      <c r="W129" s="109" t="e">
        <f t="shared" si="27"/>
        <v>#REF!</v>
      </c>
      <c r="X129" s="105" t="e">
        <f t="shared" si="28"/>
        <v>#REF!</v>
      </c>
      <c r="Y129" s="113" t="e">
        <f t="shared" si="29"/>
        <v>#REF!</v>
      </c>
      <c r="Z129" s="109" t="e">
        <f t="shared" si="30"/>
        <v>#REF!</v>
      </c>
      <c r="AA129" s="113" t="e">
        <f t="shared" si="31"/>
        <v>#REF!</v>
      </c>
      <c r="AB129" s="109" t="e">
        <f t="shared" si="32"/>
        <v>#REF!</v>
      </c>
      <c r="AC129" s="113" t="e">
        <f t="shared" si="33"/>
        <v>#REF!</v>
      </c>
      <c r="AD129" s="105" t="e">
        <f t="shared" si="34"/>
        <v>#REF!</v>
      </c>
      <c r="AE129" s="105" t="e">
        <f t="shared" si="20"/>
        <v>#REF!</v>
      </c>
      <c r="AF129" s="105" t="e">
        <f t="shared" si="21"/>
        <v>#REF!</v>
      </c>
      <c r="AG129" s="105" t="e">
        <f t="shared" si="22"/>
        <v>#REF!</v>
      </c>
      <c r="AH129" s="111" t="e">
        <f>VLOOKUP($A129,#REF!,5,FALSE)</f>
        <v>#REF!</v>
      </c>
      <c r="AI129" s="111" t="e">
        <f>VLOOKUP($A129,#REF!,6,FALSE)</f>
        <v>#REF!</v>
      </c>
      <c r="AJ129" s="109" t="e">
        <f t="shared" si="35"/>
        <v>#REF!</v>
      </c>
      <c r="AK129" s="109" t="e">
        <f t="shared" si="36"/>
        <v>#REF!</v>
      </c>
      <c r="AL129" s="109"/>
      <c r="AM129" s="105"/>
      <c r="AN129" s="105"/>
      <c r="AO129" s="109"/>
      <c r="AP129" s="110"/>
      <c r="AQ129" s="110"/>
      <c r="AR129" s="110"/>
      <c r="AS129" s="110"/>
      <c r="AT129" s="110"/>
      <c r="AU129" s="112"/>
      <c r="AV129" s="112"/>
      <c r="AW129" s="110"/>
      <c r="AX129" s="105"/>
      <c r="AY129" s="105"/>
      <c r="AZ129" s="105"/>
      <c r="BA129" s="105"/>
      <c r="BB129" s="105"/>
      <c r="BC129" s="105"/>
    </row>
    <row r="130" spans="1:55" x14ac:dyDescent="0.15">
      <c r="A130" s="221">
        <v>336</v>
      </c>
      <c r="B130" s="98" t="e">
        <f>VLOOKUP($A130,#REF!,84,FALSE)</f>
        <v>#REF!</v>
      </c>
      <c r="C130" s="98" t="e">
        <f>VLOOKUP($A130,#REF!,85,FALSE)</f>
        <v>#REF!</v>
      </c>
      <c r="D130" s="98" t="e">
        <f>VLOOKUP($A130,#REF!,5,FALSE)</f>
        <v>#REF!</v>
      </c>
      <c r="E130" s="98" t="e">
        <f>VLOOKUP($A130,#REF!,6,FALSE)</f>
        <v>#REF!</v>
      </c>
      <c r="F130" s="105" t="e">
        <f>VLOOKUP($A130,#REF!,34,FALSE)</f>
        <v>#REF!</v>
      </c>
      <c r="G130" s="105" t="e">
        <f>VLOOKUP($A130,#REF!,29,FALSE)</f>
        <v>#REF!</v>
      </c>
      <c r="H130" s="105" t="e">
        <f>VLOOKUP(A130,#REF!,35,FALSE)+VLOOKUP(A130,#REF!,41,FALSE)</f>
        <v>#REF!</v>
      </c>
      <c r="I130" s="105" t="e">
        <f t="shared" si="23"/>
        <v>#REF!</v>
      </c>
      <c r="J130" s="105" t="e">
        <f>VLOOKUP(A130,#REF!,42,FALSE)</f>
        <v>#REF!</v>
      </c>
      <c r="K130" s="105" t="e">
        <f t="shared" si="24"/>
        <v>#REF!</v>
      </c>
      <c r="L130" s="164" t="e">
        <f t="shared" si="19"/>
        <v>#REF!</v>
      </c>
      <c r="M130" s="105" t="e">
        <f t="shared" si="25"/>
        <v>#REF!</v>
      </c>
      <c r="N130" s="105" t="e">
        <f>VLOOKUP(A130,#REF!,46,FALSE)</f>
        <v>#REF!</v>
      </c>
      <c r="O130" s="106" t="e">
        <f>VLOOKUP(A130,#REF!,9,FALSE)</f>
        <v>#REF!</v>
      </c>
      <c r="P130" s="114" t="e">
        <f>#REF!</f>
        <v>#REF!</v>
      </c>
      <c r="Q130" s="114" t="e">
        <f>VLOOKUP(A130,#REF!,12,FALSE)</f>
        <v>#REF!</v>
      </c>
      <c r="R130" s="120" t="e">
        <f>#REF!</f>
        <v>#REF!</v>
      </c>
      <c r="S130" s="106" t="e">
        <f>IF(Q130=0,#REF!,ROUND(Q130*R130,4))</f>
        <v>#REF!</v>
      </c>
      <c r="T130" s="121" t="e">
        <f>VLOOKUP($A130,#REF!,15,FALSE)</f>
        <v>#REF!</v>
      </c>
      <c r="U130" s="121" t="e">
        <f>VLOOKUP($A130,#REF!,19,FALSE)</f>
        <v>#REF!</v>
      </c>
      <c r="V130" s="109" t="e">
        <f t="shared" si="26"/>
        <v>#REF!</v>
      </c>
      <c r="W130" s="109" t="e">
        <f t="shared" si="27"/>
        <v>#REF!</v>
      </c>
      <c r="X130" s="105" t="e">
        <f t="shared" si="28"/>
        <v>#REF!</v>
      </c>
      <c r="Y130" s="113" t="e">
        <f t="shared" si="29"/>
        <v>#REF!</v>
      </c>
      <c r="Z130" s="109" t="e">
        <f t="shared" si="30"/>
        <v>#REF!</v>
      </c>
      <c r="AA130" s="113" t="e">
        <f t="shared" si="31"/>
        <v>#REF!</v>
      </c>
      <c r="AB130" s="109" t="e">
        <f t="shared" si="32"/>
        <v>#REF!</v>
      </c>
      <c r="AC130" s="113" t="e">
        <f t="shared" si="33"/>
        <v>#REF!</v>
      </c>
      <c r="AD130" s="105" t="e">
        <f t="shared" si="34"/>
        <v>#REF!</v>
      </c>
      <c r="AE130" s="105" t="e">
        <f t="shared" si="20"/>
        <v>#REF!</v>
      </c>
      <c r="AF130" s="105" t="e">
        <f t="shared" si="21"/>
        <v>#REF!</v>
      </c>
      <c r="AG130" s="105" t="e">
        <f t="shared" si="22"/>
        <v>#REF!</v>
      </c>
      <c r="AH130" s="111" t="e">
        <f>VLOOKUP($A130,#REF!,5,FALSE)</f>
        <v>#REF!</v>
      </c>
      <c r="AI130" s="111" t="e">
        <f>VLOOKUP($A130,#REF!,6,FALSE)</f>
        <v>#REF!</v>
      </c>
      <c r="AJ130" s="109" t="e">
        <f t="shared" si="35"/>
        <v>#REF!</v>
      </c>
      <c r="AK130" s="109" t="e">
        <f t="shared" si="36"/>
        <v>#REF!</v>
      </c>
      <c r="AL130" s="109"/>
      <c r="AM130" s="105"/>
      <c r="AN130" s="105"/>
      <c r="AO130" s="109"/>
      <c r="AP130" s="110"/>
      <c r="AQ130" s="110"/>
      <c r="AR130" s="110"/>
      <c r="AS130" s="110"/>
      <c r="AT130" s="110"/>
      <c r="AU130" s="112"/>
      <c r="AV130" s="112"/>
      <c r="AW130" s="110"/>
      <c r="AX130" s="105"/>
      <c r="AY130" s="105"/>
      <c r="AZ130" s="105"/>
      <c r="BA130" s="105"/>
      <c r="BB130" s="105"/>
      <c r="BC130" s="105"/>
    </row>
    <row r="131" spans="1:55" x14ac:dyDescent="0.15">
      <c r="A131" s="221">
        <v>312</v>
      </c>
      <c r="B131" s="98" t="e">
        <f>VLOOKUP($A131,#REF!,84,FALSE)</f>
        <v>#REF!</v>
      </c>
      <c r="C131" s="98" t="e">
        <f>VLOOKUP($A131,#REF!,85,FALSE)</f>
        <v>#REF!</v>
      </c>
      <c r="D131" s="98" t="e">
        <f>VLOOKUP($A131,#REF!,5,FALSE)</f>
        <v>#REF!</v>
      </c>
      <c r="E131" s="98" t="e">
        <f>VLOOKUP($A131,#REF!,6,FALSE)</f>
        <v>#REF!</v>
      </c>
      <c r="F131" s="105" t="e">
        <f>VLOOKUP($A131,#REF!,34,FALSE)</f>
        <v>#REF!</v>
      </c>
      <c r="G131" s="105" t="e">
        <f>VLOOKUP($A131,#REF!,29,FALSE)</f>
        <v>#REF!</v>
      </c>
      <c r="H131" s="105" t="e">
        <f>VLOOKUP(A131,#REF!,35,FALSE)+VLOOKUP(A131,#REF!,41,FALSE)</f>
        <v>#REF!</v>
      </c>
      <c r="I131" s="105" t="e">
        <f t="shared" si="23"/>
        <v>#REF!</v>
      </c>
      <c r="J131" s="105" t="e">
        <f>VLOOKUP(A131,#REF!,42,FALSE)</f>
        <v>#REF!</v>
      </c>
      <c r="K131" s="105" t="e">
        <f t="shared" si="24"/>
        <v>#REF!</v>
      </c>
      <c r="L131" s="164" t="e">
        <f t="shared" ref="L131:L194" si="37">+BAF</f>
        <v>#REF!</v>
      </c>
      <c r="M131" s="105" t="e">
        <f t="shared" si="25"/>
        <v>#REF!</v>
      </c>
      <c r="N131" s="105" t="e">
        <f>VLOOKUP(A131,#REF!,46,FALSE)</f>
        <v>#REF!</v>
      </c>
      <c r="O131" s="106" t="e">
        <f>VLOOKUP(A131,#REF!,9,FALSE)</f>
        <v>#REF!</v>
      </c>
      <c r="P131" s="114" t="e">
        <f>#REF!</f>
        <v>#REF!</v>
      </c>
      <c r="Q131" s="114" t="e">
        <f>VLOOKUP(A131,#REF!,12,FALSE)</f>
        <v>#REF!</v>
      </c>
      <c r="R131" s="120" t="e">
        <f>#REF!</f>
        <v>#REF!</v>
      </c>
      <c r="S131" s="106" t="e">
        <f>IF(Q131=0,#REF!,ROUND(Q131*R131,4))</f>
        <v>#REF!</v>
      </c>
      <c r="T131" s="121" t="e">
        <f>VLOOKUP($A131,#REF!,15,FALSE)</f>
        <v>#REF!</v>
      </c>
      <c r="U131" s="121" t="e">
        <f>VLOOKUP($A131,#REF!,19,FALSE)</f>
        <v>#REF!</v>
      </c>
      <c r="V131" s="109" t="e">
        <f t="shared" si="26"/>
        <v>#REF!</v>
      </c>
      <c r="W131" s="109" t="e">
        <f t="shared" si="27"/>
        <v>#REF!</v>
      </c>
      <c r="X131" s="105" t="e">
        <f t="shared" si="28"/>
        <v>#REF!</v>
      </c>
      <c r="Y131" s="113" t="e">
        <f t="shared" si="29"/>
        <v>#REF!</v>
      </c>
      <c r="Z131" s="109" t="e">
        <f t="shared" si="30"/>
        <v>#REF!</v>
      </c>
      <c r="AA131" s="113" t="e">
        <f t="shared" si="31"/>
        <v>#REF!</v>
      </c>
      <c r="AB131" s="109" t="e">
        <f t="shared" si="32"/>
        <v>#REF!</v>
      </c>
      <c r="AC131" s="113" t="e">
        <f t="shared" si="33"/>
        <v>#REF!</v>
      </c>
      <c r="AD131" s="105" t="e">
        <f t="shared" si="34"/>
        <v>#REF!</v>
      </c>
      <c r="AE131" s="105" t="e">
        <f t="shared" ref="AE131:AE192" si="38">+M131+N131</f>
        <v>#REF!</v>
      </c>
      <c r="AF131" s="105" t="e">
        <f t="shared" ref="AF131:AF192" si="39">+AC131+N131</f>
        <v>#REF!</v>
      </c>
      <c r="AG131" s="105" t="e">
        <f t="shared" ref="AG131:AG192" si="40">+AD131+N131</f>
        <v>#REF!</v>
      </c>
      <c r="AH131" s="111" t="e">
        <f>VLOOKUP($A131,#REF!,5,FALSE)</f>
        <v>#REF!</v>
      </c>
      <c r="AI131" s="111" t="e">
        <f>VLOOKUP($A131,#REF!,6,FALSE)</f>
        <v>#REF!</v>
      </c>
      <c r="AJ131" s="109" t="e">
        <f t="shared" si="35"/>
        <v>#REF!</v>
      </c>
      <c r="AK131" s="109" t="e">
        <f t="shared" si="36"/>
        <v>#REF!</v>
      </c>
      <c r="AL131" s="109"/>
      <c r="AM131" s="105"/>
      <c r="AN131" s="105"/>
      <c r="AO131" s="109"/>
      <c r="AP131" s="110"/>
      <c r="AQ131" s="110"/>
      <c r="AR131" s="110"/>
      <c r="AS131" s="110"/>
      <c r="AT131" s="110"/>
      <c r="AU131" s="112"/>
      <c r="AV131" s="112"/>
      <c r="AW131" s="110"/>
      <c r="AX131" s="105"/>
      <c r="AY131" s="105"/>
      <c r="AZ131" s="105"/>
      <c r="BA131" s="105"/>
      <c r="BB131" s="105"/>
      <c r="BC131" s="105"/>
    </row>
    <row r="132" spans="1:55" x14ac:dyDescent="0.15">
      <c r="A132" s="221">
        <v>737</v>
      </c>
      <c r="B132" s="98" t="e">
        <f>VLOOKUP($A132,#REF!,84,FALSE)</f>
        <v>#REF!</v>
      </c>
      <c r="C132" s="98" t="e">
        <f>VLOOKUP($A132,#REF!,85,FALSE)</f>
        <v>#REF!</v>
      </c>
      <c r="D132" s="98" t="e">
        <f>VLOOKUP($A132,#REF!,5,FALSE)</f>
        <v>#REF!</v>
      </c>
      <c r="E132" s="98" t="e">
        <f>VLOOKUP($A132,#REF!,6,FALSE)</f>
        <v>#REF!</v>
      </c>
      <c r="F132" s="105" t="e">
        <f>VLOOKUP($A132,#REF!,34,FALSE)</f>
        <v>#REF!</v>
      </c>
      <c r="G132" s="105" t="e">
        <f>VLOOKUP($A132,#REF!,29,FALSE)</f>
        <v>#REF!</v>
      </c>
      <c r="H132" s="105" t="e">
        <f>VLOOKUP(A132,#REF!,35,FALSE)+VLOOKUP(A132,#REF!,41,FALSE)</f>
        <v>#REF!</v>
      </c>
      <c r="I132" s="105" t="e">
        <f t="shared" ref="I132:I193" si="41">+Y132</f>
        <v>#REF!</v>
      </c>
      <c r="J132" s="105" t="e">
        <f>VLOOKUP(A132,#REF!,42,FALSE)</f>
        <v>#REF!</v>
      </c>
      <c r="K132" s="105" t="e">
        <f t="shared" ref="K132:K193" si="42">SUM(F132:J132)</f>
        <v>#REF!</v>
      </c>
      <c r="L132" s="164" t="e">
        <f t="shared" si="37"/>
        <v>#REF!</v>
      </c>
      <c r="M132" s="105" t="e">
        <f t="shared" ref="M132:M193" si="43">ROUND(K132*L132,2)</f>
        <v>#REF!</v>
      </c>
      <c r="N132" s="105" t="e">
        <f>VLOOKUP(A132,#REF!,46,FALSE)</f>
        <v>#REF!</v>
      </c>
      <c r="O132" s="106" t="e">
        <f>VLOOKUP(A132,#REF!,9,FALSE)</f>
        <v>#REF!</v>
      </c>
      <c r="P132" s="114" t="e">
        <f>#REF!</f>
        <v>#REF!</v>
      </c>
      <c r="Q132" s="114" t="e">
        <f>VLOOKUP(A132,#REF!,12,FALSE)</f>
        <v>#REF!</v>
      </c>
      <c r="R132" s="120" t="e">
        <f>#REF!</f>
        <v>#REF!</v>
      </c>
      <c r="S132" s="106" t="e">
        <f>IF(Q132=0,#REF!,ROUND(Q132*R132,4))</f>
        <v>#REF!</v>
      </c>
      <c r="T132" s="121" t="e">
        <f>VLOOKUP($A132,#REF!,15,FALSE)</f>
        <v>#REF!</v>
      </c>
      <c r="U132" s="121" t="e">
        <f>VLOOKUP($A132,#REF!,19,FALSE)</f>
        <v>#REF!</v>
      </c>
      <c r="V132" s="109" t="e">
        <f t="shared" ref="V132:V193" si="44">IF($O132="NA","NA",ROUND(U132*(O132/P132),2))</f>
        <v>#REF!</v>
      </c>
      <c r="W132" s="109" t="e">
        <f t="shared" ref="W132:W193" si="45">IF($O132="NA",ROUND(U132*S132,2),ROUND(V132*(S132/O132),2))</f>
        <v>#REF!</v>
      </c>
      <c r="X132" s="105" t="e">
        <f t="shared" ref="X132:X193" si="46">IF(O132="NA","NA",ROUND(MAX(0,AB132)*-1,2))</f>
        <v>#REF!</v>
      </c>
      <c r="Y132" s="113" t="e">
        <f t="shared" ref="Y132:Y193" si="47">IF(O132="NA", W132,W132+X132)</f>
        <v>#REF!</v>
      </c>
      <c r="Z132" s="109" t="e">
        <f t="shared" ref="Z132:Z193" si="48">IF(O132="NA","NA",ROUND(T132*(S132/O132),2))</f>
        <v>#REF!</v>
      </c>
      <c r="AA132" s="113" t="e">
        <f t="shared" ref="AA132:AA193" si="49">IF(O132="NA","NA",ROUND(W132*0.95,2))</f>
        <v>#REF!</v>
      </c>
      <c r="AB132" s="109" t="e">
        <f t="shared" ref="AB132:AB193" si="50">IF(O132="NA","NA",AA132-Z132)</f>
        <v>#REF!</v>
      </c>
      <c r="AC132" s="113" t="e">
        <f t="shared" ref="AC132:AC193" si="51">+F132+G132+H132+ROUND((I132*0.5),2)+J132</f>
        <v>#REF!</v>
      </c>
      <c r="AD132" s="105" t="e">
        <f t="shared" ref="AD132:AD193" si="52">+F132+G132+H132+J132</f>
        <v>#REF!</v>
      </c>
      <c r="AE132" s="105" t="e">
        <f t="shared" si="38"/>
        <v>#REF!</v>
      </c>
      <c r="AF132" s="105" t="e">
        <f t="shared" si="39"/>
        <v>#REF!</v>
      </c>
      <c r="AG132" s="105" t="e">
        <f t="shared" si="40"/>
        <v>#REF!</v>
      </c>
      <c r="AH132" s="111" t="e">
        <f>VLOOKUP($A132,#REF!,5,FALSE)</f>
        <v>#REF!</v>
      </c>
      <c r="AI132" s="111" t="e">
        <f>VLOOKUP($A132,#REF!,6,FALSE)</f>
        <v>#REF!</v>
      </c>
      <c r="AJ132" s="109" t="e">
        <f t="shared" ref="AJ132:AJ195" si="53">ROUND((AH132*0.75)+(AE132*0.25),2)</f>
        <v>#REF!</v>
      </c>
      <c r="AK132" s="109" t="e">
        <f t="shared" ref="AK132:AK195" si="54">ROUND((AI132*0.75)+(AF132*0.25),2)</f>
        <v>#REF!</v>
      </c>
      <c r="AL132" s="109"/>
      <c r="AM132" s="105"/>
      <c r="AN132" s="105"/>
      <c r="AO132" s="109"/>
      <c r="AP132" s="110"/>
      <c r="AQ132" s="110"/>
      <c r="AR132" s="110"/>
      <c r="AS132" s="110"/>
      <c r="AT132" s="110"/>
      <c r="AU132" s="112"/>
      <c r="AV132" s="112"/>
      <c r="AW132" s="110"/>
      <c r="AX132" s="105"/>
      <c r="AY132" s="105"/>
      <c r="AZ132" s="105"/>
      <c r="BA132" s="105"/>
      <c r="BB132" s="105"/>
      <c r="BC132" s="105"/>
    </row>
    <row r="133" spans="1:55" x14ac:dyDescent="0.15">
      <c r="A133" s="221">
        <v>268</v>
      </c>
      <c r="B133" s="98" t="e">
        <f>VLOOKUP($A133,#REF!,84,FALSE)</f>
        <v>#REF!</v>
      </c>
      <c r="C133" s="98" t="e">
        <f>VLOOKUP($A133,#REF!,85,FALSE)</f>
        <v>#REF!</v>
      </c>
      <c r="D133" s="98" t="e">
        <f>VLOOKUP($A133,#REF!,5,FALSE)</f>
        <v>#REF!</v>
      </c>
      <c r="E133" s="98" t="e">
        <f>VLOOKUP($A133,#REF!,6,FALSE)</f>
        <v>#REF!</v>
      </c>
      <c r="F133" s="105" t="e">
        <f>VLOOKUP($A133,#REF!,34,FALSE)</f>
        <v>#REF!</v>
      </c>
      <c r="G133" s="105" t="e">
        <f>VLOOKUP($A133,#REF!,29,FALSE)</f>
        <v>#REF!</v>
      </c>
      <c r="H133" s="105" t="e">
        <f>VLOOKUP(A133,#REF!,35,FALSE)+VLOOKUP(A133,#REF!,41,FALSE)</f>
        <v>#REF!</v>
      </c>
      <c r="I133" s="105" t="e">
        <f t="shared" si="41"/>
        <v>#REF!</v>
      </c>
      <c r="J133" s="105" t="e">
        <f>VLOOKUP(A133,#REF!,42,FALSE)</f>
        <v>#REF!</v>
      </c>
      <c r="K133" s="105" t="e">
        <f t="shared" si="42"/>
        <v>#REF!</v>
      </c>
      <c r="L133" s="164" t="e">
        <f t="shared" si="37"/>
        <v>#REF!</v>
      </c>
      <c r="M133" s="105" t="e">
        <f t="shared" si="43"/>
        <v>#REF!</v>
      </c>
      <c r="N133" s="105" t="e">
        <f>VLOOKUP(A133,#REF!,46,FALSE)</f>
        <v>#REF!</v>
      </c>
      <c r="O133" s="106" t="e">
        <f>VLOOKUP(A133,#REF!,9,FALSE)</f>
        <v>#REF!</v>
      </c>
      <c r="P133" s="114" t="e">
        <f>#REF!</f>
        <v>#REF!</v>
      </c>
      <c r="Q133" s="114" t="e">
        <f>VLOOKUP(A133,#REF!,12,FALSE)</f>
        <v>#REF!</v>
      </c>
      <c r="R133" s="120" t="e">
        <f>#REF!</f>
        <v>#REF!</v>
      </c>
      <c r="S133" s="106" t="e">
        <f>IF(Q133=0,#REF!,ROUND(Q133*R133,4))</f>
        <v>#REF!</v>
      </c>
      <c r="T133" s="121" t="e">
        <f>VLOOKUP($A133,#REF!,15,FALSE)</f>
        <v>#REF!</v>
      </c>
      <c r="U133" s="121" t="e">
        <f>VLOOKUP($A133,#REF!,19,FALSE)</f>
        <v>#REF!</v>
      </c>
      <c r="V133" s="109" t="e">
        <f t="shared" si="44"/>
        <v>#REF!</v>
      </c>
      <c r="W133" s="109" t="e">
        <f t="shared" si="45"/>
        <v>#REF!</v>
      </c>
      <c r="X133" s="105" t="e">
        <f t="shared" si="46"/>
        <v>#REF!</v>
      </c>
      <c r="Y133" s="113" t="e">
        <f t="shared" si="47"/>
        <v>#REF!</v>
      </c>
      <c r="Z133" s="109" t="e">
        <f t="shared" si="48"/>
        <v>#REF!</v>
      </c>
      <c r="AA133" s="113" t="e">
        <f t="shared" si="49"/>
        <v>#REF!</v>
      </c>
      <c r="AB133" s="109" t="e">
        <f t="shared" si="50"/>
        <v>#REF!</v>
      </c>
      <c r="AC133" s="113" t="e">
        <f t="shared" si="51"/>
        <v>#REF!</v>
      </c>
      <c r="AD133" s="105" t="e">
        <f t="shared" si="52"/>
        <v>#REF!</v>
      </c>
      <c r="AE133" s="105" t="e">
        <f t="shared" si="38"/>
        <v>#REF!</v>
      </c>
      <c r="AF133" s="105" t="e">
        <f t="shared" si="39"/>
        <v>#REF!</v>
      </c>
      <c r="AG133" s="105" t="e">
        <f t="shared" si="40"/>
        <v>#REF!</v>
      </c>
      <c r="AH133" s="111" t="e">
        <f>VLOOKUP($A133,#REF!,5,FALSE)</f>
        <v>#REF!</v>
      </c>
      <c r="AI133" s="111" t="e">
        <f>VLOOKUP($A133,#REF!,6,FALSE)</f>
        <v>#REF!</v>
      </c>
      <c r="AJ133" s="109" t="e">
        <f t="shared" si="53"/>
        <v>#REF!</v>
      </c>
      <c r="AK133" s="109" t="e">
        <f t="shared" si="54"/>
        <v>#REF!</v>
      </c>
      <c r="AL133" s="109"/>
      <c r="AM133" s="105"/>
      <c r="AN133" s="105"/>
      <c r="AO133" s="109"/>
      <c r="AP133" s="110"/>
      <c r="AQ133" s="110"/>
      <c r="AR133" s="110"/>
      <c r="AS133" s="110"/>
      <c r="AT133" s="110"/>
      <c r="AU133" s="112"/>
      <c r="AV133" s="112"/>
      <c r="AW133" s="110"/>
      <c r="AX133" s="105"/>
      <c r="AY133" s="105"/>
      <c r="AZ133" s="105"/>
      <c r="BA133" s="105"/>
      <c r="BB133" s="105"/>
      <c r="BC133" s="105"/>
    </row>
    <row r="134" spans="1:55" x14ac:dyDescent="0.15">
      <c r="A134" s="221">
        <v>270</v>
      </c>
      <c r="B134" s="98" t="e">
        <f>VLOOKUP($A134,#REF!,84,FALSE)</f>
        <v>#REF!</v>
      </c>
      <c r="C134" s="98" t="e">
        <f>VLOOKUP($A134,#REF!,85,FALSE)</f>
        <v>#REF!</v>
      </c>
      <c r="D134" s="98" t="e">
        <f>VLOOKUP($A134,#REF!,5,FALSE)</f>
        <v>#REF!</v>
      </c>
      <c r="E134" s="98" t="e">
        <f>VLOOKUP($A134,#REF!,6,FALSE)</f>
        <v>#REF!</v>
      </c>
      <c r="F134" s="105" t="e">
        <f>VLOOKUP($A134,#REF!,34,FALSE)</f>
        <v>#REF!</v>
      </c>
      <c r="G134" s="105" t="e">
        <f>VLOOKUP($A134,#REF!,29,FALSE)</f>
        <v>#REF!</v>
      </c>
      <c r="H134" s="105" t="e">
        <f>VLOOKUP(A134,#REF!,35,FALSE)+VLOOKUP(A134,#REF!,41,FALSE)</f>
        <v>#REF!</v>
      </c>
      <c r="I134" s="105" t="e">
        <f t="shared" si="41"/>
        <v>#REF!</v>
      </c>
      <c r="J134" s="105" t="e">
        <f>VLOOKUP(A134,#REF!,42,FALSE)</f>
        <v>#REF!</v>
      </c>
      <c r="K134" s="105" t="e">
        <f t="shared" si="42"/>
        <v>#REF!</v>
      </c>
      <c r="L134" s="164" t="e">
        <f t="shared" si="37"/>
        <v>#REF!</v>
      </c>
      <c r="M134" s="105" t="e">
        <f t="shared" si="43"/>
        <v>#REF!</v>
      </c>
      <c r="N134" s="105" t="e">
        <f>VLOOKUP(A134,#REF!,46,FALSE)</f>
        <v>#REF!</v>
      </c>
      <c r="O134" s="106" t="e">
        <f>VLOOKUP(A134,#REF!,9,FALSE)</f>
        <v>#REF!</v>
      </c>
      <c r="P134" s="114" t="e">
        <f>#REF!</f>
        <v>#REF!</v>
      </c>
      <c r="Q134" s="114" t="e">
        <f>VLOOKUP(A134,#REF!,12,FALSE)</f>
        <v>#REF!</v>
      </c>
      <c r="R134" s="120" t="e">
        <f>#REF!</f>
        <v>#REF!</v>
      </c>
      <c r="S134" s="106" t="e">
        <f>IF(Q134=0,#REF!,ROUND(Q134*R134,4))</f>
        <v>#REF!</v>
      </c>
      <c r="T134" s="121" t="e">
        <f>VLOOKUP($A134,#REF!,15,FALSE)</f>
        <v>#REF!</v>
      </c>
      <c r="U134" s="121" t="e">
        <f>VLOOKUP($A134,#REF!,19,FALSE)</f>
        <v>#REF!</v>
      </c>
      <c r="V134" s="109" t="e">
        <f t="shared" si="44"/>
        <v>#REF!</v>
      </c>
      <c r="W134" s="109" t="e">
        <f t="shared" si="45"/>
        <v>#REF!</v>
      </c>
      <c r="X134" s="105" t="e">
        <f t="shared" si="46"/>
        <v>#REF!</v>
      </c>
      <c r="Y134" s="113" t="e">
        <f t="shared" si="47"/>
        <v>#REF!</v>
      </c>
      <c r="Z134" s="109" t="e">
        <f t="shared" si="48"/>
        <v>#REF!</v>
      </c>
      <c r="AA134" s="113" t="e">
        <f t="shared" si="49"/>
        <v>#REF!</v>
      </c>
      <c r="AB134" s="109" t="e">
        <f t="shared" si="50"/>
        <v>#REF!</v>
      </c>
      <c r="AC134" s="113" t="e">
        <f t="shared" si="51"/>
        <v>#REF!</v>
      </c>
      <c r="AD134" s="105" t="e">
        <f t="shared" si="52"/>
        <v>#REF!</v>
      </c>
      <c r="AE134" s="105" t="e">
        <f t="shared" si="38"/>
        <v>#REF!</v>
      </c>
      <c r="AF134" s="105" t="e">
        <f t="shared" si="39"/>
        <v>#REF!</v>
      </c>
      <c r="AG134" s="105" t="e">
        <f t="shared" si="40"/>
        <v>#REF!</v>
      </c>
      <c r="AH134" s="111" t="e">
        <f>VLOOKUP($A134,#REF!,5,FALSE)</f>
        <v>#REF!</v>
      </c>
      <c r="AI134" s="111" t="e">
        <f>VLOOKUP($A134,#REF!,6,FALSE)</f>
        <v>#REF!</v>
      </c>
      <c r="AJ134" s="109" t="e">
        <f t="shared" si="53"/>
        <v>#REF!</v>
      </c>
      <c r="AK134" s="109" t="e">
        <f t="shared" si="54"/>
        <v>#REF!</v>
      </c>
      <c r="AL134" s="109"/>
      <c r="AM134" s="105"/>
      <c r="AN134" s="105"/>
      <c r="AO134" s="109"/>
      <c r="AP134" s="110"/>
      <c r="AQ134" s="110"/>
      <c r="AR134" s="110"/>
      <c r="AS134" s="110"/>
      <c r="AT134" s="110"/>
      <c r="AU134" s="112"/>
      <c r="AV134" s="112"/>
      <c r="AW134" s="110"/>
      <c r="AX134" s="105"/>
      <c r="AY134" s="105"/>
      <c r="AZ134" s="105"/>
      <c r="BA134" s="105"/>
      <c r="BB134" s="105"/>
      <c r="BC134" s="105"/>
    </row>
    <row r="135" spans="1:55" x14ac:dyDescent="0.15">
      <c r="A135" s="221">
        <v>276</v>
      </c>
      <c r="B135" s="98" t="e">
        <f>VLOOKUP($A135,#REF!,84,FALSE)</f>
        <v>#REF!</v>
      </c>
      <c r="C135" s="98" t="e">
        <f>VLOOKUP($A135,#REF!,85,FALSE)</f>
        <v>#REF!</v>
      </c>
      <c r="D135" s="98" t="e">
        <f>VLOOKUP($A135,#REF!,5,FALSE)</f>
        <v>#REF!</v>
      </c>
      <c r="E135" s="98" t="e">
        <f>VLOOKUP($A135,#REF!,6,FALSE)</f>
        <v>#REF!</v>
      </c>
      <c r="F135" s="105" t="e">
        <f>VLOOKUP($A135,#REF!,34,FALSE)</f>
        <v>#REF!</v>
      </c>
      <c r="G135" s="105" t="e">
        <f>VLOOKUP($A135,#REF!,29,FALSE)</f>
        <v>#REF!</v>
      </c>
      <c r="H135" s="105" t="e">
        <f>VLOOKUP(A135,#REF!,35,FALSE)+VLOOKUP(A135,#REF!,41,FALSE)</f>
        <v>#REF!</v>
      </c>
      <c r="I135" s="105" t="e">
        <f t="shared" si="41"/>
        <v>#REF!</v>
      </c>
      <c r="J135" s="105" t="e">
        <f>VLOOKUP(A135,#REF!,42,FALSE)</f>
        <v>#REF!</v>
      </c>
      <c r="K135" s="105" t="e">
        <f t="shared" si="42"/>
        <v>#REF!</v>
      </c>
      <c r="L135" s="164" t="e">
        <f t="shared" si="37"/>
        <v>#REF!</v>
      </c>
      <c r="M135" s="105" t="e">
        <f t="shared" si="43"/>
        <v>#REF!</v>
      </c>
      <c r="N135" s="105" t="e">
        <f>VLOOKUP(A135,#REF!,46,FALSE)</f>
        <v>#REF!</v>
      </c>
      <c r="O135" s="106" t="e">
        <f>VLOOKUP(A135,#REF!,9,FALSE)</f>
        <v>#REF!</v>
      </c>
      <c r="P135" s="114" t="e">
        <f>#REF!</f>
        <v>#REF!</v>
      </c>
      <c r="Q135" s="114" t="e">
        <f>VLOOKUP(A135,#REF!,12,FALSE)</f>
        <v>#REF!</v>
      </c>
      <c r="R135" s="120" t="e">
        <f>#REF!</f>
        <v>#REF!</v>
      </c>
      <c r="S135" s="106" t="e">
        <f>IF(Q135=0,#REF!,ROUND(Q135*R135,4))</f>
        <v>#REF!</v>
      </c>
      <c r="T135" s="121" t="e">
        <f>VLOOKUP($A135,#REF!,15,FALSE)</f>
        <v>#REF!</v>
      </c>
      <c r="U135" s="121" t="e">
        <f>VLOOKUP($A135,#REF!,19,FALSE)</f>
        <v>#REF!</v>
      </c>
      <c r="V135" s="109" t="e">
        <f t="shared" si="44"/>
        <v>#REF!</v>
      </c>
      <c r="W135" s="109" t="e">
        <f t="shared" si="45"/>
        <v>#REF!</v>
      </c>
      <c r="X135" s="105" t="e">
        <f t="shared" si="46"/>
        <v>#REF!</v>
      </c>
      <c r="Y135" s="113" t="e">
        <f t="shared" si="47"/>
        <v>#REF!</v>
      </c>
      <c r="Z135" s="109" t="e">
        <f t="shared" si="48"/>
        <v>#REF!</v>
      </c>
      <c r="AA135" s="113" t="e">
        <f t="shared" si="49"/>
        <v>#REF!</v>
      </c>
      <c r="AB135" s="109" t="e">
        <f t="shared" si="50"/>
        <v>#REF!</v>
      </c>
      <c r="AC135" s="113" t="e">
        <f t="shared" si="51"/>
        <v>#REF!</v>
      </c>
      <c r="AD135" s="105" t="e">
        <f t="shared" si="52"/>
        <v>#REF!</v>
      </c>
      <c r="AE135" s="105" t="e">
        <f t="shared" si="38"/>
        <v>#REF!</v>
      </c>
      <c r="AF135" s="105" t="e">
        <f t="shared" si="39"/>
        <v>#REF!</v>
      </c>
      <c r="AG135" s="105" t="e">
        <f t="shared" si="40"/>
        <v>#REF!</v>
      </c>
      <c r="AH135" s="111" t="e">
        <f>VLOOKUP($A135,#REF!,5,FALSE)</f>
        <v>#REF!</v>
      </c>
      <c r="AI135" s="111" t="e">
        <f>VLOOKUP($A135,#REF!,6,FALSE)</f>
        <v>#REF!</v>
      </c>
      <c r="AJ135" s="109" t="e">
        <f t="shared" si="53"/>
        <v>#REF!</v>
      </c>
      <c r="AK135" s="109" t="e">
        <f t="shared" si="54"/>
        <v>#REF!</v>
      </c>
      <c r="AL135" s="109"/>
      <c r="AM135" s="105"/>
      <c r="AN135" s="105"/>
      <c r="AO135" s="109"/>
      <c r="AP135" s="110"/>
      <c r="AQ135" s="110"/>
      <c r="AR135" s="110"/>
      <c r="AS135" s="110"/>
      <c r="AT135" s="110"/>
      <c r="AU135" s="112"/>
      <c r="AV135" s="112"/>
      <c r="AW135" s="110"/>
      <c r="AX135" s="105"/>
      <c r="AY135" s="105"/>
      <c r="AZ135" s="105"/>
      <c r="BA135" s="105"/>
      <c r="BB135" s="105"/>
      <c r="BC135" s="105"/>
    </row>
    <row r="136" spans="1:55" x14ac:dyDescent="0.15">
      <c r="A136" s="221">
        <v>1232</v>
      </c>
      <c r="B136" s="98" t="e">
        <f>VLOOKUP($A136,#REF!,84,FALSE)</f>
        <v>#REF!</v>
      </c>
      <c r="C136" s="98" t="e">
        <f>VLOOKUP($A136,#REF!,85,FALSE)</f>
        <v>#REF!</v>
      </c>
      <c r="D136" s="98" t="e">
        <f>VLOOKUP($A136,#REF!,5,FALSE)</f>
        <v>#REF!</v>
      </c>
      <c r="E136" s="98" t="e">
        <f>VLOOKUP($A136,#REF!,6,FALSE)</f>
        <v>#REF!</v>
      </c>
      <c r="F136" s="105" t="e">
        <f>VLOOKUP($A136,#REF!,34,FALSE)</f>
        <v>#REF!</v>
      </c>
      <c r="G136" s="105" t="e">
        <f>VLOOKUP($A136,#REF!,29,FALSE)</f>
        <v>#REF!</v>
      </c>
      <c r="H136" s="105" t="e">
        <f>VLOOKUP(A136,#REF!,35,FALSE)+VLOOKUP(A136,#REF!,41,FALSE)</f>
        <v>#REF!</v>
      </c>
      <c r="I136" s="105" t="e">
        <f t="shared" si="41"/>
        <v>#REF!</v>
      </c>
      <c r="J136" s="105" t="e">
        <f>VLOOKUP(A136,#REF!,42,FALSE)</f>
        <v>#REF!</v>
      </c>
      <c r="K136" s="105" t="e">
        <f t="shared" si="42"/>
        <v>#REF!</v>
      </c>
      <c r="L136" s="164" t="e">
        <f t="shared" si="37"/>
        <v>#REF!</v>
      </c>
      <c r="M136" s="105" t="e">
        <f t="shared" si="43"/>
        <v>#REF!</v>
      </c>
      <c r="N136" s="105" t="e">
        <f>VLOOKUP(A136,#REF!,46,FALSE)</f>
        <v>#REF!</v>
      </c>
      <c r="O136" s="106" t="e">
        <f>VLOOKUP(A136,#REF!,9,FALSE)</f>
        <v>#REF!</v>
      </c>
      <c r="P136" s="114" t="e">
        <f>#REF!</f>
        <v>#REF!</v>
      </c>
      <c r="Q136" s="114" t="e">
        <f>VLOOKUP(A136,#REF!,12,FALSE)</f>
        <v>#REF!</v>
      </c>
      <c r="R136" s="120" t="e">
        <f>#REF!</f>
        <v>#REF!</v>
      </c>
      <c r="S136" s="106" t="e">
        <f>IF(Q136=0,#REF!,ROUND(Q136*R136,4))</f>
        <v>#REF!</v>
      </c>
      <c r="T136" s="121" t="e">
        <f>VLOOKUP($A136,#REF!,15,FALSE)</f>
        <v>#REF!</v>
      </c>
      <c r="U136" s="121" t="e">
        <f>VLOOKUP($A136,#REF!,19,FALSE)</f>
        <v>#REF!</v>
      </c>
      <c r="V136" s="109" t="e">
        <f t="shared" si="44"/>
        <v>#REF!</v>
      </c>
      <c r="W136" s="109" t="e">
        <f t="shared" si="45"/>
        <v>#REF!</v>
      </c>
      <c r="X136" s="105" t="e">
        <f t="shared" si="46"/>
        <v>#REF!</v>
      </c>
      <c r="Y136" s="113" t="e">
        <f t="shared" si="47"/>
        <v>#REF!</v>
      </c>
      <c r="Z136" s="109" t="e">
        <f t="shared" si="48"/>
        <v>#REF!</v>
      </c>
      <c r="AA136" s="113" t="e">
        <f t="shared" si="49"/>
        <v>#REF!</v>
      </c>
      <c r="AB136" s="109" t="e">
        <f t="shared" si="50"/>
        <v>#REF!</v>
      </c>
      <c r="AC136" s="113" t="e">
        <f t="shared" si="51"/>
        <v>#REF!</v>
      </c>
      <c r="AD136" s="105" t="e">
        <f t="shared" si="52"/>
        <v>#REF!</v>
      </c>
      <c r="AE136" s="105" t="e">
        <f t="shared" si="38"/>
        <v>#REF!</v>
      </c>
      <c r="AF136" s="105" t="e">
        <f t="shared" si="39"/>
        <v>#REF!</v>
      </c>
      <c r="AG136" s="105" t="e">
        <f t="shared" si="40"/>
        <v>#REF!</v>
      </c>
      <c r="AH136" s="111" t="e">
        <f>VLOOKUP($A136,#REF!,5,FALSE)</f>
        <v>#REF!</v>
      </c>
      <c r="AI136" s="111" t="e">
        <f>VLOOKUP($A136,#REF!,6,FALSE)</f>
        <v>#REF!</v>
      </c>
      <c r="AJ136" s="109" t="e">
        <f t="shared" si="53"/>
        <v>#REF!</v>
      </c>
      <c r="AK136" s="109" t="e">
        <f t="shared" si="54"/>
        <v>#REF!</v>
      </c>
      <c r="AL136" s="109"/>
      <c r="AM136" s="105"/>
      <c r="AN136" s="105"/>
      <c r="AO136" s="109"/>
      <c r="AP136" s="110"/>
      <c r="AQ136" s="110"/>
      <c r="AR136" s="110"/>
      <c r="AS136" s="110"/>
      <c r="AT136" s="110"/>
      <c r="AU136" s="112"/>
      <c r="AV136" s="112"/>
      <c r="AW136" s="110"/>
      <c r="AX136" s="105"/>
      <c r="AY136" s="105"/>
      <c r="AZ136" s="105"/>
      <c r="BA136" s="105"/>
      <c r="BB136" s="105"/>
      <c r="BC136" s="105"/>
    </row>
    <row r="137" spans="1:55" x14ac:dyDescent="0.15">
      <c r="A137" s="221">
        <v>940</v>
      </c>
      <c r="B137" s="98" t="e">
        <f>VLOOKUP($A137,#REF!,84,FALSE)</f>
        <v>#REF!</v>
      </c>
      <c r="C137" s="98" t="e">
        <f>VLOOKUP($A137,#REF!,85,FALSE)</f>
        <v>#REF!</v>
      </c>
      <c r="D137" s="98" t="e">
        <f>VLOOKUP($A137,#REF!,5,FALSE)</f>
        <v>#REF!</v>
      </c>
      <c r="E137" s="98" t="e">
        <f>VLOOKUP($A137,#REF!,6,FALSE)</f>
        <v>#REF!</v>
      </c>
      <c r="F137" s="105" t="e">
        <f>VLOOKUP($A137,#REF!,34,FALSE)</f>
        <v>#REF!</v>
      </c>
      <c r="G137" s="105" t="e">
        <f>VLOOKUP($A137,#REF!,29,FALSE)</f>
        <v>#REF!</v>
      </c>
      <c r="H137" s="105" t="e">
        <f>VLOOKUP(A137,#REF!,35,FALSE)+VLOOKUP(A137,#REF!,41,FALSE)</f>
        <v>#REF!</v>
      </c>
      <c r="I137" s="105" t="e">
        <f t="shared" si="41"/>
        <v>#REF!</v>
      </c>
      <c r="J137" s="105" t="e">
        <f>VLOOKUP(A137,#REF!,42,FALSE)</f>
        <v>#REF!</v>
      </c>
      <c r="K137" s="105" t="e">
        <f t="shared" si="42"/>
        <v>#REF!</v>
      </c>
      <c r="L137" s="164" t="e">
        <f t="shared" si="37"/>
        <v>#REF!</v>
      </c>
      <c r="M137" s="105" t="e">
        <f t="shared" si="43"/>
        <v>#REF!</v>
      </c>
      <c r="N137" s="105" t="e">
        <f>VLOOKUP(A137,#REF!,46,FALSE)</f>
        <v>#REF!</v>
      </c>
      <c r="O137" s="106" t="e">
        <f>VLOOKUP(A137,#REF!,9,FALSE)</f>
        <v>#REF!</v>
      </c>
      <c r="P137" s="114" t="e">
        <f>#REF!</f>
        <v>#REF!</v>
      </c>
      <c r="Q137" s="114" t="e">
        <f>VLOOKUP(A137,#REF!,12,FALSE)</f>
        <v>#REF!</v>
      </c>
      <c r="R137" s="120" t="e">
        <f>#REF!</f>
        <v>#REF!</v>
      </c>
      <c r="S137" s="106" t="e">
        <f>IF(Q137=0,#REF!,ROUND(Q137*R137,4))</f>
        <v>#REF!</v>
      </c>
      <c r="T137" s="121" t="e">
        <f>VLOOKUP($A137,#REF!,15,FALSE)</f>
        <v>#REF!</v>
      </c>
      <c r="U137" s="121" t="e">
        <f>VLOOKUP($A137,#REF!,19,FALSE)</f>
        <v>#REF!</v>
      </c>
      <c r="V137" s="109" t="e">
        <f t="shared" si="44"/>
        <v>#REF!</v>
      </c>
      <c r="W137" s="109" t="e">
        <f t="shared" si="45"/>
        <v>#REF!</v>
      </c>
      <c r="X137" s="105" t="e">
        <f t="shared" si="46"/>
        <v>#REF!</v>
      </c>
      <c r="Y137" s="113" t="e">
        <f t="shared" si="47"/>
        <v>#REF!</v>
      </c>
      <c r="Z137" s="109" t="e">
        <f t="shared" si="48"/>
        <v>#REF!</v>
      </c>
      <c r="AA137" s="113" t="e">
        <f t="shared" si="49"/>
        <v>#REF!</v>
      </c>
      <c r="AB137" s="109" t="e">
        <f t="shared" si="50"/>
        <v>#REF!</v>
      </c>
      <c r="AC137" s="113" t="e">
        <f t="shared" si="51"/>
        <v>#REF!</v>
      </c>
      <c r="AD137" s="105" t="e">
        <f t="shared" si="52"/>
        <v>#REF!</v>
      </c>
      <c r="AE137" s="105" t="e">
        <f t="shared" si="38"/>
        <v>#REF!</v>
      </c>
      <c r="AF137" s="105" t="e">
        <f t="shared" si="39"/>
        <v>#REF!</v>
      </c>
      <c r="AG137" s="105" t="e">
        <f t="shared" si="40"/>
        <v>#REF!</v>
      </c>
      <c r="AH137" s="111" t="e">
        <f>VLOOKUP($A137,#REF!,5,FALSE)</f>
        <v>#REF!</v>
      </c>
      <c r="AI137" s="111" t="e">
        <f>VLOOKUP($A137,#REF!,6,FALSE)</f>
        <v>#REF!</v>
      </c>
      <c r="AJ137" s="109" t="e">
        <f t="shared" si="53"/>
        <v>#REF!</v>
      </c>
      <c r="AK137" s="109" t="e">
        <f t="shared" si="54"/>
        <v>#REF!</v>
      </c>
      <c r="AL137" s="109"/>
      <c r="AM137" s="105"/>
      <c r="AN137" s="105"/>
      <c r="AO137" s="109"/>
      <c r="AP137" s="110"/>
      <c r="AQ137" s="110"/>
      <c r="AR137" s="110"/>
      <c r="AS137" s="110"/>
      <c r="AT137" s="110"/>
      <c r="AU137" s="112"/>
      <c r="AV137" s="112"/>
      <c r="AW137" s="110"/>
      <c r="AX137" s="105"/>
      <c r="AY137" s="105"/>
      <c r="AZ137" s="105"/>
      <c r="BA137" s="105"/>
      <c r="BB137" s="105"/>
      <c r="BC137" s="105"/>
    </row>
    <row r="138" spans="1:55" x14ac:dyDescent="0.15">
      <c r="A138" s="221">
        <v>290</v>
      </c>
      <c r="B138" s="98" t="e">
        <f>VLOOKUP($A138,#REF!,84,FALSE)</f>
        <v>#REF!</v>
      </c>
      <c r="C138" s="98" t="e">
        <f>VLOOKUP($A138,#REF!,85,FALSE)</f>
        <v>#REF!</v>
      </c>
      <c r="D138" s="98" t="e">
        <f>VLOOKUP($A138,#REF!,5,FALSE)</f>
        <v>#REF!</v>
      </c>
      <c r="E138" s="98" t="e">
        <f>VLOOKUP($A138,#REF!,6,FALSE)</f>
        <v>#REF!</v>
      </c>
      <c r="F138" s="105" t="e">
        <f>VLOOKUP($A138,#REF!,34,FALSE)</f>
        <v>#REF!</v>
      </c>
      <c r="G138" s="105" t="e">
        <f>VLOOKUP($A138,#REF!,29,FALSE)</f>
        <v>#REF!</v>
      </c>
      <c r="H138" s="105" t="e">
        <f>VLOOKUP(A138,#REF!,35,FALSE)+VLOOKUP(A138,#REF!,41,FALSE)</f>
        <v>#REF!</v>
      </c>
      <c r="I138" s="105" t="e">
        <f t="shared" si="41"/>
        <v>#REF!</v>
      </c>
      <c r="J138" s="105" t="e">
        <f>VLOOKUP(A138,#REF!,42,FALSE)</f>
        <v>#REF!</v>
      </c>
      <c r="K138" s="105" t="e">
        <f t="shared" si="42"/>
        <v>#REF!</v>
      </c>
      <c r="L138" s="164" t="e">
        <f t="shared" si="37"/>
        <v>#REF!</v>
      </c>
      <c r="M138" s="105" t="e">
        <f t="shared" si="43"/>
        <v>#REF!</v>
      </c>
      <c r="N138" s="105" t="e">
        <f>VLOOKUP(A138,#REF!,46,FALSE)</f>
        <v>#REF!</v>
      </c>
      <c r="O138" s="106" t="e">
        <f>VLOOKUP(A138,#REF!,9,FALSE)</f>
        <v>#REF!</v>
      </c>
      <c r="P138" s="114" t="e">
        <f>#REF!</f>
        <v>#REF!</v>
      </c>
      <c r="Q138" s="114" t="e">
        <f>VLOOKUP(A138,#REF!,12,FALSE)</f>
        <v>#REF!</v>
      </c>
      <c r="R138" s="120" t="e">
        <f>#REF!</f>
        <v>#REF!</v>
      </c>
      <c r="S138" s="106" t="e">
        <f>IF(Q138=0,#REF!,ROUND(Q138*R138,4))</f>
        <v>#REF!</v>
      </c>
      <c r="T138" s="121" t="e">
        <f>VLOOKUP($A138,#REF!,15,FALSE)</f>
        <v>#REF!</v>
      </c>
      <c r="U138" s="121" t="e">
        <f>VLOOKUP($A138,#REF!,19,FALSE)</f>
        <v>#REF!</v>
      </c>
      <c r="V138" s="109" t="e">
        <f t="shared" si="44"/>
        <v>#REF!</v>
      </c>
      <c r="W138" s="109" t="e">
        <f t="shared" si="45"/>
        <v>#REF!</v>
      </c>
      <c r="X138" s="105" t="e">
        <f t="shared" si="46"/>
        <v>#REF!</v>
      </c>
      <c r="Y138" s="113" t="e">
        <f t="shared" si="47"/>
        <v>#REF!</v>
      </c>
      <c r="Z138" s="109" t="e">
        <f t="shared" si="48"/>
        <v>#REF!</v>
      </c>
      <c r="AA138" s="113" t="e">
        <f t="shared" si="49"/>
        <v>#REF!</v>
      </c>
      <c r="AB138" s="109" t="e">
        <f t="shared" si="50"/>
        <v>#REF!</v>
      </c>
      <c r="AC138" s="113" t="e">
        <f t="shared" si="51"/>
        <v>#REF!</v>
      </c>
      <c r="AD138" s="105" t="e">
        <f t="shared" si="52"/>
        <v>#REF!</v>
      </c>
      <c r="AE138" s="105" t="e">
        <f t="shared" si="38"/>
        <v>#REF!</v>
      </c>
      <c r="AF138" s="105" t="e">
        <f t="shared" si="39"/>
        <v>#REF!</v>
      </c>
      <c r="AG138" s="105" t="e">
        <f t="shared" si="40"/>
        <v>#REF!</v>
      </c>
      <c r="AH138" s="111" t="e">
        <f>VLOOKUP($A138,#REF!,5,FALSE)</f>
        <v>#REF!</v>
      </c>
      <c r="AI138" s="111" t="e">
        <f>VLOOKUP($A138,#REF!,6,FALSE)</f>
        <v>#REF!</v>
      </c>
      <c r="AJ138" s="109" t="e">
        <f t="shared" si="53"/>
        <v>#REF!</v>
      </c>
      <c r="AK138" s="109" t="e">
        <f t="shared" si="54"/>
        <v>#REF!</v>
      </c>
      <c r="AL138" s="109"/>
      <c r="AM138" s="105"/>
      <c r="AN138" s="105"/>
      <c r="AO138" s="109"/>
      <c r="AP138" s="110"/>
      <c r="AQ138" s="110"/>
      <c r="AR138" s="110"/>
      <c r="AS138" s="110"/>
      <c r="AT138" s="110"/>
      <c r="AU138" s="112"/>
      <c r="AV138" s="112"/>
      <c r="AW138" s="110"/>
      <c r="AX138" s="105"/>
      <c r="AY138" s="105"/>
      <c r="AZ138" s="105"/>
      <c r="BA138" s="105"/>
      <c r="BB138" s="105"/>
      <c r="BC138" s="105"/>
    </row>
    <row r="139" spans="1:55" x14ac:dyDescent="0.15">
      <c r="A139" s="221">
        <v>286</v>
      </c>
      <c r="B139" s="98" t="e">
        <f>VLOOKUP($A139,#REF!,84,FALSE)</f>
        <v>#REF!</v>
      </c>
      <c r="C139" s="98" t="e">
        <f>VLOOKUP($A139,#REF!,85,FALSE)</f>
        <v>#REF!</v>
      </c>
      <c r="D139" s="98" t="e">
        <f>VLOOKUP($A139,#REF!,5,FALSE)</f>
        <v>#REF!</v>
      </c>
      <c r="E139" s="98" t="e">
        <f>VLOOKUP($A139,#REF!,6,FALSE)</f>
        <v>#REF!</v>
      </c>
      <c r="F139" s="105" t="e">
        <f>VLOOKUP($A139,#REF!,34,FALSE)</f>
        <v>#REF!</v>
      </c>
      <c r="G139" s="105" t="e">
        <f>VLOOKUP($A139,#REF!,29,FALSE)</f>
        <v>#REF!</v>
      </c>
      <c r="H139" s="105" t="e">
        <f>VLOOKUP(A139,#REF!,35,FALSE)+VLOOKUP(A139,#REF!,41,FALSE)</f>
        <v>#REF!</v>
      </c>
      <c r="I139" s="105" t="e">
        <f t="shared" si="41"/>
        <v>#REF!</v>
      </c>
      <c r="J139" s="105" t="e">
        <f>VLOOKUP(A139,#REF!,42,FALSE)</f>
        <v>#REF!</v>
      </c>
      <c r="K139" s="105" t="e">
        <f t="shared" si="42"/>
        <v>#REF!</v>
      </c>
      <c r="L139" s="164" t="e">
        <f t="shared" si="37"/>
        <v>#REF!</v>
      </c>
      <c r="M139" s="105" t="e">
        <f t="shared" si="43"/>
        <v>#REF!</v>
      </c>
      <c r="N139" s="105" t="e">
        <f>VLOOKUP(A139,#REF!,46,FALSE)</f>
        <v>#REF!</v>
      </c>
      <c r="O139" s="106" t="e">
        <f>VLOOKUP(A139,#REF!,9,FALSE)</f>
        <v>#REF!</v>
      </c>
      <c r="P139" s="114" t="e">
        <f>#REF!</f>
        <v>#REF!</v>
      </c>
      <c r="Q139" s="114" t="e">
        <f>VLOOKUP(A139,#REF!,12,FALSE)</f>
        <v>#REF!</v>
      </c>
      <c r="R139" s="120" t="e">
        <f>#REF!</f>
        <v>#REF!</v>
      </c>
      <c r="S139" s="106" t="e">
        <f>IF(Q139=0,#REF!,ROUND(Q139*R139,4))</f>
        <v>#REF!</v>
      </c>
      <c r="T139" s="121" t="e">
        <f>VLOOKUP($A139,#REF!,15,FALSE)</f>
        <v>#REF!</v>
      </c>
      <c r="U139" s="121" t="e">
        <f>VLOOKUP($A139,#REF!,19,FALSE)</f>
        <v>#REF!</v>
      </c>
      <c r="V139" s="109" t="e">
        <f t="shared" si="44"/>
        <v>#REF!</v>
      </c>
      <c r="W139" s="109" t="e">
        <f t="shared" si="45"/>
        <v>#REF!</v>
      </c>
      <c r="X139" s="105" t="e">
        <f t="shared" si="46"/>
        <v>#REF!</v>
      </c>
      <c r="Y139" s="113" t="e">
        <f t="shared" si="47"/>
        <v>#REF!</v>
      </c>
      <c r="Z139" s="109" t="e">
        <f t="shared" si="48"/>
        <v>#REF!</v>
      </c>
      <c r="AA139" s="113" t="e">
        <f t="shared" si="49"/>
        <v>#REF!</v>
      </c>
      <c r="AB139" s="109" t="e">
        <f t="shared" si="50"/>
        <v>#REF!</v>
      </c>
      <c r="AC139" s="113" t="e">
        <f t="shared" si="51"/>
        <v>#REF!</v>
      </c>
      <c r="AD139" s="105" t="e">
        <f t="shared" si="52"/>
        <v>#REF!</v>
      </c>
      <c r="AE139" s="105" t="e">
        <f t="shared" si="38"/>
        <v>#REF!</v>
      </c>
      <c r="AF139" s="105" t="e">
        <f t="shared" si="39"/>
        <v>#REF!</v>
      </c>
      <c r="AG139" s="105" t="e">
        <f t="shared" si="40"/>
        <v>#REF!</v>
      </c>
      <c r="AH139" s="111" t="e">
        <f>VLOOKUP($A139,#REF!,5,FALSE)</f>
        <v>#REF!</v>
      </c>
      <c r="AI139" s="111" t="e">
        <f>VLOOKUP($A139,#REF!,6,FALSE)</f>
        <v>#REF!</v>
      </c>
      <c r="AJ139" s="109" t="e">
        <f t="shared" si="53"/>
        <v>#REF!</v>
      </c>
      <c r="AK139" s="109" t="e">
        <f t="shared" si="54"/>
        <v>#REF!</v>
      </c>
      <c r="AL139" s="109"/>
      <c r="AM139" s="105"/>
      <c r="AN139" s="105"/>
      <c r="AO139" s="109"/>
      <c r="AP139" s="110"/>
      <c r="AQ139" s="110"/>
      <c r="AR139" s="110"/>
      <c r="AS139" s="110"/>
      <c r="AT139" s="110"/>
      <c r="AU139" s="112"/>
      <c r="AV139" s="112"/>
      <c r="AW139" s="110"/>
      <c r="AX139" s="105"/>
      <c r="AY139" s="105"/>
      <c r="AZ139" s="105"/>
      <c r="BA139" s="105"/>
      <c r="BB139" s="105"/>
      <c r="BC139" s="105"/>
    </row>
    <row r="140" spans="1:55" x14ac:dyDescent="0.15">
      <c r="A140" s="221">
        <v>1209</v>
      </c>
      <c r="B140" s="98" t="e">
        <f>VLOOKUP($A140,#REF!,84,FALSE)</f>
        <v>#REF!</v>
      </c>
      <c r="C140" s="98" t="e">
        <f>VLOOKUP($A140,#REF!,85,FALSE)</f>
        <v>#REF!</v>
      </c>
      <c r="D140" s="98" t="e">
        <f>VLOOKUP($A140,#REF!,5,FALSE)</f>
        <v>#REF!</v>
      </c>
      <c r="E140" s="98" t="e">
        <f>VLOOKUP($A140,#REF!,6,FALSE)</f>
        <v>#REF!</v>
      </c>
      <c r="F140" s="105" t="e">
        <f>VLOOKUP($A140,#REF!,34,FALSE)</f>
        <v>#REF!</v>
      </c>
      <c r="G140" s="105" t="e">
        <f>VLOOKUP($A140,#REF!,29,FALSE)</f>
        <v>#REF!</v>
      </c>
      <c r="H140" s="105" t="e">
        <f>VLOOKUP(A140,#REF!,35,FALSE)+VLOOKUP(A140,#REF!,41,FALSE)</f>
        <v>#REF!</v>
      </c>
      <c r="I140" s="105" t="e">
        <f t="shared" si="41"/>
        <v>#REF!</v>
      </c>
      <c r="J140" s="105" t="e">
        <f>VLOOKUP(A140,#REF!,42,FALSE)</f>
        <v>#REF!</v>
      </c>
      <c r="K140" s="105" t="e">
        <f t="shared" si="42"/>
        <v>#REF!</v>
      </c>
      <c r="L140" s="164" t="e">
        <f t="shared" si="37"/>
        <v>#REF!</v>
      </c>
      <c r="M140" s="105" t="e">
        <f t="shared" si="43"/>
        <v>#REF!</v>
      </c>
      <c r="N140" s="105" t="e">
        <f>VLOOKUP(A140,#REF!,46,FALSE)</f>
        <v>#REF!</v>
      </c>
      <c r="O140" s="106" t="e">
        <f>VLOOKUP(A140,#REF!,9,FALSE)</f>
        <v>#REF!</v>
      </c>
      <c r="P140" s="114" t="e">
        <f>#REF!</f>
        <v>#REF!</v>
      </c>
      <c r="Q140" s="114" t="e">
        <f>VLOOKUP(A140,#REF!,12,FALSE)</f>
        <v>#REF!</v>
      </c>
      <c r="R140" s="120" t="e">
        <f>#REF!</f>
        <v>#REF!</v>
      </c>
      <c r="S140" s="106" t="e">
        <f>IF(Q140=0,#REF!,ROUND(Q140*R140,4))</f>
        <v>#REF!</v>
      </c>
      <c r="T140" s="121" t="e">
        <f>VLOOKUP($A140,#REF!,15,FALSE)</f>
        <v>#REF!</v>
      </c>
      <c r="U140" s="121" t="e">
        <f>VLOOKUP($A140,#REF!,19,FALSE)</f>
        <v>#REF!</v>
      </c>
      <c r="V140" s="109" t="e">
        <f t="shared" si="44"/>
        <v>#REF!</v>
      </c>
      <c r="W140" s="109" t="e">
        <f t="shared" si="45"/>
        <v>#REF!</v>
      </c>
      <c r="X140" s="105" t="e">
        <f t="shared" si="46"/>
        <v>#REF!</v>
      </c>
      <c r="Y140" s="113" t="e">
        <f t="shared" si="47"/>
        <v>#REF!</v>
      </c>
      <c r="Z140" s="109" t="e">
        <f t="shared" si="48"/>
        <v>#REF!</v>
      </c>
      <c r="AA140" s="113" t="e">
        <f t="shared" si="49"/>
        <v>#REF!</v>
      </c>
      <c r="AB140" s="109" t="e">
        <f t="shared" si="50"/>
        <v>#REF!</v>
      </c>
      <c r="AC140" s="113" t="e">
        <f t="shared" si="51"/>
        <v>#REF!</v>
      </c>
      <c r="AD140" s="105" t="e">
        <f t="shared" si="52"/>
        <v>#REF!</v>
      </c>
      <c r="AE140" s="105" t="e">
        <f t="shared" si="38"/>
        <v>#REF!</v>
      </c>
      <c r="AF140" s="105" t="e">
        <f t="shared" si="39"/>
        <v>#REF!</v>
      </c>
      <c r="AG140" s="105" t="e">
        <f t="shared" si="40"/>
        <v>#REF!</v>
      </c>
      <c r="AH140" s="111" t="e">
        <f>VLOOKUP($A140,#REF!,5,FALSE)</f>
        <v>#REF!</v>
      </c>
      <c r="AI140" s="111" t="e">
        <f>VLOOKUP($A140,#REF!,6,FALSE)</f>
        <v>#REF!</v>
      </c>
      <c r="AJ140" s="109" t="e">
        <f t="shared" si="53"/>
        <v>#REF!</v>
      </c>
      <c r="AK140" s="109" t="e">
        <f t="shared" si="54"/>
        <v>#REF!</v>
      </c>
      <c r="AL140" s="109"/>
      <c r="AM140" s="105"/>
      <c r="AN140" s="105"/>
      <c r="AO140" s="109"/>
      <c r="AP140" s="110"/>
      <c r="AQ140" s="110"/>
      <c r="AR140" s="110"/>
      <c r="AS140" s="110"/>
      <c r="AT140" s="110"/>
      <c r="AU140" s="112"/>
      <c r="AV140" s="112"/>
      <c r="AW140" s="110"/>
      <c r="AX140" s="105"/>
      <c r="AY140" s="105"/>
      <c r="AZ140" s="105"/>
      <c r="BA140" s="105"/>
      <c r="BB140" s="105"/>
      <c r="BC140" s="105"/>
    </row>
    <row r="141" spans="1:55" x14ac:dyDescent="0.15">
      <c r="A141" s="221">
        <v>296</v>
      </c>
      <c r="B141" s="98" t="e">
        <f>VLOOKUP($A141,#REF!,84,FALSE)</f>
        <v>#REF!</v>
      </c>
      <c r="C141" s="98" t="e">
        <f>VLOOKUP($A141,#REF!,85,FALSE)</f>
        <v>#REF!</v>
      </c>
      <c r="D141" s="98" t="e">
        <f>VLOOKUP($A141,#REF!,5,FALSE)</f>
        <v>#REF!</v>
      </c>
      <c r="E141" s="98" t="e">
        <f>VLOOKUP($A141,#REF!,6,FALSE)</f>
        <v>#REF!</v>
      </c>
      <c r="F141" s="105" t="e">
        <f>VLOOKUP($A141,#REF!,34,FALSE)</f>
        <v>#REF!</v>
      </c>
      <c r="G141" s="105" t="e">
        <f>VLOOKUP($A141,#REF!,29,FALSE)</f>
        <v>#REF!</v>
      </c>
      <c r="H141" s="105" t="e">
        <f>VLOOKUP(A141,#REF!,35,FALSE)+VLOOKUP(A141,#REF!,41,FALSE)</f>
        <v>#REF!</v>
      </c>
      <c r="I141" s="105" t="e">
        <f t="shared" si="41"/>
        <v>#REF!</v>
      </c>
      <c r="J141" s="105" t="e">
        <f>VLOOKUP(A141,#REF!,42,FALSE)</f>
        <v>#REF!</v>
      </c>
      <c r="K141" s="105" t="e">
        <f t="shared" si="42"/>
        <v>#REF!</v>
      </c>
      <c r="L141" s="164" t="e">
        <f t="shared" si="37"/>
        <v>#REF!</v>
      </c>
      <c r="M141" s="105" t="e">
        <f t="shared" si="43"/>
        <v>#REF!</v>
      </c>
      <c r="N141" s="105" t="e">
        <f>VLOOKUP(A141,#REF!,46,FALSE)</f>
        <v>#REF!</v>
      </c>
      <c r="O141" s="106" t="e">
        <f>VLOOKUP(A141,#REF!,9,FALSE)</f>
        <v>#REF!</v>
      </c>
      <c r="P141" s="114" t="e">
        <f>#REF!</f>
        <v>#REF!</v>
      </c>
      <c r="Q141" s="114" t="e">
        <f>VLOOKUP(A141,#REF!,12,FALSE)</f>
        <v>#REF!</v>
      </c>
      <c r="R141" s="120" t="e">
        <f>#REF!</f>
        <v>#REF!</v>
      </c>
      <c r="S141" s="106" t="e">
        <f>IF(Q141=0,#REF!,ROUND(Q141*R141,4))</f>
        <v>#REF!</v>
      </c>
      <c r="T141" s="121" t="e">
        <f>VLOOKUP($A141,#REF!,15,FALSE)</f>
        <v>#REF!</v>
      </c>
      <c r="U141" s="121" t="e">
        <f>VLOOKUP($A141,#REF!,19,FALSE)</f>
        <v>#REF!</v>
      </c>
      <c r="V141" s="109" t="e">
        <f t="shared" si="44"/>
        <v>#REF!</v>
      </c>
      <c r="W141" s="109" t="e">
        <f t="shared" si="45"/>
        <v>#REF!</v>
      </c>
      <c r="X141" s="105" t="e">
        <f t="shared" si="46"/>
        <v>#REF!</v>
      </c>
      <c r="Y141" s="113" t="e">
        <f t="shared" si="47"/>
        <v>#REF!</v>
      </c>
      <c r="Z141" s="109" t="e">
        <f t="shared" si="48"/>
        <v>#REF!</v>
      </c>
      <c r="AA141" s="113" t="e">
        <f t="shared" si="49"/>
        <v>#REF!</v>
      </c>
      <c r="AB141" s="109" t="e">
        <f t="shared" si="50"/>
        <v>#REF!</v>
      </c>
      <c r="AC141" s="113" t="e">
        <f t="shared" si="51"/>
        <v>#REF!</v>
      </c>
      <c r="AD141" s="105" t="e">
        <f t="shared" si="52"/>
        <v>#REF!</v>
      </c>
      <c r="AE141" s="105" t="e">
        <f t="shared" si="38"/>
        <v>#REF!</v>
      </c>
      <c r="AF141" s="105" t="e">
        <f t="shared" si="39"/>
        <v>#REF!</v>
      </c>
      <c r="AG141" s="105" t="e">
        <f t="shared" si="40"/>
        <v>#REF!</v>
      </c>
      <c r="AH141" s="111" t="e">
        <f>VLOOKUP($A141,#REF!,5,FALSE)</f>
        <v>#REF!</v>
      </c>
      <c r="AI141" s="111" t="e">
        <f>VLOOKUP($A141,#REF!,6,FALSE)</f>
        <v>#REF!</v>
      </c>
      <c r="AJ141" s="109" t="e">
        <f t="shared" si="53"/>
        <v>#REF!</v>
      </c>
      <c r="AK141" s="109" t="e">
        <f t="shared" si="54"/>
        <v>#REF!</v>
      </c>
      <c r="AL141" s="109"/>
      <c r="AM141" s="105"/>
      <c r="AN141" s="105"/>
      <c r="AO141" s="109"/>
      <c r="AP141" s="110"/>
      <c r="AQ141" s="110"/>
      <c r="AR141" s="110"/>
      <c r="AS141" s="110"/>
      <c r="AT141" s="110"/>
      <c r="AU141" s="112"/>
      <c r="AV141" s="112"/>
      <c r="AW141" s="110"/>
      <c r="AX141" s="105"/>
      <c r="AY141" s="105"/>
      <c r="AZ141" s="105"/>
      <c r="BA141" s="105"/>
      <c r="BB141" s="105"/>
      <c r="BC141" s="105"/>
    </row>
    <row r="142" spans="1:55" x14ac:dyDescent="0.15">
      <c r="A142" s="221">
        <v>292</v>
      </c>
      <c r="B142" s="98" t="e">
        <f>VLOOKUP($A142,#REF!,84,FALSE)</f>
        <v>#REF!</v>
      </c>
      <c r="C142" s="98" t="e">
        <f>VLOOKUP($A142,#REF!,85,FALSE)</f>
        <v>#REF!</v>
      </c>
      <c r="D142" s="98" t="e">
        <f>VLOOKUP($A142,#REF!,5,FALSE)</f>
        <v>#REF!</v>
      </c>
      <c r="E142" s="98" t="e">
        <f>VLOOKUP($A142,#REF!,6,FALSE)</f>
        <v>#REF!</v>
      </c>
      <c r="F142" s="105" t="e">
        <f>VLOOKUP($A142,#REF!,34,FALSE)</f>
        <v>#REF!</v>
      </c>
      <c r="G142" s="105" t="e">
        <f>VLOOKUP($A142,#REF!,29,FALSE)</f>
        <v>#REF!</v>
      </c>
      <c r="H142" s="105" t="e">
        <f>VLOOKUP(A142,#REF!,35,FALSE)+VLOOKUP(A142,#REF!,41,FALSE)</f>
        <v>#REF!</v>
      </c>
      <c r="I142" s="105" t="e">
        <f t="shared" si="41"/>
        <v>#REF!</v>
      </c>
      <c r="J142" s="105" t="e">
        <f>VLOOKUP(A142,#REF!,42,FALSE)</f>
        <v>#REF!</v>
      </c>
      <c r="K142" s="105" t="e">
        <f t="shared" si="42"/>
        <v>#REF!</v>
      </c>
      <c r="L142" s="164" t="e">
        <f t="shared" si="37"/>
        <v>#REF!</v>
      </c>
      <c r="M142" s="105" t="e">
        <f t="shared" si="43"/>
        <v>#REF!</v>
      </c>
      <c r="N142" s="105" t="e">
        <f>VLOOKUP(A142,#REF!,46,FALSE)</f>
        <v>#REF!</v>
      </c>
      <c r="O142" s="106" t="e">
        <f>VLOOKUP(A142,#REF!,9,FALSE)</f>
        <v>#REF!</v>
      </c>
      <c r="P142" s="114" t="e">
        <f>#REF!</f>
        <v>#REF!</v>
      </c>
      <c r="Q142" s="114" t="e">
        <f>VLOOKUP(A142,#REF!,12,FALSE)</f>
        <v>#REF!</v>
      </c>
      <c r="R142" s="120" t="e">
        <f>#REF!</f>
        <v>#REF!</v>
      </c>
      <c r="S142" s="106" t="e">
        <f>IF(Q142=0,#REF!,ROUND(Q142*R142,4))</f>
        <v>#REF!</v>
      </c>
      <c r="T142" s="121" t="e">
        <f>VLOOKUP($A142,#REF!,15,FALSE)</f>
        <v>#REF!</v>
      </c>
      <c r="U142" s="121" t="e">
        <f>VLOOKUP($A142,#REF!,19,FALSE)</f>
        <v>#REF!</v>
      </c>
      <c r="V142" s="109" t="e">
        <f t="shared" si="44"/>
        <v>#REF!</v>
      </c>
      <c r="W142" s="109" t="e">
        <f t="shared" si="45"/>
        <v>#REF!</v>
      </c>
      <c r="X142" s="105" t="e">
        <f t="shared" si="46"/>
        <v>#REF!</v>
      </c>
      <c r="Y142" s="113" t="e">
        <f t="shared" si="47"/>
        <v>#REF!</v>
      </c>
      <c r="Z142" s="109" t="e">
        <f t="shared" si="48"/>
        <v>#REF!</v>
      </c>
      <c r="AA142" s="113" t="e">
        <f t="shared" si="49"/>
        <v>#REF!</v>
      </c>
      <c r="AB142" s="109" t="e">
        <f t="shared" si="50"/>
        <v>#REF!</v>
      </c>
      <c r="AC142" s="113" t="e">
        <f t="shared" si="51"/>
        <v>#REF!</v>
      </c>
      <c r="AD142" s="105" t="e">
        <f t="shared" si="52"/>
        <v>#REF!</v>
      </c>
      <c r="AE142" s="105" t="e">
        <f t="shared" si="38"/>
        <v>#REF!</v>
      </c>
      <c r="AF142" s="105" t="e">
        <f t="shared" si="39"/>
        <v>#REF!</v>
      </c>
      <c r="AG142" s="105" t="e">
        <f t="shared" si="40"/>
        <v>#REF!</v>
      </c>
      <c r="AH142" s="111" t="e">
        <f>VLOOKUP($A142,#REF!,5,FALSE)</f>
        <v>#REF!</v>
      </c>
      <c r="AI142" s="111" t="e">
        <f>VLOOKUP($A142,#REF!,6,FALSE)</f>
        <v>#REF!</v>
      </c>
      <c r="AJ142" s="109" t="e">
        <f t="shared" si="53"/>
        <v>#REF!</v>
      </c>
      <c r="AK142" s="109" t="e">
        <f t="shared" si="54"/>
        <v>#REF!</v>
      </c>
      <c r="AL142" s="109"/>
      <c r="AM142" s="105"/>
      <c r="AN142" s="105"/>
      <c r="AO142" s="109"/>
      <c r="AP142" s="110"/>
      <c r="AQ142" s="110"/>
      <c r="AR142" s="110"/>
      <c r="AS142" s="110"/>
      <c r="AT142" s="110"/>
      <c r="AU142" s="112"/>
      <c r="AV142" s="112"/>
      <c r="AW142" s="110"/>
      <c r="AX142" s="105"/>
      <c r="AY142" s="105"/>
      <c r="AZ142" s="105"/>
      <c r="BA142" s="105"/>
      <c r="BB142" s="105"/>
      <c r="BC142" s="105"/>
    </row>
    <row r="143" spans="1:55" x14ac:dyDescent="0.15">
      <c r="A143" s="221">
        <v>693</v>
      </c>
      <c r="B143" s="98" t="e">
        <f>VLOOKUP($A143,#REF!,84,FALSE)</f>
        <v>#REF!</v>
      </c>
      <c r="C143" s="98" t="e">
        <f>VLOOKUP($A143,#REF!,85,FALSE)</f>
        <v>#REF!</v>
      </c>
      <c r="D143" s="98" t="e">
        <f>VLOOKUP($A143,#REF!,5,FALSE)</f>
        <v>#REF!</v>
      </c>
      <c r="E143" s="98" t="e">
        <f>VLOOKUP($A143,#REF!,6,FALSE)</f>
        <v>#REF!</v>
      </c>
      <c r="F143" s="105" t="e">
        <f>VLOOKUP($A143,#REF!,34,FALSE)</f>
        <v>#REF!</v>
      </c>
      <c r="G143" s="105" t="e">
        <f>VLOOKUP($A143,#REF!,29,FALSE)</f>
        <v>#REF!</v>
      </c>
      <c r="H143" s="105" t="e">
        <f>VLOOKUP(A143,#REF!,35,FALSE)+VLOOKUP(A143,#REF!,41,FALSE)</f>
        <v>#REF!</v>
      </c>
      <c r="I143" s="105" t="e">
        <f t="shared" si="41"/>
        <v>#REF!</v>
      </c>
      <c r="J143" s="105" t="e">
        <f>VLOOKUP(A143,#REF!,42,FALSE)</f>
        <v>#REF!</v>
      </c>
      <c r="K143" s="105" t="e">
        <f t="shared" si="42"/>
        <v>#REF!</v>
      </c>
      <c r="L143" s="164" t="e">
        <f t="shared" si="37"/>
        <v>#REF!</v>
      </c>
      <c r="M143" s="105" t="e">
        <f t="shared" si="43"/>
        <v>#REF!</v>
      </c>
      <c r="N143" s="105" t="e">
        <f>VLOOKUP(A143,#REF!,46,FALSE)</f>
        <v>#REF!</v>
      </c>
      <c r="O143" s="106" t="e">
        <f>VLOOKUP(A143,#REF!,9,FALSE)</f>
        <v>#REF!</v>
      </c>
      <c r="P143" s="114" t="e">
        <f>#REF!</f>
        <v>#REF!</v>
      </c>
      <c r="Q143" s="114" t="e">
        <f>VLOOKUP(A143,#REF!,12,FALSE)</f>
        <v>#REF!</v>
      </c>
      <c r="R143" s="120" t="e">
        <f>#REF!</f>
        <v>#REF!</v>
      </c>
      <c r="S143" s="106" t="e">
        <f>IF(Q143=0,#REF!,ROUND(Q143*R143,4))</f>
        <v>#REF!</v>
      </c>
      <c r="T143" s="121" t="e">
        <f>VLOOKUP($A143,#REF!,15,FALSE)</f>
        <v>#REF!</v>
      </c>
      <c r="U143" s="121" t="e">
        <f>VLOOKUP($A143,#REF!,19,FALSE)</f>
        <v>#REF!</v>
      </c>
      <c r="V143" s="109" t="e">
        <f t="shared" si="44"/>
        <v>#REF!</v>
      </c>
      <c r="W143" s="109" t="e">
        <f t="shared" si="45"/>
        <v>#REF!</v>
      </c>
      <c r="X143" s="105" t="e">
        <f t="shared" si="46"/>
        <v>#REF!</v>
      </c>
      <c r="Y143" s="113" t="e">
        <f t="shared" si="47"/>
        <v>#REF!</v>
      </c>
      <c r="Z143" s="109" t="e">
        <f t="shared" si="48"/>
        <v>#REF!</v>
      </c>
      <c r="AA143" s="113" t="e">
        <f t="shared" si="49"/>
        <v>#REF!</v>
      </c>
      <c r="AB143" s="109" t="e">
        <f t="shared" si="50"/>
        <v>#REF!</v>
      </c>
      <c r="AC143" s="113" t="e">
        <f t="shared" si="51"/>
        <v>#REF!</v>
      </c>
      <c r="AD143" s="105" t="e">
        <f t="shared" si="52"/>
        <v>#REF!</v>
      </c>
      <c r="AE143" s="105" t="e">
        <f t="shared" si="38"/>
        <v>#REF!</v>
      </c>
      <c r="AF143" s="105" t="e">
        <f t="shared" si="39"/>
        <v>#REF!</v>
      </c>
      <c r="AG143" s="105" t="e">
        <f t="shared" si="40"/>
        <v>#REF!</v>
      </c>
      <c r="AH143" s="111" t="e">
        <f>VLOOKUP($A143,#REF!,5,FALSE)</f>
        <v>#REF!</v>
      </c>
      <c r="AI143" s="111" t="e">
        <f>VLOOKUP($A143,#REF!,6,FALSE)</f>
        <v>#REF!</v>
      </c>
      <c r="AJ143" s="109" t="e">
        <f t="shared" si="53"/>
        <v>#REF!</v>
      </c>
      <c r="AK143" s="109" t="e">
        <f t="shared" si="54"/>
        <v>#REF!</v>
      </c>
      <c r="AL143" s="109"/>
      <c r="AM143" s="105"/>
      <c r="AN143" s="105"/>
      <c r="AO143" s="109"/>
      <c r="AP143" s="110"/>
      <c r="AQ143" s="110"/>
      <c r="AR143" s="110"/>
      <c r="AS143" s="110"/>
      <c r="AT143" s="110"/>
      <c r="AU143" s="112"/>
      <c r="AV143" s="112"/>
      <c r="AW143" s="110"/>
      <c r="AX143" s="105"/>
      <c r="AY143" s="105"/>
      <c r="AZ143" s="105"/>
      <c r="BA143" s="105"/>
      <c r="BB143" s="105"/>
      <c r="BC143" s="105"/>
    </row>
    <row r="144" spans="1:55" x14ac:dyDescent="0.15">
      <c r="A144" s="221">
        <v>302</v>
      </c>
      <c r="B144" s="98" t="e">
        <f>VLOOKUP($A144,#REF!,84,FALSE)</f>
        <v>#REF!</v>
      </c>
      <c r="C144" s="98" t="e">
        <f>VLOOKUP($A144,#REF!,85,FALSE)</f>
        <v>#REF!</v>
      </c>
      <c r="D144" s="98" t="e">
        <f>VLOOKUP($A144,#REF!,5,FALSE)</f>
        <v>#REF!</v>
      </c>
      <c r="E144" s="98" t="e">
        <f>VLOOKUP($A144,#REF!,6,FALSE)</f>
        <v>#REF!</v>
      </c>
      <c r="F144" s="105" t="e">
        <f>VLOOKUP($A144,#REF!,34,FALSE)</f>
        <v>#REF!</v>
      </c>
      <c r="G144" s="105" t="e">
        <f>VLOOKUP($A144,#REF!,29,FALSE)</f>
        <v>#REF!</v>
      </c>
      <c r="H144" s="105" t="e">
        <f>VLOOKUP(A144,#REF!,35,FALSE)+VLOOKUP(A144,#REF!,41,FALSE)</f>
        <v>#REF!</v>
      </c>
      <c r="I144" s="105" t="e">
        <f t="shared" si="41"/>
        <v>#REF!</v>
      </c>
      <c r="J144" s="105" t="e">
        <f>VLOOKUP(A144,#REF!,42,FALSE)</f>
        <v>#REF!</v>
      </c>
      <c r="K144" s="105" t="e">
        <f t="shared" si="42"/>
        <v>#REF!</v>
      </c>
      <c r="L144" s="164" t="e">
        <f t="shared" si="37"/>
        <v>#REF!</v>
      </c>
      <c r="M144" s="105" t="e">
        <f t="shared" si="43"/>
        <v>#REF!</v>
      </c>
      <c r="N144" s="105" t="e">
        <f>VLOOKUP(A144,#REF!,46,FALSE)</f>
        <v>#REF!</v>
      </c>
      <c r="O144" s="106" t="e">
        <f>VLOOKUP(A144,#REF!,9,FALSE)</f>
        <v>#REF!</v>
      </c>
      <c r="P144" s="114" t="e">
        <f>#REF!</f>
        <v>#REF!</v>
      </c>
      <c r="Q144" s="114" t="e">
        <f>VLOOKUP(A144,#REF!,12,FALSE)</f>
        <v>#REF!</v>
      </c>
      <c r="R144" s="120" t="e">
        <f>#REF!</f>
        <v>#REF!</v>
      </c>
      <c r="S144" s="106" t="e">
        <f>IF(Q144=0,#REF!,ROUND(Q144*R144,4))</f>
        <v>#REF!</v>
      </c>
      <c r="T144" s="121" t="e">
        <f>VLOOKUP($A144,#REF!,15,FALSE)</f>
        <v>#REF!</v>
      </c>
      <c r="U144" s="121" t="e">
        <f>VLOOKUP($A144,#REF!,19,FALSE)</f>
        <v>#REF!</v>
      </c>
      <c r="V144" s="109" t="e">
        <f t="shared" si="44"/>
        <v>#REF!</v>
      </c>
      <c r="W144" s="109" t="e">
        <f t="shared" si="45"/>
        <v>#REF!</v>
      </c>
      <c r="X144" s="105" t="e">
        <f t="shared" si="46"/>
        <v>#REF!</v>
      </c>
      <c r="Y144" s="113" t="e">
        <f t="shared" si="47"/>
        <v>#REF!</v>
      </c>
      <c r="Z144" s="109" t="e">
        <f t="shared" si="48"/>
        <v>#REF!</v>
      </c>
      <c r="AA144" s="113" t="e">
        <f t="shared" si="49"/>
        <v>#REF!</v>
      </c>
      <c r="AB144" s="109" t="e">
        <f t="shared" si="50"/>
        <v>#REF!</v>
      </c>
      <c r="AC144" s="113" t="e">
        <f t="shared" si="51"/>
        <v>#REF!</v>
      </c>
      <c r="AD144" s="105" t="e">
        <f t="shared" si="52"/>
        <v>#REF!</v>
      </c>
      <c r="AE144" s="105" t="e">
        <f t="shared" si="38"/>
        <v>#REF!</v>
      </c>
      <c r="AF144" s="105" t="e">
        <f t="shared" si="39"/>
        <v>#REF!</v>
      </c>
      <c r="AG144" s="105" t="e">
        <f t="shared" si="40"/>
        <v>#REF!</v>
      </c>
      <c r="AH144" s="111" t="e">
        <f>VLOOKUP($A144,#REF!,5,FALSE)</f>
        <v>#REF!</v>
      </c>
      <c r="AI144" s="111" t="e">
        <f>VLOOKUP($A144,#REF!,6,FALSE)</f>
        <v>#REF!</v>
      </c>
      <c r="AJ144" s="109" t="e">
        <f t="shared" si="53"/>
        <v>#REF!</v>
      </c>
      <c r="AK144" s="109" t="e">
        <f t="shared" si="54"/>
        <v>#REF!</v>
      </c>
      <c r="AL144" s="109"/>
      <c r="AM144" s="105"/>
      <c r="AN144" s="105"/>
      <c r="AO144" s="109"/>
      <c r="AP144" s="110"/>
      <c r="AQ144" s="110"/>
      <c r="AR144" s="110"/>
      <c r="AS144" s="110"/>
      <c r="AT144" s="110"/>
      <c r="AU144" s="112"/>
      <c r="AV144" s="112"/>
      <c r="AW144" s="110"/>
      <c r="AX144" s="105"/>
      <c r="AY144" s="105"/>
      <c r="AZ144" s="105"/>
      <c r="BA144" s="105"/>
      <c r="BB144" s="105"/>
      <c r="BC144" s="105"/>
    </row>
    <row r="145" spans="1:55" x14ac:dyDescent="0.15">
      <c r="A145" s="221">
        <v>320</v>
      </c>
      <c r="B145" s="98" t="e">
        <f>VLOOKUP($A145,#REF!,84,FALSE)</f>
        <v>#REF!</v>
      </c>
      <c r="C145" s="98" t="e">
        <f>VLOOKUP($A145,#REF!,85,FALSE)</f>
        <v>#REF!</v>
      </c>
      <c r="D145" s="98" t="e">
        <f>VLOOKUP($A145,#REF!,5,FALSE)</f>
        <v>#REF!</v>
      </c>
      <c r="E145" s="98" t="e">
        <f>VLOOKUP($A145,#REF!,6,FALSE)</f>
        <v>#REF!</v>
      </c>
      <c r="F145" s="105" t="e">
        <f>VLOOKUP($A145,#REF!,34,FALSE)</f>
        <v>#REF!</v>
      </c>
      <c r="G145" s="105" t="e">
        <f>VLOOKUP($A145,#REF!,29,FALSE)</f>
        <v>#REF!</v>
      </c>
      <c r="H145" s="105" t="e">
        <f>VLOOKUP(A145,#REF!,35,FALSE)+VLOOKUP(A145,#REF!,41,FALSE)</f>
        <v>#REF!</v>
      </c>
      <c r="I145" s="105" t="e">
        <f t="shared" si="41"/>
        <v>#REF!</v>
      </c>
      <c r="J145" s="105" t="e">
        <f>VLOOKUP(A145,#REF!,42,FALSE)</f>
        <v>#REF!</v>
      </c>
      <c r="K145" s="105" t="e">
        <f t="shared" si="42"/>
        <v>#REF!</v>
      </c>
      <c r="L145" s="164" t="e">
        <f t="shared" si="37"/>
        <v>#REF!</v>
      </c>
      <c r="M145" s="105" t="e">
        <f t="shared" si="43"/>
        <v>#REF!</v>
      </c>
      <c r="N145" s="105" t="e">
        <f>VLOOKUP(A145,#REF!,46,FALSE)</f>
        <v>#REF!</v>
      </c>
      <c r="O145" s="106" t="e">
        <f>VLOOKUP(A145,#REF!,9,FALSE)</f>
        <v>#REF!</v>
      </c>
      <c r="P145" s="114" t="e">
        <f>#REF!</f>
        <v>#REF!</v>
      </c>
      <c r="Q145" s="114" t="e">
        <f>VLOOKUP(A145,#REF!,12,FALSE)</f>
        <v>#REF!</v>
      </c>
      <c r="R145" s="120" t="e">
        <f>#REF!</f>
        <v>#REF!</v>
      </c>
      <c r="S145" s="106" t="e">
        <f>IF(Q145=0,#REF!,ROUND(Q145*R145,4))</f>
        <v>#REF!</v>
      </c>
      <c r="T145" s="121" t="e">
        <f>VLOOKUP($A145,#REF!,15,FALSE)</f>
        <v>#REF!</v>
      </c>
      <c r="U145" s="121" t="e">
        <f>VLOOKUP($A145,#REF!,19,FALSE)</f>
        <v>#REF!</v>
      </c>
      <c r="V145" s="109" t="e">
        <f t="shared" si="44"/>
        <v>#REF!</v>
      </c>
      <c r="W145" s="109" t="e">
        <f t="shared" si="45"/>
        <v>#REF!</v>
      </c>
      <c r="X145" s="105" t="e">
        <f t="shared" si="46"/>
        <v>#REF!</v>
      </c>
      <c r="Y145" s="113" t="e">
        <f t="shared" si="47"/>
        <v>#REF!</v>
      </c>
      <c r="Z145" s="109" t="e">
        <f t="shared" si="48"/>
        <v>#REF!</v>
      </c>
      <c r="AA145" s="113" t="e">
        <f t="shared" si="49"/>
        <v>#REF!</v>
      </c>
      <c r="AB145" s="109" t="e">
        <f t="shared" si="50"/>
        <v>#REF!</v>
      </c>
      <c r="AC145" s="113" t="e">
        <f t="shared" si="51"/>
        <v>#REF!</v>
      </c>
      <c r="AD145" s="105" t="e">
        <f t="shared" si="52"/>
        <v>#REF!</v>
      </c>
      <c r="AE145" s="105" t="e">
        <f t="shared" si="38"/>
        <v>#REF!</v>
      </c>
      <c r="AF145" s="105" t="e">
        <f t="shared" si="39"/>
        <v>#REF!</v>
      </c>
      <c r="AG145" s="105" t="e">
        <f t="shared" si="40"/>
        <v>#REF!</v>
      </c>
      <c r="AH145" s="111" t="e">
        <f>VLOOKUP($A145,#REF!,5,FALSE)</f>
        <v>#REF!</v>
      </c>
      <c r="AI145" s="111" t="e">
        <f>VLOOKUP($A145,#REF!,6,FALSE)</f>
        <v>#REF!</v>
      </c>
      <c r="AJ145" s="109" t="e">
        <f t="shared" si="53"/>
        <v>#REF!</v>
      </c>
      <c r="AK145" s="109" t="e">
        <f t="shared" si="54"/>
        <v>#REF!</v>
      </c>
      <c r="AL145" s="109"/>
      <c r="AM145" s="105"/>
      <c r="AN145" s="105"/>
      <c r="AO145" s="109"/>
      <c r="AP145" s="110"/>
      <c r="AQ145" s="110"/>
      <c r="AR145" s="110"/>
      <c r="AS145" s="110"/>
      <c r="AT145" s="110"/>
      <c r="AU145" s="112"/>
      <c r="AV145" s="112"/>
      <c r="AW145" s="110"/>
      <c r="AX145" s="105"/>
      <c r="AY145" s="105"/>
      <c r="AZ145" s="105"/>
      <c r="BA145" s="105"/>
      <c r="BB145" s="105"/>
      <c r="BC145" s="105"/>
    </row>
    <row r="146" spans="1:55" x14ac:dyDescent="0.15">
      <c r="A146" s="221">
        <v>322</v>
      </c>
      <c r="B146" s="98" t="e">
        <f>VLOOKUP($A146,#REF!,84,FALSE)</f>
        <v>#REF!</v>
      </c>
      <c r="C146" s="98" t="e">
        <f>VLOOKUP($A146,#REF!,85,FALSE)</f>
        <v>#REF!</v>
      </c>
      <c r="D146" s="98" t="e">
        <f>VLOOKUP($A146,#REF!,5,FALSE)</f>
        <v>#REF!</v>
      </c>
      <c r="E146" s="98" t="e">
        <f>VLOOKUP($A146,#REF!,6,FALSE)</f>
        <v>#REF!</v>
      </c>
      <c r="F146" s="105" t="e">
        <f>VLOOKUP($A146,#REF!,34,FALSE)</f>
        <v>#REF!</v>
      </c>
      <c r="G146" s="105" t="e">
        <f>VLOOKUP($A146,#REF!,29,FALSE)</f>
        <v>#REF!</v>
      </c>
      <c r="H146" s="105" t="e">
        <f>VLOOKUP(A146,#REF!,35,FALSE)+VLOOKUP(A146,#REF!,41,FALSE)</f>
        <v>#REF!</v>
      </c>
      <c r="I146" s="105" t="e">
        <f t="shared" si="41"/>
        <v>#REF!</v>
      </c>
      <c r="J146" s="105" t="e">
        <f>VLOOKUP(A146,#REF!,42,FALSE)</f>
        <v>#REF!</v>
      </c>
      <c r="K146" s="105" t="e">
        <f t="shared" si="42"/>
        <v>#REF!</v>
      </c>
      <c r="L146" s="164" t="e">
        <f t="shared" si="37"/>
        <v>#REF!</v>
      </c>
      <c r="M146" s="105" t="e">
        <f t="shared" si="43"/>
        <v>#REF!</v>
      </c>
      <c r="N146" s="105" t="e">
        <f>VLOOKUP(A146,#REF!,46,FALSE)</f>
        <v>#REF!</v>
      </c>
      <c r="O146" s="106" t="e">
        <f>VLOOKUP(A146,#REF!,9,FALSE)</f>
        <v>#REF!</v>
      </c>
      <c r="P146" s="114" t="e">
        <f>#REF!</f>
        <v>#REF!</v>
      </c>
      <c r="Q146" s="114" t="e">
        <f>VLOOKUP(A146,#REF!,12,FALSE)</f>
        <v>#REF!</v>
      </c>
      <c r="R146" s="120" t="e">
        <f>#REF!</f>
        <v>#REF!</v>
      </c>
      <c r="S146" s="106" t="e">
        <f>IF(Q146=0,#REF!,ROUND(Q146*R146,4))</f>
        <v>#REF!</v>
      </c>
      <c r="T146" s="121" t="e">
        <f>VLOOKUP($A146,#REF!,15,FALSE)</f>
        <v>#REF!</v>
      </c>
      <c r="U146" s="121" t="e">
        <f>VLOOKUP($A146,#REF!,19,FALSE)</f>
        <v>#REF!</v>
      </c>
      <c r="V146" s="109" t="e">
        <f t="shared" si="44"/>
        <v>#REF!</v>
      </c>
      <c r="W146" s="109" t="e">
        <f t="shared" si="45"/>
        <v>#REF!</v>
      </c>
      <c r="X146" s="105" t="e">
        <f t="shared" si="46"/>
        <v>#REF!</v>
      </c>
      <c r="Y146" s="113" t="e">
        <f t="shared" si="47"/>
        <v>#REF!</v>
      </c>
      <c r="Z146" s="109" t="e">
        <f t="shared" si="48"/>
        <v>#REF!</v>
      </c>
      <c r="AA146" s="113" t="e">
        <f t="shared" si="49"/>
        <v>#REF!</v>
      </c>
      <c r="AB146" s="109" t="e">
        <f t="shared" si="50"/>
        <v>#REF!</v>
      </c>
      <c r="AC146" s="113" t="e">
        <f t="shared" si="51"/>
        <v>#REF!</v>
      </c>
      <c r="AD146" s="105" t="e">
        <f t="shared" si="52"/>
        <v>#REF!</v>
      </c>
      <c r="AE146" s="105" t="e">
        <f t="shared" si="38"/>
        <v>#REF!</v>
      </c>
      <c r="AF146" s="105" t="e">
        <f t="shared" si="39"/>
        <v>#REF!</v>
      </c>
      <c r="AG146" s="105" t="e">
        <f t="shared" si="40"/>
        <v>#REF!</v>
      </c>
      <c r="AH146" s="111" t="e">
        <f>VLOOKUP($A146,#REF!,5,FALSE)</f>
        <v>#REF!</v>
      </c>
      <c r="AI146" s="111" t="e">
        <f>VLOOKUP($A146,#REF!,6,FALSE)</f>
        <v>#REF!</v>
      </c>
      <c r="AJ146" s="109" t="e">
        <f t="shared" si="53"/>
        <v>#REF!</v>
      </c>
      <c r="AK146" s="109" t="e">
        <f t="shared" si="54"/>
        <v>#REF!</v>
      </c>
      <c r="AL146" s="109"/>
      <c r="AM146" s="105"/>
      <c r="AN146" s="105"/>
      <c r="AO146" s="109"/>
      <c r="AP146" s="110"/>
      <c r="AQ146" s="110"/>
      <c r="AR146" s="110"/>
      <c r="AS146" s="110"/>
      <c r="AT146" s="110"/>
      <c r="AU146" s="112"/>
      <c r="AV146" s="112"/>
      <c r="AW146" s="110"/>
      <c r="AX146" s="105"/>
      <c r="AY146" s="105"/>
      <c r="AZ146" s="105"/>
      <c r="BA146" s="105"/>
      <c r="BB146" s="105"/>
      <c r="BC146" s="105"/>
    </row>
    <row r="147" spans="1:55" x14ac:dyDescent="0.15">
      <c r="A147" s="221">
        <v>316</v>
      </c>
      <c r="B147" s="98" t="e">
        <f>VLOOKUP($A147,#REF!,84,FALSE)</f>
        <v>#REF!</v>
      </c>
      <c r="C147" s="98" t="e">
        <f>VLOOKUP($A147,#REF!,85,FALSE)</f>
        <v>#REF!</v>
      </c>
      <c r="D147" s="98" t="e">
        <f>VLOOKUP($A147,#REF!,5,FALSE)</f>
        <v>#REF!</v>
      </c>
      <c r="E147" s="98" t="e">
        <f>VLOOKUP($A147,#REF!,6,FALSE)</f>
        <v>#REF!</v>
      </c>
      <c r="F147" s="105" t="e">
        <f>VLOOKUP($A147,#REF!,34,FALSE)</f>
        <v>#REF!</v>
      </c>
      <c r="G147" s="105" t="e">
        <f>VLOOKUP($A147,#REF!,29,FALSE)</f>
        <v>#REF!</v>
      </c>
      <c r="H147" s="105" t="e">
        <f>VLOOKUP(A147,#REF!,35,FALSE)+VLOOKUP(A147,#REF!,41,FALSE)</f>
        <v>#REF!</v>
      </c>
      <c r="I147" s="105" t="e">
        <f t="shared" si="41"/>
        <v>#REF!</v>
      </c>
      <c r="J147" s="105" t="e">
        <f>VLOOKUP(A147,#REF!,42,FALSE)</f>
        <v>#REF!</v>
      </c>
      <c r="K147" s="105" t="e">
        <f t="shared" si="42"/>
        <v>#REF!</v>
      </c>
      <c r="L147" s="164" t="e">
        <f t="shared" si="37"/>
        <v>#REF!</v>
      </c>
      <c r="M147" s="105" t="e">
        <f t="shared" si="43"/>
        <v>#REF!</v>
      </c>
      <c r="N147" s="105" t="e">
        <f>VLOOKUP(A147,#REF!,46,FALSE)</f>
        <v>#REF!</v>
      </c>
      <c r="O147" s="106" t="e">
        <f>VLOOKUP(A147,#REF!,9,FALSE)</f>
        <v>#REF!</v>
      </c>
      <c r="P147" s="114" t="e">
        <f>#REF!</f>
        <v>#REF!</v>
      </c>
      <c r="Q147" s="114" t="e">
        <f>VLOOKUP(A147,#REF!,12,FALSE)</f>
        <v>#REF!</v>
      </c>
      <c r="R147" s="120" t="e">
        <f>#REF!</f>
        <v>#REF!</v>
      </c>
      <c r="S147" s="106" t="e">
        <f>IF(Q147=0,#REF!,ROUND(Q147*R147,4))</f>
        <v>#REF!</v>
      </c>
      <c r="T147" s="121" t="e">
        <f>VLOOKUP($A147,#REF!,15,FALSE)</f>
        <v>#REF!</v>
      </c>
      <c r="U147" s="121" t="e">
        <f>VLOOKUP($A147,#REF!,19,FALSE)</f>
        <v>#REF!</v>
      </c>
      <c r="V147" s="109" t="e">
        <f t="shared" si="44"/>
        <v>#REF!</v>
      </c>
      <c r="W147" s="109" t="e">
        <f t="shared" si="45"/>
        <v>#REF!</v>
      </c>
      <c r="X147" s="105" t="e">
        <f t="shared" si="46"/>
        <v>#REF!</v>
      </c>
      <c r="Y147" s="113" t="e">
        <f t="shared" si="47"/>
        <v>#REF!</v>
      </c>
      <c r="Z147" s="109" t="e">
        <f t="shared" si="48"/>
        <v>#REF!</v>
      </c>
      <c r="AA147" s="113" t="e">
        <f t="shared" si="49"/>
        <v>#REF!</v>
      </c>
      <c r="AB147" s="109" t="e">
        <f t="shared" si="50"/>
        <v>#REF!</v>
      </c>
      <c r="AC147" s="113" t="e">
        <f t="shared" si="51"/>
        <v>#REF!</v>
      </c>
      <c r="AD147" s="105" t="e">
        <f t="shared" si="52"/>
        <v>#REF!</v>
      </c>
      <c r="AE147" s="105" t="e">
        <f t="shared" si="38"/>
        <v>#REF!</v>
      </c>
      <c r="AF147" s="105" t="e">
        <f t="shared" si="39"/>
        <v>#REF!</v>
      </c>
      <c r="AG147" s="105" t="e">
        <f t="shared" si="40"/>
        <v>#REF!</v>
      </c>
      <c r="AH147" s="111" t="e">
        <f>VLOOKUP($A147,#REF!,5,FALSE)</f>
        <v>#REF!</v>
      </c>
      <c r="AI147" s="111" t="e">
        <f>VLOOKUP($A147,#REF!,6,FALSE)</f>
        <v>#REF!</v>
      </c>
      <c r="AJ147" s="109" t="e">
        <f t="shared" si="53"/>
        <v>#REF!</v>
      </c>
      <c r="AK147" s="109" t="e">
        <f t="shared" si="54"/>
        <v>#REF!</v>
      </c>
      <c r="AL147" s="109"/>
      <c r="AM147" s="113"/>
      <c r="AN147" s="113"/>
      <c r="AO147" s="113"/>
      <c r="AP147" s="113"/>
      <c r="AQ147" s="113"/>
      <c r="AR147" s="113"/>
      <c r="AS147" s="113"/>
      <c r="AT147" s="113"/>
      <c r="AU147" s="113"/>
      <c r="AV147" s="113"/>
      <c r="AW147" s="110"/>
      <c r="AX147" s="105"/>
      <c r="AY147" s="105"/>
      <c r="AZ147" s="105"/>
      <c r="BA147" s="105"/>
      <c r="BB147" s="105"/>
      <c r="BC147" s="105"/>
    </row>
    <row r="148" spans="1:55" x14ac:dyDescent="0.15">
      <c r="A148" s="221">
        <v>739</v>
      </c>
      <c r="B148" s="98" t="e">
        <f>VLOOKUP($A148,#REF!,84,FALSE)</f>
        <v>#REF!</v>
      </c>
      <c r="C148" s="98" t="e">
        <f>VLOOKUP($A148,#REF!,85,FALSE)</f>
        <v>#REF!</v>
      </c>
      <c r="D148" s="98" t="e">
        <f>VLOOKUP($A148,#REF!,5,FALSE)</f>
        <v>#REF!</v>
      </c>
      <c r="E148" s="98" t="e">
        <f>VLOOKUP($A148,#REF!,6,FALSE)</f>
        <v>#REF!</v>
      </c>
      <c r="F148" s="105" t="e">
        <f>VLOOKUP($A148,#REF!,34,FALSE)</f>
        <v>#REF!</v>
      </c>
      <c r="G148" s="105" t="e">
        <f>VLOOKUP($A148,#REF!,29,FALSE)</f>
        <v>#REF!</v>
      </c>
      <c r="H148" s="105" t="e">
        <f>VLOOKUP(A148,#REF!,35,FALSE)+VLOOKUP(A148,#REF!,41,FALSE)</f>
        <v>#REF!</v>
      </c>
      <c r="I148" s="105" t="e">
        <f t="shared" si="41"/>
        <v>#REF!</v>
      </c>
      <c r="J148" s="105" t="e">
        <f>VLOOKUP(A148,#REF!,42,FALSE)</f>
        <v>#REF!</v>
      </c>
      <c r="K148" s="105" t="e">
        <f t="shared" si="42"/>
        <v>#REF!</v>
      </c>
      <c r="L148" s="164" t="e">
        <f t="shared" si="37"/>
        <v>#REF!</v>
      </c>
      <c r="M148" s="105" t="e">
        <f t="shared" si="43"/>
        <v>#REF!</v>
      </c>
      <c r="N148" s="105" t="e">
        <f>VLOOKUP(A148,#REF!,46,FALSE)</f>
        <v>#REF!</v>
      </c>
      <c r="O148" s="106" t="e">
        <f>VLOOKUP(A148,#REF!,9,FALSE)</f>
        <v>#REF!</v>
      </c>
      <c r="P148" s="114" t="e">
        <f>#REF!</f>
        <v>#REF!</v>
      </c>
      <c r="Q148" s="114" t="e">
        <f>VLOOKUP(A148,#REF!,12,FALSE)</f>
        <v>#REF!</v>
      </c>
      <c r="R148" s="120" t="e">
        <f>#REF!</f>
        <v>#REF!</v>
      </c>
      <c r="S148" s="106" t="e">
        <f>IF(Q148=0,#REF!,ROUND(Q148*R148,4))</f>
        <v>#REF!</v>
      </c>
      <c r="T148" s="121" t="e">
        <f>VLOOKUP($A148,#REF!,15,FALSE)</f>
        <v>#REF!</v>
      </c>
      <c r="U148" s="121" t="e">
        <f>VLOOKUP($A148,#REF!,19,FALSE)</f>
        <v>#REF!</v>
      </c>
      <c r="V148" s="109" t="e">
        <f t="shared" si="44"/>
        <v>#REF!</v>
      </c>
      <c r="W148" s="109" t="e">
        <f t="shared" si="45"/>
        <v>#REF!</v>
      </c>
      <c r="X148" s="105" t="e">
        <f t="shared" si="46"/>
        <v>#REF!</v>
      </c>
      <c r="Y148" s="113" t="e">
        <f t="shared" si="47"/>
        <v>#REF!</v>
      </c>
      <c r="Z148" s="109" t="e">
        <f t="shared" si="48"/>
        <v>#REF!</v>
      </c>
      <c r="AA148" s="113" t="e">
        <f t="shared" si="49"/>
        <v>#REF!</v>
      </c>
      <c r="AB148" s="109" t="e">
        <f t="shared" si="50"/>
        <v>#REF!</v>
      </c>
      <c r="AC148" s="113" t="e">
        <f t="shared" si="51"/>
        <v>#REF!</v>
      </c>
      <c r="AD148" s="105" t="e">
        <f t="shared" si="52"/>
        <v>#REF!</v>
      </c>
      <c r="AE148" s="105" t="e">
        <f t="shared" si="38"/>
        <v>#REF!</v>
      </c>
      <c r="AF148" s="105" t="e">
        <f t="shared" si="39"/>
        <v>#REF!</v>
      </c>
      <c r="AG148" s="105" t="e">
        <f t="shared" si="40"/>
        <v>#REF!</v>
      </c>
      <c r="AH148" s="111" t="e">
        <f>VLOOKUP($A148,#REF!,5,FALSE)</f>
        <v>#REF!</v>
      </c>
      <c r="AI148" s="111" t="e">
        <f>VLOOKUP($A148,#REF!,6,FALSE)</f>
        <v>#REF!</v>
      </c>
      <c r="AJ148" s="109" t="e">
        <f t="shared" si="53"/>
        <v>#REF!</v>
      </c>
      <c r="AK148" s="109" t="e">
        <f t="shared" si="54"/>
        <v>#REF!</v>
      </c>
      <c r="AL148" s="109"/>
      <c r="AM148" s="105"/>
      <c r="AN148" s="105"/>
      <c r="AO148" s="109"/>
      <c r="AP148" s="110"/>
      <c r="AQ148" s="110"/>
      <c r="AR148" s="110"/>
      <c r="AS148" s="110"/>
      <c r="AT148" s="110"/>
      <c r="AU148" s="112"/>
      <c r="AV148" s="112"/>
      <c r="AW148" s="110"/>
      <c r="AX148" s="105"/>
      <c r="AY148" s="105"/>
      <c r="AZ148" s="105"/>
      <c r="BA148" s="105"/>
      <c r="BB148" s="105"/>
      <c r="BC148" s="105"/>
    </row>
    <row r="149" spans="1:55" x14ac:dyDescent="0.15">
      <c r="A149" s="221">
        <v>332</v>
      </c>
      <c r="B149" s="98" t="e">
        <f>VLOOKUP($A149,#REF!,84,FALSE)</f>
        <v>#REF!</v>
      </c>
      <c r="C149" s="98" t="e">
        <f>VLOOKUP($A149,#REF!,85,FALSE)</f>
        <v>#REF!</v>
      </c>
      <c r="D149" s="98" t="e">
        <f>VLOOKUP($A149,#REF!,5,FALSE)</f>
        <v>#REF!</v>
      </c>
      <c r="E149" s="98" t="e">
        <f>VLOOKUP($A149,#REF!,6,FALSE)</f>
        <v>#REF!</v>
      </c>
      <c r="F149" s="105" t="e">
        <f>VLOOKUP($A149,#REF!,34,FALSE)</f>
        <v>#REF!</v>
      </c>
      <c r="G149" s="105" t="e">
        <f>VLOOKUP($A149,#REF!,29,FALSE)</f>
        <v>#REF!</v>
      </c>
      <c r="H149" s="105" t="e">
        <f>VLOOKUP(A149,#REF!,35,FALSE)+VLOOKUP(A149,#REF!,41,FALSE)</f>
        <v>#REF!</v>
      </c>
      <c r="I149" s="105" t="e">
        <f t="shared" si="41"/>
        <v>#REF!</v>
      </c>
      <c r="J149" s="105" t="e">
        <f>VLOOKUP(A149,#REF!,42,FALSE)</f>
        <v>#REF!</v>
      </c>
      <c r="K149" s="105" t="e">
        <f t="shared" si="42"/>
        <v>#REF!</v>
      </c>
      <c r="L149" s="164" t="e">
        <f t="shared" si="37"/>
        <v>#REF!</v>
      </c>
      <c r="M149" s="105" t="e">
        <f t="shared" si="43"/>
        <v>#REF!</v>
      </c>
      <c r="N149" s="105" t="e">
        <f>VLOOKUP(A149,#REF!,46,FALSE)</f>
        <v>#REF!</v>
      </c>
      <c r="O149" s="106" t="e">
        <f>VLOOKUP(A149,#REF!,9,FALSE)</f>
        <v>#REF!</v>
      </c>
      <c r="P149" s="114" t="e">
        <f>#REF!</f>
        <v>#REF!</v>
      </c>
      <c r="Q149" s="114" t="e">
        <f>VLOOKUP(A149,#REF!,12,FALSE)</f>
        <v>#REF!</v>
      </c>
      <c r="R149" s="120" t="e">
        <f>#REF!</f>
        <v>#REF!</v>
      </c>
      <c r="S149" s="106" t="e">
        <f>IF(Q149=0,#REF!,ROUND(Q149*R149,4))</f>
        <v>#REF!</v>
      </c>
      <c r="T149" s="121" t="e">
        <f>VLOOKUP($A149,#REF!,15,FALSE)</f>
        <v>#REF!</v>
      </c>
      <c r="U149" s="121" t="e">
        <f>VLOOKUP($A149,#REF!,19,FALSE)</f>
        <v>#REF!</v>
      </c>
      <c r="V149" s="109" t="e">
        <f t="shared" si="44"/>
        <v>#REF!</v>
      </c>
      <c r="W149" s="109" t="e">
        <f t="shared" si="45"/>
        <v>#REF!</v>
      </c>
      <c r="X149" s="105" t="e">
        <f t="shared" si="46"/>
        <v>#REF!</v>
      </c>
      <c r="Y149" s="113" t="e">
        <f t="shared" si="47"/>
        <v>#REF!</v>
      </c>
      <c r="Z149" s="109" t="e">
        <f t="shared" si="48"/>
        <v>#REF!</v>
      </c>
      <c r="AA149" s="113" t="e">
        <f t="shared" si="49"/>
        <v>#REF!</v>
      </c>
      <c r="AB149" s="109" t="e">
        <f t="shared" si="50"/>
        <v>#REF!</v>
      </c>
      <c r="AC149" s="113" t="e">
        <f t="shared" si="51"/>
        <v>#REF!</v>
      </c>
      <c r="AD149" s="105" t="e">
        <f t="shared" si="52"/>
        <v>#REF!</v>
      </c>
      <c r="AE149" s="105" t="e">
        <f t="shared" si="38"/>
        <v>#REF!</v>
      </c>
      <c r="AF149" s="105" t="e">
        <f t="shared" si="39"/>
        <v>#REF!</v>
      </c>
      <c r="AG149" s="105" t="e">
        <f t="shared" si="40"/>
        <v>#REF!</v>
      </c>
      <c r="AH149" s="111" t="e">
        <f>VLOOKUP($A149,#REF!,5,FALSE)</f>
        <v>#REF!</v>
      </c>
      <c r="AI149" s="111" t="e">
        <f>VLOOKUP($A149,#REF!,6,FALSE)</f>
        <v>#REF!</v>
      </c>
      <c r="AJ149" s="109" t="e">
        <f t="shared" si="53"/>
        <v>#REF!</v>
      </c>
      <c r="AK149" s="109" t="e">
        <f t="shared" si="54"/>
        <v>#REF!</v>
      </c>
      <c r="AL149" s="109"/>
      <c r="AM149" s="105"/>
      <c r="AN149" s="105"/>
      <c r="AO149" s="109"/>
      <c r="AP149" s="110"/>
      <c r="AQ149" s="110"/>
      <c r="AR149" s="110"/>
      <c r="AS149" s="110"/>
      <c r="AT149" s="110"/>
      <c r="AU149" s="112"/>
      <c r="AV149" s="112"/>
      <c r="AW149" s="110"/>
      <c r="AX149" s="105"/>
      <c r="AY149" s="105"/>
      <c r="AZ149" s="105"/>
      <c r="BA149" s="105"/>
      <c r="BB149" s="105"/>
      <c r="BC149" s="105"/>
    </row>
    <row r="150" spans="1:55" x14ac:dyDescent="0.15">
      <c r="A150" s="221">
        <v>1326</v>
      </c>
      <c r="B150" s="98" t="e">
        <f>VLOOKUP($A150,#REF!,84,FALSE)</f>
        <v>#REF!</v>
      </c>
      <c r="C150" s="98" t="e">
        <f>VLOOKUP($A150,#REF!,85,FALSE)</f>
        <v>#REF!</v>
      </c>
      <c r="D150" s="98" t="e">
        <f>VLOOKUP($A150,#REF!,5,FALSE)</f>
        <v>#REF!</v>
      </c>
      <c r="E150" s="98" t="e">
        <f>VLOOKUP($A150,#REF!,6,FALSE)</f>
        <v>#REF!</v>
      </c>
      <c r="F150" s="105" t="e">
        <f>VLOOKUP($A150,#REF!,34,FALSE)</f>
        <v>#REF!</v>
      </c>
      <c r="G150" s="105" t="e">
        <f>VLOOKUP($A150,#REF!,29,FALSE)</f>
        <v>#REF!</v>
      </c>
      <c r="H150" s="105" t="e">
        <f>VLOOKUP(A150,#REF!,35,FALSE)+VLOOKUP(A150,#REF!,41,FALSE)</f>
        <v>#REF!</v>
      </c>
      <c r="I150" s="105" t="e">
        <f t="shared" si="41"/>
        <v>#REF!</v>
      </c>
      <c r="J150" s="105" t="e">
        <f>VLOOKUP(A150,#REF!,42,FALSE)</f>
        <v>#REF!</v>
      </c>
      <c r="K150" s="105" t="e">
        <f t="shared" si="42"/>
        <v>#REF!</v>
      </c>
      <c r="L150" s="164" t="e">
        <f t="shared" si="37"/>
        <v>#REF!</v>
      </c>
      <c r="M150" s="105" t="e">
        <f t="shared" si="43"/>
        <v>#REF!</v>
      </c>
      <c r="N150" s="105" t="e">
        <f>VLOOKUP(A150,#REF!,46,FALSE)</f>
        <v>#REF!</v>
      </c>
      <c r="O150" s="106" t="e">
        <f>VLOOKUP(A150,#REF!,9,FALSE)</f>
        <v>#REF!</v>
      </c>
      <c r="P150" s="114" t="e">
        <f>#REF!</f>
        <v>#REF!</v>
      </c>
      <c r="Q150" s="114" t="e">
        <f>VLOOKUP(A150,#REF!,12,FALSE)</f>
        <v>#REF!</v>
      </c>
      <c r="R150" s="120" t="e">
        <f>#REF!</f>
        <v>#REF!</v>
      </c>
      <c r="S150" s="106" t="e">
        <f>IF(Q150=0,#REF!,ROUND(Q150*R150,4))</f>
        <v>#REF!</v>
      </c>
      <c r="T150" s="121" t="e">
        <f>VLOOKUP($A150,#REF!,15,FALSE)</f>
        <v>#REF!</v>
      </c>
      <c r="U150" s="121" t="e">
        <f>VLOOKUP($A150,#REF!,19,FALSE)</f>
        <v>#REF!</v>
      </c>
      <c r="V150" s="109" t="e">
        <f t="shared" si="44"/>
        <v>#REF!</v>
      </c>
      <c r="W150" s="109" t="e">
        <f t="shared" si="45"/>
        <v>#REF!</v>
      </c>
      <c r="X150" s="105" t="e">
        <f t="shared" si="46"/>
        <v>#REF!</v>
      </c>
      <c r="Y150" s="113" t="e">
        <f t="shared" si="47"/>
        <v>#REF!</v>
      </c>
      <c r="Z150" s="109" t="e">
        <f t="shared" si="48"/>
        <v>#REF!</v>
      </c>
      <c r="AA150" s="113" t="e">
        <f t="shared" si="49"/>
        <v>#REF!</v>
      </c>
      <c r="AB150" s="109" t="e">
        <f t="shared" si="50"/>
        <v>#REF!</v>
      </c>
      <c r="AC150" s="113" t="e">
        <f t="shared" si="51"/>
        <v>#REF!</v>
      </c>
      <c r="AD150" s="105" t="e">
        <f t="shared" si="52"/>
        <v>#REF!</v>
      </c>
      <c r="AE150" s="105" t="e">
        <f t="shared" si="38"/>
        <v>#REF!</v>
      </c>
      <c r="AF150" s="105" t="e">
        <f t="shared" si="39"/>
        <v>#REF!</v>
      </c>
      <c r="AG150" s="105" t="e">
        <f t="shared" si="40"/>
        <v>#REF!</v>
      </c>
      <c r="AH150" s="111" t="e">
        <f>VLOOKUP($A150,#REF!,5,FALSE)</f>
        <v>#REF!</v>
      </c>
      <c r="AI150" s="111" t="e">
        <f>VLOOKUP($A150,#REF!,6,FALSE)</f>
        <v>#REF!</v>
      </c>
      <c r="AJ150" s="109" t="e">
        <f t="shared" si="53"/>
        <v>#REF!</v>
      </c>
      <c r="AK150" s="109" t="e">
        <f t="shared" si="54"/>
        <v>#REF!</v>
      </c>
      <c r="AL150" s="109"/>
      <c r="AM150" s="105"/>
      <c r="AN150" s="105"/>
      <c r="AO150" s="109"/>
      <c r="AP150" s="110"/>
      <c r="AQ150" s="110"/>
      <c r="AR150" s="110"/>
      <c r="AS150" s="110"/>
      <c r="AT150" s="110"/>
      <c r="AU150" s="112"/>
      <c r="AV150" s="112"/>
      <c r="AW150" s="110"/>
      <c r="AX150" s="105"/>
      <c r="AY150" s="105"/>
      <c r="AZ150" s="105"/>
      <c r="BA150" s="105"/>
      <c r="BB150" s="105"/>
      <c r="BC150" s="105"/>
    </row>
    <row r="151" spans="1:55" x14ac:dyDescent="0.15">
      <c r="A151" s="221">
        <v>326</v>
      </c>
      <c r="B151" s="98" t="e">
        <f>VLOOKUP($A151,#REF!,84,FALSE)</f>
        <v>#REF!</v>
      </c>
      <c r="C151" s="98" t="e">
        <f>VLOOKUP($A151,#REF!,85,FALSE)</f>
        <v>#REF!</v>
      </c>
      <c r="D151" s="98" t="e">
        <f>VLOOKUP($A151,#REF!,5,FALSE)</f>
        <v>#REF!</v>
      </c>
      <c r="E151" s="98" t="e">
        <f>VLOOKUP($A151,#REF!,6,FALSE)</f>
        <v>#REF!</v>
      </c>
      <c r="F151" s="105" t="e">
        <f>VLOOKUP($A151,#REF!,34,FALSE)</f>
        <v>#REF!</v>
      </c>
      <c r="G151" s="105" t="e">
        <f>VLOOKUP($A151,#REF!,29,FALSE)</f>
        <v>#REF!</v>
      </c>
      <c r="H151" s="105" t="e">
        <f>VLOOKUP(A151,#REF!,35,FALSE)+VLOOKUP(A151,#REF!,41,FALSE)</f>
        <v>#REF!</v>
      </c>
      <c r="I151" s="105" t="e">
        <f t="shared" si="41"/>
        <v>#REF!</v>
      </c>
      <c r="J151" s="105" t="e">
        <f>VLOOKUP(A151,#REF!,42,FALSE)</f>
        <v>#REF!</v>
      </c>
      <c r="K151" s="105" t="e">
        <f t="shared" si="42"/>
        <v>#REF!</v>
      </c>
      <c r="L151" s="164" t="e">
        <f t="shared" si="37"/>
        <v>#REF!</v>
      </c>
      <c r="M151" s="105" t="e">
        <f t="shared" si="43"/>
        <v>#REF!</v>
      </c>
      <c r="N151" s="105" t="e">
        <f>VLOOKUP(A151,#REF!,46,FALSE)</f>
        <v>#REF!</v>
      </c>
      <c r="O151" s="106" t="e">
        <f>VLOOKUP(A151,#REF!,9,FALSE)</f>
        <v>#REF!</v>
      </c>
      <c r="P151" s="114" t="e">
        <f>#REF!</f>
        <v>#REF!</v>
      </c>
      <c r="Q151" s="114" t="e">
        <f>VLOOKUP(A151,#REF!,12,FALSE)</f>
        <v>#REF!</v>
      </c>
      <c r="R151" s="120" t="e">
        <f>#REF!</f>
        <v>#REF!</v>
      </c>
      <c r="S151" s="106" t="e">
        <f>IF(Q151=0,#REF!,ROUND(Q151*R151,4))</f>
        <v>#REF!</v>
      </c>
      <c r="T151" s="121" t="e">
        <f>VLOOKUP($A151,#REF!,15,FALSE)</f>
        <v>#REF!</v>
      </c>
      <c r="U151" s="121" t="e">
        <f>VLOOKUP($A151,#REF!,19,FALSE)</f>
        <v>#REF!</v>
      </c>
      <c r="V151" s="109" t="e">
        <f t="shared" si="44"/>
        <v>#REF!</v>
      </c>
      <c r="W151" s="109" t="e">
        <f t="shared" si="45"/>
        <v>#REF!</v>
      </c>
      <c r="X151" s="105" t="e">
        <f t="shared" si="46"/>
        <v>#REF!</v>
      </c>
      <c r="Y151" s="113" t="e">
        <f t="shared" si="47"/>
        <v>#REF!</v>
      </c>
      <c r="Z151" s="109" t="e">
        <f t="shared" si="48"/>
        <v>#REF!</v>
      </c>
      <c r="AA151" s="113" t="e">
        <f t="shared" si="49"/>
        <v>#REF!</v>
      </c>
      <c r="AB151" s="109" t="e">
        <f t="shared" si="50"/>
        <v>#REF!</v>
      </c>
      <c r="AC151" s="113" t="e">
        <f t="shared" si="51"/>
        <v>#REF!</v>
      </c>
      <c r="AD151" s="105" t="e">
        <f t="shared" si="52"/>
        <v>#REF!</v>
      </c>
      <c r="AE151" s="105" t="e">
        <f t="shared" si="38"/>
        <v>#REF!</v>
      </c>
      <c r="AF151" s="105" t="e">
        <f t="shared" si="39"/>
        <v>#REF!</v>
      </c>
      <c r="AG151" s="105" t="e">
        <f t="shared" si="40"/>
        <v>#REF!</v>
      </c>
      <c r="AH151" s="111" t="e">
        <f>VLOOKUP($A151,#REF!,5,FALSE)</f>
        <v>#REF!</v>
      </c>
      <c r="AI151" s="111" t="e">
        <f>VLOOKUP($A151,#REF!,6,FALSE)</f>
        <v>#REF!</v>
      </c>
      <c r="AJ151" s="109" t="e">
        <f t="shared" si="53"/>
        <v>#REF!</v>
      </c>
      <c r="AK151" s="109" t="e">
        <f t="shared" si="54"/>
        <v>#REF!</v>
      </c>
      <c r="AL151" s="109"/>
      <c r="AM151" s="105"/>
      <c r="AN151" s="105"/>
      <c r="AO151" s="109"/>
      <c r="AP151" s="110"/>
      <c r="AQ151" s="110"/>
      <c r="AR151" s="110"/>
      <c r="AS151" s="110"/>
      <c r="AT151" s="110"/>
      <c r="AU151" s="112"/>
      <c r="AV151" s="112"/>
      <c r="AW151" s="110"/>
      <c r="AX151" s="105"/>
      <c r="AY151" s="105"/>
      <c r="AZ151" s="105"/>
      <c r="BA151" s="105"/>
      <c r="BB151" s="105"/>
      <c r="BC151" s="105"/>
    </row>
    <row r="152" spans="1:55" x14ac:dyDescent="0.15">
      <c r="A152" s="221">
        <v>304</v>
      </c>
      <c r="B152" s="98" t="e">
        <f>VLOOKUP($A152,#REF!,84,FALSE)</f>
        <v>#REF!</v>
      </c>
      <c r="C152" s="98" t="e">
        <f>VLOOKUP($A152,#REF!,85,FALSE)</f>
        <v>#REF!</v>
      </c>
      <c r="D152" s="98" t="e">
        <f>VLOOKUP($A152,#REF!,5,FALSE)</f>
        <v>#REF!</v>
      </c>
      <c r="E152" s="98" t="e">
        <f>VLOOKUP($A152,#REF!,6,FALSE)</f>
        <v>#REF!</v>
      </c>
      <c r="F152" s="105" t="e">
        <f>VLOOKUP($A152,#REF!,34,FALSE)</f>
        <v>#REF!</v>
      </c>
      <c r="G152" s="105" t="e">
        <f>VLOOKUP($A152,#REF!,29,FALSE)</f>
        <v>#REF!</v>
      </c>
      <c r="H152" s="105" t="e">
        <f>VLOOKUP(A152,#REF!,35,FALSE)+VLOOKUP(A152,#REF!,41,FALSE)</f>
        <v>#REF!</v>
      </c>
      <c r="I152" s="105" t="e">
        <f t="shared" si="41"/>
        <v>#REF!</v>
      </c>
      <c r="J152" s="105" t="e">
        <f>VLOOKUP(A152,#REF!,42,FALSE)</f>
        <v>#REF!</v>
      </c>
      <c r="K152" s="105" t="e">
        <f t="shared" si="42"/>
        <v>#REF!</v>
      </c>
      <c r="L152" s="164" t="e">
        <f t="shared" si="37"/>
        <v>#REF!</v>
      </c>
      <c r="M152" s="105" t="e">
        <f t="shared" si="43"/>
        <v>#REF!</v>
      </c>
      <c r="N152" s="105" t="e">
        <f>VLOOKUP(A152,#REF!,46,FALSE)</f>
        <v>#REF!</v>
      </c>
      <c r="O152" s="106" t="e">
        <f>VLOOKUP(A152,#REF!,9,FALSE)</f>
        <v>#REF!</v>
      </c>
      <c r="P152" s="114" t="e">
        <f>#REF!</f>
        <v>#REF!</v>
      </c>
      <c r="Q152" s="114" t="e">
        <f>VLOOKUP(A152,#REF!,12,FALSE)</f>
        <v>#REF!</v>
      </c>
      <c r="R152" s="120" t="e">
        <f>#REF!</f>
        <v>#REF!</v>
      </c>
      <c r="S152" s="106" t="e">
        <f>IF(Q152=0,#REF!,ROUND(Q152*R152,4))</f>
        <v>#REF!</v>
      </c>
      <c r="T152" s="121" t="e">
        <f>VLOOKUP($A152,#REF!,15,FALSE)</f>
        <v>#REF!</v>
      </c>
      <c r="U152" s="121" t="e">
        <f>VLOOKUP($A152,#REF!,19,FALSE)</f>
        <v>#REF!</v>
      </c>
      <c r="V152" s="109" t="e">
        <f t="shared" si="44"/>
        <v>#REF!</v>
      </c>
      <c r="W152" s="109" t="e">
        <f t="shared" si="45"/>
        <v>#REF!</v>
      </c>
      <c r="X152" s="105" t="e">
        <f t="shared" si="46"/>
        <v>#REF!</v>
      </c>
      <c r="Y152" s="113" t="e">
        <f t="shared" si="47"/>
        <v>#REF!</v>
      </c>
      <c r="Z152" s="109" t="e">
        <f t="shared" si="48"/>
        <v>#REF!</v>
      </c>
      <c r="AA152" s="113" t="e">
        <f t="shared" si="49"/>
        <v>#REF!</v>
      </c>
      <c r="AB152" s="109" t="e">
        <f t="shared" si="50"/>
        <v>#REF!</v>
      </c>
      <c r="AC152" s="113" t="e">
        <f t="shared" si="51"/>
        <v>#REF!</v>
      </c>
      <c r="AD152" s="105" t="e">
        <f t="shared" si="52"/>
        <v>#REF!</v>
      </c>
      <c r="AE152" s="105" t="e">
        <f t="shared" si="38"/>
        <v>#REF!</v>
      </c>
      <c r="AF152" s="105" t="e">
        <f t="shared" si="39"/>
        <v>#REF!</v>
      </c>
      <c r="AG152" s="105" t="e">
        <f t="shared" si="40"/>
        <v>#REF!</v>
      </c>
      <c r="AH152" s="111" t="e">
        <f>VLOOKUP($A152,#REF!,5,FALSE)</f>
        <v>#REF!</v>
      </c>
      <c r="AI152" s="111" t="e">
        <f>VLOOKUP($A152,#REF!,6,FALSE)</f>
        <v>#REF!</v>
      </c>
      <c r="AJ152" s="109" t="e">
        <f t="shared" si="53"/>
        <v>#REF!</v>
      </c>
      <c r="AK152" s="109" t="e">
        <f t="shared" si="54"/>
        <v>#REF!</v>
      </c>
      <c r="AL152" s="109"/>
      <c r="AM152" s="105"/>
      <c r="AN152" s="105"/>
      <c r="AO152" s="109"/>
      <c r="AP152" s="110"/>
      <c r="AQ152" s="110"/>
      <c r="AR152" s="110"/>
      <c r="AS152" s="110"/>
      <c r="AT152" s="110"/>
      <c r="AU152" s="112"/>
      <c r="AV152" s="112"/>
      <c r="AW152" s="110"/>
      <c r="AX152" s="105"/>
      <c r="AY152" s="105"/>
      <c r="AZ152" s="105"/>
      <c r="BA152" s="105"/>
      <c r="BB152" s="105"/>
      <c r="BC152" s="105"/>
    </row>
    <row r="153" spans="1:55" x14ac:dyDescent="0.15">
      <c r="A153" s="221">
        <v>306</v>
      </c>
      <c r="B153" s="98" t="e">
        <f>VLOOKUP($A153,#REF!,84,FALSE)</f>
        <v>#REF!</v>
      </c>
      <c r="C153" s="98" t="e">
        <f>VLOOKUP($A153,#REF!,85,FALSE)</f>
        <v>#REF!</v>
      </c>
      <c r="D153" s="98" t="e">
        <f>VLOOKUP($A153,#REF!,5,FALSE)</f>
        <v>#REF!</v>
      </c>
      <c r="E153" s="98" t="e">
        <f>VLOOKUP($A153,#REF!,6,FALSE)</f>
        <v>#REF!</v>
      </c>
      <c r="F153" s="105" t="e">
        <f>VLOOKUP($A153,#REF!,34,FALSE)</f>
        <v>#REF!</v>
      </c>
      <c r="G153" s="105" t="e">
        <f>VLOOKUP($A153,#REF!,29,FALSE)</f>
        <v>#REF!</v>
      </c>
      <c r="H153" s="105" t="e">
        <f>VLOOKUP(A153,#REF!,35,FALSE)+VLOOKUP(A153,#REF!,41,FALSE)</f>
        <v>#REF!</v>
      </c>
      <c r="I153" s="105" t="e">
        <f t="shared" si="41"/>
        <v>#REF!</v>
      </c>
      <c r="J153" s="105" t="e">
        <f>VLOOKUP(A153,#REF!,42,FALSE)</f>
        <v>#REF!</v>
      </c>
      <c r="K153" s="105" t="e">
        <f t="shared" si="42"/>
        <v>#REF!</v>
      </c>
      <c r="L153" s="164" t="e">
        <f t="shared" si="37"/>
        <v>#REF!</v>
      </c>
      <c r="M153" s="105" t="e">
        <f t="shared" si="43"/>
        <v>#REF!</v>
      </c>
      <c r="N153" s="105" t="e">
        <f>VLOOKUP(A153,#REF!,46,FALSE)</f>
        <v>#REF!</v>
      </c>
      <c r="O153" s="106" t="e">
        <f>VLOOKUP(A153,#REF!,9,FALSE)</f>
        <v>#REF!</v>
      </c>
      <c r="P153" s="114" t="e">
        <f>#REF!</f>
        <v>#REF!</v>
      </c>
      <c r="Q153" s="114" t="e">
        <f>VLOOKUP(A153,#REF!,12,FALSE)</f>
        <v>#REF!</v>
      </c>
      <c r="R153" s="120" t="e">
        <f>#REF!</f>
        <v>#REF!</v>
      </c>
      <c r="S153" s="106" t="e">
        <f>IF(Q153=0,#REF!,ROUND(Q153*R153,4))</f>
        <v>#REF!</v>
      </c>
      <c r="T153" s="121" t="e">
        <f>VLOOKUP($A153,#REF!,15,FALSE)</f>
        <v>#REF!</v>
      </c>
      <c r="U153" s="121" t="e">
        <f>VLOOKUP($A153,#REF!,19,FALSE)</f>
        <v>#REF!</v>
      </c>
      <c r="V153" s="109" t="e">
        <f t="shared" si="44"/>
        <v>#REF!</v>
      </c>
      <c r="W153" s="109" t="e">
        <f t="shared" si="45"/>
        <v>#REF!</v>
      </c>
      <c r="X153" s="105" t="e">
        <f t="shared" si="46"/>
        <v>#REF!</v>
      </c>
      <c r="Y153" s="113" t="e">
        <f t="shared" si="47"/>
        <v>#REF!</v>
      </c>
      <c r="Z153" s="109" t="e">
        <f t="shared" si="48"/>
        <v>#REF!</v>
      </c>
      <c r="AA153" s="113" t="e">
        <f t="shared" si="49"/>
        <v>#REF!</v>
      </c>
      <c r="AB153" s="109" t="e">
        <f t="shared" si="50"/>
        <v>#REF!</v>
      </c>
      <c r="AC153" s="113" t="e">
        <f t="shared" si="51"/>
        <v>#REF!</v>
      </c>
      <c r="AD153" s="105" t="e">
        <f t="shared" si="52"/>
        <v>#REF!</v>
      </c>
      <c r="AE153" s="105" t="e">
        <f t="shared" si="38"/>
        <v>#REF!</v>
      </c>
      <c r="AF153" s="105" t="e">
        <f t="shared" si="39"/>
        <v>#REF!</v>
      </c>
      <c r="AG153" s="105" t="e">
        <f t="shared" si="40"/>
        <v>#REF!</v>
      </c>
      <c r="AH153" s="111" t="e">
        <f>VLOOKUP($A153,#REF!,5,FALSE)</f>
        <v>#REF!</v>
      </c>
      <c r="AI153" s="111" t="e">
        <f>VLOOKUP($A153,#REF!,6,FALSE)</f>
        <v>#REF!</v>
      </c>
      <c r="AJ153" s="109" t="e">
        <f t="shared" si="53"/>
        <v>#REF!</v>
      </c>
      <c r="AK153" s="109" t="e">
        <f t="shared" si="54"/>
        <v>#REF!</v>
      </c>
      <c r="AL153" s="109"/>
      <c r="AM153" s="105"/>
      <c r="AN153" s="105"/>
      <c r="AO153" s="109"/>
      <c r="AP153" s="110"/>
      <c r="AQ153" s="110"/>
      <c r="AR153" s="110"/>
      <c r="AS153" s="110"/>
      <c r="AT153" s="110"/>
      <c r="AU153" s="112"/>
      <c r="AV153" s="112"/>
      <c r="AW153" s="110"/>
      <c r="AX153" s="105"/>
      <c r="AY153" s="105"/>
      <c r="AZ153" s="105"/>
      <c r="BA153" s="105"/>
      <c r="BB153" s="105"/>
      <c r="BC153" s="105"/>
    </row>
    <row r="154" spans="1:55" x14ac:dyDescent="0.15">
      <c r="A154" s="221">
        <v>308</v>
      </c>
      <c r="B154" s="98" t="e">
        <f>VLOOKUP($A154,#REF!,84,FALSE)</f>
        <v>#REF!</v>
      </c>
      <c r="C154" s="98" t="e">
        <f>VLOOKUP($A154,#REF!,85,FALSE)</f>
        <v>#REF!</v>
      </c>
      <c r="D154" s="98" t="e">
        <f>VLOOKUP($A154,#REF!,5,FALSE)</f>
        <v>#REF!</v>
      </c>
      <c r="E154" s="98" t="e">
        <f>VLOOKUP($A154,#REF!,6,FALSE)</f>
        <v>#REF!</v>
      </c>
      <c r="F154" s="105" t="e">
        <f>VLOOKUP($A154,#REF!,34,FALSE)</f>
        <v>#REF!</v>
      </c>
      <c r="G154" s="105" t="e">
        <f>VLOOKUP($A154,#REF!,29,FALSE)</f>
        <v>#REF!</v>
      </c>
      <c r="H154" s="105" t="e">
        <f>VLOOKUP(A154,#REF!,35,FALSE)+VLOOKUP(A154,#REF!,41,FALSE)</f>
        <v>#REF!</v>
      </c>
      <c r="I154" s="105" t="e">
        <f t="shared" si="41"/>
        <v>#REF!</v>
      </c>
      <c r="J154" s="105" t="e">
        <f>VLOOKUP(A154,#REF!,42,FALSE)</f>
        <v>#REF!</v>
      </c>
      <c r="K154" s="105" t="e">
        <f t="shared" si="42"/>
        <v>#REF!</v>
      </c>
      <c r="L154" s="164" t="e">
        <f t="shared" si="37"/>
        <v>#REF!</v>
      </c>
      <c r="M154" s="105" t="e">
        <f t="shared" si="43"/>
        <v>#REF!</v>
      </c>
      <c r="N154" s="105" t="e">
        <f>VLOOKUP(A154,#REF!,46,FALSE)</f>
        <v>#REF!</v>
      </c>
      <c r="O154" s="106" t="e">
        <f>VLOOKUP(A154,#REF!,9,FALSE)</f>
        <v>#REF!</v>
      </c>
      <c r="P154" s="114" t="e">
        <f>#REF!</f>
        <v>#REF!</v>
      </c>
      <c r="Q154" s="114" t="e">
        <f>VLOOKUP(A154,#REF!,12,FALSE)</f>
        <v>#REF!</v>
      </c>
      <c r="R154" s="120" t="e">
        <f>#REF!</f>
        <v>#REF!</v>
      </c>
      <c r="S154" s="106" t="e">
        <f>IF(Q154=0,#REF!,ROUND(Q154*R154,4))</f>
        <v>#REF!</v>
      </c>
      <c r="T154" s="121" t="e">
        <f>VLOOKUP($A154,#REF!,15,FALSE)</f>
        <v>#REF!</v>
      </c>
      <c r="U154" s="121" t="e">
        <f>VLOOKUP($A154,#REF!,19,FALSE)</f>
        <v>#REF!</v>
      </c>
      <c r="V154" s="109" t="e">
        <f t="shared" si="44"/>
        <v>#REF!</v>
      </c>
      <c r="W154" s="109" t="e">
        <f t="shared" si="45"/>
        <v>#REF!</v>
      </c>
      <c r="X154" s="105" t="e">
        <f t="shared" si="46"/>
        <v>#REF!</v>
      </c>
      <c r="Y154" s="113" t="e">
        <f t="shared" si="47"/>
        <v>#REF!</v>
      </c>
      <c r="Z154" s="109" t="e">
        <f t="shared" si="48"/>
        <v>#REF!</v>
      </c>
      <c r="AA154" s="113" t="e">
        <f t="shared" si="49"/>
        <v>#REF!</v>
      </c>
      <c r="AB154" s="109" t="e">
        <f t="shared" si="50"/>
        <v>#REF!</v>
      </c>
      <c r="AC154" s="113" t="e">
        <f t="shared" si="51"/>
        <v>#REF!</v>
      </c>
      <c r="AD154" s="105" t="e">
        <f t="shared" si="52"/>
        <v>#REF!</v>
      </c>
      <c r="AE154" s="105" t="e">
        <f t="shared" si="38"/>
        <v>#REF!</v>
      </c>
      <c r="AF154" s="105" t="e">
        <f t="shared" si="39"/>
        <v>#REF!</v>
      </c>
      <c r="AG154" s="105" t="e">
        <f t="shared" si="40"/>
        <v>#REF!</v>
      </c>
      <c r="AH154" s="111" t="e">
        <f>VLOOKUP($A154,#REF!,5,FALSE)</f>
        <v>#REF!</v>
      </c>
      <c r="AI154" s="111" t="e">
        <f>VLOOKUP($A154,#REF!,6,FALSE)</f>
        <v>#REF!</v>
      </c>
      <c r="AJ154" s="109" t="e">
        <f t="shared" si="53"/>
        <v>#REF!</v>
      </c>
      <c r="AK154" s="109" t="e">
        <f t="shared" si="54"/>
        <v>#REF!</v>
      </c>
      <c r="AL154" s="109"/>
      <c r="AM154" s="105"/>
      <c r="AN154" s="105"/>
      <c r="AO154" s="109"/>
      <c r="AP154" s="110"/>
      <c r="AQ154" s="110"/>
      <c r="AR154" s="110"/>
      <c r="AS154" s="110"/>
      <c r="AT154" s="110"/>
      <c r="AU154" s="112"/>
      <c r="AV154" s="112"/>
      <c r="AW154" s="110"/>
      <c r="AX154" s="105"/>
      <c r="AY154" s="105"/>
      <c r="AZ154" s="105"/>
      <c r="BA154" s="105"/>
      <c r="BB154" s="105"/>
      <c r="BC154" s="105"/>
    </row>
    <row r="155" spans="1:55" x14ac:dyDescent="0.15">
      <c r="A155" s="221">
        <v>685</v>
      </c>
      <c r="B155" s="98" t="e">
        <f>VLOOKUP($A155,#REF!,84,FALSE)</f>
        <v>#REF!</v>
      </c>
      <c r="C155" s="98" t="e">
        <f>VLOOKUP($A155,#REF!,85,FALSE)</f>
        <v>#REF!</v>
      </c>
      <c r="D155" s="98" t="e">
        <f>VLOOKUP($A155,#REF!,5,FALSE)</f>
        <v>#REF!</v>
      </c>
      <c r="E155" s="98" t="e">
        <f>VLOOKUP($A155,#REF!,6,FALSE)</f>
        <v>#REF!</v>
      </c>
      <c r="F155" s="105" t="e">
        <f>VLOOKUP($A155,#REF!,34,FALSE)</f>
        <v>#REF!</v>
      </c>
      <c r="G155" s="105" t="e">
        <f>VLOOKUP($A155,#REF!,29,FALSE)</f>
        <v>#REF!</v>
      </c>
      <c r="H155" s="105" t="e">
        <f>VLOOKUP(A155,#REF!,35,FALSE)+VLOOKUP(A155,#REF!,41,FALSE)</f>
        <v>#REF!</v>
      </c>
      <c r="I155" s="105" t="e">
        <f t="shared" si="41"/>
        <v>#REF!</v>
      </c>
      <c r="J155" s="105" t="e">
        <f>VLOOKUP(A155,#REF!,42,FALSE)</f>
        <v>#REF!</v>
      </c>
      <c r="K155" s="105" t="e">
        <f t="shared" si="42"/>
        <v>#REF!</v>
      </c>
      <c r="L155" s="164" t="e">
        <f t="shared" si="37"/>
        <v>#REF!</v>
      </c>
      <c r="M155" s="105" t="e">
        <f t="shared" si="43"/>
        <v>#REF!</v>
      </c>
      <c r="N155" s="105" t="e">
        <f>VLOOKUP(A155,#REF!,46,FALSE)</f>
        <v>#REF!</v>
      </c>
      <c r="O155" s="106" t="e">
        <f>VLOOKUP(A155,#REF!,9,FALSE)</f>
        <v>#REF!</v>
      </c>
      <c r="P155" s="114" t="e">
        <f>#REF!</f>
        <v>#REF!</v>
      </c>
      <c r="Q155" s="114" t="e">
        <f>VLOOKUP(A155,#REF!,12,FALSE)</f>
        <v>#REF!</v>
      </c>
      <c r="R155" s="120" t="e">
        <f>#REF!</f>
        <v>#REF!</v>
      </c>
      <c r="S155" s="106" t="e">
        <f>IF(Q155=0,#REF!,ROUND(Q155*R155,4))</f>
        <v>#REF!</v>
      </c>
      <c r="T155" s="121" t="e">
        <f>VLOOKUP($A155,#REF!,15,FALSE)</f>
        <v>#REF!</v>
      </c>
      <c r="U155" s="121" t="e">
        <f>VLOOKUP($A155,#REF!,19,FALSE)</f>
        <v>#REF!</v>
      </c>
      <c r="V155" s="109" t="e">
        <f t="shared" si="44"/>
        <v>#REF!</v>
      </c>
      <c r="W155" s="109" t="e">
        <f t="shared" si="45"/>
        <v>#REF!</v>
      </c>
      <c r="X155" s="105" t="e">
        <f t="shared" si="46"/>
        <v>#REF!</v>
      </c>
      <c r="Y155" s="113" t="e">
        <f t="shared" si="47"/>
        <v>#REF!</v>
      </c>
      <c r="Z155" s="109" t="e">
        <f t="shared" si="48"/>
        <v>#REF!</v>
      </c>
      <c r="AA155" s="113" t="e">
        <f t="shared" si="49"/>
        <v>#REF!</v>
      </c>
      <c r="AB155" s="109" t="e">
        <f t="shared" si="50"/>
        <v>#REF!</v>
      </c>
      <c r="AC155" s="113" t="e">
        <f t="shared" si="51"/>
        <v>#REF!</v>
      </c>
      <c r="AD155" s="105" t="e">
        <f t="shared" si="52"/>
        <v>#REF!</v>
      </c>
      <c r="AE155" s="105" t="e">
        <f t="shared" si="38"/>
        <v>#REF!</v>
      </c>
      <c r="AF155" s="105" t="e">
        <f t="shared" si="39"/>
        <v>#REF!</v>
      </c>
      <c r="AG155" s="105" t="e">
        <f t="shared" si="40"/>
        <v>#REF!</v>
      </c>
      <c r="AH155" s="111" t="e">
        <f>VLOOKUP($A155,#REF!,5,FALSE)</f>
        <v>#REF!</v>
      </c>
      <c r="AI155" s="111" t="e">
        <f>VLOOKUP($A155,#REF!,6,FALSE)</f>
        <v>#REF!</v>
      </c>
      <c r="AJ155" s="109" t="e">
        <f t="shared" si="53"/>
        <v>#REF!</v>
      </c>
      <c r="AK155" s="109" t="e">
        <f t="shared" si="54"/>
        <v>#REF!</v>
      </c>
      <c r="AL155" s="109"/>
      <c r="AM155" s="105"/>
      <c r="AN155" s="105"/>
      <c r="AO155" s="109"/>
      <c r="AP155" s="110"/>
      <c r="AQ155" s="110"/>
      <c r="AR155" s="110"/>
      <c r="AS155" s="110"/>
      <c r="AT155" s="110"/>
      <c r="AU155" s="112"/>
      <c r="AV155" s="112"/>
      <c r="AW155" s="110"/>
      <c r="AX155" s="105"/>
      <c r="AY155" s="105"/>
      <c r="AZ155" s="105"/>
      <c r="BA155" s="105"/>
      <c r="BB155" s="105"/>
      <c r="BC155" s="105"/>
    </row>
    <row r="156" spans="1:55" x14ac:dyDescent="0.15">
      <c r="A156" s="221">
        <v>340</v>
      </c>
      <c r="B156" s="98" t="e">
        <f>VLOOKUP($A156,#REF!,84,FALSE)</f>
        <v>#REF!</v>
      </c>
      <c r="C156" s="98" t="e">
        <f>VLOOKUP($A156,#REF!,85,FALSE)</f>
        <v>#REF!</v>
      </c>
      <c r="D156" s="98" t="e">
        <f>VLOOKUP($A156,#REF!,5,FALSE)</f>
        <v>#REF!</v>
      </c>
      <c r="E156" s="98" t="e">
        <f>VLOOKUP($A156,#REF!,6,FALSE)</f>
        <v>#REF!</v>
      </c>
      <c r="F156" s="105" t="e">
        <f>VLOOKUP($A156,#REF!,34,FALSE)</f>
        <v>#REF!</v>
      </c>
      <c r="G156" s="105" t="e">
        <f>VLOOKUP($A156,#REF!,29,FALSE)</f>
        <v>#REF!</v>
      </c>
      <c r="H156" s="105" t="e">
        <f>VLOOKUP(A156,#REF!,35,FALSE)+VLOOKUP(A156,#REF!,41,FALSE)</f>
        <v>#REF!</v>
      </c>
      <c r="I156" s="105" t="e">
        <f t="shared" si="41"/>
        <v>#REF!</v>
      </c>
      <c r="J156" s="105" t="e">
        <f>VLOOKUP(A156,#REF!,42,FALSE)</f>
        <v>#REF!</v>
      </c>
      <c r="K156" s="105" t="e">
        <f t="shared" si="42"/>
        <v>#REF!</v>
      </c>
      <c r="L156" s="164" t="e">
        <f t="shared" si="37"/>
        <v>#REF!</v>
      </c>
      <c r="M156" s="105" t="e">
        <f t="shared" si="43"/>
        <v>#REF!</v>
      </c>
      <c r="N156" s="105" t="e">
        <f>VLOOKUP(A156,#REF!,46,FALSE)</f>
        <v>#REF!</v>
      </c>
      <c r="O156" s="106" t="e">
        <f>VLOOKUP(A156,#REF!,9,FALSE)</f>
        <v>#REF!</v>
      </c>
      <c r="P156" s="114" t="e">
        <f>#REF!</f>
        <v>#REF!</v>
      </c>
      <c r="Q156" s="114" t="e">
        <f>VLOOKUP(A156,#REF!,12,FALSE)</f>
        <v>#REF!</v>
      </c>
      <c r="R156" s="120" t="e">
        <f>#REF!</f>
        <v>#REF!</v>
      </c>
      <c r="S156" s="106" t="e">
        <f>IF(Q156=0,#REF!,ROUND(Q156*R156,4))</f>
        <v>#REF!</v>
      </c>
      <c r="T156" s="121" t="e">
        <f>VLOOKUP($A156,#REF!,15,FALSE)</f>
        <v>#REF!</v>
      </c>
      <c r="U156" s="121" t="e">
        <f>VLOOKUP($A156,#REF!,19,FALSE)</f>
        <v>#REF!</v>
      </c>
      <c r="V156" s="109" t="e">
        <f t="shared" si="44"/>
        <v>#REF!</v>
      </c>
      <c r="W156" s="109" t="e">
        <f t="shared" si="45"/>
        <v>#REF!</v>
      </c>
      <c r="X156" s="105" t="e">
        <f t="shared" si="46"/>
        <v>#REF!</v>
      </c>
      <c r="Y156" s="113" t="e">
        <f t="shared" si="47"/>
        <v>#REF!</v>
      </c>
      <c r="Z156" s="109" t="e">
        <f t="shared" si="48"/>
        <v>#REF!</v>
      </c>
      <c r="AA156" s="113" t="e">
        <f t="shared" si="49"/>
        <v>#REF!</v>
      </c>
      <c r="AB156" s="109" t="e">
        <f t="shared" si="50"/>
        <v>#REF!</v>
      </c>
      <c r="AC156" s="113" t="e">
        <f t="shared" si="51"/>
        <v>#REF!</v>
      </c>
      <c r="AD156" s="105" t="e">
        <f t="shared" si="52"/>
        <v>#REF!</v>
      </c>
      <c r="AE156" s="105" t="e">
        <f t="shared" si="38"/>
        <v>#REF!</v>
      </c>
      <c r="AF156" s="105" t="e">
        <f t="shared" si="39"/>
        <v>#REF!</v>
      </c>
      <c r="AG156" s="105" t="e">
        <f t="shared" si="40"/>
        <v>#REF!</v>
      </c>
      <c r="AH156" s="111" t="e">
        <f>VLOOKUP($A156,#REF!,5,FALSE)</f>
        <v>#REF!</v>
      </c>
      <c r="AI156" s="111" t="e">
        <f>VLOOKUP($A156,#REF!,6,FALSE)</f>
        <v>#REF!</v>
      </c>
      <c r="AJ156" s="109" t="e">
        <f t="shared" si="53"/>
        <v>#REF!</v>
      </c>
      <c r="AK156" s="109" t="e">
        <f t="shared" si="54"/>
        <v>#REF!</v>
      </c>
      <c r="AL156" s="109"/>
      <c r="AM156" s="105"/>
      <c r="AN156" s="105"/>
      <c r="AO156" s="109"/>
      <c r="AP156" s="110"/>
      <c r="AQ156" s="110"/>
      <c r="AR156" s="110"/>
      <c r="AS156" s="110"/>
      <c r="AT156" s="110"/>
      <c r="AU156" s="112"/>
      <c r="AV156" s="112"/>
      <c r="AW156" s="110"/>
      <c r="AX156" s="105"/>
      <c r="AY156" s="105"/>
      <c r="AZ156" s="105"/>
      <c r="BA156" s="105"/>
      <c r="BB156" s="105"/>
      <c r="BC156" s="105"/>
    </row>
    <row r="157" spans="1:55" x14ac:dyDescent="0.15">
      <c r="A157" s="221">
        <v>348</v>
      </c>
      <c r="B157" s="98" t="e">
        <f>VLOOKUP($A157,#REF!,84,FALSE)</f>
        <v>#REF!</v>
      </c>
      <c r="C157" s="98" t="e">
        <f>VLOOKUP($A157,#REF!,85,FALSE)</f>
        <v>#REF!</v>
      </c>
      <c r="D157" s="98" t="e">
        <f>VLOOKUP($A157,#REF!,5,FALSE)</f>
        <v>#REF!</v>
      </c>
      <c r="E157" s="98" t="e">
        <f>VLOOKUP($A157,#REF!,6,FALSE)</f>
        <v>#REF!</v>
      </c>
      <c r="F157" s="105" t="e">
        <f>VLOOKUP($A157,#REF!,34,FALSE)</f>
        <v>#REF!</v>
      </c>
      <c r="G157" s="105" t="e">
        <f>VLOOKUP($A157,#REF!,29,FALSE)</f>
        <v>#REF!</v>
      </c>
      <c r="H157" s="105" t="e">
        <f>VLOOKUP(A157,#REF!,35,FALSE)+VLOOKUP(A157,#REF!,41,FALSE)</f>
        <v>#REF!</v>
      </c>
      <c r="I157" s="105" t="e">
        <f t="shared" si="41"/>
        <v>#REF!</v>
      </c>
      <c r="J157" s="105" t="e">
        <f>VLOOKUP(A157,#REF!,42,FALSE)</f>
        <v>#REF!</v>
      </c>
      <c r="K157" s="105" t="e">
        <f t="shared" si="42"/>
        <v>#REF!</v>
      </c>
      <c r="L157" s="164" t="e">
        <f t="shared" si="37"/>
        <v>#REF!</v>
      </c>
      <c r="M157" s="105" t="e">
        <f t="shared" si="43"/>
        <v>#REF!</v>
      </c>
      <c r="N157" s="105" t="e">
        <f>VLOOKUP(A157,#REF!,46,FALSE)</f>
        <v>#REF!</v>
      </c>
      <c r="O157" s="106" t="e">
        <f>VLOOKUP(A157,#REF!,9,FALSE)</f>
        <v>#REF!</v>
      </c>
      <c r="P157" s="114" t="e">
        <f>#REF!</f>
        <v>#REF!</v>
      </c>
      <c r="Q157" s="114" t="e">
        <f>VLOOKUP(A157,#REF!,12,FALSE)</f>
        <v>#REF!</v>
      </c>
      <c r="R157" s="120" t="e">
        <f>#REF!</f>
        <v>#REF!</v>
      </c>
      <c r="S157" s="106" t="e">
        <f>IF(Q157=0,#REF!,ROUND(Q157*R157,4))</f>
        <v>#REF!</v>
      </c>
      <c r="T157" s="121" t="e">
        <f>VLOOKUP($A157,#REF!,15,FALSE)</f>
        <v>#REF!</v>
      </c>
      <c r="U157" s="121" t="e">
        <f>VLOOKUP($A157,#REF!,19,FALSE)</f>
        <v>#REF!</v>
      </c>
      <c r="V157" s="109" t="e">
        <f t="shared" si="44"/>
        <v>#REF!</v>
      </c>
      <c r="W157" s="109" t="e">
        <f t="shared" si="45"/>
        <v>#REF!</v>
      </c>
      <c r="X157" s="105" t="e">
        <f t="shared" si="46"/>
        <v>#REF!</v>
      </c>
      <c r="Y157" s="113" t="e">
        <f t="shared" si="47"/>
        <v>#REF!</v>
      </c>
      <c r="Z157" s="109" t="e">
        <f t="shared" si="48"/>
        <v>#REF!</v>
      </c>
      <c r="AA157" s="113" t="e">
        <f t="shared" si="49"/>
        <v>#REF!</v>
      </c>
      <c r="AB157" s="109" t="e">
        <f t="shared" si="50"/>
        <v>#REF!</v>
      </c>
      <c r="AC157" s="113" t="e">
        <f t="shared" si="51"/>
        <v>#REF!</v>
      </c>
      <c r="AD157" s="105" t="e">
        <f t="shared" si="52"/>
        <v>#REF!</v>
      </c>
      <c r="AE157" s="105" t="e">
        <f t="shared" si="38"/>
        <v>#REF!</v>
      </c>
      <c r="AF157" s="105" t="e">
        <f t="shared" si="39"/>
        <v>#REF!</v>
      </c>
      <c r="AG157" s="105" t="e">
        <f t="shared" si="40"/>
        <v>#REF!</v>
      </c>
      <c r="AH157" s="111" t="e">
        <f>VLOOKUP($A157,#REF!,5,FALSE)</f>
        <v>#REF!</v>
      </c>
      <c r="AI157" s="111" t="e">
        <f>VLOOKUP($A157,#REF!,6,FALSE)</f>
        <v>#REF!</v>
      </c>
      <c r="AJ157" s="109" t="e">
        <f t="shared" si="53"/>
        <v>#REF!</v>
      </c>
      <c r="AK157" s="109" t="e">
        <f t="shared" si="54"/>
        <v>#REF!</v>
      </c>
      <c r="AL157" s="109"/>
      <c r="AM157" s="105"/>
      <c r="AN157" s="105"/>
      <c r="AO157" s="109"/>
      <c r="AP157" s="110"/>
      <c r="AQ157" s="110"/>
      <c r="AR157" s="110"/>
      <c r="AS157" s="110"/>
      <c r="AT157" s="110"/>
      <c r="AU157" s="112"/>
      <c r="AV157" s="112"/>
      <c r="AW157" s="110"/>
      <c r="AX157" s="105"/>
      <c r="AY157" s="105"/>
      <c r="AZ157" s="105"/>
      <c r="BA157" s="105"/>
      <c r="BB157" s="105"/>
      <c r="BC157" s="105"/>
    </row>
    <row r="158" spans="1:55" x14ac:dyDescent="0.15">
      <c r="A158" s="221">
        <v>719</v>
      </c>
      <c r="B158" s="98" t="e">
        <f>VLOOKUP($A158,#REF!,84,FALSE)</f>
        <v>#REF!</v>
      </c>
      <c r="C158" s="98" t="e">
        <f>VLOOKUP($A158,#REF!,85,FALSE)</f>
        <v>#REF!</v>
      </c>
      <c r="D158" s="98" t="e">
        <f>VLOOKUP($A158,#REF!,5,FALSE)</f>
        <v>#REF!</v>
      </c>
      <c r="E158" s="98" t="e">
        <f>VLOOKUP($A158,#REF!,6,FALSE)</f>
        <v>#REF!</v>
      </c>
      <c r="F158" s="105" t="e">
        <f>VLOOKUP($A158,#REF!,34,FALSE)</f>
        <v>#REF!</v>
      </c>
      <c r="G158" s="105" t="e">
        <f>VLOOKUP($A158,#REF!,29,FALSE)</f>
        <v>#REF!</v>
      </c>
      <c r="H158" s="105" t="e">
        <f>VLOOKUP(A158,#REF!,35,FALSE)+VLOOKUP(A158,#REF!,41,FALSE)</f>
        <v>#REF!</v>
      </c>
      <c r="I158" s="105" t="e">
        <f t="shared" si="41"/>
        <v>#REF!</v>
      </c>
      <c r="J158" s="105" t="e">
        <f>VLOOKUP(A158,#REF!,42,FALSE)</f>
        <v>#REF!</v>
      </c>
      <c r="K158" s="105" t="e">
        <f t="shared" si="42"/>
        <v>#REF!</v>
      </c>
      <c r="L158" s="164" t="e">
        <f t="shared" si="37"/>
        <v>#REF!</v>
      </c>
      <c r="M158" s="105" t="e">
        <f t="shared" si="43"/>
        <v>#REF!</v>
      </c>
      <c r="N158" s="105" t="e">
        <f>VLOOKUP(A158,#REF!,46,FALSE)</f>
        <v>#REF!</v>
      </c>
      <c r="O158" s="106" t="e">
        <f>VLOOKUP(A158,#REF!,9,FALSE)</f>
        <v>#REF!</v>
      </c>
      <c r="P158" s="114" t="e">
        <f>#REF!</f>
        <v>#REF!</v>
      </c>
      <c r="Q158" s="114" t="e">
        <f>VLOOKUP(A158,#REF!,12,FALSE)</f>
        <v>#REF!</v>
      </c>
      <c r="R158" s="120" t="e">
        <f>#REF!</f>
        <v>#REF!</v>
      </c>
      <c r="S158" s="106" t="e">
        <f>IF(Q158=0,#REF!,ROUND(Q158*R158,4))</f>
        <v>#REF!</v>
      </c>
      <c r="T158" s="121" t="e">
        <f>VLOOKUP($A158,#REF!,15,FALSE)</f>
        <v>#REF!</v>
      </c>
      <c r="U158" s="121" t="e">
        <f>VLOOKUP($A158,#REF!,19,FALSE)</f>
        <v>#REF!</v>
      </c>
      <c r="V158" s="109" t="e">
        <f t="shared" si="44"/>
        <v>#REF!</v>
      </c>
      <c r="W158" s="109" t="e">
        <f t="shared" si="45"/>
        <v>#REF!</v>
      </c>
      <c r="X158" s="105" t="e">
        <f t="shared" si="46"/>
        <v>#REF!</v>
      </c>
      <c r="Y158" s="113" t="e">
        <f t="shared" si="47"/>
        <v>#REF!</v>
      </c>
      <c r="Z158" s="109" t="e">
        <f t="shared" si="48"/>
        <v>#REF!</v>
      </c>
      <c r="AA158" s="113" t="e">
        <f t="shared" si="49"/>
        <v>#REF!</v>
      </c>
      <c r="AB158" s="109" t="e">
        <f t="shared" si="50"/>
        <v>#REF!</v>
      </c>
      <c r="AC158" s="113" t="e">
        <f t="shared" si="51"/>
        <v>#REF!</v>
      </c>
      <c r="AD158" s="105" t="e">
        <f t="shared" si="52"/>
        <v>#REF!</v>
      </c>
      <c r="AE158" s="105" t="e">
        <f t="shared" si="38"/>
        <v>#REF!</v>
      </c>
      <c r="AF158" s="105" t="e">
        <f t="shared" si="39"/>
        <v>#REF!</v>
      </c>
      <c r="AG158" s="105" t="e">
        <f t="shared" si="40"/>
        <v>#REF!</v>
      </c>
      <c r="AH158" s="111" t="e">
        <f>VLOOKUP($A158,#REF!,5,FALSE)</f>
        <v>#REF!</v>
      </c>
      <c r="AI158" s="111" t="e">
        <f>VLOOKUP($A158,#REF!,6,FALSE)</f>
        <v>#REF!</v>
      </c>
      <c r="AJ158" s="109" t="e">
        <f t="shared" si="53"/>
        <v>#REF!</v>
      </c>
      <c r="AK158" s="109" t="e">
        <f t="shared" si="54"/>
        <v>#REF!</v>
      </c>
      <c r="AL158" s="109"/>
      <c r="AM158" s="105"/>
      <c r="AN158" s="105"/>
      <c r="AO158" s="109"/>
      <c r="AP158" s="110"/>
      <c r="AQ158" s="110"/>
      <c r="AR158" s="110"/>
      <c r="AS158" s="110"/>
      <c r="AT158" s="110"/>
      <c r="AU158" s="112"/>
      <c r="AV158" s="112"/>
      <c r="AW158" s="110"/>
      <c r="AX158" s="105"/>
      <c r="AY158" s="105"/>
      <c r="AZ158" s="105"/>
      <c r="BA158" s="105"/>
      <c r="BB158" s="105"/>
      <c r="BC158" s="105"/>
    </row>
    <row r="159" spans="1:55" x14ac:dyDescent="0.15">
      <c r="A159" s="221">
        <v>354</v>
      </c>
      <c r="B159" s="98" t="e">
        <f>VLOOKUP($A159,#REF!,84,FALSE)</f>
        <v>#REF!</v>
      </c>
      <c r="C159" s="98" t="e">
        <f>VLOOKUP($A159,#REF!,85,FALSE)</f>
        <v>#REF!</v>
      </c>
      <c r="D159" s="98" t="e">
        <f>VLOOKUP($A159,#REF!,5,FALSE)</f>
        <v>#REF!</v>
      </c>
      <c r="E159" s="98" t="e">
        <f>VLOOKUP($A159,#REF!,6,FALSE)</f>
        <v>#REF!</v>
      </c>
      <c r="F159" s="105" t="e">
        <f>VLOOKUP($A159,#REF!,34,FALSE)</f>
        <v>#REF!</v>
      </c>
      <c r="G159" s="105" t="e">
        <f>VLOOKUP($A159,#REF!,29,FALSE)</f>
        <v>#REF!</v>
      </c>
      <c r="H159" s="105" t="e">
        <f>VLOOKUP(A159,#REF!,35,FALSE)+VLOOKUP(A159,#REF!,41,FALSE)</f>
        <v>#REF!</v>
      </c>
      <c r="I159" s="105" t="e">
        <f t="shared" si="41"/>
        <v>#REF!</v>
      </c>
      <c r="J159" s="105" t="e">
        <f>VLOOKUP(A159,#REF!,42,FALSE)</f>
        <v>#REF!</v>
      </c>
      <c r="K159" s="105" t="e">
        <f t="shared" si="42"/>
        <v>#REF!</v>
      </c>
      <c r="L159" s="164" t="e">
        <f t="shared" si="37"/>
        <v>#REF!</v>
      </c>
      <c r="M159" s="105" t="e">
        <f t="shared" si="43"/>
        <v>#REF!</v>
      </c>
      <c r="N159" s="105" t="e">
        <f>VLOOKUP(A159,#REF!,46,FALSE)</f>
        <v>#REF!</v>
      </c>
      <c r="O159" s="106" t="e">
        <f>VLOOKUP(A159,#REF!,9,FALSE)</f>
        <v>#REF!</v>
      </c>
      <c r="P159" s="114" t="e">
        <f>#REF!</f>
        <v>#REF!</v>
      </c>
      <c r="Q159" s="114" t="e">
        <f>VLOOKUP(A159,#REF!,12,FALSE)</f>
        <v>#REF!</v>
      </c>
      <c r="R159" s="120" t="e">
        <f>#REF!</f>
        <v>#REF!</v>
      </c>
      <c r="S159" s="106" t="e">
        <f>IF(Q159=0,#REF!,ROUND(Q159*R159,4))</f>
        <v>#REF!</v>
      </c>
      <c r="T159" s="121" t="e">
        <f>VLOOKUP($A159,#REF!,15,FALSE)</f>
        <v>#REF!</v>
      </c>
      <c r="U159" s="121" t="e">
        <f>VLOOKUP($A159,#REF!,19,FALSE)</f>
        <v>#REF!</v>
      </c>
      <c r="V159" s="109" t="e">
        <f t="shared" si="44"/>
        <v>#REF!</v>
      </c>
      <c r="W159" s="109" t="e">
        <f t="shared" si="45"/>
        <v>#REF!</v>
      </c>
      <c r="X159" s="105" t="e">
        <f t="shared" si="46"/>
        <v>#REF!</v>
      </c>
      <c r="Y159" s="113" t="e">
        <f t="shared" si="47"/>
        <v>#REF!</v>
      </c>
      <c r="Z159" s="109" t="e">
        <f t="shared" si="48"/>
        <v>#REF!</v>
      </c>
      <c r="AA159" s="113" t="e">
        <f t="shared" si="49"/>
        <v>#REF!</v>
      </c>
      <c r="AB159" s="109" t="e">
        <f t="shared" si="50"/>
        <v>#REF!</v>
      </c>
      <c r="AC159" s="113" t="e">
        <f t="shared" si="51"/>
        <v>#REF!</v>
      </c>
      <c r="AD159" s="105" t="e">
        <f t="shared" si="52"/>
        <v>#REF!</v>
      </c>
      <c r="AE159" s="105" t="e">
        <f t="shared" si="38"/>
        <v>#REF!</v>
      </c>
      <c r="AF159" s="105" t="e">
        <f t="shared" si="39"/>
        <v>#REF!</v>
      </c>
      <c r="AG159" s="105" t="e">
        <f t="shared" si="40"/>
        <v>#REF!</v>
      </c>
      <c r="AH159" s="111" t="e">
        <f>VLOOKUP($A159,#REF!,5,FALSE)</f>
        <v>#REF!</v>
      </c>
      <c r="AI159" s="111" t="e">
        <f>VLOOKUP($A159,#REF!,6,FALSE)</f>
        <v>#REF!</v>
      </c>
      <c r="AJ159" s="109" t="e">
        <f t="shared" si="53"/>
        <v>#REF!</v>
      </c>
      <c r="AK159" s="109" t="e">
        <f t="shared" si="54"/>
        <v>#REF!</v>
      </c>
      <c r="AL159" s="109"/>
      <c r="AM159" s="105"/>
      <c r="AN159" s="105"/>
      <c r="AO159" s="109"/>
      <c r="AP159" s="110"/>
      <c r="AQ159" s="110"/>
      <c r="AR159" s="110"/>
      <c r="AS159" s="110"/>
      <c r="AT159" s="110"/>
      <c r="AU159" s="112"/>
      <c r="AV159" s="112"/>
      <c r="AW159" s="110"/>
      <c r="AX159" s="105"/>
      <c r="AY159" s="105"/>
      <c r="AZ159" s="105"/>
      <c r="BA159" s="105"/>
      <c r="BB159" s="105"/>
      <c r="BC159" s="105"/>
    </row>
    <row r="160" spans="1:55" x14ac:dyDescent="0.15">
      <c r="A160" s="221">
        <v>675</v>
      </c>
      <c r="B160" s="98" t="e">
        <f>VLOOKUP($A160,#REF!,84,FALSE)</f>
        <v>#REF!</v>
      </c>
      <c r="C160" s="98" t="e">
        <f>VLOOKUP($A160,#REF!,85,FALSE)</f>
        <v>#REF!</v>
      </c>
      <c r="D160" s="98" t="e">
        <f>VLOOKUP($A160,#REF!,5,FALSE)</f>
        <v>#REF!</v>
      </c>
      <c r="E160" s="98" t="e">
        <f>VLOOKUP($A160,#REF!,6,FALSE)</f>
        <v>#REF!</v>
      </c>
      <c r="F160" s="105" t="e">
        <f>VLOOKUP($A160,#REF!,34,FALSE)</f>
        <v>#REF!</v>
      </c>
      <c r="G160" s="105" t="e">
        <f>VLOOKUP($A160,#REF!,29,FALSE)</f>
        <v>#REF!</v>
      </c>
      <c r="H160" s="105" t="e">
        <f>VLOOKUP(A160,#REF!,35,FALSE)+VLOOKUP(A160,#REF!,41,FALSE)</f>
        <v>#REF!</v>
      </c>
      <c r="I160" s="105" t="e">
        <f t="shared" si="41"/>
        <v>#REF!</v>
      </c>
      <c r="J160" s="105" t="e">
        <f>VLOOKUP(A160,#REF!,42,FALSE)</f>
        <v>#REF!</v>
      </c>
      <c r="K160" s="105" t="e">
        <f t="shared" si="42"/>
        <v>#REF!</v>
      </c>
      <c r="L160" s="164" t="e">
        <f t="shared" si="37"/>
        <v>#REF!</v>
      </c>
      <c r="M160" s="105" t="e">
        <f t="shared" si="43"/>
        <v>#REF!</v>
      </c>
      <c r="N160" s="105" t="e">
        <f>VLOOKUP(A160,#REF!,46,FALSE)</f>
        <v>#REF!</v>
      </c>
      <c r="O160" s="106" t="e">
        <f>VLOOKUP(A160,#REF!,9,FALSE)</f>
        <v>#REF!</v>
      </c>
      <c r="P160" s="114" t="e">
        <f>#REF!</f>
        <v>#REF!</v>
      </c>
      <c r="Q160" s="114" t="e">
        <f>VLOOKUP(A160,#REF!,12,FALSE)</f>
        <v>#REF!</v>
      </c>
      <c r="R160" s="120" t="e">
        <f>#REF!</f>
        <v>#REF!</v>
      </c>
      <c r="S160" s="106" t="e">
        <f>IF(Q160=0,#REF!,ROUND(Q160*R160,4))</f>
        <v>#REF!</v>
      </c>
      <c r="T160" s="121" t="e">
        <f>VLOOKUP($A160,#REF!,15,FALSE)</f>
        <v>#REF!</v>
      </c>
      <c r="U160" s="121" t="e">
        <f>VLOOKUP($A160,#REF!,19,FALSE)</f>
        <v>#REF!</v>
      </c>
      <c r="V160" s="109" t="e">
        <f t="shared" si="44"/>
        <v>#REF!</v>
      </c>
      <c r="W160" s="109" t="e">
        <f t="shared" si="45"/>
        <v>#REF!</v>
      </c>
      <c r="X160" s="105" t="e">
        <f t="shared" si="46"/>
        <v>#REF!</v>
      </c>
      <c r="Y160" s="113" t="e">
        <f t="shared" si="47"/>
        <v>#REF!</v>
      </c>
      <c r="Z160" s="109" t="e">
        <f t="shared" si="48"/>
        <v>#REF!</v>
      </c>
      <c r="AA160" s="113" t="e">
        <f t="shared" si="49"/>
        <v>#REF!</v>
      </c>
      <c r="AB160" s="109" t="e">
        <f t="shared" si="50"/>
        <v>#REF!</v>
      </c>
      <c r="AC160" s="113" t="e">
        <f t="shared" si="51"/>
        <v>#REF!</v>
      </c>
      <c r="AD160" s="105" t="e">
        <f t="shared" si="52"/>
        <v>#REF!</v>
      </c>
      <c r="AE160" s="105" t="e">
        <f t="shared" si="38"/>
        <v>#REF!</v>
      </c>
      <c r="AF160" s="105" t="e">
        <f t="shared" si="39"/>
        <v>#REF!</v>
      </c>
      <c r="AG160" s="105" t="e">
        <f t="shared" si="40"/>
        <v>#REF!</v>
      </c>
      <c r="AH160" s="111" t="e">
        <f>VLOOKUP($A160,#REF!,5,FALSE)</f>
        <v>#REF!</v>
      </c>
      <c r="AI160" s="111" t="e">
        <f>VLOOKUP($A160,#REF!,6,FALSE)</f>
        <v>#REF!</v>
      </c>
      <c r="AJ160" s="109" t="e">
        <f t="shared" si="53"/>
        <v>#REF!</v>
      </c>
      <c r="AK160" s="109" t="e">
        <f t="shared" si="54"/>
        <v>#REF!</v>
      </c>
      <c r="AL160" s="109"/>
      <c r="AM160" s="105"/>
      <c r="AN160" s="105"/>
      <c r="AO160" s="109"/>
      <c r="AP160" s="110"/>
      <c r="AQ160" s="110"/>
      <c r="AR160" s="110"/>
      <c r="AS160" s="110"/>
      <c r="AT160" s="110"/>
      <c r="AU160" s="112"/>
      <c r="AV160" s="112"/>
      <c r="AW160" s="110"/>
      <c r="AX160" s="105"/>
      <c r="AY160" s="105"/>
      <c r="AZ160" s="105"/>
      <c r="BA160" s="105"/>
      <c r="BB160" s="105"/>
      <c r="BC160" s="105"/>
    </row>
    <row r="161" spans="1:55" x14ac:dyDescent="0.15">
      <c r="A161" s="221">
        <v>248</v>
      </c>
      <c r="B161" s="98" t="e">
        <f>VLOOKUP($A161,#REF!,84,FALSE)</f>
        <v>#REF!</v>
      </c>
      <c r="C161" s="98" t="e">
        <f>VLOOKUP($A161,#REF!,85,FALSE)</f>
        <v>#REF!</v>
      </c>
      <c r="D161" s="98" t="e">
        <f>VLOOKUP($A161,#REF!,5,FALSE)</f>
        <v>#REF!</v>
      </c>
      <c r="E161" s="98" t="e">
        <f>VLOOKUP($A161,#REF!,6,FALSE)</f>
        <v>#REF!</v>
      </c>
      <c r="F161" s="105" t="e">
        <f>VLOOKUP($A161,#REF!,34,FALSE)</f>
        <v>#REF!</v>
      </c>
      <c r="G161" s="105" t="e">
        <f>VLOOKUP($A161,#REF!,29,FALSE)</f>
        <v>#REF!</v>
      </c>
      <c r="H161" s="105" t="e">
        <f>VLOOKUP(A161,#REF!,35,FALSE)+VLOOKUP(A161,#REF!,41,FALSE)</f>
        <v>#REF!</v>
      </c>
      <c r="I161" s="105" t="e">
        <f t="shared" si="41"/>
        <v>#REF!</v>
      </c>
      <c r="J161" s="105" t="e">
        <f>VLOOKUP(A161,#REF!,42,FALSE)</f>
        <v>#REF!</v>
      </c>
      <c r="K161" s="105" t="e">
        <f t="shared" si="42"/>
        <v>#REF!</v>
      </c>
      <c r="L161" s="164" t="e">
        <f t="shared" si="37"/>
        <v>#REF!</v>
      </c>
      <c r="M161" s="105" t="e">
        <f t="shared" si="43"/>
        <v>#REF!</v>
      </c>
      <c r="N161" s="105" t="e">
        <f>VLOOKUP(A161,#REF!,46,FALSE)</f>
        <v>#REF!</v>
      </c>
      <c r="O161" s="106" t="e">
        <f>VLOOKUP(A161,#REF!,9,FALSE)</f>
        <v>#REF!</v>
      </c>
      <c r="P161" s="114" t="e">
        <f>#REF!</f>
        <v>#REF!</v>
      </c>
      <c r="Q161" s="114" t="e">
        <f>VLOOKUP(A161,#REF!,12,FALSE)</f>
        <v>#REF!</v>
      </c>
      <c r="R161" s="120" t="e">
        <f>#REF!</f>
        <v>#REF!</v>
      </c>
      <c r="S161" s="106" t="e">
        <f>IF(Q161=0,#REF!,ROUND(Q161*R161,4))</f>
        <v>#REF!</v>
      </c>
      <c r="T161" s="121" t="e">
        <f>VLOOKUP($A161,#REF!,15,FALSE)</f>
        <v>#REF!</v>
      </c>
      <c r="U161" s="121" t="e">
        <f>VLOOKUP($A161,#REF!,19,FALSE)</f>
        <v>#REF!</v>
      </c>
      <c r="V161" s="109" t="e">
        <f t="shared" si="44"/>
        <v>#REF!</v>
      </c>
      <c r="W161" s="109" t="e">
        <f t="shared" si="45"/>
        <v>#REF!</v>
      </c>
      <c r="X161" s="105" t="e">
        <f t="shared" si="46"/>
        <v>#REF!</v>
      </c>
      <c r="Y161" s="113" t="e">
        <f t="shared" si="47"/>
        <v>#REF!</v>
      </c>
      <c r="Z161" s="109" t="e">
        <f t="shared" si="48"/>
        <v>#REF!</v>
      </c>
      <c r="AA161" s="113" t="e">
        <f t="shared" si="49"/>
        <v>#REF!</v>
      </c>
      <c r="AB161" s="109" t="e">
        <f t="shared" si="50"/>
        <v>#REF!</v>
      </c>
      <c r="AC161" s="113" t="e">
        <f t="shared" si="51"/>
        <v>#REF!</v>
      </c>
      <c r="AD161" s="105" t="e">
        <f t="shared" si="52"/>
        <v>#REF!</v>
      </c>
      <c r="AE161" s="105" t="e">
        <f t="shared" si="38"/>
        <v>#REF!</v>
      </c>
      <c r="AF161" s="105" t="e">
        <f t="shared" si="39"/>
        <v>#REF!</v>
      </c>
      <c r="AG161" s="105" t="e">
        <f t="shared" si="40"/>
        <v>#REF!</v>
      </c>
      <c r="AH161" s="111" t="e">
        <f>VLOOKUP($A161,#REF!,5,FALSE)</f>
        <v>#REF!</v>
      </c>
      <c r="AI161" s="111" t="e">
        <f>VLOOKUP($A161,#REF!,6,FALSE)</f>
        <v>#REF!</v>
      </c>
      <c r="AJ161" s="109" t="e">
        <f t="shared" si="53"/>
        <v>#REF!</v>
      </c>
      <c r="AK161" s="109" t="e">
        <f t="shared" si="54"/>
        <v>#REF!</v>
      </c>
      <c r="AL161" s="109"/>
      <c r="AM161" s="105"/>
      <c r="AN161" s="105"/>
      <c r="AO161" s="109"/>
      <c r="AP161" s="110"/>
      <c r="AQ161" s="110"/>
      <c r="AR161" s="110"/>
      <c r="AS161" s="110"/>
      <c r="AT161" s="110"/>
      <c r="AU161" s="112"/>
      <c r="AV161" s="112"/>
      <c r="AW161" s="110"/>
      <c r="AX161" s="105"/>
      <c r="AY161" s="105"/>
      <c r="AZ161" s="105"/>
      <c r="BA161" s="105"/>
      <c r="BB161" s="105"/>
      <c r="BC161" s="105"/>
    </row>
    <row r="162" spans="1:55" x14ac:dyDescent="0.15">
      <c r="A162" s="221">
        <v>318</v>
      </c>
      <c r="B162" s="98" t="e">
        <f>VLOOKUP($A162,#REF!,84,FALSE)</f>
        <v>#REF!</v>
      </c>
      <c r="C162" s="98" t="e">
        <f>VLOOKUP($A162,#REF!,85,FALSE)</f>
        <v>#REF!</v>
      </c>
      <c r="D162" s="98" t="e">
        <f>VLOOKUP($A162,#REF!,5,FALSE)</f>
        <v>#REF!</v>
      </c>
      <c r="E162" s="98" t="e">
        <f>VLOOKUP($A162,#REF!,6,FALSE)</f>
        <v>#REF!</v>
      </c>
      <c r="F162" s="105" t="e">
        <f>VLOOKUP($A162,#REF!,34,FALSE)</f>
        <v>#REF!</v>
      </c>
      <c r="G162" s="105" t="e">
        <f>VLOOKUP($A162,#REF!,29,FALSE)</f>
        <v>#REF!</v>
      </c>
      <c r="H162" s="105" t="e">
        <f>VLOOKUP(A162,#REF!,35,FALSE)+VLOOKUP(A162,#REF!,41,FALSE)</f>
        <v>#REF!</v>
      </c>
      <c r="I162" s="105" t="e">
        <f t="shared" si="41"/>
        <v>#REF!</v>
      </c>
      <c r="J162" s="105" t="e">
        <f>VLOOKUP(A162,#REF!,42,FALSE)</f>
        <v>#REF!</v>
      </c>
      <c r="K162" s="105" t="e">
        <f t="shared" si="42"/>
        <v>#REF!</v>
      </c>
      <c r="L162" s="164" t="e">
        <f t="shared" si="37"/>
        <v>#REF!</v>
      </c>
      <c r="M162" s="105" t="e">
        <f t="shared" si="43"/>
        <v>#REF!</v>
      </c>
      <c r="N162" s="105" t="e">
        <f>VLOOKUP(A162,#REF!,46,FALSE)</f>
        <v>#REF!</v>
      </c>
      <c r="O162" s="106" t="e">
        <f>VLOOKUP(A162,#REF!,9,FALSE)</f>
        <v>#REF!</v>
      </c>
      <c r="P162" s="114" t="e">
        <f>#REF!</f>
        <v>#REF!</v>
      </c>
      <c r="Q162" s="114" t="e">
        <f>VLOOKUP(A162,#REF!,12,FALSE)</f>
        <v>#REF!</v>
      </c>
      <c r="R162" s="120" t="e">
        <f>#REF!</f>
        <v>#REF!</v>
      </c>
      <c r="S162" s="106" t="e">
        <f>IF(Q162=0,#REF!,ROUND(Q162*R162,4))</f>
        <v>#REF!</v>
      </c>
      <c r="T162" s="121" t="e">
        <f>VLOOKUP($A162,#REF!,15,FALSE)</f>
        <v>#REF!</v>
      </c>
      <c r="U162" s="121" t="e">
        <f>VLOOKUP($A162,#REF!,19,FALSE)</f>
        <v>#REF!</v>
      </c>
      <c r="V162" s="109" t="e">
        <f t="shared" si="44"/>
        <v>#REF!</v>
      </c>
      <c r="W162" s="109" t="e">
        <f t="shared" si="45"/>
        <v>#REF!</v>
      </c>
      <c r="X162" s="105" t="e">
        <f t="shared" si="46"/>
        <v>#REF!</v>
      </c>
      <c r="Y162" s="113" t="e">
        <f t="shared" si="47"/>
        <v>#REF!</v>
      </c>
      <c r="Z162" s="109" t="e">
        <f t="shared" si="48"/>
        <v>#REF!</v>
      </c>
      <c r="AA162" s="113" t="e">
        <f t="shared" si="49"/>
        <v>#REF!</v>
      </c>
      <c r="AB162" s="109" t="e">
        <f t="shared" si="50"/>
        <v>#REF!</v>
      </c>
      <c r="AC162" s="113" t="e">
        <f t="shared" si="51"/>
        <v>#REF!</v>
      </c>
      <c r="AD162" s="105" t="e">
        <f t="shared" si="52"/>
        <v>#REF!</v>
      </c>
      <c r="AE162" s="105" t="e">
        <f t="shared" si="38"/>
        <v>#REF!</v>
      </c>
      <c r="AF162" s="105" t="e">
        <f t="shared" si="39"/>
        <v>#REF!</v>
      </c>
      <c r="AG162" s="105" t="e">
        <f t="shared" si="40"/>
        <v>#REF!</v>
      </c>
      <c r="AH162" s="111" t="e">
        <f>VLOOKUP($A162,#REF!,5,FALSE)</f>
        <v>#REF!</v>
      </c>
      <c r="AI162" s="111" t="e">
        <f>VLOOKUP($A162,#REF!,6,FALSE)</f>
        <v>#REF!</v>
      </c>
      <c r="AJ162" s="109" t="e">
        <f t="shared" si="53"/>
        <v>#REF!</v>
      </c>
      <c r="AK162" s="109" t="e">
        <f t="shared" si="54"/>
        <v>#REF!</v>
      </c>
      <c r="AL162" s="109"/>
      <c r="AM162" s="105"/>
      <c r="AN162" s="105"/>
      <c r="AO162" s="109"/>
      <c r="AP162" s="110"/>
      <c r="AQ162" s="110"/>
      <c r="AR162" s="110"/>
      <c r="AS162" s="110"/>
      <c r="AT162" s="110"/>
      <c r="AU162" s="112"/>
      <c r="AV162" s="112"/>
      <c r="AW162" s="110"/>
      <c r="AX162" s="105"/>
      <c r="AY162" s="105"/>
      <c r="AZ162" s="105"/>
      <c r="BA162" s="105"/>
      <c r="BB162" s="105"/>
      <c r="BC162" s="105"/>
    </row>
    <row r="163" spans="1:55" x14ac:dyDescent="0.15">
      <c r="A163" s="221">
        <v>370</v>
      </c>
      <c r="B163" s="98" t="e">
        <f>VLOOKUP($A163,#REF!,84,FALSE)</f>
        <v>#REF!</v>
      </c>
      <c r="C163" s="98" t="e">
        <f>VLOOKUP($A163,#REF!,85,FALSE)</f>
        <v>#REF!</v>
      </c>
      <c r="D163" s="98" t="e">
        <f>VLOOKUP($A163,#REF!,5,FALSE)</f>
        <v>#REF!</v>
      </c>
      <c r="E163" s="98" t="e">
        <f>VLOOKUP($A163,#REF!,6,FALSE)</f>
        <v>#REF!</v>
      </c>
      <c r="F163" s="105" t="e">
        <f>VLOOKUP($A163,#REF!,34,FALSE)</f>
        <v>#REF!</v>
      </c>
      <c r="G163" s="105" t="e">
        <f>VLOOKUP($A163,#REF!,29,FALSE)</f>
        <v>#REF!</v>
      </c>
      <c r="H163" s="105" t="e">
        <f>VLOOKUP(A163,#REF!,35,FALSE)+VLOOKUP(A163,#REF!,41,FALSE)</f>
        <v>#REF!</v>
      </c>
      <c r="I163" s="105" t="e">
        <f t="shared" si="41"/>
        <v>#REF!</v>
      </c>
      <c r="J163" s="105" t="e">
        <f>VLOOKUP(A163,#REF!,42,FALSE)</f>
        <v>#REF!</v>
      </c>
      <c r="K163" s="105" t="e">
        <f t="shared" si="42"/>
        <v>#REF!</v>
      </c>
      <c r="L163" s="164" t="e">
        <f t="shared" si="37"/>
        <v>#REF!</v>
      </c>
      <c r="M163" s="105" t="e">
        <f t="shared" si="43"/>
        <v>#REF!</v>
      </c>
      <c r="N163" s="105" t="e">
        <f>VLOOKUP(A163,#REF!,46,FALSE)</f>
        <v>#REF!</v>
      </c>
      <c r="O163" s="106" t="e">
        <f>VLOOKUP(A163,#REF!,9,FALSE)</f>
        <v>#REF!</v>
      </c>
      <c r="P163" s="114" t="e">
        <f>#REF!</f>
        <v>#REF!</v>
      </c>
      <c r="Q163" s="114" t="e">
        <f>VLOOKUP(A163,#REF!,12,FALSE)</f>
        <v>#REF!</v>
      </c>
      <c r="R163" s="120" t="e">
        <f>#REF!</f>
        <v>#REF!</v>
      </c>
      <c r="S163" s="106" t="e">
        <f>IF(Q163=0,#REF!,ROUND(Q163*R163,4))</f>
        <v>#REF!</v>
      </c>
      <c r="T163" s="121" t="e">
        <f>VLOOKUP($A163,#REF!,15,FALSE)</f>
        <v>#REF!</v>
      </c>
      <c r="U163" s="121" t="e">
        <f>VLOOKUP($A163,#REF!,19,FALSE)</f>
        <v>#REF!</v>
      </c>
      <c r="V163" s="109" t="e">
        <f t="shared" si="44"/>
        <v>#REF!</v>
      </c>
      <c r="W163" s="109" t="e">
        <f t="shared" si="45"/>
        <v>#REF!</v>
      </c>
      <c r="X163" s="105" t="e">
        <f t="shared" si="46"/>
        <v>#REF!</v>
      </c>
      <c r="Y163" s="113" t="e">
        <f t="shared" si="47"/>
        <v>#REF!</v>
      </c>
      <c r="Z163" s="109" t="e">
        <f t="shared" si="48"/>
        <v>#REF!</v>
      </c>
      <c r="AA163" s="113" t="e">
        <f t="shared" si="49"/>
        <v>#REF!</v>
      </c>
      <c r="AB163" s="109" t="e">
        <f t="shared" si="50"/>
        <v>#REF!</v>
      </c>
      <c r="AC163" s="113" t="e">
        <f t="shared" si="51"/>
        <v>#REF!</v>
      </c>
      <c r="AD163" s="105" t="e">
        <f t="shared" si="52"/>
        <v>#REF!</v>
      </c>
      <c r="AE163" s="105" t="e">
        <f t="shared" si="38"/>
        <v>#REF!</v>
      </c>
      <c r="AF163" s="105" t="e">
        <f t="shared" si="39"/>
        <v>#REF!</v>
      </c>
      <c r="AG163" s="105" t="e">
        <f t="shared" si="40"/>
        <v>#REF!</v>
      </c>
      <c r="AH163" s="111" t="e">
        <f>VLOOKUP($A163,#REF!,5,FALSE)</f>
        <v>#REF!</v>
      </c>
      <c r="AI163" s="111" t="e">
        <f>VLOOKUP($A163,#REF!,6,FALSE)</f>
        <v>#REF!</v>
      </c>
      <c r="AJ163" s="109" t="e">
        <f t="shared" si="53"/>
        <v>#REF!</v>
      </c>
      <c r="AK163" s="109" t="e">
        <f t="shared" si="54"/>
        <v>#REF!</v>
      </c>
      <c r="AL163" s="109"/>
      <c r="AM163" s="105"/>
      <c r="AN163" s="105"/>
      <c r="AO163" s="109"/>
      <c r="AP163" s="110"/>
      <c r="AQ163" s="110"/>
      <c r="AR163" s="110"/>
      <c r="AS163" s="110"/>
      <c r="AT163" s="110"/>
      <c r="AU163" s="112"/>
      <c r="AV163" s="112"/>
      <c r="AW163" s="110"/>
      <c r="AX163" s="105"/>
      <c r="AY163" s="105"/>
      <c r="AZ163" s="105"/>
      <c r="BA163" s="105"/>
      <c r="BB163" s="105"/>
      <c r="BC163" s="105"/>
    </row>
    <row r="164" spans="1:55" x14ac:dyDescent="0.15">
      <c r="A164" s="221">
        <v>140</v>
      </c>
      <c r="B164" s="98" t="e">
        <f>VLOOKUP($A164,#REF!,84,FALSE)</f>
        <v>#REF!</v>
      </c>
      <c r="C164" s="98" t="e">
        <f>VLOOKUP($A164,#REF!,85,FALSE)</f>
        <v>#REF!</v>
      </c>
      <c r="D164" s="98" t="e">
        <f>VLOOKUP($A164,#REF!,5,FALSE)</f>
        <v>#REF!</v>
      </c>
      <c r="E164" s="98" t="e">
        <f>VLOOKUP($A164,#REF!,6,FALSE)</f>
        <v>#REF!</v>
      </c>
      <c r="F164" s="105" t="e">
        <f>VLOOKUP($A164,#REF!,34,FALSE)</f>
        <v>#REF!</v>
      </c>
      <c r="G164" s="105" t="e">
        <f>VLOOKUP($A164,#REF!,29,FALSE)</f>
        <v>#REF!</v>
      </c>
      <c r="H164" s="105" t="e">
        <f>VLOOKUP(A164,#REF!,35,FALSE)+VLOOKUP(A164,#REF!,41,FALSE)</f>
        <v>#REF!</v>
      </c>
      <c r="I164" s="105" t="e">
        <f t="shared" si="41"/>
        <v>#REF!</v>
      </c>
      <c r="J164" s="105" t="e">
        <f>VLOOKUP(A164,#REF!,42,FALSE)</f>
        <v>#REF!</v>
      </c>
      <c r="K164" s="105" t="e">
        <f t="shared" si="42"/>
        <v>#REF!</v>
      </c>
      <c r="L164" s="164" t="e">
        <f t="shared" si="37"/>
        <v>#REF!</v>
      </c>
      <c r="M164" s="105" t="e">
        <f t="shared" si="43"/>
        <v>#REF!</v>
      </c>
      <c r="N164" s="105" t="e">
        <f>VLOOKUP(A164,#REF!,46,FALSE)</f>
        <v>#REF!</v>
      </c>
      <c r="O164" s="106" t="e">
        <f>VLOOKUP(A164,#REF!,9,FALSE)</f>
        <v>#REF!</v>
      </c>
      <c r="P164" s="114" t="e">
        <f>#REF!</f>
        <v>#REF!</v>
      </c>
      <c r="Q164" s="114" t="e">
        <f>VLOOKUP(A164,#REF!,12,FALSE)</f>
        <v>#REF!</v>
      </c>
      <c r="R164" s="120" t="e">
        <f>#REF!</f>
        <v>#REF!</v>
      </c>
      <c r="S164" s="106" t="e">
        <f>IF(Q164=0,#REF!,ROUND(Q164*R164,4))</f>
        <v>#REF!</v>
      </c>
      <c r="T164" s="121" t="e">
        <f>VLOOKUP($A164,#REF!,15,FALSE)</f>
        <v>#REF!</v>
      </c>
      <c r="U164" s="121" t="e">
        <f>VLOOKUP($A164,#REF!,19,FALSE)</f>
        <v>#REF!</v>
      </c>
      <c r="V164" s="109" t="e">
        <f t="shared" si="44"/>
        <v>#REF!</v>
      </c>
      <c r="W164" s="109" t="e">
        <f t="shared" si="45"/>
        <v>#REF!</v>
      </c>
      <c r="X164" s="105" t="e">
        <f t="shared" si="46"/>
        <v>#REF!</v>
      </c>
      <c r="Y164" s="113" t="e">
        <f t="shared" si="47"/>
        <v>#REF!</v>
      </c>
      <c r="Z164" s="109" t="e">
        <f t="shared" si="48"/>
        <v>#REF!</v>
      </c>
      <c r="AA164" s="113" t="e">
        <f t="shared" si="49"/>
        <v>#REF!</v>
      </c>
      <c r="AB164" s="109" t="e">
        <f t="shared" si="50"/>
        <v>#REF!</v>
      </c>
      <c r="AC164" s="113" t="e">
        <f t="shared" si="51"/>
        <v>#REF!</v>
      </c>
      <c r="AD164" s="105" t="e">
        <f t="shared" si="52"/>
        <v>#REF!</v>
      </c>
      <c r="AE164" s="105" t="e">
        <f t="shared" si="38"/>
        <v>#REF!</v>
      </c>
      <c r="AF164" s="105" t="e">
        <f t="shared" si="39"/>
        <v>#REF!</v>
      </c>
      <c r="AG164" s="105" t="e">
        <f t="shared" si="40"/>
        <v>#REF!</v>
      </c>
      <c r="AH164" s="111" t="e">
        <f>VLOOKUP($A164,#REF!,5,FALSE)</f>
        <v>#REF!</v>
      </c>
      <c r="AI164" s="111" t="e">
        <f>VLOOKUP($A164,#REF!,6,FALSE)</f>
        <v>#REF!</v>
      </c>
      <c r="AJ164" s="109" t="e">
        <f t="shared" si="53"/>
        <v>#REF!</v>
      </c>
      <c r="AK164" s="109" t="e">
        <f t="shared" si="54"/>
        <v>#REF!</v>
      </c>
      <c r="AL164" s="109"/>
      <c r="AM164" s="105"/>
      <c r="AN164" s="105"/>
      <c r="AO164" s="109"/>
      <c r="AP164" s="110"/>
      <c r="AQ164" s="110"/>
      <c r="AR164" s="110"/>
      <c r="AS164" s="110"/>
      <c r="AT164" s="110"/>
      <c r="AU164" s="112"/>
      <c r="AV164" s="112"/>
      <c r="AW164" s="110"/>
      <c r="AX164" s="105"/>
      <c r="AY164" s="105"/>
      <c r="AZ164" s="105"/>
      <c r="BA164" s="105"/>
      <c r="BB164" s="105"/>
      <c r="BC164" s="105"/>
    </row>
    <row r="165" spans="1:55" x14ac:dyDescent="0.15">
      <c r="A165" s="221">
        <v>274</v>
      </c>
      <c r="B165" s="98" t="e">
        <f>VLOOKUP($A165,#REF!,84,FALSE)</f>
        <v>#REF!</v>
      </c>
      <c r="C165" s="98" t="e">
        <f>VLOOKUP($A165,#REF!,85,FALSE)</f>
        <v>#REF!</v>
      </c>
      <c r="D165" s="98" t="e">
        <f>VLOOKUP($A165,#REF!,5,FALSE)</f>
        <v>#REF!</v>
      </c>
      <c r="E165" s="98" t="e">
        <f>VLOOKUP($A165,#REF!,6,FALSE)</f>
        <v>#REF!</v>
      </c>
      <c r="F165" s="105" t="e">
        <f>VLOOKUP($A165,#REF!,34,FALSE)</f>
        <v>#REF!</v>
      </c>
      <c r="G165" s="105" t="e">
        <f>VLOOKUP($A165,#REF!,29,FALSE)</f>
        <v>#REF!</v>
      </c>
      <c r="H165" s="105" t="e">
        <f>VLOOKUP(A165,#REF!,35,FALSE)+VLOOKUP(A165,#REF!,41,FALSE)</f>
        <v>#REF!</v>
      </c>
      <c r="I165" s="105" t="e">
        <f t="shared" si="41"/>
        <v>#REF!</v>
      </c>
      <c r="J165" s="105" t="e">
        <f>VLOOKUP(A165,#REF!,42,FALSE)</f>
        <v>#REF!</v>
      </c>
      <c r="K165" s="105" t="e">
        <f t="shared" si="42"/>
        <v>#REF!</v>
      </c>
      <c r="L165" s="164" t="e">
        <f t="shared" si="37"/>
        <v>#REF!</v>
      </c>
      <c r="M165" s="105" t="e">
        <f t="shared" si="43"/>
        <v>#REF!</v>
      </c>
      <c r="N165" s="105" t="e">
        <f>VLOOKUP(A165,#REF!,46,FALSE)</f>
        <v>#REF!</v>
      </c>
      <c r="O165" s="106" t="e">
        <f>VLOOKUP(A165,#REF!,9,FALSE)</f>
        <v>#REF!</v>
      </c>
      <c r="P165" s="114" t="e">
        <f>#REF!</f>
        <v>#REF!</v>
      </c>
      <c r="Q165" s="114" t="e">
        <f>VLOOKUP(A165,#REF!,12,FALSE)</f>
        <v>#REF!</v>
      </c>
      <c r="R165" s="120" t="e">
        <f>#REF!</f>
        <v>#REF!</v>
      </c>
      <c r="S165" s="106" t="e">
        <f>IF(Q165=0,#REF!,ROUND(Q165*R165,4))</f>
        <v>#REF!</v>
      </c>
      <c r="T165" s="121" t="e">
        <f>VLOOKUP($A165,#REF!,15,FALSE)</f>
        <v>#REF!</v>
      </c>
      <c r="U165" s="121" t="e">
        <f>VLOOKUP($A165,#REF!,19,FALSE)</f>
        <v>#REF!</v>
      </c>
      <c r="V165" s="109" t="e">
        <f t="shared" si="44"/>
        <v>#REF!</v>
      </c>
      <c r="W165" s="109" t="e">
        <f t="shared" si="45"/>
        <v>#REF!</v>
      </c>
      <c r="X165" s="105" t="e">
        <f t="shared" si="46"/>
        <v>#REF!</v>
      </c>
      <c r="Y165" s="113" t="e">
        <f t="shared" si="47"/>
        <v>#REF!</v>
      </c>
      <c r="Z165" s="109" t="e">
        <f t="shared" si="48"/>
        <v>#REF!</v>
      </c>
      <c r="AA165" s="113" t="e">
        <f t="shared" si="49"/>
        <v>#REF!</v>
      </c>
      <c r="AB165" s="109" t="e">
        <f t="shared" si="50"/>
        <v>#REF!</v>
      </c>
      <c r="AC165" s="113" t="e">
        <f t="shared" si="51"/>
        <v>#REF!</v>
      </c>
      <c r="AD165" s="105" t="e">
        <f t="shared" si="52"/>
        <v>#REF!</v>
      </c>
      <c r="AE165" s="105" t="e">
        <f t="shared" si="38"/>
        <v>#REF!</v>
      </c>
      <c r="AF165" s="105" t="e">
        <f t="shared" si="39"/>
        <v>#REF!</v>
      </c>
      <c r="AG165" s="105" t="e">
        <f t="shared" si="40"/>
        <v>#REF!</v>
      </c>
      <c r="AH165" s="111" t="e">
        <f>VLOOKUP($A165,#REF!,5,FALSE)</f>
        <v>#REF!</v>
      </c>
      <c r="AI165" s="111" t="e">
        <f>VLOOKUP($A165,#REF!,6,FALSE)</f>
        <v>#REF!</v>
      </c>
      <c r="AJ165" s="109" t="e">
        <f t="shared" si="53"/>
        <v>#REF!</v>
      </c>
      <c r="AK165" s="109" t="e">
        <f t="shared" si="54"/>
        <v>#REF!</v>
      </c>
      <c r="AL165" s="109"/>
      <c r="AM165" s="105"/>
      <c r="AN165" s="105"/>
      <c r="AO165" s="109"/>
      <c r="AP165" s="110"/>
      <c r="AQ165" s="110"/>
      <c r="AR165" s="110"/>
      <c r="AS165" s="110"/>
      <c r="AT165" s="110"/>
      <c r="AU165" s="112"/>
      <c r="AV165" s="112"/>
      <c r="AW165" s="110"/>
      <c r="AX165" s="105"/>
      <c r="AY165" s="105"/>
      <c r="AZ165" s="105"/>
      <c r="BA165" s="105"/>
      <c r="BB165" s="105"/>
      <c r="BC165" s="105"/>
    </row>
    <row r="166" spans="1:55" x14ac:dyDescent="0.15">
      <c r="A166" s="221">
        <v>426</v>
      </c>
      <c r="B166" s="98" t="e">
        <f>VLOOKUP($A166,#REF!,84,FALSE)</f>
        <v>#REF!</v>
      </c>
      <c r="C166" s="98" t="e">
        <f>VLOOKUP($A166,#REF!,85,FALSE)</f>
        <v>#REF!</v>
      </c>
      <c r="D166" s="98" t="e">
        <f>VLOOKUP($A166,#REF!,5,FALSE)</f>
        <v>#REF!</v>
      </c>
      <c r="E166" s="98" t="e">
        <f>VLOOKUP($A166,#REF!,6,FALSE)</f>
        <v>#REF!</v>
      </c>
      <c r="F166" s="105" t="e">
        <f>VLOOKUP($A166,#REF!,34,FALSE)</f>
        <v>#REF!</v>
      </c>
      <c r="G166" s="105" t="e">
        <f>VLOOKUP($A166,#REF!,29,FALSE)</f>
        <v>#REF!</v>
      </c>
      <c r="H166" s="105" t="e">
        <f>VLOOKUP(A166,#REF!,35,FALSE)+VLOOKUP(A166,#REF!,41,FALSE)</f>
        <v>#REF!</v>
      </c>
      <c r="I166" s="105" t="e">
        <f t="shared" si="41"/>
        <v>#REF!</v>
      </c>
      <c r="J166" s="105" t="e">
        <f>VLOOKUP(A166,#REF!,42,FALSE)</f>
        <v>#REF!</v>
      </c>
      <c r="K166" s="105" t="e">
        <f t="shared" si="42"/>
        <v>#REF!</v>
      </c>
      <c r="L166" s="164" t="e">
        <f t="shared" si="37"/>
        <v>#REF!</v>
      </c>
      <c r="M166" s="105" t="e">
        <f t="shared" si="43"/>
        <v>#REF!</v>
      </c>
      <c r="N166" s="105" t="e">
        <f>VLOOKUP(A166,#REF!,46,FALSE)</f>
        <v>#REF!</v>
      </c>
      <c r="O166" s="106" t="e">
        <f>VLOOKUP(A166,#REF!,9,FALSE)</f>
        <v>#REF!</v>
      </c>
      <c r="P166" s="114" t="e">
        <f>#REF!</f>
        <v>#REF!</v>
      </c>
      <c r="Q166" s="114" t="e">
        <f>VLOOKUP(A166,#REF!,12,FALSE)</f>
        <v>#REF!</v>
      </c>
      <c r="R166" s="120" t="e">
        <f>#REF!</f>
        <v>#REF!</v>
      </c>
      <c r="S166" s="106" t="e">
        <f>IF(Q166=0,#REF!,ROUND(Q166*R166,4))</f>
        <v>#REF!</v>
      </c>
      <c r="T166" s="121" t="e">
        <f>VLOOKUP($A166,#REF!,15,FALSE)</f>
        <v>#REF!</v>
      </c>
      <c r="U166" s="121" t="e">
        <f>VLOOKUP($A166,#REF!,19,FALSE)</f>
        <v>#REF!</v>
      </c>
      <c r="V166" s="109" t="e">
        <f t="shared" si="44"/>
        <v>#REF!</v>
      </c>
      <c r="W166" s="109" t="e">
        <f t="shared" si="45"/>
        <v>#REF!</v>
      </c>
      <c r="X166" s="105" t="e">
        <f t="shared" si="46"/>
        <v>#REF!</v>
      </c>
      <c r="Y166" s="113" t="e">
        <f t="shared" si="47"/>
        <v>#REF!</v>
      </c>
      <c r="Z166" s="109" t="e">
        <f t="shared" si="48"/>
        <v>#REF!</v>
      </c>
      <c r="AA166" s="113" t="e">
        <f t="shared" si="49"/>
        <v>#REF!</v>
      </c>
      <c r="AB166" s="109" t="e">
        <f t="shared" si="50"/>
        <v>#REF!</v>
      </c>
      <c r="AC166" s="113" t="e">
        <f t="shared" si="51"/>
        <v>#REF!</v>
      </c>
      <c r="AD166" s="105" t="e">
        <f t="shared" si="52"/>
        <v>#REF!</v>
      </c>
      <c r="AE166" s="105" t="e">
        <f t="shared" si="38"/>
        <v>#REF!</v>
      </c>
      <c r="AF166" s="105" t="e">
        <f t="shared" si="39"/>
        <v>#REF!</v>
      </c>
      <c r="AG166" s="105" t="e">
        <f t="shared" si="40"/>
        <v>#REF!</v>
      </c>
      <c r="AH166" s="111" t="e">
        <f>VLOOKUP($A166,#REF!,5,FALSE)</f>
        <v>#REF!</v>
      </c>
      <c r="AI166" s="111" t="e">
        <f>VLOOKUP($A166,#REF!,6,FALSE)</f>
        <v>#REF!</v>
      </c>
      <c r="AJ166" s="109" t="e">
        <f t="shared" si="53"/>
        <v>#REF!</v>
      </c>
      <c r="AK166" s="109" t="e">
        <f t="shared" si="54"/>
        <v>#REF!</v>
      </c>
      <c r="AL166" s="109"/>
      <c r="AM166" s="105"/>
      <c r="AN166" s="105"/>
      <c r="AO166" s="109"/>
      <c r="AP166" s="110"/>
      <c r="AQ166" s="110"/>
      <c r="AR166" s="110"/>
      <c r="AS166" s="110"/>
      <c r="AT166" s="110"/>
      <c r="AU166" s="112"/>
      <c r="AV166" s="112"/>
      <c r="AW166" s="110"/>
      <c r="AX166" s="105"/>
      <c r="AY166" s="105"/>
      <c r="AZ166" s="105"/>
      <c r="BA166" s="105"/>
      <c r="BB166" s="105"/>
      <c r="BC166" s="105"/>
    </row>
    <row r="167" spans="1:55" x14ac:dyDescent="0.15">
      <c r="A167" s="221">
        <v>382</v>
      </c>
      <c r="B167" s="98" t="e">
        <f>VLOOKUP($A167,#REF!,84,FALSE)</f>
        <v>#REF!</v>
      </c>
      <c r="C167" s="98" t="e">
        <f>VLOOKUP($A167,#REF!,85,FALSE)</f>
        <v>#REF!</v>
      </c>
      <c r="D167" s="98" t="e">
        <f>VLOOKUP($A167,#REF!,5,FALSE)</f>
        <v>#REF!</v>
      </c>
      <c r="E167" s="98" t="e">
        <f>VLOOKUP($A167,#REF!,6,FALSE)</f>
        <v>#REF!</v>
      </c>
      <c r="F167" s="105" t="e">
        <f>VLOOKUP($A167,#REF!,34,FALSE)</f>
        <v>#REF!</v>
      </c>
      <c r="G167" s="105" t="e">
        <f>VLOOKUP($A167,#REF!,29,FALSE)</f>
        <v>#REF!</v>
      </c>
      <c r="H167" s="105" t="e">
        <f>VLOOKUP(A167,#REF!,35,FALSE)+VLOOKUP(A167,#REF!,41,FALSE)</f>
        <v>#REF!</v>
      </c>
      <c r="I167" s="105" t="e">
        <f t="shared" si="41"/>
        <v>#REF!</v>
      </c>
      <c r="J167" s="105" t="e">
        <f>VLOOKUP(A167,#REF!,42,FALSE)</f>
        <v>#REF!</v>
      </c>
      <c r="K167" s="105" t="e">
        <f t="shared" si="42"/>
        <v>#REF!</v>
      </c>
      <c r="L167" s="164" t="e">
        <f t="shared" si="37"/>
        <v>#REF!</v>
      </c>
      <c r="M167" s="105" t="e">
        <f t="shared" si="43"/>
        <v>#REF!</v>
      </c>
      <c r="N167" s="105" t="e">
        <f>VLOOKUP(A167,#REF!,46,FALSE)</f>
        <v>#REF!</v>
      </c>
      <c r="O167" s="106" t="e">
        <f>VLOOKUP(A167,#REF!,9,FALSE)</f>
        <v>#REF!</v>
      </c>
      <c r="P167" s="114" t="e">
        <f>#REF!</f>
        <v>#REF!</v>
      </c>
      <c r="Q167" s="114" t="e">
        <f>VLOOKUP(A167,#REF!,12,FALSE)</f>
        <v>#REF!</v>
      </c>
      <c r="R167" s="120" t="e">
        <f>#REF!</f>
        <v>#REF!</v>
      </c>
      <c r="S167" s="106" t="e">
        <f>IF(Q167=0,#REF!,ROUND(Q167*R167,4))</f>
        <v>#REF!</v>
      </c>
      <c r="T167" s="121" t="e">
        <f>VLOOKUP($A167,#REF!,15,FALSE)</f>
        <v>#REF!</v>
      </c>
      <c r="U167" s="121" t="e">
        <f>VLOOKUP($A167,#REF!,19,FALSE)</f>
        <v>#REF!</v>
      </c>
      <c r="V167" s="109" t="e">
        <f t="shared" si="44"/>
        <v>#REF!</v>
      </c>
      <c r="W167" s="109" t="e">
        <f t="shared" si="45"/>
        <v>#REF!</v>
      </c>
      <c r="X167" s="105" t="e">
        <f t="shared" si="46"/>
        <v>#REF!</v>
      </c>
      <c r="Y167" s="113" t="e">
        <f t="shared" si="47"/>
        <v>#REF!</v>
      </c>
      <c r="Z167" s="109" t="e">
        <f t="shared" si="48"/>
        <v>#REF!</v>
      </c>
      <c r="AA167" s="113" t="e">
        <f t="shared" si="49"/>
        <v>#REF!</v>
      </c>
      <c r="AB167" s="109" t="e">
        <f t="shared" si="50"/>
        <v>#REF!</v>
      </c>
      <c r="AC167" s="113" t="e">
        <f t="shared" si="51"/>
        <v>#REF!</v>
      </c>
      <c r="AD167" s="105" t="e">
        <f t="shared" si="52"/>
        <v>#REF!</v>
      </c>
      <c r="AE167" s="105" t="e">
        <f t="shared" si="38"/>
        <v>#REF!</v>
      </c>
      <c r="AF167" s="105" t="e">
        <f t="shared" si="39"/>
        <v>#REF!</v>
      </c>
      <c r="AG167" s="105" t="e">
        <f t="shared" si="40"/>
        <v>#REF!</v>
      </c>
      <c r="AH167" s="111" t="e">
        <f>VLOOKUP($A167,#REF!,5,FALSE)</f>
        <v>#REF!</v>
      </c>
      <c r="AI167" s="111" t="e">
        <f>VLOOKUP($A167,#REF!,6,FALSE)</f>
        <v>#REF!</v>
      </c>
      <c r="AJ167" s="109" t="e">
        <f t="shared" si="53"/>
        <v>#REF!</v>
      </c>
      <c r="AK167" s="109" t="e">
        <f t="shared" si="54"/>
        <v>#REF!</v>
      </c>
      <c r="AL167" s="109"/>
      <c r="AM167" s="105"/>
      <c r="AN167" s="105"/>
      <c r="AO167" s="109"/>
      <c r="AP167" s="110"/>
      <c r="AQ167" s="110"/>
      <c r="AR167" s="110"/>
      <c r="AS167" s="110"/>
      <c r="AT167" s="110"/>
      <c r="AU167" s="112"/>
      <c r="AV167" s="112"/>
      <c r="AW167" s="110"/>
      <c r="AX167" s="105"/>
      <c r="AY167" s="105"/>
      <c r="AZ167" s="105"/>
      <c r="BA167" s="105"/>
      <c r="BB167" s="105"/>
      <c r="BC167" s="105"/>
    </row>
    <row r="168" spans="1:55" x14ac:dyDescent="0.15">
      <c r="A168" s="221">
        <v>124</v>
      </c>
      <c r="B168" s="98" t="e">
        <f>VLOOKUP($A168,#REF!,84,FALSE)</f>
        <v>#REF!</v>
      </c>
      <c r="C168" s="98" t="e">
        <f>VLOOKUP($A168,#REF!,85,FALSE)</f>
        <v>#REF!</v>
      </c>
      <c r="D168" s="98" t="e">
        <f>VLOOKUP($A168,#REF!,5,FALSE)</f>
        <v>#REF!</v>
      </c>
      <c r="E168" s="98" t="e">
        <f>VLOOKUP($A168,#REF!,6,FALSE)</f>
        <v>#REF!</v>
      </c>
      <c r="F168" s="105" t="e">
        <f>VLOOKUP($A168,#REF!,34,FALSE)</f>
        <v>#REF!</v>
      </c>
      <c r="G168" s="105" t="e">
        <f>VLOOKUP($A168,#REF!,29,FALSE)</f>
        <v>#REF!</v>
      </c>
      <c r="H168" s="105" t="e">
        <f>VLOOKUP(A168,#REF!,35,FALSE)+VLOOKUP(A168,#REF!,41,FALSE)</f>
        <v>#REF!</v>
      </c>
      <c r="I168" s="105" t="e">
        <f t="shared" si="41"/>
        <v>#REF!</v>
      </c>
      <c r="J168" s="105" t="e">
        <f>VLOOKUP(A168,#REF!,42,FALSE)</f>
        <v>#REF!</v>
      </c>
      <c r="K168" s="105" t="e">
        <f t="shared" si="42"/>
        <v>#REF!</v>
      </c>
      <c r="L168" s="164" t="e">
        <f t="shared" si="37"/>
        <v>#REF!</v>
      </c>
      <c r="M168" s="105" t="e">
        <f t="shared" si="43"/>
        <v>#REF!</v>
      </c>
      <c r="N168" s="105" t="e">
        <f>VLOOKUP(A168,#REF!,46,FALSE)</f>
        <v>#REF!</v>
      </c>
      <c r="O168" s="106" t="e">
        <f>VLOOKUP(A168,#REF!,9,FALSE)</f>
        <v>#REF!</v>
      </c>
      <c r="P168" s="114" t="e">
        <f>#REF!</f>
        <v>#REF!</v>
      </c>
      <c r="Q168" s="114" t="e">
        <f>VLOOKUP(A168,#REF!,12,FALSE)</f>
        <v>#REF!</v>
      </c>
      <c r="R168" s="120" t="e">
        <f>#REF!</f>
        <v>#REF!</v>
      </c>
      <c r="S168" s="106" t="e">
        <f>IF(Q168=0,#REF!,ROUND(Q168*R168,4))</f>
        <v>#REF!</v>
      </c>
      <c r="T168" s="121" t="e">
        <f>VLOOKUP($A168,#REF!,15,FALSE)</f>
        <v>#REF!</v>
      </c>
      <c r="U168" s="121" t="e">
        <f>VLOOKUP($A168,#REF!,19,FALSE)</f>
        <v>#REF!</v>
      </c>
      <c r="V168" s="109" t="e">
        <f t="shared" si="44"/>
        <v>#REF!</v>
      </c>
      <c r="W168" s="109" t="e">
        <f t="shared" si="45"/>
        <v>#REF!</v>
      </c>
      <c r="X168" s="105" t="e">
        <f t="shared" si="46"/>
        <v>#REF!</v>
      </c>
      <c r="Y168" s="113" t="e">
        <f t="shared" si="47"/>
        <v>#REF!</v>
      </c>
      <c r="Z168" s="109" t="e">
        <f t="shared" si="48"/>
        <v>#REF!</v>
      </c>
      <c r="AA168" s="113" t="e">
        <f t="shared" si="49"/>
        <v>#REF!</v>
      </c>
      <c r="AB168" s="109" t="e">
        <f t="shared" si="50"/>
        <v>#REF!</v>
      </c>
      <c r="AC168" s="113" t="e">
        <f t="shared" si="51"/>
        <v>#REF!</v>
      </c>
      <c r="AD168" s="105" t="e">
        <f t="shared" si="52"/>
        <v>#REF!</v>
      </c>
      <c r="AE168" s="105" t="e">
        <f t="shared" si="38"/>
        <v>#REF!</v>
      </c>
      <c r="AF168" s="105" t="e">
        <f t="shared" si="39"/>
        <v>#REF!</v>
      </c>
      <c r="AG168" s="105" t="e">
        <f t="shared" si="40"/>
        <v>#REF!</v>
      </c>
      <c r="AH168" s="111" t="e">
        <f>VLOOKUP($A168,#REF!,5,FALSE)</f>
        <v>#REF!</v>
      </c>
      <c r="AI168" s="111" t="e">
        <f>VLOOKUP($A168,#REF!,6,FALSE)</f>
        <v>#REF!</v>
      </c>
      <c r="AJ168" s="109" t="e">
        <f t="shared" si="53"/>
        <v>#REF!</v>
      </c>
      <c r="AK168" s="109" t="e">
        <f t="shared" si="54"/>
        <v>#REF!</v>
      </c>
      <c r="AL168" s="109"/>
      <c r="AM168" s="105"/>
      <c r="AN168" s="105"/>
      <c r="AO168" s="109"/>
      <c r="AP168" s="110"/>
      <c r="AQ168" s="110"/>
      <c r="AR168" s="110"/>
      <c r="AS168" s="110"/>
      <c r="AT168" s="110"/>
      <c r="AU168" s="112"/>
      <c r="AV168" s="112"/>
      <c r="AW168" s="110"/>
      <c r="AX168" s="105"/>
      <c r="AY168" s="105"/>
      <c r="AZ168" s="105"/>
      <c r="BA168" s="105"/>
      <c r="BB168" s="105"/>
      <c r="BC168" s="105"/>
    </row>
    <row r="169" spans="1:55" x14ac:dyDescent="0.15">
      <c r="A169" s="221">
        <v>364</v>
      </c>
      <c r="B169" s="98" t="e">
        <f>VLOOKUP($A169,#REF!,84,FALSE)</f>
        <v>#REF!</v>
      </c>
      <c r="C169" s="98" t="e">
        <f>VLOOKUP($A169,#REF!,85,FALSE)</f>
        <v>#REF!</v>
      </c>
      <c r="D169" s="98" t="e">
        <f>VLOOKUP($A169,#REF!,5,FALSE)</f>
        <v>#REF!</v>
      </c>
      <c r="E169" s="98" t="e">
        <f>VLOOKUP($A169,#REF!,6,FALSE)</f>
        <v>#REF!</v>
      </c>
      <c r="F169" s="105" t="e">
        <f>VLOOKUP($A169,#REF!,34,FALSE)</f>
        <v>#REF!</v>
      </c>
      <c r="G169" s="105" t="e">
        <f>VLOOKUP($A169,#REF!,29,FALSE)</f>
        <v>#REF!</v>
      </c>
      <c r="H169" s="105" t="e">
        <f>VLOOKUP(A169,#REF!,35,FALSE)+VLOOKUP(A169,#REF!,41,FALSE)</f>
        <v>#REF!</v>
      </c>
      <c r="I169" s="105" t="e">
        <f t="shared" si="41"/>
        <v>#REF!</v>
      </c>
      <c r="J169" s="105" t="e">
        <f>VLOOKUP(A169,#REF!,42,FALSE)</f>
        <v>#REF!</v>
      </c>
      <c r="K169" s="105" t="e">
        <f t="shared" si="42"/>
        <v>#REF!</v>
      </c>
      <c r="L169" s="164" t="e">
        <f t="shared" si="37"/>
        <v>#REF!</v>
      </c>
      <c r="M169" s="105" t="e">
        <f t="shared" si="43"/>
        <v>#REF!</v>
      </c>
      <c r="N169" s="105" t="e">
        <f>VLOOKUP(A169,#REF!,46,FALSE)</f>
        <v>#REF!</v>
      </c>
      <c r="O169" s="106" t="e">
        <f>VLOOKUP(A169,#REF!,9,FALSE)</f>
        <v>#REF!</v>
      </c>
      <c r="P169" s="114" t="e">
        <f>#REF!</f>
        <v>#REF!</v>
      </c>
      <c r="Q169" s="114" t="e">
        <f>VLOOKUP(A169,#REF!,12,FALSE)</f>
        <v>#REF!</v>
      </c>
      <c r="R169" s="120" t="e">
        <f>#REF!</f>
        <v>#REF!</v>
      </c>
      <c r="S169" s="106" t="e">
        <f>IF(Q169=0,#REF!,ROUND(Q169*R169,4))</f>
        <v>#REF!</v>
      </c>
      <c r="T169" s="121" t="e">
        <f>VLOOKUP($A169,#REF!,15,FALSE)</f>
        <v>#REF!</v>
      </c>
      <c r="U169" s="121" t="e">
        <f>VLOOKUP($A169,#REF!,19,FALSE)</f>
        <v>#REF!</v>
      </c>
      <c r="V169" s="109" t="e">
        <f t="shared" si="44"/>
        <v>#REF!</v>
      </c>
      <c r="W169" s="109" t="e">
        <f t="shared" si="45"/>
        <v>#REF!</v>
      </c>
      <c r="X169" s="105" t="e">
        <f t="shared" si="46"/>
        <v>#REF!</v>
      </c>
      <c r="Y169" s="113" t="e">
        <f t="shared" si="47"/>
        <v>#REF!</v>
      </c>
      <c r="Z169" s="109" t="e">
        <f t="shared" si="48"/>
        <v>#REF!</v>
      </c>
      <c r="AA169" s="113" t="e">
        <f t="shared" si="49"/>
        <v>#REF!</v>
      </c>
      <c r="AB169" s="109" t="e">
        <f t="shared" si="50"/>
        <v>#REF!</v>
      </c>
      <c r="AC169" s="113" t="e">
        <f t="shared" si="51"/>
        <v>#REF!</v>
      </c>
      <c r="AD169" s="105" t="e">
        <f t="shared" si="52"/>
        <v>#REF!</v>
      </c>
      <c r="AE169" s="105" t="e">
        <f t="shared" si="38"/>
        <v>#REF!</v>
      </c>
      <c r="AF169" s="105" t="e">
        <f t="shared" si="39"/>
        <v>#REF!</v>
      </c>
      <c r="AG169" s="105" t="e">
        <f t="shared" si="40"/>
        <v>#REF!</v>
      </c>
      <c r="AH169" s="111" t="e">
        <f>VLOOKUP($A169,#REF!,5,FALSE)</f>
        <v>#REF!</v>
      </c>
      <c r="AI169" s="111" t="e">
        <f>VLOOKUP($A169,#REF!,6,FALSE)</f>
        <v>#REF!</v>
      </c>
      <c r="AJ169" s="109" t="e">
        <f t="shared" si="53"/>
        <v>#REF!</v>
      </c>
      <c r="AK169" s="109" t="e">
        <f t="shared" si="54"/>
        <v>#REF!</v>
      </c>
      <c r="AL169" s="109"/>
      <c r="AM169" s="105"/>
      <c r="AN169" s="105"/>
      <c r="AO169" s="109"/>
      <c r="AP169" s="110"/>
      <c r="AQ169" s="110"/>
      <c r="AR169" s="110"/>
      <c r="AS169" s="110"/>
      <c r="AT169" s="110"/>
      <c r="AU169" s="112"/>
      <c r="AV169" s="112"/>
      <c r="AW169" s="110"/>
      <c r="AX169" s="105"/>
      <c r="AY169" s="105"/>
      <c r="AZ169" s="105"/>
      <c r="BA169" s="105"/>
      <c r="BB169" s="105"/>
      <c r="BC169" s="105"/>
    </row>
    <row r="170" spans="1:55" x14ac:dyDescent="0.15">
      <c r="A170" s="221">
        <v>436</v>
      </c>
      <c r="B170" s="98" t="e">
        <f>VLOOKUP($A170,#REF!,84,FALSE)</f>
        <v>#REF!</v>
      </c>
      <c r="C170" s="98" t="e">
        <f>VLOOKUP($A170,#REF!,85,FALSE)</f>
        <v>#REF!</v>
      </c>
      <c r="D170" s="98" t="e">
        <f>VLOOKUP($A170,#REF!,5,FALSE)</f>
        <v>#REF!</v>
      </c>
      <c r="E170" s="98" t="e">
        <f>VLOOKUP($A170,#REF!,6,FALSE)</f>
        <v>#REF!</v>
      </c>
      <c r="F170" s="105" t="e">
        <f>VLOOKUP($A170,#REF!,34,FALSE)</f>
        <v>#REF!</v>
      </c>
      <c r="G170" s="105" t="e">
        <f>VLOOKUP($A170,#REF!,29,FALSE)</f>
        <v>#REF!</v>
      </c>
      <c r="H170" s="105" t="e">
        <f>VLOOKUP(A170,#REF!,35,FALSE)+VLOOKUP(A170,#REF!,41,FALSE)</f>
        <v>#REF!</v>
      </c>
      <c r="I170" s="105" t="e">
        <f t="shared" si="41"/>
        <v>#REF!</v>
      </c>
      <c r="J170" s="105" t="e">
        <f>VLOOKUP(A170,#REF!,42,FALSE)</f>
        <v>#REF!</v>
      </c>
      <c r="K170" s="105" t="e">
        <f t="shared" si="42"/>
        <v>#REF!</v>
      </c>
      <c r="L170" s="164" t="e">
        <f t="shared" si="37"/>
        <v>#REF!</v>
      </c>
      <c r="M170" s="105" t="e">
        <f t="shared" si="43"/>
        <v>#REF!</v>
      </c>
      <c r="N170" s="105" t="e">
        <f>VLOOKUP(A170,#REF!,46,FALSE)</f>
        <v>#REF!</v>
      </c>
      <c r="O170" s="106" t="e">
        <f>VLOOKUP(A170,#REF!,9,FALSE)</f>
        <v>#REF!</v>
      </c>
      <c r="P170" s="114" t="e">
        <f>#REF!</f>
        <v>#REF!</v>
      </c>
      <c r="Q170" s="114" t="e">
        <f>VLOOKUP(A170,#REF!,12,FALSE)</f>
        <v>#REF!</v>
      </c>
      <c r="R170" s="120" t="e">
        <f>#REF!</f>
        <v>#REF!</v>
      </c>
      <c r="S170" s="106" t="e">
        <f>IF(Q170=0,#REF!,ROUND(Q170*R170,4))</f>
        <v>#REF!</v>
      </c>
      <c r="T170" s="121" t="e">
        <f>VLOOKUP($A170,#REF!,15,FALSE)</f>
        <v>#REF!</v>
      </c>
      <c r="U170" s="121" t="e">
        <f>VLOOKUP($A170,#REF!,19,FALSE)</f>
        <v>#REF!</v>
      </c>
      <c r="V170" s="109" t="e">
        <f t="shared" si="44"/>
        <v>#REF!</v>
      </c>
      <c r="W170" s="109" t="e">
        <f t="shared" si="45"/>
        <v>#REF!</v>
      </c>
      <c r="X170" s="105" t="e">
        <f t="shared" si="46"/>
        <v>#REF!</v>
      </c>
      <c r="Y170" s="113" t="e">
        <f t="shared" si="47"/>
        <v>#REF!</v>
      </c>
      <c r="Z170" s="109" t="e">
        <f t="shared" si="48"/>
        <v>#REF!</v>
      </c>
      <c r="AA170" s="113" t="e">
        <f t="shared" si="49"/>
        <v>#REF!</v>
      </c>
      <c r="AB170" s="109" t="e">
        <f t="shared" si="50"/>
        <v>#REF!</v>
      </c>
      <c r="AC170" s="113" t="e">
        <f t="shared" si="51"/>
        <v>#REF!</v>
      </c>
      <c r="AD170" s="105" t="e">
        <f t="shared" si="52"/>
        <v>#REF!</v>
      </c>
      <c r="AE170" s="105" t="e">
        <f t="shared" si="38"/>
        <v>#REF!</v>
      </c>
      <c r="AF170" s="105" t="e">
        <f t="shared" si="39"/>
        <v>#REF!</v>
      </c>
      <c r="AG170" s="105" t="e">
        <f t="shared" si="40"/>
        <v>#REF!</v>
      </c>
      <c r="AH170" s="111" t="e">
        <f>VLOOKUP($A170,#REF!,5,FALSE)</f>
        <v>#REF!</v>
      </c>
      <c r="AI170" s="111" t="e">
        <f>VLOOKUP($A170,#REF!,6,FALSE)</f>
        <v>#REF!</v>
      </c>
      <c r="AJ170" s="109" t="e">
        <f t="shared" si="53"/>
        <v>#REF!</v>
      </c>
      <c r="AK170" s="109" t="e">
        <f t="shared" si="54"/>
        <v>#REF!</v>
      </c>
      <c r="AL170" s="109"/>
      <c r="AM170" s="105"/>
      <c r="AN170" s="105"/>
      <c r="AO170" s="109"/>
      <c r="AP170" s="110"/>
      <c r="AQ170" s="110"/>
      <c r="AR170" s="110"/>
      <c r="AS170" s="110"/>
      <c r="AT170" s="110"/>
      <c r="AU170" s="112"/>
      <c r="AV170" s="112"/>
      <c r="AW170" s="110"/>
      <c r="AX170" s="105"/>
      <c r="AY170" s="105"/>
      <c r="AZ170" s="105"/>
      <c r="BA170" s="105"/>
      <c r="BB170" s="105"/>
      <c r="BC170" s="105"/>
    </row>
    <row r="171" spans="1:55" x14ac:dyDescent="0.15">
      <c r="A171" s="221">
        <v>366</v>
      </c>
      <c r="B171" s="98" t="e">
        <f>VLOOKUP($A171,#REF!,84,FALSE)</f>
        <v>#REF!</v>
      </c>
      <c r="C171" s="98" t="e">
        <f>VLOOKUP($A171,#REF!,85,FALSE)</f>
        <v>#REF!</v>
      </c>
      <c r="D171" s="98" t="e">
        <f>VLOOKUP($A171,#REF!,5,FALSE)</f>
        <v>#REF!</v>
      </c>
      <c r="E171" s="98" t="e">
        <f>VLOOKUP($A171,#REF!,6,FALSE)</f>
        <v>#REF!</v>
      </c>
      <c r="F171" s="105" t="e">
        <f>VLOOKUP($A171,#REF!,34,FALSE)</f>
        <v>#REF!</v>
      </c>
      <c r="G171" s="105" t="e">
        <f>VLOOKUP($A171,#REF!,29,FALSE)</f>
        <v>#REF!</v>
      </c>
      <c r="H171" s="105" t="e">
        <f>VLOOKUP(A171,#REF!,35,FALSE)+VLOOKUP(A171,#REF!,41,FALSE)</f>
        <v>#REF!</v>
      </c>
      <c r="I171" s="105" t="e">
        <f t="shared" si="41"/>
        <v>#REF!</v>
      </c>
      <c r="J171" s="105" t="e">
        <f>VLOOKUP(A171,#REF!,42,FALSE)</f>
        <v>#REF!</v>
      </c>
      <c r="K171" s="105" t="e">
        <f t="shared" si="42"/>
        <v>#REF!</v>
      </c>
      <c r="L171" s="164" t="e">
        <f t="shared" si="37"/>
        <v>#REF!</v>
      </c>
      <c r="M171" s="105" t="e">
        <f t="shared" si="43"/>
        <v>#REF!</v>
      </c>
      <c r="N171" s="105" t="e">
        <f>VLOOKUP(A171,#REF!,46,FALSE)</f>
        <v>#REF!</v>
      </c>
      <c r="O171" s="106" t="e">
        <f>VLOOKUP(A171,#REF!,9,FALSE)</f>
        <v>#REF!</v>
      </c>
      <c r="P171" s="114" t="e">
        <f>#REF!</f>
        <v>#REF!</v>
      </c>
      <c r="Q171" s="114" t="e">
        <f>VLOOKUP(A171,#REF!,12,FALSE)</f>
        <v>#REF!</v>
      </c>
      <c r="R171" s="120" t="e">
        <f>#REF!</f>
        <v>#REF!</v>
      </c>
      <c r="S171" s="106" t="e">
        <f>IF(Q171=0,#REF!,ROUND(Q171*R171,4))</f>
        <v>#REF!</v>
      </c>
      <c r="T171" s="121" t="e">
        <f>VLOOKUP($A171,#REF!,15,FALSE)</f>
        <v>#REF!</v>
      </c>
      <c r="U171" s="121" t="e">
        <f>VLOOKUP($A171,#REF!,19,FALSE)</f>
        <v>#REF!</v>
      </c>
      <c r="V171" s="109" t="e">
        <f t="shared" si="44"/>
        <v>#REF!</v>
      </c>
      <c r="W171" s="109" t="e">
        <f t="shared" si="45"/>
        <v>#REF!</v>
      </c>
      <c r="X171" s="105" t="e">
        <f t="shared" si="46"/>
        <v>#REF!</v>
      </c>
      <c r="Y171" s="113" t="e">
        <f t="shared" si="47"/>
        <v>#REF!</v>
      </c>
      <c r="Z171" s="109" t="e">
        <f t="shared" si="48"/>
        <v>#REF!</v>
      </c>
      <c r="AA171" s="113" t="e">
        <f t="shared" si="49"/>
        <v>#REF!</v>
      </c>
      <c r="AB171" s="109" t="e">
        <f t="shared" si="50"/>
        <v>#REF!</v>
      </c>
      <c r="AC171" s="113" t="e">
        <f t="shared" si="51"/>
        <v>#REF!</v>
      </c>
      <c r="AD171" s="105" t="e">
        <f t="shared" si="52"/>
        <v>#REF!</v>
      </c>
      <c r="AE171" s="105" t="e">
        <f t="shared" si="38"/>
        <v>#REF!</v>
      </c>
      <c r="AF171" s="105" t="e">
        <f t="shared" si="39"/>
        <v>#REF!</v>
      </c>
      <c r="AG171" s="105" t="e">
        <f t="shared" si="40"/>
        <v>#REF!</v>
      </c>
      <c r="AH171" s="111" t="e">
        <f>VLOOKUP($A171,#REF!,5,FALSE)</f>
        <v>#REF!</v>
      </c>
      <c r="AI171" s="111" t="e">
        <f>VLOOKUP($A171,#REF!,6,FALSE)</f>
        <v>#REF!</v>
      </c>
      <c r="AJ171" s="109" t="e">
        <f t="shared" si="53"/>
        <v>#REF!</v>
      </c>
      <c r="AK171" s="109" t="e">
        <f t="shared" si="54"/>
        <v>#REF!</v>
      </c>
      <c r="AL171" s="109"/>
      <c r="AM171" s="105"/>
      <c r="AN171" s="105"/>
      <c r="AO171" s="109"/>
      <c r="AP171" s="110"/>
      <c r="AQ171" s="110"/>
      <c r="AR171" s="110"/>
      <c r="AS171" s="110"/>
      <c r="AT171" s="110"/>
      <c r="AU171" s="112"/>
      <c r="AV171" s="112"/>
      <c r="AW171" s="110"/>
      <c r="AX171" s="105"/>
      <c r="AY171" s="105"/>
      <c r="AZ171" s="105"/>
      <c r="BA171" s="105"/>
      <c r="BB171" s="105"/>
      <c r="BC171" s="105"/>
    </row>
    <row r="172" spans="1:55" x14ac:dyDescent="0.15">
      <c r="A172" s="221">
        <v>294</v>
      </c>
      <c r="B172" s="98" t="e">
        <f>VLOOKUP($A172,#REF!,84,FALSE)</f>
        <v>#REF!</v>
      </c>
      <c r="C172" s="98" t="e">
        <f>VLOOKUP($A172,#REF!,85,FALSE)</f>
        <v>#REF!</v>
      </c>
      <c r="D172" s="98" t="e">
        <f>VLOOKUP($A172,#REF!,5,FALSE)</f>
        <v>#REF!</v>
      </c>
      <c r="E172" s="98" t="e">
        <f>VLOOKUP($A172,#REF!,6,FALSE)</f>
        <v>#REF!</v>
      </c>
      <c r="F172" s="105" t="e">
        <f>VLOOKUP($A172,#REF!,34,FALSE)</f>
        <v>#REF!</v>
      </c>
      <c r="G172" s="105" t="e">
        <f>VLOOKUP($A172,#REF!,29,FALSE)</f>
        <v>#REF!</v>
      </c>
      <c r="H172" s="105" t="e">
        <f>VLOOKUP(A172,#REF!,35,FALSE)+VLOOKUP(A172,#REF!,41,FALSE)</f>
        <v>#REF!</v>
      </c>
      <c r="I172" s="105" t="e">
        <f t="shared" si="41"/>
        <v>#REF!</v>
      </c>
      <c r="J172" s="105" t="e">
        <f>VLOOKUP(A172,#REF!,42,FALSE)</f>
        <v>#REF!</v>
      </c>
      <c r="K172" s="105" t="e">
        <f t="shared" si="42"/>
        <v>#REF!</v>
      </c>
      <c r="L172" s="164" t="e">
        <f t="shared" si="37"/>
        <v>#REF!</v>
      </c>
      <c r="M172" s="105" t="e">
        <f t="shared" si="43"/>
        <v>#REF!</v>
      </c>
      <c r="N172" s="105" t="e">
        <f>VLOOKUP(A172,#REF!,46,FALSE)</f>
        <v>#REF!</v>
      </c>
      <c r="O172" s="106" t="e">
        <f>VLOOKUP(A172,#REF!,9,FALSE)</f>
        <v>#REF!</v>
      </c>
      <c r="P172" s="114" t="e">
        <f>#REF!</f>
        <v>#REF!</v>
      </c>
      <c r="Q172" s="114" t="e">
        <f>VLOOKUP(A172,#REF!,12,FALSE)</f>
        <v>#REF!</v>
      </c>
      <c r="R172" s="120" t="e">
        <f>#REF!</f>
        <v>#REF!</v>
      </c>
      <c r="S172" s="106" t="e">
        <f>IF(Q172=0,#REF!,ROUND(Q172*R172,4))</f>
        <v>#REF!</v>
      </c>
      <c r="T172" s="121" t="e">
        <f>VLOOKUP($A172,#REF!,15,FALSE)</f>
        <v>#REF!</v>
      </c>
      <c r="U172" s="121" t="e">
        <f>VLOOKUP($A172,#REF!,19,FALSE)</f>
        <v>#REF!</v>
      </c>
      <c r="V172" s="109" t="e">
        <f t="shared" si="44"/>
        <v>#REF!</v>
      </c>
      <c r="W172" s="109" t="e">
        <f t="shared" si="45"/>
        <v>#REF!</v>
      </c>
      <c r="X172" s="105" t="e">
        <f t="shared" si="46"/>
        <v>#REF!</v>
      </c>
      <c r="Y172" s="113" t="e">
        <f t="shared" si="47"/>
        <v>#REF!</v>
      </c>
      <c r="Z172" s="109" t="e">
        <f t="shared" si="48"/>
        <v>#REF!</v>
      </c>
      <c r="AA172" s="113" t="e">
        <f t="shared" si="49"/>
        <v>#REF!</v>
      </c>
      <c r="AB172" s="109" t="e">
        <f t="shared" si="50"/>
        <v>#REF!</v>
      </c>
      <c r="AC172" s="113" t="e">
        <f t="shared" si="51"/>
        <v>#REF!</v>
      </c>
      <c r="AD172" s="105" t="e">
        <f t="shared" si="52"/>
        <v>#REF!</v>
      </c>
      <c r="AE172" s="105" t="e">
        <f t="shared" si="38"/>
        <v>#REF!</v>
      </c>
      <c r="AF172" s="105" t="e">
        <f t="shared" si="39"/>
        <v>#REF!</v>
      </c>
      <c r="AG172" s="105" t="e">
        <f t="shared" si="40"/>
        <v>#REF!</v>
      </c>
      <c r="AH172" s="111" t="e">
        <f>VLOOKUP($A172,#REF!,5,FALSE)</f>
        <v>#REF!</v>
      </c>
      <c r="AI172" s="111" t="e">
        <f>VLOOKUP($A172,#REF!,6,FALSE)</f>
        <v>#REF!</v>
      </c>
      <c r="AJ172" s="109" t="e">
        <f t="shared" si="53"/>
        <v>#REF!</v>
      </c>
      <c r="AK172" s="109" t="e">
        <f t="shared" si="54"/>
        <v>#REF!</v>
      </c>
      <c r="AL172" s="109"/>
      <c r="AM172" s="105"/>
      <c r="AN172" s="105"/>
      <c r="AO172" s="109"/>
      <c r="AP172" s="110"/>
      <c r="AQ172" s="110"/>
      <c r="AR172" s="110"/>
      <c r="AS172" s="110"/>
      <c r="AT172" s="110"/>
      <c r="AU172" s="112"/>
      <c r="AV172" s="112"/>
      <c r="AW172" s="110"/>
      <c r="AX172" s="105"/>
      <c r="AY172" s="105"/>
      <c r="AZ172" s="105"/>
      <c r="BA172" s="105"/>
      <c r="BB172" s="105"/>
      <c r="BC172" s="105"/>
    </row>
    <row r="173" spans="1:55" x14ac:dyDescent="0.15">
      <c r="A173" s="221">
        <v>368</v>
      </c>
      <c r="B173" s="98" t="e">
        <f>VLOOKUP($A173,#REF!,84,FALSE)</f>
        <v>#REF!</v>
      </c>
      <c r="C173" s="98" t="e">
        <f>VLOOKUP($A173,#REF!,85,FALSE)</f>
        <v>#REF!</v>
      </c>
      <c r="D173" s="98" t="e">
        <f>VLOOKUP($A173,#REF!,5,FALSE)</f>
        <v>#REF!</v>
      </c>
      <c r="E173" s="98" t="e">
        <f>VLOOKUP($A173,#REF!,6,FALSE)</f>
        <v>#REF!</v>
      </c>
      <c r="F173" s="105" t="e">
        <f>VLOOKUP($A173,#REF!,34,FALSE)</f>
        <v>#REF!</v>
      </c>
      <c r="G173" s="105" t="e">
        <f>VLOOKUP($A173,#REF!,29,FALSE)</f>
        <v>#REF!</v>
      </c>
      <c r="H173" s="105" t="e">
        <f>VLOOKUP(A173,#REF!,35,FALSE)+VLOOKUP(A173,#REF!,41,FALSE)</f>
        <v>#REF!</v>
      </c>
      <c r="I173" s="105" t="e">
        <f t="shared" si="41"/>
        <v>#REF!</v>
      </c>
      <c r="J173" s="105" t="e">
        <f>VLOOKUP(A173,#REF!,42,FALSE)</f>
        <v>#REF!</v>
      </c>
      <c r="K173" s="105" t="e">
        <f t="shared" si="42"/>
        <v>#REF!</v>
      </c>
      <c r="L173" s="164" t="e">
        <f t="shared" si="37"/>
        <v>#REF!</v>
      </c>
      <c r="M173" s="105" t="e">
        <f t="shared" si="43"/>
        <v>#REF!</v>
      </c>
      <c r="N173" s="105" t="e">
        <f>VLOOKUP(A173,#REF!,46,FALSE)</f>
        <v>#REF!</v>
      </c>
      <c r="O173" s="106" t="e">
        <f>VLOOKUP(A173,#REF!,9,FALSE)</f>
        <v>#REF!</v>
      </c>
      <c r="P173" s="114" t="e">
        <f>#REF!</f>
        <v>#REF!</v>
      </c>
      <c r="Q173" s="114" t="e">
        <f>VLOOKUP(A173,#REF!,12,FALSE)</f>
        <v>#REF!</v>
      </c>
      <c r="R173" s="120" t="e">
        <f>#REF!</f>
        <v>#REF!</v>
      </c>
      <c r="S173" s="106" t="e">
        <f>IF(Q173=0,#REF!,ROUND(Q173*R173,4))</f>
        <v>#REF!</v>
      </c>
      <c r="T173" s="121" t="e">
        <f>VLOOKUP($A173,#REF!,15,FALSE)</f>
        <v>#REF!</v>
      </c>
      <c r="U173" s="121" t="e">
        <f>VLOOKUP($A173,#REF!,19,FALSE)</f>
        <v>#REF!</v>
      </c>
      <c r="V173" s="109" t="e">
        <f t="shared" si="44"/>
        <v>#REF!</v>
      </c>
      <c r="W173" s="109" t="e">
        <f t="shared" si="45"/>
        <v>#REF!</v>
      </c>
      <c r="X173" s="105" t="e">
        <f t="shared" si="46"/>
        <v>#REF!</v>
      </c>
      <c r="Y173" s="113" t="e">
        <f t="shared" si="47"/>
        <v>#REF!</v>
      </c>
      <c r="Z173" s="109" t="e">
        <f t="shared" si="48"/>
        <v>#REF!</v>
      </c>
      <c r="AA173" s="113" t="e">
        <f t="shared" si="49"/>
        <v>#REF!</v>
      </c>
      <c r="AB173" s="109" t="e">
        <f t="shared" si="50"/>
        <v>#REF!</v>
      </c>
      <c r="AC173" s="113" t="e">
        <f t="shared" si="51"/>
        <v>#REF!</v>
      </c>
      <c r="AD173" s="105" t="e">
        <f t="shared" si="52"/>
        <v>#REF!</v>
      </c>
      <c r="AE173" s="105" t="e">
        <f t="shared" si="38"/>
        <v>#REF!</v>
      </c>
      <c r="AF173" s="105" t="e">
        <f t="shared" si="39"/>
        <v>#REF!</v>
      </c>
      <c r="AG173" s="105" t="e">
        <f t="shared" si="40"/>
        <v>#REF!</v>
      </c>
      <c r="AH173" s="111" t="e">
        <f>VLOOKUP($A173,#REF!,5,FALSE)</f>
        <v>#REF!</v>
      </c>
      <c r="AI173" s="111" t="e">
        <f>VLOOKUP($A173,#REF!,6,FALSE)</f>
        <v>#REF!</v>
      </c>
      <c r="AJ173" s="109" t="e">
        <f t="shared" si="53"/>
        <v>#REF!</v>
      </c>
      <c r="AK173" s="109" t="e">
        <f t="shared" si="54"/>
        <v>#REF!</v>
      </c>
      <c r="AL173" s="109"/>
      <c r="AM173" s="105"/>
      <c r="AN173" s="105"/>
      <c r="AO173" s="109"/>
      <c r="AP173" s="110"/>
      <c r="AQ173" s="110"/>
      <c r="AR173" s="110"/>
      <c r="AS173" s="110"/>
      <c r="AT173" s="110"/>
      <c r="AU173" s="112"/>
      <c r="AV173" s="112"/>
      <c r="AW173" s="110"/>
      <c r="AX173" s="105"/>
      <c r="AY173" s="105"/>
      <c r="AZ173" s="105"/>
      <c r="BA173" s="105"/>
      <c r="BB173" s="105"/>
      <c r="BC173" s="105"/>
    </row>
    <row r="174" spans="1:55" x14ac:dyDescent="0.15">
      <c r="A174" s="221">
        <v>462</v>
      </c>
      <c r="B174" s="98" t="e">
        <f>VLOOKUP($A174,#REF!,84,FALSE)</f>
        <v>#REF!</v>
      </c>
      <c r="C174" s="98" t="e">
        <f>VLOOKUP($A174,#REF!,85,FALSE)</f>
        <v>#REF!</v>
      </c>
      <c r="D174" s="98" t="e">
        <f>VLOOKUP($A174,#REF!,5,FALSE)</f>
        <v>#REF!</v>
      </c>
      <c r="E174" s="98" t="e">
        <f>VLOOKUP($A174,#REF!,6,FALSE)</f>
        <v>#REF!</v>
      </c>
      <c r="F174" s="105" t="e">
        <f>VLOOKUP($A174,#REF!,34,FALSE)</f>
        <v>#REF!</v>
      </c>
      <c r="G174" s="105" t="e">
        <f>VLOOKUP($A174,#REF!,29,FALSE)</f>
        <v>#REF!</v>
      </c>
      <c r="H174" s="105" t="e">
        <f>VLOOKUP(A174,#REF!,35,FALSE)+VLOOKUP(A174,#REF!,41,FALSE)</f>
        <v>#REF!</v>
      </c>
      <c r="I174" s="105" t="e">
        <f t="shared" si="41"/>
        <v>#REF!</v>
      </c>
      <c r="J174" s="105" t="e">
        <f>VLOOKUP(A174,#REF!,42,FALSE)</f>
        <v>#REF!</v>
      </c>
      <c r="K174" s="105" t="e">
        <f t="shared" si="42"/>
        <v>#REF!</v>
      </c>
      <c r="L174" s="164" t="e">
        <f t="shared" si="37"/>
        <v>#REF!</v>
      </c>
      <c r="M174" s="105" t="e">
        <f t="shared" si="43"/>
        <v>#REF!</v>
      </c>
      <c r="N174" s="105" t="e">
        <f>VLOOKUP(A174,#REF!,46,FALSE)</f>
        <v>#REF!</v>
      </c>
      <c r="O174" s="106" t="e">
        <f>VLOOKUP(A174,#REF!,9,FALSE)</f>
        <v>#REF!</v>
      </c>
      <c r="P174" s="114" t="e">
        <f>#REF!</f>
        <v>#REF!</v>
      </c>
      <c r="Q174" s="114" t="e">
        <f>VLOOKUP(A174,#REF!,12,FALSE)</f>
        <v>#REF!</v>
      </c>
      <c r="R174" s="120" t="e">
        <f>#REF!</f>
        <v>#REF!</v>
      </c>
      <c r="S174" s="106" t="e">
        <f>IF(Q174=0,#REF!,ROUND(Q174*R174,4))</f>
        <v>#REF!</v>
      </c>
      <c r="T174" s="121" t="e">
        <f>VLOOKUP($A174,#REF!,15,FALSE)</f>
        <v>#REF!</v>
      </c>
      <c r="U174" s="121" t="e">
        <f>VLOOKUP($A174,#REF!,19,FALSE)</f>
        <v>#REF!</v>
      </c>
      <c r="V174" s="109" t="e">
        <f t="shared" si="44"/>
        <v>#REF!</v>
      </c>
      <c r="W174" s="109" t="e">
        <f t="shared" si="45"/>
        <v>#REF!</v>
      </c>
      <c r="X174" s="105" t="e">
        <f t="shared" si="46"/>
        <v>#REF!</v>
      </c>
      <c r="Y174" s="113" t="e">
        <f t="shared" si="47"/>
        <v>#REF!</v>
      </c>
      <c r="Z174" s="109" t="e">
        <f t="shared" si="48"/>
        <v>#REF!</v>
      </c>
      <c r="AA174" s="113" t="e">
        <f t="shared" si="49"/>
        <v>#REF!</v>
      </c>
      <c r="AB174" s="109" t="e">
        <f t="shared" si="50"/>
        <v>#REF!</v>
      </c>
      <c r="AC174" s="113" t="e">
        <f t="shared" si="51"/>
        <v>#REF!</v>
      </c>
      <c r="AD174" s="105" t="e">
        <f t="shared" si="52"/>
        <v>#REF!</v>
      </c>
      <c r="AE174" s="105" t="e">
        <f t="shared" si="38"/>
        <v>#REF!</v>
      </c>
      <c r="AF174" s="105" t="e">
        <f t="shared" si="39"/>
        <v>#REF!</v>
      </c>
      <c r="AG174" s="105" t="e">
        <f t="shared" si="40"/>
        <v>#REF!</v>
      </c>
      <c r="AH174" s="111" t="e">
        <f>VLOOKUP($A174,#REF!,5,FALSE)</f>
        <v>#REF!</v>
      </c>
      <c r="AI174" s="111" t="e">
        <f>VLOOKUP($A174,#REF!,6,FALSE)</f>
        <v>#REF!</v>
      </c>
      <c r="AJ174" s="109" t="e">
        <f t="shared" si="53"/>
        <v>#REF!</v>
      </c>
      <c r="AK174" s="109" t="e">
        <f t="shared" si="54"/>
        <v>#REF!</v>
      </c>
      <c r="AL174" s="109"/>
      <c r="AM174" s="105"/>
      <c r="AN174" s="105"/>
      <c r="AO174" s="109"/>
      <c r="AP174" s="110"/>
      <c r="AQ174" s="110"/>
      <c r="AR174" s="110"/>
      <c r="AS174" s="110"/>
      <c r="AT174" s="110"/>
      <c r="AU174" s="112"/>
      <c r="AV174" s="112"/>
      <c r="AW174" s="110"/>
      <c r="AX174" s="105"/>
      <c r="AY174" s="105"/>
      <c r="AZ174" s="105"/>
      <c r="BA174" s="105"/>
      <c r="BB174" s="105"/>
      <c r="BC174" s="105"/>
    </row>
    <row r="175" spans="1:55" x14ac:dyDescent="0.15">
      <c r="A175" s="221">
        <v>102</v>
      </c>
      <c r="B175" s="98" t="e">
        <f>VLOOKUP($A175,#REF!,84,FALSE)</f>
        <v>#REF!</v>
      </c>
      <c r="C175" s="98" t="e">
        <f>VLOOKUP($A175,#REF!,85,FALSE)</f>
        <v>#REF!</v>
      </c>
      <c r="D175" s="98" t="e">
        <f>VLOOKUP($A175,#REF!,5,FALSE)</f>
        <v>#REF!</v>
      </c>
      <c r="E175" s="98" t="e">
        <f>VLOOKUP($A175,#REF!,6,FALSE)</f>
        <v>#REF!</v>
      </c>
      <c r="F175" s="105" t="e">
        <f>VLOOKUP($A175,#REF!,34,FALSE)</f>
        <v>#REF!</v>
      </c>
      <c r="G175" s="105" t="e">
        <f>VLOOKUP($A175,#REF!,29,FALSE)</f>
        <v>#REF!</v>
      </c>
      <c r="H175" s="105" t="e">
        <f>VLOOKUP(A175,#REF!,35,FALSE)+VLOOKUP(A175,#REF!,41,FALSE)</f>
        <v>#REF!</v>
      </c>
      <c r="I175" s="105" t="e">
        <f t="shared" si="41"/>
        <v>#REF!</v>
      </c>
      <c r="J175" s="105" t="e">
        <f>VLOOKUP(A175,#REF!,42,FALSE)</f>
        <v>#REF!</v>
      </c>
      <c r="K175" s="105" t="e">
        <f t="shared" si="42"/>
        <v>#REF!</v>
      </c>
      <c r="L175" s="164" t="e">
        <f t="shared" si="37"/>
        <v>#REF!</v>
      </c>
      <c r="M175" s="105" t="e">
        <f t="shared" si="43"/>
        <v>#REF!</v>
      </c>
      <c r="N175" s="105" t="e">
        <f>VLOOKUP(A175,#REF!,46,FALSE)</f>
        <v>#REF!</v>
      </c>
      <c r="O175" s="106" t="e">
        <f>VLOOKUP(A175,#REF!,9,FALSE)</f>
        <v>#REF!</v>
      </c>
      <c r="P175" s="114" t="e">
        <f>#REF!</f>
        <v>#REF!</v>
      </c>
      <c r="Q175" s="114" t="e">
        <f>VLOOKUP(A175,#REF!,12,FALSE)</f>
        <v>#REF!</v>
      </c>
      <c r="R175" s="120" t="e">
        <f>#REF!</f>
        <v>#REF!</v>
      </c>
      <c r="S175" s="106" t="e">
        <f>IF(Q175=0,#REF!,ROUND(Q175*R175,4))</f>
        <v>#REF!</v>
      </c>
      <c r="T175" s="121" t="e">
        <f>VLOOKUP($A175,#REF!,15,FALSE)</f>
        <v>#REF!</v>
      </c>
      <c r="U175" s="121" t="e">
        <f>VLOOKUP($A175,#REF!,19,FALSE)</f>
        <v>#REF!</v>
      </c>
      <c r="V175" s="109" t="e">
        <f t="shared" si="44"/>
        <v>#REF!</v>
      </c>
      <c r="W175" s="109" t="e">
        <f t="shared" si="45"/>
        <v>#REF!</v>
      </c>
      <c r="X175" s="105" t="e">
        <f t="shared" si="46"/>
        <v>#REF!</v>
      </c>
      <c r="Y175" s="113" t="e">
        <f t="shared" si="47"/>
        <v>#REF!</v>
      </c>
      <c r="Z175" s="109" t="e">
        <f t="shared" si="48"/>
        <v>#REF!</v>
      </c>
      <c r="AA175" s="113" t="e">
        <f t="shared" si="49"/>
        <v>#REF!</v>
      </c>
      <c r="AB175" s="109" t="e">
        <f t="shared" si="50"/>
        <v>#REF!</v>
      </c>
      <c r="AC175" s="113" t="e">
        <f t="shared" si="51"/>
        <v>#REF!</v>
      </c>
      <c r="AD175" s="105" t="e">
        <f t="shared" si="52"/>
        <v>#REF!</v>
      </c>
      <c r="AE175" s="105" t="e">
        <f t="shared" si="38"/>
        <v>#REF!</v>
      </c>
      <c r="AF175" s="105" t="e">
        <f t="shared" si="39"/>
        <v>#REF!</v>
      </c>
      <c r="AG175" s="105" t="e">
        <f t="shared" si="40"/>
        <v>#REF!</v>
      </c>
      <c r="AH175" s="111" t="e">
        <f>VLOOKUP($A175,#REF!,5,FALSE)</f>
        <v>#REF!</v>
      </c>
      <c r="AI175" s="111" t="e">
        <f>VLOOKUP($A175,#REF!,6,FALSE)</f>
        <v>#REF!</v>
      </c>
      <c r="AJ175" s="109" t="e">
        <f t="shared" si="53"/>
        <v>#REF!</v>
      </c>
      <c r="AK175" s="109" t="e">
        <f t="shared" si="54"/>
        <v>#REF!</v>
      </c>
      <c r="AL175" s="109"/>
      <c r="AM175" s="105"/>
      <c r="AN175" s="105"/>
      <c r="AO175" s="109"/>
      <c r="AP175" s="110"/>
      <c r="AQ175" s="110"/>
      <c r="AR175" s="110"/>
      <c r="AS175" s="110"/>
      <c r="AT175" s="110"/>
      <c r="AU175" s="112"/>
      <c r="AV175" s="112"/>
      <c r="AW175" s="110"/>
      <c r="AX175" s="105"/>
      <c r="AY175" s="105"/>
      <c r="AZ175" s="105"/>
      <c r="BA175" s="105"/>
      <c r="BB175" s="105"/>
      <c r="BC175" s="105"/>
    </row>
    <row r="176" spans="1:55" x14ac:dyDescent="0.15">
      <c r="A176" s="221">
        <v>1282</v>
      </c>
      <c r="B176" s="98" t="e">
        <f>VLOOKUP($A176,#REF!,84,FALSE)</f>
        <v>#REF!</v>
      </c>
      <c r="C176" s="98" t="e">
        <f>VLOOKUP($A176,#REF!,85,FALSE)</f>
        <v>#REF!</v>
      </c>
      <c r="D176" s="98" t="e">
        <f>VLOOKUP($A176,#REF!,5,FALSE)</f>
        <v>#REF!</v>
      </c>
      <c r="E176" s="98" t="e">
        <f>VLOOKUP($A176,#REF!,6,FALSE)</f>
        <v>#REF!</v>
      </c>
      <c r="F176" s="105" t="e">
        <f>VLOOKUP($A176,#REF!,34,FALSE)</f>
        <v>#REF!</v>
      </c>
      <c r="G176" s="105" t="e">
        <f>VLOOKUP($A176,#REF!,29,FALSE)</f>
        <v>#REF!</v>
      </c>
      <c r="H176" s="105" t="e">
        <f>VLOOKUP(A176,#REF!,35,FALSE)+VLOOKUP(A176,#REF!,41,FALSE)</f>
        <v>#REF!</v>
      </c>
      <c r="I176" s="105" t="e">
        <f t="shared" si="41"/>
        <v>#REF!</v>
      </c>
      <c r="J176" s="105" t="e">
        <f>VLOOKUP(A176,#REF!,42,FALSE)</f>
        <v>#REF!</v>
      </c>
      <c r="K176" s="105" t="e">
        <f t="shared" si="42"/>
        <v>#REF!</v>
      </c>
      <c r="L176" s="164" t="e">
        <f t="shared" si="37"/>
        <v>#REF!</v>
      </c>
      <c r="M176" s="105" t="e">
        <f t="shared" si="43"/>
        <v>#REF!</v>
      </c>
      <c r="N176" s="105" t="e">
        <f>VLOOKUP(A176,#REF!,46,FALSE)</f>
        <v>#REF!</v>
      </c>
      <c r="O176" s="106" t="e">
        <f>VLOOKUP(A176,#REF!,9,FALSE)</f>
        <v>#REF!</v>
      </c>
      <c r="P176" s="114" t="e">
        <f>#REF!</f>
        <v>#REF!</v>
      </c>
      <c r="Q176" s="114" t="e">
        <f>VLOOKUP(A176,#REF!,12,FALSE)</f>
        <v>#REF!</v>
      </c>
      <c r="R176" s="120" t="e">
        <f>#REF!</f>
        <v>#REF!</v>
      </c>
      <c r="S176" s="106" t="e">
        <f>IF(Q176=0,#REF!,ROUND(Q176*R176,4))</f>
        <v>#REF!</v>
      </c>
      <c r="T176" s="121" t="e">
        <f>VLOOKUP($A176,#REF!,15,FALSE)</f>
        <v>#REF!</v>
      </c>
      <c r="U176" s="121" t="e">
        <f>VLOOKUP($A176,#REF!,19,FALSE)</f>
        <v>#REF!</v>
      </c>
      <c r="V176" s="109" t="e">
        <f t="shared" si="44"/>
        <v>#REF!</v>
      </c>
      <c r="W176" s="109" t="e">
        <f t="shared" si="45"/>
        <v>#REF!</v>
      </c>
      <c r="X176" s="105" t="e">
        <f t="shared" si="46"/>
        <v>#REF!</v>
      </c>
      <c r="Y176" s="113" t="e">
        <f t="shared" si="47"/>
        <v>#REF!</v>
      </c>
      <c r="Z176" s="109" t="e">
        <f t="shared" si="48"/>
        <v>#REF!</v>
      </c>
      <c r="AA176" s="113" t="e">
        <f t="shared" si="49"/>
        <v>#REF!</v>
      </c>
      <c r="AB176" s="109" t="e">
        <f t="shared" si="50"/>
        <v>#REF!</v>
      </c>
      <c r="AC176" s="113" t="e">
        <f t="shared" si="51"/>
        <v>#REF!</v>
      </c>
      <c r="AD176" s="105" t="e">
        <f t="shared" si="52"/>
        <v>#REF!</v>
      </c>
      <c r="AE176" s="105" t="e">
        <f t="shared" si="38"/>
        <v>#REF!</v>
      </c>
      <c r="AF176" s="105" t="e">
        <f t="shared" si="39"/>
        <v>#REF!</v>
      </c>
      <c r="AG176" s="105" t="e">
        <f t="shared" si="40"/>
        <v>#REF!</v>
      </c>
      <c r="AH176" s="111" t="e">
        <f>VLOOKUP($A176,#REF!,5,FALSE)</f>
        <v>#REF!</v>
      </c>
      <c r="AI176" s="111" t="e">
        <f>VLOOKUP($A176,#REF!,6,FALSE)</f>
        <v>#REF!</v>
      </c>
      <c r="AJ176" s="109" t="e">
        <f t="shared" si="53"/>
        <v>#REF!</v>
      </c>
      <c r="AK176" s="109" t="e">
        <f t="shared" si="54"/>
        <v>#REF!</v>
      </c>
      <c r="AL176" s="109"/>
      <c r="AM176" s="105"/>
      <c r="AN176" s="105"/>
      <c r="AO176" s="109"/>
      <c r="AP176" s="110"/>
      <c r="AQ176" s="110"/>
      <c r="AR176" s="110"/>
      <c r="AS176" s="110"/>
      <c r="AT176" s="110"/>
      <c r="AU176" s="112"/>
      <c r="AV176" s="112"/>
      <c r="AW176" s="110"/>
      <c r="AX176" s="105"/>
      <c r="AY176" s="105"/>
      <c r="AZ176" s="105"/>
      <c r="BA176" s="105"/>
      <c r="BB176" s="105"/>
      <c r="BC176" s="105"/>
    </row>
    <row r="177" spans="1:55" x14ac:dyDescent="0.15">
      <c r="A177" s="221">
        <v>380</v>
      </c>
      <c r="B177" s="98" t="e">
        <f>VLOOKUP($A177,#REF!,84,FALSE)</f>
        <v>#REF!</v>
      </c>
      <c r="C177" s="98" t="e">
        <f>VLOOKUP($A177,#REF!,85,FALSE)</f>
        <v>#REF!</v>
      </c>
      <c r="D177" s="98" t="e">
        <f>VLOOKUP($A177,#REF!,5,FALSE)</f>
        <v>#REF!</v>
      </c>
      <c r="E177" s="98" t="e">
        <f>VLOOKUP($A177,#REF!,6,FALSE)</f>
        <v>#REF!</v>
      </c>
      <c r="F177" s="105" t="e">
        <f>VLOOKUP($A177,#REF!,34,FALSE)</f>
        <v>#REF!</v>
      </c>
      <c r="G177" s="105" t="e">
        <f>VLOOKUP($A177,#REF!,29,FALSE)</f>
        <v>#REF!</v>
      </c>
      <c r="H177" s="105" t="e">
        <f>VLOOKUP(A177,#REF!,35,FALSE)+VLOOKUP(A177,#REF!,41,FALSE)</f>
        <v>#REF!</v>
      </c>
      <c r="I177" s="105" t="e">
        <f t="shared" si="41"/>
        <v>#REF!</v>
      </c>
      <c r="J177" s="105" t="e">
        <f>VLOOKUP(A177,#REF!,42,FALSE)</f>
        <v>#REF!</v>
      </c>
      <c r="K177" s="105" t="e">
        <f t="shared" si="42"/>
        <v>#REF!</v>
      </c>
      <c r="L177" s="164" t="e">
        <f t="shared" si="37"/>
        <v>#REF!</v>
      </c>
      <c r="M177" s="105" t="e">
        <f t="shared" si="43"/>
        <v>#REF!</v>
      </c>
      <c r="N177" s="105" t="e">
        <f>VLOOKUP(A177,#REF!,46,FALSE)</f>
        <v>#REF!</v>
      </c>
      <c r="O177" s="106" t="e">
        <f>VLOOKUP(A177,#REF!,9,FALSE)</f>
        <v>#REF!</v>
      </c>
      <c r="P177" s="114" t="e">
        <f>#REF!</f>
        <v>#REF!</v>
      </c>
      <c r="Q177" s="114" t="e">
        <f>VLOOKUP(A177,#REF!,12,FALSE)</f>
        <v>#REF!</v>
      </c>
      <c r="R177" s="120" t="e">
        <f>#REF!</f>
        <v>#REF!</v>
      </c>
      <c r="S177" s="106" t="e">
        <f>IF(Q177=0,#REF!,ROUND(Q177*R177,4))</f>
        <v>#REF!</v>
      </c>
      <c r="T177" s="121" t="e">
        <f>VLOOKUP($A177,#REF!,15,FALSE)</f>
        <v>#REF!</v>
      </c>
      <c r="U177" s="121" t="e">
        <f>VLOOKUP($A177,#REF!,19,FALSE)</f>
        <v>#REF!</v>
      </c>
      <c r="V177" s="109" t="e">
        <f t="shared" si="44"/>
        <v>#REF!</v>
      </c>
      <c r="W177" s="109" t="e">
        <f t="shared" si="45"/>
        <v>#REF!</v>
      </c>
      <c r="X177" s="105" t="e">
        <f t="shared" si="46"/>
        <v>#REF!</v>
      </c>
      <c r="Y177" s="113" t="e">
        <f t="shared" si="47"/>
        <v>#REF!</v>
      </c>
      <c r="Z177" s="109" t="e">
        <f t="shared" si="48"/>
        <v>#REF!</v>
      </c>
      <c r="AA177" s="113" t="e">
        <f t="shared" si="49"/>
        <v>#REF!</v>
      </c>
      <c r="AB177" s="109" t="e">
        <f t="shared" si="50"/>
        <v>#REF!</v>
      </c>
      <c r="AC177" s="113" t="e">
        <f t="shared" si="51"/>
        <v>#REF!</v>
      </c>
      <c r="AD177" s="105" t="e">
        <f t="shared" si="52"/>
        <v>#REF!</v>
      </c>
      <c r="AE177" s="105" t="e">
        <f t="shared" si="38"/>
        <v>#REF!</v>
      </c>
      <c r="AF177" s="105" t="e">
        <f t="shared" si="39"/>
        <v>#REF!</v>
      </c>
      <c r="AG177" s="105" t="e">
        <f t="shared" si="40"/>
        <v>#REF!</v>
      </c>
      <c r="AH177" s="111" t="e">
        <f>VLOOKUP($A177,#REF!,5,FALSE)</f>
        <v>#REF!</v>
      </c>
      <c r="AI177" s="111" t="e">
        <f>VLOOKUP($A177,#REF!,6,FALSE)</f>
        <v>#REF!</v>
      </c>
      <c r="AJ177" s="109" t="e">
        <f t="shared" si="53"/>
        <v>#REF!</v>
      </c>
      <c r="AK177" s="109" t="e">
        <f t="shared" si="54"/>
        <v>#REF!</v>
      </c>
      <c r="AL177" s="109"/>
      <c r="AM177" s="105"/>
      <c r="AN177" s="105"/>
      <c r="AO177" s="109"/>
      <c r="AP177" s="110"/>
      <c r="AQ177" s="110"/>
      <c r="AR177" s="110"/>
      <c r="AS177" s="110"/>
      <c r="AT177" s="110"/>
      <c r="AU177" s="112"/>
      <c r="AV177" s="112"/>
      <c r="AW177" s="110"/>
      <c r="AX177" s="105"/>
      <c r="AY177" s="105"/>
      <c r="AZ177" s="105"/>
      <c r="BA177" s="105"/>
      <c r="BB177" s="105"/>
      <c r="BC177" s="105"/>
    </row>
    <row r="178" spans="1:55" x14ac:dyDescent="0.15">
      <c r="A178" s="221">
        <v>394</v>
      </c>
      <c r="B178" s="98" t="e">
        <f>VLOOKUP($A178,#REF!,84,FALSE)</f>
        <v>#REF!</v>
      </c>
      <c r="C178" s="98" t="e">
        <f>VLOOKUP($A178,#REF!,85,FALSE)</f>
        <v>#REF!</v>
      </c>
      <c r="D178" s="98" t="e">
        <f>VLOOKUP($A178,#REF!,5,FALSE)</f>
        <v>#REF!</v>
      </c>
      <c r="E178" s="98" t="e">
        <f>VLOOKUP($A178,#REF!,6,FALSE)</f>
        <v>#REF!</v>
      </c>
      <c r="F178" s="105" t="e">
        <f>VLOOKUP($A178,#REF!,34,FALSE)</f>
        <v>#REF!</v>
      </c>
      <c r="G178" s="105" t="e">
        <f>VLOOKUP($A178,#REF!,29,FALSE)</f>
        <v>#REF!</v>
      </c>
      <c r="H178" s="105" t="e">
        <f>VLOOKUP(A178,#REF!,35,FALSE)+VLOOKUP(A178,#REF!,41,FALSE)</f>
        <v>#REF!</v>
      </c>
      <c r="I178" s="105" t="e">
        <f t="shared" si="41"/>
        <v>#REF!</v>
      </c>
      <c r="J178" s="105" t="e">
        <f>VLOOKUP(A178,#REF!,42,FALSE)</f>
        <v>#REF!</v>
      </c>
      <c r="K178" s="105" t="e">
        <f t="shared" si="42"/>
        <v>#REF!</v>
      </c>
      <c r="L178" s="164" t="e">
        <f t="shared" si="37"/>
        <v>#REF!</v>
      </c>
      <c r="M178" s="105" t="e">
        <f t="shared" si="43"/>
        <v>#REF!</v>
      </c>
      <c r="N178" s="105" t="e">
        <f>VLOOKUP(A178,#REF!,46,FALSE)</f>
        <v>#REF!</v>
      </c>
      <c r="O178" s="106" t="e">
        <f>VLOOKUP(A178,#REF!,9,FALSE)</f>
        <v>#REF!</v>
      </c>
      <c r="P178" s="114" t="e">
        <f>#REF!</f>
        <v>#REF!</v>
      </c>
      <c r="Q178" s="114" t="e">
        <f>VLOOKUP(A178,#REF!,12,FALSE)</f>
        <v>#REF!</v>
      </c>
      <c r="R178" s="120" t="e">
        <f>#REF!</f>
        <v>#REF!</v>
      </c>
      <c r="S178" s="106" t="e">
        <f>IF(Q178=0,#REF!,ROUND(Q178*R178,4))</f>
        <v>#REF!</v>
      </c>
      <c r="T178" s="121" t="e">
        <f>VLOOKUP($A178,#REF!,15,FALSE)</f>
        <v>#REF!</v>
      </c>
      <c r="U178" s="121" t="e">
        <f>VLOOKUP($A178,#REF!,19,FALSE)</f>
        <v>#REF!</v>
      </c>
      <c r="V178" s="109" t="e">
        <f t="shared" si="44"/>
        <v>#REF!</v>
      </c>
      <c r="W178" s="109" t="e">
        <f t="shared" si="45"/>
        <v>#REF!</v>
      </c>
      <c r="X178" s="105" t="e">
        <f t="shared" si="46"/>
        <v>#REF!</v>
      </c>
      <c r="Y178" s="113" t="e">
        <f t="shared" si="47"/>
        <v>#REF!</v>
      </c>
      <c r="Z178" s="109" t="e">
        <f t="shared" si="48"/>
        <v>#REF!</v>
      </c>
      <c r="AA178" s="113" t="e">
        <f t="shared" si="49"/>
        <v>#REF!</v>
      </c>
      <c r="AB178" s="109" t="e">
        <f t="shared" si="50"/>
        <v>#REF!</v>
      </c>
      <c r="AC178" s="113" t="e">
        <f t="shared" si="51"/>
        <v>#REF!</v>
      </c>
      <c r="AD178" s="105" t="e">
        <f t="shared" si="52"/>
        <v>#REF!</v>
      </c>
      <c r="AE178" s="105" t="e">
        <f t="shared" si="38"/>
        <v>#REF!</v>
      </c>
      <c r="AF178" s="105" t="e">
        <f t="shared" si="39"/>
        <v>#REF!</v>
      </c>
      <c r="AG178" s="105" t="e">
        <f t="shared" si="40"/>
        <v>#REF!</v>
      </c>
      <c r="AH178" s="111" t="e">
        <f>VLOOKUP($A178,#REF!,5,FALSE)</f>
        <v>#REF!</v>
      </c>
      <c r="AI178" s="111" t="e">
        <f>VLOOKUP($A178,#REF!,6,FALSE)</f>
        <v>#REF!</v>
      </c>
      <c r="AJ178" s="109" t="e">
        <f t="shared" si="53"/>
        <v>#REF!</v>
      </c>
      <c r="AK178" s="109" t="e">
        <f t="shared" si="54"/>
        <v>#REF!</v>
      </c>
      <c r="AL178" s="109"/>
      <c r="AM178" s="105"/>
      <c r="AN178" s="105"/>
      <c r="AO178" s="109"/>
      <c r="AP178" s="110"/>
      <c r="AQ178" s="110"/>
      <c r="AR178" s="110"/>
      <c r="AS178" s="110"/>
      <c r="AT178" s="110"/>
      <c r="AU178" s="112"/>
      <c r="AV178" s="112"/>
      <c r="AW178" s="110"/>
      <c r="AX178" s="105"/>
      <c r="AY178" s="105"/>
      <c r="AZ178" s="105"/>
      <c r="BA178" s="105"/>
      <c r="BB178" s="105"/>
      <c r="BC178" s="105"/>
    </row>
    <row r="179" spans="1:55" x14ac:dyDescent="0.15">
      <c r="A179" s="221">
        <v>92</v>
      </c>
      <c r="B179" s="98" t="e">
        <f>VLOOKUP($A179,#REF!,84,FALSE)</f>
        <v>#REF!</v>
      </c>
      <c r="C179" s="98" t="e">
        <f>VLOOKUP($A179,#REF!,85,FALSE)</f>
        <v>#REF!</v>
      </c>
      <c r="D179" s="98" t="e">
        <f>VLOOKUP($A179,#REF!,5,FALSE)</f>
        <v>#REF!</v>
      </c>
      <c r="E179" s="98" t="e">
        <f>VLOOKUP($A179,#REF!,6,FALSE)</f>
        <v>#REF!</v>
      </c>
      <c r="F179" s="105" t="e">
        <f>VLOOKUP($A179,#REF!,34,FALSE)</f>
        <v>#REF!</v>
      </c>
      <c r="G179" s="105" t="e">
        <f>VLOOKUP($A179,#REF!,29,FALSE)</f>
        <v>#REF!</v>
      </c>
      <c r="H179" s="105" t="e">
        <f>VLOOKUP(A179,#REF!,35,FALSE)+VLOOKUP(A179,#REF!,41,FALSE)</f>
        <v>#REF!</v>
      </c>
      <c r="I179" s="105" t="e">
        <f t="shared" si="41"/>
        <v>#REF!</v>
      </c>
      <c r="J179" s="105" t="e">
        <f>VLOOKUP(A179,#REF!,42,FALSE)</f>
        <v>#REF!</v>
      </c>
      <c r="K179" s="105" t="e">
        <f t="shared" si="42"/>
        <v>#REF!</v>
      </c>
      <c r="L179" s="164" t="e">
        <f t="shared" si="37"/>
        <v>#REF!</v>
      </c>
      <c r="M179" s="105" t="e">
        <f t="shared" si="43"/>
        <v>#REF!</v>
      </c>
      <c r="N179" s="105" t="e">
        <f>VLOOKUP(A179,#REF!,46,FALSE)</f>
        <v>#REF!</v>
      </c>
      <c r="O179" s="106" t="e">
        <f>VLOOKUP(A179,#REF!,9,FALSE)</f>
        <v>#REF!</v>
      </c>
      <c r="P179" s="114" t="e">
        <f>#REF!</f>
        <v>#REF!</v>
      </c>
      <c r="Q179" s="114" t="e">
        <f>VLOOKUP(A179,#REF!,12,FALSE)</f>
        <v>#REF!</v>
      </c>
      <c r="R179" s="120" t="e">
        <f>#REF!</f>
        <v>#REF!</v>
      </c>
      <c r="S179" s="106" t="e">
        <f>IF(Q179=0,#REF!,ROUND(Q179*R179,4))</f>
        <v>#REF!</v>
      </c>
      <c r="T179" s="121" t="e">
        <f>VLOOKUP($A179,#REF!,15,FALSE)</f>
        <v>#REF!</v>
      </c>
      <c r="U179" s="121" t="e">
        <f>VLOOKUP($A179,#REF!,19,FALSE)</f>
        <v>#REF!</v>
      </c>
      <c r="V179" s="109" t="e">
        <f t="shared" si="44"/>
        <v>#REF!</v>
      </c>
      <c r="W179" s="109" t="e">
        <f t="shared" si="45"/>
        <v>#REF!</v>
      </c>
      <c r="X179" s="105" t="e">
        <f t="shared" si="46"/>
        <v>#REF!</v>
      </c>
      <c r="Y179" s="113" t="e">
        <f t="shared" si="47"/>
        <v>#REF!</v>
      </c>
      <c r="Z179" s="109" t="e">
        <f t="shared" si="48"/>
        <v>#REF!</v>
      </c>
      <c r="AA179" s="113" t="e">
        <f t="shared" si="49"/>
        <v>#REF!</v>
      </c>
      <c r="AB179" s="109" t="e">
        <f t="shared" si="50"/>
        <v>#REF!</v>
      </c>
      <c r="AC179" s="113" t="e">
        <f t="shared" si="51"/>
        <v>#REF!</v>
      </c>
      <c r="AD179" s="105" t="e">
        <f t="shared" si="52"/>
        <v>#REF!</v>
      </c>
      <c r="AE179" s="105" t="e">
        <f t="shared" si="38"/>
        <v>#REF!</v>
      </c>
      <c r="AF179" s="105" t="e">
        <f t="shared" si="39"/>
        <v>#REF!</v>
      </c>
      <c r="AG179" s="105" t="e">
        <f t="shared" si="40"/>
        <v>#REF!</v>
      </c>
      <c r="AH179" s="111" t="e">
        <f>VLOOKUP($A179,#REF!,5,FALSE)</f>
        <v>#REF!</v>
      </c>
      <c r="AI179" s="111" t="e">
        <f>VLOOKUP($A179,#REF!,6,FALSE)</f>
        <v>#REF!</v>
      </c>
      <c r="AJ179" s="109" t="e">
        <f t="shared" si="53"/>
        <v>#REF!</v>
      </c>
      <c r="AK179" s="109" t="e">
        <f t="shared" si="54"/>
        <v>#REF!</v>
      </c>
      <c r="AL179" s="109"/>
      <c r="AM179" s="105"/>
      <c r="AN179" s="105"/>
      <c r="AO179" s="109"/>
      <c r="AP179" s="110"/>
      <c r="AQ179" s="110"/>
      <c r="AR179" s="110"/>
      <c r="AS179" s="110"/>
      <c r="AT179" s="110"/>
      <c r="AU179" s="112"/>
      <c r="AV179" s="112"/>
      <c r="AW179" s="110"/>
      <c r="AX179" s="105"/>
      <c r="AY179" s="105"/>
      <c r="AZ179" s="105"/>
      <c r="BA179" s="105"/>
      <c r="BB179" s="105"/>
      <c r="BC179" s="105"/>
    </row>
    <row r="180" spans="1:55" x14ac:dyDescent="0.15">
      <c r="A180" s="221">
        <v>398</v>
      </c>
      <c r="B180" s="98" t="e">
        <f>VLOOKUP($A180,#REF!,84,FALSE)</f>
        <v>#REF!</v>
      </c>
      <c r="C180" s="98" t="e">
        <f>VLOOKUP($A180,#REF!,85,FALSE)</f>
        <v>#REF!</v>
      </c>
      <c r="D180" s="98" t="e">
        <f>VLOOKUP($A180,#REF!,5,FALSE)</f>
        <v>#REF!</v>
      </c>
      <c r="E180" s="98" t="e">
        <f>VLOOKUP($A180,#REF!,6,FALSE)</f>
        <v>#REF!</v>
      </c>
      <c r="F180" s="105" t="e">
        <f>VLOOKUP($A180,#REF!,34,FALSE)</f>
        <v>#REF!</v>
      </c>
      <c r="G180" s="105" t="e">
        <f>VLOOKUP($A180,#REF!,29,FALSE)</f>
        <v>#REF!</v>
      </c>
      <c r="H180" s="105" t="e">
        <f>VLOOKUP(A180,#REF!,35,FALSE)+VLOOKUP(A180,#REF!,41,FALSE)</f>
        <v>#REF!</v>
      </c>
      <c r="I180" s="105" t="e">
        <f t="shared" si="41"/>
        <v>#REF!</v>
      </c>
      <c r="J180" s="105" t="e">
        <f>VLOOKUP(A180,#REF!,42,FALSE)</f>
        <v>#REF!</v>
      </c>
      <c r="K180" s="105" t="e">
        <f t="shared" si="42"/>
        <v>#REF!</v>
      </c>
      <c r="L180" s="164" t="e">
        <f t="shared" si="37"/>
        <v>#REF!</v>
      </c>
      <c r="M180" s="105" t="e">
        <f t="shared" si="43"/>
        <v>#REF!</v>
      </c>
      <c r="N180" s="105" t="e">
        <f>VLOOKUP(A180,#REF!,46,FALSE)</f>
        <v>#REF!</v>
      </c>
      <c r="O180" s="106" t="e">
        <f>VLOOKUP(A180,#REF!,9,FALSE)</f>
        <v>#REF!</v>
      </c>
      <c r="P180" s="114" t="e">
        <f>#REF!</f>
        <v>#REF!</v>
      </c>
      <c r="Q180" s="114" t="e">
        <f>VLOOKUP(A180,#REF!,12,FALSE)</f>
        <v>#REF!</v>
      </c>
      <c r="R180" s="120" t="e">
        <f>#REF!</f>
        <v>#REF!</v>
      </c>
      <c r="S180" s="106" t="e">
        <f>IF(Q180=0,#REF!,ROUND(Q180*R180,4))</f>
        <v>#REF!</v>
      </c>
      <c r="T180" s="121" t="e">
        <f>VLOOKUP($A180,#REF!,15,FALSE)</f>
        <v>#REF!</v>
      </c>
      <c r="U180" s="121" t="e">
        <f>VLOOKUP($A180,#REF!,19,FALSE)</f>
        <v>#REF!</v>
      </c>
      <c r="V180" s="109" t="e">
        <f t="shared" si="44"/>
        <v>#REF!</v>
      </c>
      <c r="W180" s="109" t="e">
        <f t="shared" si="45"/>
        <v>#REF!</v>
      </c>
      <c r="X180" s="105" t="e">
        <f t="shared" si="46"/>
        <v>#REF!</v>
      </c>
      <c r="Y180" s="113" t="e">
        <f t="shared" si="47"/>
        <v>#REF!</v>
      </c>
      <c r="Z180" s="109" t="e">
        <f t="shared" si="48"/>
        <v>#REF!</v>
      </c>
      <c r="AA180" s="113" t="e">
        <f t="shared" si="49"/>
        <v>#REF!</v>
      </c>
      <c r="AB180" s="109" t="e">
        <f t="shared" si="50"/>
        <v>#REF!</v>
      </c>
      <c r="AC180" s="113" t="e">
        <f t="shared" si="51"/>
        <v>#REF!</v>
      </c>
      <c r="AD180" s="105" t="e">
        <f t="shared" si="52"/>
        <v>#REF!</v>
      </c>
      <c r="AE180" s="105" t="e">
        <f t="shared" si="38"/>
        <v>#REF!</v>
      </c>
      <c r="AF180" s="105" t="e">
        <f t="shared" si="39"/>
        <v>#REF!</v>
      </c>
      <c r="AG180" s="105" t="e">
        <f t="shared" si="40"/>
        <v>#REF!</v>
      </c>
      <c r="AH180" s="111" t="e">
        <f>VLOOKUP($A180,#REF!,5,FALSE)</f>
        <v>#REF!</v>
      </c>
      <c r="AI180" s="111" t="e">
        <f>VLOOKUP($A180,#REF!,6,FALSE)</f>
        <v>#REF!</v>
      </c>
      <c r="AJ180" s="109" t="e">
        <f t="shared" si="53"/>
        <v>#REF!</v>
      </c>
      <c r="AK180" s="109" t="e">
        <f t="shared" si="54"/>
        <v>#REF!</v>
      </c>
      <c r="AL180" s="109"/>
      <c r="AM180" s="105"/>
      <c r="AN180" s="105"/>
      <c r="AO180" s="109"/>
      <c r="AP180" s="110"/>
      <c r="AQ180" s="110"/>
      <c r="AR180" s="110"/>
      <c r="AS180" s="110"/>
      <c r="AT180" s="110"/>
      <c r="AU180" s="112"/>
      <c r="AV180" s="112"/>
      <c r="AW180" s="110"/>
      <c r="AX180" s="105"/>
      <c r="AY180" s="105"/>
      <c r="AZ180" s="105"/>
      <c r="BA180" s="105"/>
      <c r="BB180" s="105"/>
      <c r="BC180" s="105"/>
    </row>
    <row r="181" spans="1:55" x14ac:dyDescent="0.15">
      <c r="A181" s="221">
        <v>402</v>
      </c>
      <c r="B181" s="98" t="e">
        <f>VLOOKUP($A181,#REF!,84,FALSE)</f>
        <v>#REF!</v>
      </c>
      <c r="C181" s="98" t="e">
        <f>VLOOKUP($A181,#REF!,85,FALSE)</f>
        <v>#REF!</v>
      </c>
      <c r="D181" s="98" t="e">
        <f>VLOOKUP($A181,#REF!,5,FALSE)</f>
        <v>#REF!</v>
      </c>
      <c r="E181" s="98" t="e">
        <f>VLOOKUP($A181,#REF!,6,FALSE)</f>
        <v>#REF!</v>
      </c>
      <c r="F181" s="105" t="e">
        <f>VLOOKUP($A181,#REF!,34,FALSE)</f>
        <v>#REF!</v>
      </c>
      <c r="G181" s="105" t="e">
        <f>VLOOKUP($A181,#REF!,29,FALSE)</f>
        <v>#REF!</v>
      </c>
      <c r="H181" s="105" t="e">
        <f>VLOOKUP(A181,#REF!,35,FALSE)+VLOOKUP(A181,#REF!,41,FALSE)</f>
        <v>#REF!</v>
      </c>
      <c r="I181" s="105" t="e">
        <f t="shared" si="41"/>
        <v>#REF!</v>
      </c>
      <c r="J181" s="105" t="e">
        <f>VLOOKUP(A181,#REF!,42,FALSE)</f>
        <v>#REF!</v>
      </c>
      <c r="K181" s="105" t="e">
        <f t="shared" si="42"/>
        <v>#REF!</v>
      </c>
      <c r="L181" s="164" t="e">
        <f t="shared" si="37"/>
        <v>#REF!</v>
      </c>
      <c r="M181" s="105" t="e">
        <f t="shared" si="43"/>
        <v>#REF!</v>
      </c>
      <c r="N181" s="105" t="e">
        <f>VLOOKUP(A181,#REF!,46,FALSE)</f>
        <v>#REF!</v>
      </c>
      <c r="O181" s="106" t="e">
        <f>VLOOKUP(A181,#REF!,9,FALSE)</f>
        <v>#REF!</v>
      </c>
      <c r="P181" s="114" t="e">
        <f>#REF!</f>
        <v>#REF!</v>
      </c>
      <c r="Q181" s="114" t="e">
        <f>VLOOKUP(A181,#REF!,12,FALSE)</f>
        <v>#REF!</v>
      </c>
      <c r="R181" s="120" t="e">
        <f>#REF!</f>
        <v>#REF!</v>
      </c>
      <c r="S181" s="106" t="e">
        <f>IF(Q181=0,#REF!,ROUND(Q181*R181,4))</f>
        <v>#REF!</v>
      </c>
      <c r="T181" s="121" t="e">
        <f>VLOOKUP($A181,#REF!,15,FALSE)</f>
        <v>#REF!</v>
      </c>
      <c r="U181" s="121" t="e">
        <f>VLOOKUP($A181,#REF!,19,FALSE)</f>
        <v>#REF!</v>
      </c>
      <c r="V181" s="109" t="e">
        <f t="shared" si="44"/>
        <v>#REF!</v>
      </c>
      <c r="W181" s="109" t="e">
        <f t="shared" si="45"/>
        <v>#REF!</v>
      </c>
      <c r="X181" s="105" t="e">
        <f t="shared" si="46"/>
        <v>#REF!</v>
      </c>
      <c r="Y181" s="113" t="e">
        <f t="shared" si="47"/>
        <v>#REF!</v>
      </c>
      <c r="Z181" s="109" t="e">
        <f t="shared" si="48"/>
        <v>#REF!</v>
      </c>
      <c r="AA181" s="113" t="e">
        <f t="shared" si="49"/>
        <v>#REF!</v>
      </c>
      <c r="AB181" s="109" t="e">
        <f t="shared" si="50"/>
        <v>#REF!</v>
      </c>
      <c r="AC181" s="113" t="e">
        <f t="shared" si="51"/>
        <v>#REF!</v>
      </c>
      <c r="AD181" s="105" t="e">
        <f t="shared" si="52"/>
        <v>#REF!</v>
      </c>
      <c r="AE181" s="105" t="e">
        <f t="shared" si="38"/>
        <v>#REF!</v>
      </c>
      <c r="AF181" s="105" t="e">
        <f t="shared" si="39"/>
        <v>#REF!</v>
      </c>
      <c r="AG181" s="105" t="e">
        <f t="shared" si="40"/>
        <v>#REF!</v>
      </c>
      <c r="AH181" s="111" t="e">
        <f>VLOOKUP($A181,#REF!,5,FALSE)</f>
        <v>#REF!</v>
      </c>
      <c r="AI181" s="111" t="e">
        <f>VLOOKUP($A181,#REF!,6,FALSE)</f>
        <v>#REF!</v>
      </c>
      <c r="AJ181" s="109" t="e">
        <f t="shared" si="53"/>
        <v>#REF!</v>
      </c>
      <c r="AK181" s="109" t="e">
        <f t="shared" si="54"/>
        <v>#REF!</v>
      </c>
      <c r="AL181" s="109"/>
      <c r="AM181" s="105"/>
      <c r="AN181" s="105"/>
      <c r="AO181" s="109"/>
      <c r="AP181" s="110"/>
      <c r="AQ181" s="110"/>
      <c r="AR181" s="110"/>
      <c r="AS181" s="110"/>
      <c r="AT181" s="110"/>
      <c r="AU181" s="112"/>
      <c r="AV181" s="112"/>
      <c r="AW181" s="110"/>
      <c r="AX181" s="105"/>
      <c r="AY181" s="105"/>
      <c r="AZ181" s="105"/>
      <c r="BA181" s="105"/>
      <c r="BB181" s="105"/>
      <c r="BC181" s="105"/>
    </row>
    <row r="182" spans="1:55" x14ac:dyDescent="0.15">
      <c r="A182" s="221">
        <v>28</v>
      </c>
      <c r="B182" s="98" t="e">
        <f>VLOOKUP($A182,#REF!,84,FALSE)</f>
        <v>#REF!</v>
      </c>
      <c r="C182" s="98" t="e">
        <f>VLOOKUP($A182,#REF!,85,FALSE)</f>
        <v>#REF!</v>
      </c>
      <c r="D182" s="98" t="e">
        <f>VLOOKUP($A182,#REF!,5,FALSE)</f>
        <v>#REF!</v>
      </c>
      <c r="E182" s="98" t="e">
        <f>VLOOKUP($A182,#REF!,6,FALSE)</f>
        <v>#REF!</v>
      </c>
      <c r="F182" s="105" t="e">
        <f>VLOOKUP($A182,#REF!,34,FALSE)</f>
        <v>#REF!</v>
      </c>
      <c r="G182" s="105" t="e">
        <f>VLOOKUP($A182,#REF!,29,FALSE)</f>
        <v>#REF!</v>
      </c>
      <c r="H182" s="105" t="e">
        <f>VLOOKUP(A182,#REF!,35,FALSE)+VLOOKUP(A182,#REF!,41,FALSE)</f>
        <v>#REF!</v>
      </c>
      <c r="I182" s="105" t="e">
        <f t="shared" si="41"/>
        <v>#REF!</v>
      </c>
      <c r="J182" s="105" t="e">
        <f>VLOOKUP(A182,#REF!,42,FALSE)</f>
        <v>#REF!</v>
      </c>
      <c r="K182" s="105" t="e">
        <f t="shared" si="42"/>
        <v>#REF!</v>
      </c>
      <c r="L182" s="164" t="e">
        <f t="shared" si="37"/>
        <v>#REF!</v>
      </c>
      <c r="M182" s="105" t="e">
        <f t="shared" si="43"/>
        <v>#REF!</v>
      </c>
      <c r="N182" s="105" t="e">
        <f>VLOOKUP(A182,#REF!,46,FALSE)</f>
        <v>#REF!</v>
      </c>
      <c r="O182" s="106" t="e">
        <f>VLOOKUP(A182,#REF!,9,FALSE)</f>
        <v>#REF!</v>
      </c>
      <c r="P182" s="114" t="e">
        <f>#REF!</f>
        <v>#REF!</v>
      </c>
      <c r="Q182" s="114" t="e">
        <f>VLOOKUP(A182,#REF!,12,FALSE)</f>
        <v>#REF!</v>
      </c>
      <c r="R182" s="120" t="e">
        <f>#REF!</f>
        <v>#REF!</v>
      </c>
      <c r="S182" s="106" t="e">
        <f>IF(Q182=0,#REF!,ROUND(Q182*R182,4))</f>
        <v>#REF!</v>
      </c>
      <c r="T182" s="121" t="e">
        <f>VLOOKUP($A182,#REF!,15,FALSE)</f>
        <v>#REF!</v>
      </c>
      <c r="U182" s="121" t="e">
        <f>VLOOKUP($A182,#REF!,19,FALSE)</f>
        <v>#REF!</v>
      </c>
      <c r="V182" s="109" t="e">
        <f t="shared" si="44"/>
        <v>#REF!</v>
      </c>
      <c r="W182" s="109" t="e">
        <f t="shared" si="45"/>
        <v>#REF!</v>
      </c>
      <c r="X182" s="105" t="e">
        <f t="shared" si="46"/>
        <v>#REF!</v>
      </c>
      <c r="Y182" s="113" t="e">
        <f t="shared" si="47"/>
        <v>#REF!</v>
      </c>
      <c r="Z182" s="109" t="e">
        <f t="shared" si="48"/>
        <v>#REF!</v>
      </c>
      <c r="AA182" s="113" t="e">
        <f t="shared" si="49"/>
        <v>#REF!</v>
      </c>
      <c r="AB182" s="109" t="e">
        <f t="shared" si="50"/>
        <v>#REF!</v>
      </c>
      <c r="AC182" s="113" t="e">
        <f t="shared" si="51"/>
        <v>#REF!</v>
      </c>
      <c r="AD182" s="105" t="e">
        <f t="shared" si="52"/>
        <v>#REF!</v>
      </c>
      <c r="AE182" s="105" t="e">
        <f t="shared" si="38"/>
        <v>#REF!</v>
      </c>
      <c r="AF182" s="105" t="e">
        <f t="shared" si="39"/>
        <v>#REF!</v>
      </c>
      <c r="AG182" s="105" t="e">
        <f t="shared" si="40"/>
        <v>#REF!</v>
      </c>
      <c r="AH182" s="111" t="e">
        <f>VLOOKUP($A182,#REF!,5,FALSE)</f>
        <v>#REF!</v>
      </c>
      <c r="AI182" s="111" t="e">
        <f>VLOOKUP($A182,#REF!,6,FALSE)</f>
        <v>#REF!</v>
      </c>
      <c r="AJ182" s="109" t="e">
        <f t="shared" si="53"/>
        <v>#REF!</v>
      </c>
      <c r="AK182" s="109" t="e">
        <f t="shared" si="54"/>
        <v>#REF!</v>
      </c>
      <c r="AL182" s="109"/>
      <c r="AM182" s="105"/>
      <c r="AN182" s="105"/>
      <c r="AO182" s="109"/>
      <c r="AP182" s="110"/>
      <c r="AQ182" s="110"/>
      <c r="AR182" s="110"/>
      <c r="AS182" s="110"/>
      <c r="AT182" s="110"/>
      <c r="AU182" s="112"/>
      <c r="AV182" s="112"/>
      <c r="AW182" s="110"/>
      <c r="AX182" s="105"/>
      <c r="AY182" s="105"/>
      <c r="AZ182" s="105"/>
      <c r="BA182" s="105"/>
      <c r="BB182" s="105"/>
      <c r="BC182" s="105"/>
    </row>
    <row r="183" spans="1:55" x14ac:dyDescent="0.15">
      <c r="A183" s="221">
        <v>709</v>
      </c>
      <c r="B183" s="98" t="e">
        <f>VLOOKUP($A183,#REF!,84,FALSE)</f>
        <v>#REF!</v>
      </c>
      <c r="C183" s="98" t="e">
        <f>VLOOKUP($A183,#REF!,85,FALSE)</f>
        <v>#REF!</v>
      </c>
      <c r="D183" s="98" t="e">
        <f>VLOOKUP($A183,#REF!,5,FALSE)</f>
        <v>#REF!</v>
      </c>
      <c r="E183" s="98" t="e">
        <f>VLOOKUP($A183,#REF!,6,FALSE)</f>
        <v>#REF!</v>
      </c>
      <c r="F183" s="105" t="e">
        <f>VLOOKUP($A183,#REF!,34,FALSE)</f>
        <v>#REF!</v>
      </c>
      <c r="G183" s="105" t="e">
        <f>VLOOKUP($A183,#REF!,29,FALSE)</f>
        <v>#REF!</v>
      </c>
      <c r="H183" s="105" t="e">
        <f>VLOOKUP(A183,#REF!,35,FALSE)+VLOOKUP(A183,#REF!,41,FALSE)</f>
        <v>#REF!</v>
      </c>
      <c r="I183" s="105" t="e">
        <f t="shared" si="41"/>
        <v>#REF!</v>
      </c>
      <c r="J183" s="105" t="e">
        <f>VLOOKUP(A183,#REF!,42,FALSE)</f>
        <v>#REF!</v>
      </c>
      <c r="K183" s="105" t="e">
        <f t="shared" si="42"/>
        <v>#REF!</v>
      </c>
      <c r="L183" s="164" t="e">
        <f t="shared" si="37"/>
        <v>#REF!</v>
      </c>
      <c r="M183" s="105" t="e">
        <f t="shared" si="43"/>
        <v>#REF!</v>
      </c>
      <c r="N183" s="105" t="e">
        <f>VLOOKUP(A183,#REF!,46,FALSE)</f>
        <v>#REF!</v>
      </c>
      <c r="O183" s="106" t="e">
        <f>VLOOKUP(A183,#REF!,9,FALSE)</f>
        <v>#REF!</v>
      </c>
      <c r="P183" s="114" t="e">
        <f>#REF!</f>
        <v>#REF!</v>
      </c>
      <c r="Q183" s="114" t="e">
        <f>VLOOKUP(A183,#REF!,12,FALSE)</f>
        <v>#REF!</v>
      </c>
      <c r="R183" s="120" t="e">
        <f>#REF!</f>
        <v>#REF!</v>
      </c>
      <c r="S183" s="106" t="e">
        <f>IF(Q183=0,#REF!,ROUND(Q183*R183,4))</f>
        <v>#REF!</v>
      </c>
      <c r="T183" s="121" t="e">
        <f>VLOOKUP($A183,#REF!,15,FALSE)</f>
        <v>#REF!</v>
      </c>
      <c r="U183" s="121" t="e">
        <f>VLOOKUP($A183,#REF!,19,FALSE)</f>
        <v>#REF!</v>
      </c>
      <c r="V183" s="109" t="e">
        <f t="shared" si="44"/>
        <v>#REF!</v>
      </c>
      <c r="W183" s="109" t="e">
        <f t="shared" si="45"/>
        <v>#REF!</v>
      </c>
      <c r="X183" s="105" t="e">
        <f t="shared" si="46"/>
        <v>#REF!</v>
      </c>
      <c r="Y183" s="113" t="e">
        <f t="shared" si="47"/>
        <v>#REF!</v>
      </c>
      <c r="Z183" s="109" t="e">
        <f t="shared" si="48"/>
        <v>#REF!</v>
      </c>
      <c r="AA183" s="113" t="e">
        <f t="shared" si="49"/>
        <v>#REF!</v>
      </c>
      <c r="AB183" s="109" t="e">
        <f t="shared" si="50"/>
        <v>#REF!</v>
      </c>
      <c r="AC183" s="113" t="e">
        <f t="shared" si="51"/>
        <v>#REF!</v>
      </c>
      <c r="AD183" s="105" t="e">
        <f t="shared" si="52"/>
        <v>#REF!</v>
      </c>
      <c r="AE183" s="105" t="e">
        <f t="shared" si="38"/>
        <v>#REF!</v>
      </c>
      <c r="AF183" s="105" t="e">
        <f t="shared" si="39"/>
        <v>#REF!</v>
      </c>
      <c r="AG183" s="105" t="e">
        <f t="shared" si="40"/>
        <v>#REF!</v>
      </c>
      <c r="AH183" s="111" t="e">
        <f>VLOOKUP($A183,#REF!,5,FALSE)</f>
        <v>#REF!</v>
      </c>
      <c r="AI183" s="111" t="e">
        <f>VLOOKUP($A183,#REF!,6,FALSE)</f>
        <v>#REF!</v>
      </c>
      <c r="AJ183" s="109" t="e">
        <f t="shared" si="53"/>
        <v>#REF!</v>
      </c>
      <c r="AK183" s="109" t="e">
        <f t="shared" si="54"/>
        <v>#REF!</v>
      </c>
      <c r="AL183" s="109"/>
      <c r="AM183" s="105"/>
      <c r="AN183" s="105"/>
      <c r="AO183" s="109"/>
      <c r="AP183" s="110"/>
      <c r="AQ183" s="110"/>
      <c r="AR183" s="110"/>
      <c r="AS183" s="110"/>
      <c r="AT183" s="110"/>
      <c r="AU183" s="112"/>
      <c r="AV183" s="112"/>
      <c r="AW183" s="110"/>
      <c r="AX183" s="105"/>
      <c r="AY183" s="105"/>
      <c r="AZ183" s="105"/>
      <c r="BA183" s="105"/>
      <c r="BB183" s="105"/>
      <c r="BC183" s="105"/>
    </row>
    <row r="184" spans="1:55" x14ac:dyDescent="0.15">
      <c r="A184" s="221">
        <v>406</v>
      </c>
      <c r="B184" s="98" t="e">
        <f>VLOOKUP($A184,#REF!,84,FALSE)</f>
        <v>#REF!</v>
      </c>
      <c r="C184" s="98" t="e">
        <f>VLOOKUP($A184,#REF!,85,FALSE)</f>
        <v>#REF!</v>
      </c>
      <c r="D184" s="98" t="e">
        <f>VLOOKUP($A184,#REF!,5,FALSE)</f>
        <v>#REF!</v>
      </c>
      <c r="E184" s="98" t="e">
        <f>VLOOKUP($A184,#REF!,6,FALSE)</f>
        <v>#REF!</v>
      </c>
      <c r="F184" s="105" t="e">
        <f>VLOOKUP($A184,#REF!,34,FALSE)</f>
        <v>#REF!</v>
      </c>
      <c r="G184" s="105" t="e">
        <f>VLOOKUP($A184,#REF!,29,FALSE)</f>
        <v>#REF!</v>
      </c>
      <c r="H184" s="105" t="e">
        <f>VLOOKUP(A184,#REF!,35,FALSE)+VLOOKUP(A184,#REF!,41,FALSE)</f>
        <v>#REF!</v>
      </c>
      <c r="I184" s="105" t="e">
        <f t="shared" si="41"/>
        <v>#REF!</v>
      </c>
      <c r="J184" s="105" t="e">
        <f>VLOOKUP(A184,#REF!,42,FALSE)</f>
        <v>#REF!</v>
      </c>
      <c r="K184" s="105" t="e">
        <f t="shared" si="42"/>
        <v>#REF!</v>
      </c>
      <c r="L184" s="164" t="e">
        <f t="shared" si="37"/>
        <v>#REF!</v>
      </c>
      <c r="M184" s="105" t="e">
        <f t="shared" si="43"/>
        <v>#REF!</v>
      </c>
      <c r="N184" s="105" t="e">
        <f>VLOOKUP(A184,#REF!,46,FALSE)</f>
        <v>#REF!</v>
      </c>
      <c r="O184" s="106" t="e">
        <f>VLOOKUP(A184,#REF!,9,FALSE)</f>
        <v>#REF!</v>
      </c>
      <c r="P184" s="114" t="e">
        <f>#REF!</f>
        <v>#REF!</v>
      </c>
      <c r="Q184" s="114" t="e">
        <f>VLOOKUP(A184,#REF!,12,FALSE)</f>
        <v>#REF!</v>
      </c>
      <c r="R184" s="120" t="e">
        <f>#REF!</f>
        <v>#REF!</v>
      </c>
      <c r="S184" s="106" t="e">
        <f>IF(Q184=0,#REF!,ROUND(Q184*R184,4))</f>
        <v>#REF!</v>
      </c>
      <c r="T184" s="121" t="e">
        <f>VLOOKUP($A184,#REF!,15,FALSE)</f>
        <v>#REF!</v>
      </c>
      <c r="U184" s="121" t="e">
        <f>VLOOKUP($A184,#REF!,19,FALSE)</f>
        <v>#REF!</v>
      </c>
      <c r="V184" s="109" t="e">
        <f t="shared" si="44"/>
        <v>#REF!</v>
      </c>
      <c r="W184" s="109" t="e">
        <f t="shared" si="45"/>
        <v>#REF!</v>
      </c>
      <c r="X184" s="105" t="e">
        <f t="shared" si="46"/>
        <v>#REF!</v>
      </c>
      <c r="Y184" s="113" t="e">
        <f t="shared" si="47"/>
        <v>#REF!</v>
      </c>
      <c r="Z184" s="109" t="e">
        <f t="shared" si="48"/>
        <v>#REF!</v>
      </c>
      <c r="AA184" s="113" t="e">
        <f t="shared" si="49"/>
        <v>#REF!</v>
      </c>
      <c r="AB184" s="109" t="e">
        <f t="shared" si="50"/>
        <v>#REF!</v>
      </c>
      <c r="AC184" s="113" t="e">
        <f t="shared" si="51"/>
        <v>#REF!</v>
      </c>
      <c r="AD184" s="105" t="e">
        <f t="shared" si="52"/>
        <v>#REF!</v>
      </c>
      <c r="AE184" s="105" t="e">
        <f t="shared" si="38"/>
        <v>#REF!</v>
      </c>
      <c r="AF184" s="105" t="e">
        <f t="shared" si="39"/>
        <v>#REF!</v>
      </c>
      <c r="AG184" s="105" t="e">
        <f t="shared" si="40"/>
        <v>#REF!</v>
      </c>
      <c r="AH184" s="111" t="e">
        <f>VLOOKUP($A184,#REF!,5,FALSE)</f>
        <v>#REF!</v>
      </c>
      <c r="AI184" s="111" t="e">
        <f>VLOOKUP($A184,#REF!,6,FALSE)</f>
        <v>#REF!</v>
      </c>
      <c r="AJ184" s="109" t="e">
        <f t="shared" si="53"/>
        <v>#REF!</v>
      </c>
      <c r="AK184" s="109" t="e">
        <f t="shared" si="54"/>
        <v>#REF!</v>
      </c>
      <c r="AL184" s="109"/>
      <c r="AM184" s="105"/>
      <c r="AN184" s="105"/>
      <c r="AO184" s="109"/>
      <c r="AP184" s="110"/>
      <c r="AQ184" s="110"/>
      <c r="AR184" s="110"/>
      <c r="AS184" s="110"/>
      <c r="AT184" s="110"/>
      <c r="AU184" s="112"/>
      <c r="AV184" s="112"/>
      <c r="AW184" s="110"/>
      <c r="AX184" s="105"/>
      <c r="AY184" s="105"/>
      <c r="AZ184" s="105"/>
      <c r="BA184" s="105"/>
      <c r="BB184" s="105"/>
      <c r="BC184" s="105"/>
    </row>
    <row r="185" spans="1:55" x14ac:dyDescent="0.15">
      <c r="A185" s="221">
        <v>715</v>
      </c>
      <c r="B185" s="98" t="e">
        <f>VLOOKUP($A185,#REF!,84,FALSE)</f>
        <v>#REF!</v>
      </c>
      <c r="C185" s="98" t="e">
        <f>VLOOKUP($A185,#REF!,85,FALSE)</f>
        <v>#REF!</v>
      </c>
      <c r="D185" s="98" t="e">
        <f>VLOOKUP($A185,#REF!,5,FALSE)</f>
        <v>#REF!</v>
      </c>
      <c r="E185" s="98" t="e">
        <f>VLOOKUP($A185,#REF!,6,FALSE)</f>
        <v>#REF!</v>
      </c>
      <c r="F185" s="105" t="e">
        <f>VLOOKUP($A185,#REF!,34,FALSE)</f>
        <v>#REF!</v>
      </c>
      <c r="G185" s="105" t="e">
        <f>VLOOKUP($A185,#REF!,29,FALSE)</f>
        <v>#REF!</v>
      </c>
      <c r="H185" s="105" t="e">
        <f>VLOOKUP(A185,#REF!,35,FALSE)+VLOOKUP(A185,#REF!,41,FALSE)</f>
        <v>#REF!</v>
      </c>
      <c r="I185" s="105" t="e">
        <f t="shared" si="41"/>
        <v>#REF!</v>
      </c>
      <c r="J185" s="105" t="e">
        <f>VLOOKUP(A185,#REF!,42,FALSE)</f>
        <v>#REF!</v>
      </c>
      <c r="K185" s="105" t="e">
        <f t="shared" si="42"/>
        <v>#REF!</v>
      </c>
      <c r="L185" s="164" t="e">
        <f t="shared" si="37"/>
        <v>#REF!</v>
      </c>
      <c r="M185" s="105" t="e">
        <f t="shared" si="43"/>
        <v>#REF!</v>
      </c>
      <c r="N185" s="105" t="e">
        <f>VLOOKUP(A185,#REF!,46,FALSE)</f>
        <v>#REF!</v>
      </c>
      <c r="O185" s="106" t="e">
        <f>VLOOKUP(A185,#REF!,9,FALSE)</f>
        <v>#REF!</v>
      </c>
      <c r="P185" s="114" t="e">
        <f>#REF!</f>
        <v>#REF!</v>
      </c>
      <c r="Q185" s="114" t="e">
        <f>VLOOKUP(A185,#REF!,12,FALSE)</f>
        <v>#REF!</v>
      </c>
      <c r="R185" s="120" t="e">
        <f>#REF!</f>
        <v>#REF!</v>
      </c>
      <c r="S185" s="106" t="e">
        <f>IF(Q185=0,#REF!,ROUND(Q185*R185,4))</f>
        <v>#REF!</v>
      </c>
      <c r="T185" s="121" t="e">
        <f>VLOOKUP($A185,#REF!,15,FALSE)</f>
        <v>#REF!</v>
      </c>
      <c r="U185" s="121" t="e">
        <f>VLOOKUP($A185,#REF!,19,FALSE)</f>
        <v>#REF!</v>
      </c>
      <c r="V185" s="109" t="e">
        <f t="shared" si="44"/>
        <v>#REF!</v>
      </c>
      <c r="W185" s="109" t="e">
        <f t="shared" si="45"/>
        <v>#REF!</v>
      </c>
      <c r="X185" s="105" t="e">
        <f t="shared" si="46"/>
        <v>#REF!</v>
      </c>
      <c r="Y185" s="113" t="e">
        <f t="shared" si="47"/>
        <v>#REF!</v>
      </c>
      <c r="Z185" s="109" t="e">
        <f t="shared" si="48"/>
        <v>#REF!</v>
      </c>
      <c r="AA185" s="113" t="e">
        <f t="shared" si="49"/>
        <v>#REF!</v>
      </c>
      <c r="AB185" s="109" t="e">
        <f t="shared" si="50"/>
        <v>#REF!</v>
      </c>
      <c r="AC185" s="113" t="e">
        <f t="shared" si="51"/>
        <v>#REF!</v>
      </c>
      <c r="AD185" s="105" t="e">
        <f t="shared" si="52"/>
        <v>#REF!</v>
      </c>
      <c r="AE185" s="105" t="e">
        <f t="shared" si="38"/>
        <v>#REF!</v>
      </c>
      <c r="AF185" s="105" t="e">
        <f t="shared" si="39"/>
        <v>#REF!</v>
      </c>
      <c r="AG185" s="105" t="e">
        <f t="shared" si="40"/>
        <v>#REF!</v>
      </c>
      <c r="AH185" s="111" t="e">
        <f>VLOOKUP($A185,#REF!,5,FALSE)</f>
        <v>#REF!</v>
      </c>
      <c r="AI185" s="111" t="e">
        <f>VLOOKUP($A185,#REF!,6,FALSE)</f>
        <v>#REF!</v>
      </c>
      <c r="AJ185" s="109" t="e">
        <f t="shared" si="53"/>
        <v>#REF!</v>
      </c>
      <c r="AK185" s="109" t="e">
        <f t="shared" si="54"/>
        <v>#REF!</v>
      </c>
      <c r="AL185" s="109"/>
      <c r="AM185" s="105"/>
      <c r="AN185" s="105"/>
      <c r="AO185" s="109"/>
      <c r="AP185" s="110"/>
      <c r="AQ185" s="110"/>
      <c r="AR185" s="110"/>
      <c r="AS185" s="110"/>
      <c r="AT185" s="110"/>
      <c r="AU185" s="112"/>
      <c r="AV185" s="112"/>
      <c r="AW185" s="110"/>
      <c r="AX185" s="105"/>
      <c r="AY185" s="105"/>
      <c r="AZ185" s="105"/>
      <c r="BA185" s="105"/>
      <c r="BB185" s="105"/>
      <c r="BC185" s="105"/>
    </row>
    <row r="186" spans="1:55" x14ac:dyDescent="0.15">
      <c r="A186" s="221">
        <v>416</v>
      </c>
      <c r="B186" s="98" t="e">
        <f>VLOOKUP($A186,#REF!,84,FALSE)</f>
        <v>#REF!</v>
      </c>
      <c r="C186" s="98" t="e">
        <f>VLOOKUP($A186,#REF!,85,FALSE)</f>
        <v>#REF!</v>
      </c>
      <c r="D186" s="98" t="e">
        <f>VLOOKUP($A186,#REF!,5,FALSE)</f>
        <v>#REF!</v>
      </c>
      <c r="E186" s="98" t="e">
        <f>VLOOKUP($A186,#REF!,6,FALSE)</f>
        <v>#REF!</v>
      </c>
      <c r="F186" s="105" t="e">
        <f>VLOOKUP($A186,#REF!,34,FALSE)</f>
        <v>#REF!</v>
      </c>
      <c r="G186" s="105" t="e">
        <f>VLOOKUP($A186,#REF!,29,FALSE)</f>
        <v>#REF!</v>
      </c>
      <c r="H186" s="105" t="e">
        <f>VLOOKUP(A186,#REF!,35,FALSE)+VLOOKUP(A186,#REF!,41,FALSE)</f>
        <v>#REF!</v>
      </c>
      <c r="I186" s="105" t="e">
        <f t="shared" si="41"/>
        <v>#REF!</v>
      </c>
      <c r="J186" s="105" t="e">
        <f>VLOOKUP(A186,#REF!,42,FALSE)</f>
        <v>#REF!</v>
      </c>
      <c r="K186" s="105" t="e">
        <f t="shared" si="42"/>
        <v>#REF!</v>
      </c>
      <c r="L186" s="164" t="e">
        <f t="shared" si="37"/>
        <v>#REF!</v>
      </c>
      <c r="M186" s="105" t="e">
        <f t="shared" si="43"/>
        <v>#REF!</v>
      </c>
      <c r="N186" s="105" t="e">
        <f>VLOOKUP(A186,#REF!,46,FALSE)</f>
        <v>#REF!</v>
      </c>
      <c r="O186" s="106" t="e">
        <f>VLOOKUP(A186,#REF!,9,FALSE)</f>
        <v>#REF!</v>
      </c>
      <c r="P186" s="114" t="e">
        <f>#REF!</f>
        <v>#REF!</v>
      </c>
      <c r="Q186" s="114" t="e">
        <f>VLOOKUP(A186,#REF!,12,FALSE)</f>
        <v>#REF!</v>
      </c>
      <c r="R186" s="120" t="e">
        <f>#REF!</f>
        <v>#REF!</v>
      </c>
      <c r="S186" s="106" t="e">
        <f>IF(Q186=0,#REF!,ROUND(Q186*R186,4))</f>
        <v>#REF!</v>
      </c>
      <c r="T186" s="121" t="e">
        <f>VLOOKUP($A186,#REF!,15,FALSE)</f>
        <v>#REF!</v>
      </c>
      <c r="U186" s="121" t="e">
        <f>VLOOKUP($A186,#REF!,19,FALSE)</f>
        <v>#REF!</v>
      </c>
      <c r="V186" s="109" t="e">
        <f t="shared" si="44"/>
        <v>#REF!</v>
      </c>
      <c r="W186" s="109" t="e">
        <f t="shared" si="45"/>
        <v>#REF!</v>
      </c>
      <c r="X186" s="105" t="e">
        <f t="shared" si="46"/>
        <v>#REF!</v>
      </c>
      <c r="Y186" s="113" t="e">
        <f t="shared" si="47"/>
        <v>#REF!</v>
      </c>
      <c r="Z186" s="109" t="e">
        <f t="shared" si="48"/>
        <v>#REF!</v>
      </c>
      <c r="AA186" s="113" t="e">
        <f t="shared" si="49"/>
        <v>#REF!</v>
      </c>
      <c r="AB186" s="109" t="e">
        <f t="shared" si="50"/>
        <v>#REF!</v>
      </c>
      <c r="AC186" s="113" t="e">
        <f t="shared" si="51"/>
        <v>#REF!</v>
      </c>
      <c r="AD186" s="105" t="e">
        <f t="shared" si="52"/>
        <v>#REF!</v>
      </c>
      <c r="AE186" s="105" t="e">
        <f t="shared" si="38"/>
        <v>#REF!</v>
      </c>
      <c r="AF186" s="105" t="e">
        <f t="shared" si="39"/>
        <v>#REF!</v>
      </c>
      <c r="AG186" s="105" t="e">
        <f t="shared" si="40"/>
        <v>#REF!</v>
      </c>
      <c r="AH186" s="111" t="e">
        <f>VLOOKUP($A186,#REF!,5,FALSE)</f>
        <v>#REF!</v>
      </c>
      <c r="AI186" s="111" t="e">
        <f>VLOOKUP($A186,#REF!,6,FALSE)</f>
        <v>#REF!</v>
      </c>
      <c r="AJ186" s="109" t="e">
        <f t="shared" si="53"/>
        <v>#REF!</v>
      </c>
      <c r="AK186" s="109" t="e">
        <f t="shared" si="54"/>
        <v>#REF!</v>
      </c>
      <c r="AL186" s="109"/>
      <c r="AM186" s="105"/>
      <c r="AN186" s="105"/>
      <c r="AO186" s="109"/>
      <c r="AP186" s="110"/>
      <c r="AQ186" s="110"/>
      <c r="AR186" s="110"/>
      <c r="AS186" s="110"/>
      <c r="AT186" s="110"/>
      <c r="AU186" s="112"/>
      <c r="AV186" s="112"/>
      <c r="AW186" s="110"/>
      <c r="AX186" s="105"/>
      <c r="AY186" s="105"/>
      <c r="AZ186" s="105"/>
      <c r="BA186" s="105"/>
      <c r="BB186" s="105"/>
      <c r="BC186" s="105"/>
    </row>
    <row r="187" spans="1:55" x14ac:dyDescent="0.15">
      <c r="A187" s="221">
        <v>418</v>
      </c>
      <c r="B187" s="98" t="e">
        <f>VLOOKUP($A187,#REF!,84,FALSE)</f>
        <v>#REF!</v>
      </c>
      <c r="C187" s="98" t="e">
        <f>VLOOKUP($A187,#REF!,85,FALSE)</f>
        <v>#REF!</v>
      </c>
      <c r="D187" s="98" t="e">
        <f>VLOOKUP($A187,#REF!,5,FALSE)</f>
        <v>#REF!</v>
      </c>
      <c r="E187" s="98" t="e">
        <f>VLOOKUP($A187,#REF!,6,FALSE)</f>
        <v>#REF!</v>
      </c>
      <c r="F187" s="105" t="e">
        <f>VLOOKUP($A187,#REF!,34,FALSE)</f>
        <v>#REF!</v>
      </c>
      <c r="G187" s="105" t="e">
        <f>VLOOKUP($A187,#REF!,29,FALSE)</f>
        <v>#REF!</v>
      </c>
      <c r="H187" s="105" t="e">
        <f>VLOOKUP(A187,#REF!,35,FALSE)+VLOOKUP(A187,#REF!,41,FALSE)</f>
        <v>#REF!</v>
      </c>
      <c r="I187" s="105" t="e">
        <f t="shared" si="41"/>
        <v>#REF!</v>
      </c>
      <c r="J187" s="105" t="e">
        <f>VLOOKUP(A187,#REF!,42,FALSE)</f>
        <v>#REF!</v>
      </c>
      <c r="K187" s="105" t="e">
        <f t="shared" si="42"/>
        <v>#REF!</v>
      </c>
      <c r="L187" s="164" t="e">
        <f t="shared" si="37"/>
        <v>#REF!</v>
      </c>
      <c r="M187" s="105" t="e">
        <f t="shared" si="43"/>
        <v>#REF!</v>
      </c>
      <c r="N187" s="105" t="e">
        <f>VLOOKUP(A187,#REF!,46,FALSE)</f>
        <v>#REF!</v>
      </c>
      <c r="O187" s="106" t="e">
        <f>VLOOKUP(A187,#REF!,9,FALSE)</f>
        <v>#REF!</v>
      </c>
      <c r="P187" s="114" t="e">
        <f>#REF!</f>
        <v>#REF!</v>
      </c>
      <c r="Q187" s="114" t="e">
        <f>VLOOKUP(A187,#REF!,12,FALSE)</f>
        <v>#REF!</v>
      </c>
      <c r="R187" s="120" t="e">
        <f>#REF!</f>
        <v>#REF!</v>
      </c>
      <c r="S187" s="106" t="e">
        <f>IF(Q187=0,#REF!,ROUND(Q187*R187,4))</f>
        <v>#REF!</v>
      </c>
      <c r="T187" s="121" t="e">
        <f>VLOOKUP($A187,#REF!,15,FALSE)</f>
        <v>#REF!</v>
      </c>
      <c r="U187" s="121" t="e">
        <f>VLOOKUP($A187,#REF!,19,FALSE)</f>
        <v>#REF!</v>
      </c>
      <c r="V187" s="109" t="e">
        <f t="shared" si="44"/>
        <v>#REF!</v>
      </c>
      <c r="W187" s="109" t="e">
        <f t="shared" si="45"/>
        <v>#REF!</v>
      </c>
      <c r="X187" s="105" t="e">
        <f t="shared" si="46"/>
        <v>#REF!</v>
      </c>
      <c r="Y187" s="113" t="e">
        <f t="shared" si="47"/>
        <v>#REF!</v>
      </c>
      <c r="Z187" s="109" t="e">
        <f t="shared" si="48"/>
        <v>#REF!</v>
      </c>
      <c r="AA187" s="113" t="e">
        <f t="shared" si="49"/>
        <v>#REF!</v>
      </c>
      <c r="AB187" s="109" t="e">
        <f t="shared" si="50"/>
        <v>#REF!</v>
      </c>
      <c r="AC187" s="113" t="e">
        <f t="shared" si="51"/>
        <v>#REF!</v>
      </c>
      <c r="AD187" s="105" t="e">
        <f t="shared" si="52"/>
        <v>#REF!</v>
      </c>
      <c r="AE187" s="105" t="e">
        <f t="shared" si="38"/>
        <v>#REF!</v>
      </c>
      <c r="AF187" s="105" t="e">
        <f t="shared" si="39"/>
        <v>#REF!</v>
      </c>
      <c r="AG187" s="105" t="e">
        <f t="shared" si="40"/>
        <v>#REF!</v>
      </c>
      <c r="AH187" s="111" t="e">
        <f>VLOOKUP($A187,#REF!,5,FALSE)</f>
        <v>#REF!</v>
      </c>
      <c r="AI187" s="111" t="e">
        <f>VLOOKUP($A187,#REF!,6,FALSE)</f>
        <v>#REF!</v>
      </c>
      <c r="AJ187" s="109" t="e">
        <f t="shared" si="53"/>
        <v>#REF!</v>
      </c>
      <c r="AK187" s="109" t="e">
        <f t="shared" si="54"/>
        <v>#REF!</v>
      </c>
      <c r="AL187" s="109"/>
      <c r="AM187" s="105"/>
      <c r="AN187" s="105"/>
      <c r="AO187" s="109"/>
      <c r="AP187" s="110"/>
      <c r="AQ187" s="110"/>
      <c r="AR187" s="110"/>
      <c r="AS187" s="110"/>
      <c r="AT187" s="110"/>
      <c r="AU187" s="112"/>
      <c r="AV187" s="112"/>
      <c r="AW187" s="110"/>
      <c r="AX187" s="105"/>
      <c r="AY187" s="105"/>
      <c r="AZ187" s="105"/>
      <c r="BA187" s="105"/>
      <c r="BB187" s="105"/>
      <c r="BC187" s="105"/>
    </row>
    <row r="188" spans="1:55" x14ac:dyDescent="0.15">
      <c r="A188" s="221">
        <v>767</v>
      </c>
      <c r="B188" s="98" t="e">
        <f>VLOOKUP($A188,#REF!,84,FALSE)</f>
        <v>#REF!</v>
      </c>
      <c r="C188" s="98" t="e">
        <f>VLOOKUP($A188,#REF!,85,FALSE)</f>
        <v>#REF!</v>
      </c>
      <c r="D188" s="98" t="e">
        <f>VLOOKUP($A188,#REF!,5,FALSE)</f>
        <v>#REF!</v>
      </c>
      <c r="E188" s="98" t="e">
        <f>VLOOKUP($A188,#REF!,6,FALSE)</f>
        <v>#REF!</v>
      </c>
      <c r="F188" s="105" t="e">
        <f>VLOOKUP($A188,#REF!,34,FALSE)</f>
        <v>#REF!</v>
      </c>
      <c r="G188" s="105" t="e">
        <f>VLOOKUP($A188,#REF!,29,FALSE)</f>
        <v>#REF!</v>
      </c>
      <c r="H188" s="105" t="e">
        <f>VLOOKUP(A188,#REF!,35,FALSE)+VLOOKUP(A188,#REF!,41,FALSE)</f>
        <v>#REF!</v>
      </c>
      <c r="I188" s="105" t="e">
        <f t="shared" si="41"/>
        <v>#REF!</v>
      </c>
      <c r="J188" s="105" t="e">
        <f>VLOOKUP(A188,#REF!,42,FALSE)</f>
        <v>#REF!</v>
      </c>
      <c r="K188" s="105" t="e">
        <f t="shared" si="42"/>
        <v>#REF!</v>
      </c>
      <c r="L188" s="164" t="e">
        <f t="shared" si="37"/>
        <v>#REF!</v>
      </c>
      <c r="M188" s="105" t="e">
        <f t="shared" si="43"/>
        <v>#REF!</v>
      </c>
      <c r="N188" s="105" t="e">
        <f>VLOOKUP(A188,#REF!,46,FALSE)</f>
        <v>#REF!</v>
      </c>
      <c r="O188" s="106" t="e">
        <f>VLOOKUP(A188,#REF!,9,FALSE)</f>
        <v>#REF!</v>
      </c>
      <c r="P188" s="114" t="e">
        <f>#REF!</f>
        <v>#REF!</v>
      </c>
      <c r="Q188" s="114" t="e">
        <f>VLOOKUP(A188,#REF!,12,FALSE)</f>
        <v>#REF!</v>
      </c>
      <c r="R188" s="120" t="e">
        <f>#REF!</f>
        <v>#REF!</v>
      </c>
      <c r="S188" s="106" t="e">
        <f>IF(Q188=0,#REF!,ROUND(Q188*R188,4))</f>
        <v>#REF!</v>
      </c>
      <c r="T188" s="121" t="e">
        <f>VLOOKUP($A188,#REF!,15,FALSE)</f>
        <v>#REF!</v>
      </c>
      <c r="U188" s="121" t="e">
        <f>VLOOKUP($A188,#REF!,19,FALSE)</f>
        <v>#REF!</v>
      </c>
      <c r="V188" s="109" t="e">
        <f t="shared" si="44"/>
        <v>#REF!</v>
      </c>
      <c r="W188" s="109" t="e">
        <f t="shared" si="45"/>
        <v>#REF!</v>
      </c>
      <c r="X188" s="105" t="e">
        <f t="shared" si="46"/>
        <v>#REF!</v>
      </c>
      <c r="Y188" s="113" t="e">
        <f t="shared" si="47"/>
        <v>#REF!</v>
      </c>
      <c r="Z188" s="109" t="e">
        <f t="shared" si="48"/>
        <v>#REF!</v>
      </c>
      <c r="AA188" s="113" t="e">
        <f t="shared" si="49"/>
        <v>#REF!</v>
      </c>
      <c r="AB188" s="109" t="e">
        <f t="shared" si="50"/>
        <v>#REF!</v>
      </c>
      <c r="AC188" s="113" t="e">
        <f t="shared" si="51"/>
        <v>#REF!</v>
      </c>
      <c r="AD188" s="105" t="e">
        <f t="shared" si="52"/>
        <v>#REF!</v>
      </c>
      <c r="AE188" s="105" t="e">
        <f t="shared" si="38"/>
        <v>#REF!</v>
      </c>
      <c r="AF188" s="105" t="e">
        <f t="shared" si="39"/>
        <v>#REF!</v>
      </c>
      <c r="AG188" s="105" t="e">
        <f t="shared" si="40"/>
        <v>#REF!</v>
      </c>
      <c r="AH188" s="111" t="e">
        <f>VLOOKUP($A188,#REF!,5,FALSE)</f>
        <v>#REF!</v>
      </c>
      <c r="AI188" s="111" t="e">
        <f>VLOOKUP($A188,#REF!,6,FALSE)</f>
        <v>#REF!</v>
      </c>
      <c r="AJ188" s="109" t="e">
        <f t="shared" si="53"/>
        <v>#REF!</v>
      </c>
      <c r="AK188" s="109" t="e">
        <f t="shared" si="54"/>
        <v>#REF!</v>
      </c>
      <c r="AL188" s="109"/>
      <c r="AM188" s="105"/>
      <c r="AN188" s="105"/>
      <c r="AO188" s="109"/>
      <c r="AP188" s="110"/>
      <c r="AQ188" s="110"/>
      <c r="AR188" s="110"/>
      <c r="AS188" s="110"/>
      <c r="AT188" s="110"/>
      <c r="AU188" s="112"/>
      <c r="AV188" s="112"/>
      <c r="AW188" s="110"/>
      <c r="AX188" s="105"/>
      <c r="AY188" s="105"/>
      <c r="AZ188" s="105"/>
      <c r="BA188" s="105"/>
      <c r="BB188" s="105"/>
      <c r="BC188" s="105"/>
    </row>
    <row r="189" spans="1:55" x14ac:dyDescent="0.15">
      <c r="A189" s="221">
        <v>428</v>
      </c>
      <c r="B189" s="98" t="e">
        <f>VLOOKUP($A189,#REF!,84,FALSE)</f>
        <v>#REF!</v>
      </c>
      <c r="C189" s="98" t="e">
        <f>VLOOKUP($A189,#REF!,85,FALSE)</f>
        <v>#REF!</v>
      </c>
      <c r="D189" s="98" t="e">
        <f>VLOOKUP($A189,#REF!,5,FALSE)</f>
        <v>#REF!</v>
      </c>
      <c r="E189" s="98" t="e">
        <f>VLOOKUP($A189,#REF!,6,FALSE)</f>
        <v>#REF!</v>
      </c>
      <c r="F189" s="105" t="e">
        <f>VLOOKUP($A189,#REF!,34,FALSE)</f>
        <v>#REF!</v>
      </c>
      <c r="G189" s="105" t="e">
        <f>VLOOKUP($A189,#REF!,29,FALSE)</f>
        <v>#REF!</v>
      </c>
      <c r="H189" s="105" t="e">
        <f>VLOOKUP(A189,#REF!,35,FALSE)+VLOOKUP(A189,#REF!,41,FALSE)</f>
        <v>#REF!</v>
      </c>
      <c r="I189" s="105" t="e">
        <f t="shared" si="41"/>
        <v>#REF!</v>
      </c>
      <c r="J189" s="105" t="e">
        <f>VLOOKUP(A189,#REF!,42,FALSE)</f>
        <v>#REF!</v>
      </c>
      <c r="K189" s="105" t="e">
        <f t="shared" si="42"/>
        <v>#REF!</v>
      </c>
      <c r="L189" s="164" t="e">
        <f t="shared" si="37"/>
        <v>#REF!</v>
      </c>
      <c r="M189" s="105" t="e">
        <f t="shared" si="43"/>
        <v>#REF!</v>
      </c>
      <c r="N189" s="105" t="e">
        <f>VLOOKUP(A189,#REF!,46,FALSE)</f>
        <v>#REF!</v>
      </c>
      <c r="O189" s="106" t="e">
        <f>VLOOKUP(A189,#REF!,9,FALSE)</f>
        <v>#REF!</v>
      </c>
      <c r="P189" s="114" t="e">
        <f>#REF!</f>
        <v>#REF!</v>
      </c>
      <c r="Q189" s="114" t="e">
        <f>VLOOKUP(A189,#REF!,12,FALSE)</f>
        <v>#REF!</v>
      </c>
      <c r="R189" s="120" t="e">
        <f>#REF!</f>
        <v>#REF!</v>
      </c>
      <c r="S189" s="106" t="e">
        <f>IF(Q189=0,#REF!,ROUND(Q189*R189,4))</f>
        <v>#REF!</v>
      </c>
      <c r="T189" s="121" t="e">
        <f>VLOOKUP($A189,#REF!,15,FALSE)</f>
        <v>#REF!</v>
      </c>
      <c r="U189" s="121" t="e">
        <f>VLOOKUP($A189,#REF!,19,FALSE)</f>
        <v>#REF!</v>
      </c>
      <c r="V189" s="109" t="e">
        <f t="shared" si="44"/>
        <v>#REF!</v>
      </c>
      <c r="W189" s="109" t="e">
        <f t="shared" si="45"/>
        <v>#REF!</v>
      </c>
      <c r="X189" s="105" t="e">
        <f t="shared" si="46"/>
        <v>#REF!</v>
      </c>
      <c r="Y189" s="113" t="e">
        <f t="shared" si="47"/>
        <v>#REF!</v>
      </c>
      <c r="Z189" s="109" t="e">
        <f t="shared" si="48"/>
        <v>#REF!</v>
      </c>
      <c r="AA189" s="113" t="e">
        <f t="shared" si="49"/>
        <v>#REF!</v>
      </c>
      <c r="AB189" s="109" t="e">
        <f t="shared" si="50"/>
        <v>#REF!</v>
      </c>
      <c r="AC189" s="113" t="e">
        <f t="shared" si="51"/>
        <v>#REF!</v>
      </c>
      <c r="AD189" s="105" t="e">
        <f t="shared" si="52"/>
        <v>#REF!</v>
      </c>
      <c r="AE189" s="105" t="e">
        <f t="shared" si="38"/>
        <v>#REF!</v>
      </c>
      <c r="AF189" s="105" t="e">
        <f t="shared" si="39"/>
        <v>#REF!</v>
      </c>
      <c r="AG189" s="105" t="e">
        <f t="shared" si="40"/>
        <v>#REF!</v>
      </c>
      <c r="AH189" s="111" t="e">
        <f>VLOOKUP($A189,#REF!,5,FALSE)</f>
        <v>#REF!</v>
      </c>
      <c r="AI189" s="111" t="e">
        <f>VLOOKUP($A189,#REF!,6,FALSE)</f>
        <v>#REF!</v>
      </c>
      <c r="AJ189" s="109" t="e">
        <f t="shared" si="53"/>
        <v>#REF!</v>
      </c>
      <c r="AK189" s="109" t="e">
        <f t="shared" si="54"/>
        <v>#REF!</v>
      </c>
      <c r="AL189" s="109"/>
      <c r="AM189" s="105"/>
      <c r="AN189" s="105"/>
      <c r="AO189" s="109"/>
      <c r="AP189" s="110"/>
      <c r="AQ189" s="110"/>
      <c r="AR189" s="110"/>
      <c r="AS189" s="110"/>
      <c r="AT189" s="110"/>
      <c r="AU189" s="112"/>
      <c r="AV189" s="112"/>
      <c r="AW189" s="110"/>
      <c r="AX189" s="105"/>
      <c r="AY189" s="105"/>
      <c r="AZ189" s="105"/>
      <c r="BA189" s="105"/>
      <c r="BB189" s="105"/>
      <c r="BC189" s="105"/>
    </row>
    <row r="190" spans="1:55" x14ac:dyDescent="0.15">
      <c r="A190" s="221">
        <v>176</v>
      </c>
      <c r="B190" s="98" t="e">
        <f>VLOOKUP($A190,#REF!,84,FALSE)</f>
        <v>#REF!</v>
      </c>
      <c r="C190" s="98" t="e">
        <f>VLOOKUP($A190,#REF!,85,FALSE)</f>
        <v>#REF!</v>
      </c>
      <c r="D190" s="98" t="e">
        <f>VLOOKUP($A190,#REF!,5,FALSE)</f>
        <v>#REF!</v>
      </c>
      <c r="E190" s="98" t="e">
        <f>VLOOKUP($A190,#REF!,6,FALSE)</f>
        <v>#REF!</v>
      </c>
      <c r="F190" s="105" t="e">
        <f>VLOOKUP($A190,#REF!,34,FALSE)</f>
        <v>#REF!</v>
      </c>
      <c r="G190" s="105" t="e">
        <f>VLOOKUP($A190,#REF!,29,FALSE)</f>
        <v>#REF!</v>
      </c>
      <c r="H190" s="105" t="e">
        <f>VLOOKUP(A190,#REF!,35,FALSE)+VLOOKUP(A190,#REF!,41,FALSE)</f>
        <v>#REF!</v>
      </c>
      <c r="I190" s="105" t="e">
        <f t="shared" si="41"/>
        <v>#REF!</v>
      </c>
      <c r="J190" s="105" t="e">
        <f>VLOOKUP(A190,#REF!,42,FALSE)</f>
        <v>#REF!</v>
      </c>
      <c r="K190" s="105" t="e">
        <f t="shared" si="42"/>
        <v>#REF!</v>
      </c>
      <c r="L190" s="164" t="e">
        <f t="shared" si="37"/>
        <v>#REF!</v>
      </c>
      <c r="M190" s="105" t="e">
        <f t="shared" si="43"/>
        <v>#REF!</v>
      </c>
      <c r="N190" s="105" t="e">
        <f>VLOOKUP(A190,#REF!,46,FALSE)</f>
        <v>#REF!</v>
      </c>
      <c r="O190" s="106" t="e">
        <f>VLOOKUP(A190,#REF!,9,FALSE)</f>
        <v>#REF!</v>
      </c>
      <c r="P190" s="114" t="e">
        <f>#REF!</f>
        <v>#REF!</v>
      </c>
      <c r="Q190" s="114" t="e">
        <f>VLOOKUP(A190,#REF!,12,FALSE)</f>
        <v>#REF!</v>
      </c>
      <c r="R190" s="120" t="e">
        <f>#REF!</f>
        <v>#REF!</v>
      </c>
      <c r="S190" s="106" t="e">
        <f>IF(Q190=0,#REF!,ROUND(Q190*R190,4))</f>
        <v>#REF!</v>
      </c>
      <c r="T190" s="121" t="e">
        <f>VLOOKUP($A190,#REF!,15,FALSE)</f>
        <v>#REF!</v>
      </c>
      <c r="U190" s="121" t="e">
        <f>VLOOKUP($A190,#REF!,19,FALSE)</f>
        <v>#REF!</v>
      </c>
      <c r="V190" s="109" t="e">
        <f t="shared" si="44"/>
        <v>#REF!</v>
      </c>
      <c r="W190" s="109" t="e">
        <f t="shared" si="45"/>
        <v>#REF!</v>
      </c>
      <c r="X190" s="105" t="e">
        <f t="shared" si="46"/>
        <v>#REF!</v>
      </c>
      <c r="Y190" s="113" t="e">
        <f t="shared" si="47"/>
        <v>#REF!</v>
      </c>
      <c r="Z190" s="109" t="e">
        <f t="shared" si="48"/>
        <v>#REF!</v>
      </c>
      <c r="AA190" s="113" t="e">
        <f t="shared" si="49"/>
        <v>#REF!</v>
      </c>
      <c r="AB190" s="109" t="e">
        <f t="shared" si="50"/>
        <v>#REF!</v>
      </c>
      <c r="AC190" s="113" t="e">
        <f t="shared" si="51"/>
        <v>#REF!</v>
      </c>
      <c r="AD190" s="105" t="e">
        <f t="shared" si="52"/>
        <v>#REF!</v>
      </c>
      <c r="AE190" s="105" t="e">
        <f t="shared" si="38"/>
        <v>#REF!</v>
      </c>
      <c r="AF190" s="105" t="e">
        <f t="shared" si="39"/>
        <v>#REF!</v>
      </c>
      <c r="AG190" s="105" t="e">
        <f t="shared" si="40"/>
        <v>#REF!</v>
      </c>
      <c r="AH190" s="111" t="e">
        <f>VLOOKUP($A190,#REF!,5,FALSE)</f>
        <v>#REF!</v>
      </c>
      <c r="AI190" s="111" t="e">
        <f>VLOOKUP($A190,#REF!,6,FALSE)</f>
        <v>#REF!</v>
      </c>
      <c r="AJ190" s="109" t="e">
        <f t="shared" si="53"/>
        <v>#REF!</v>
      </c>
      <c r="AK190" s="109" t="e">
        <f t="shared" si="54"/>
        <v>#REF!</v>
      </c>
      <c r="AL190" s="109"/>
      <c r="AM190" s="105"/>
      <c r="AN190" s="105"/>
      <c r="AO190" s="109"/>
      <c r="AP190" s="110"/>
      <c r="AQ190" s="110"/>
      <c r="AR190" s="110"/>
      <c r="AS190" s="110"/>
      <c r="AT190" s="110"/>
      <c r="AU190" s="112"/>
      <c r="AV190" s="112"/>
      <c r="AW190" s="110"/>
      <c r="AX190" s="105"/>
      <c r="AY190" s="105"/>
      <c r="AZ190" s="105"/>
      <c r="BA190" s="105"/>
      <c r="BB190" s="105"/>
      <c r="BC190" s="105"/>
    </row>
    <row r="191" spans="1:55" x14ac:dyDescent="0.15">
      <c r="A191" s="221">
        <v>378</v>
      </c>
      <c r="B191" s="98" t="e">
        <f>VLOOKUP($A191,#REF!,84,FALSE)</f>
        <v>#REF!</v>
      </c>
      <c r="C191" s="98" t="e">
        <f>VLOOKUP($A191,#REF!,85,FALSE)</f>
        <v>#REF!</v>
      </c>
      <c r="D191" s="98" t="e">
        <f>VLOOKUP($A191,#REF!,5,FALSE)</f>
        <v>#REF!</v>
      </c>
      <c r="E191" s="98" t="e">
        <f>VLOOKUP($A191,#REF!,6,FALSE)</f>
        <v>#REF!</v>
      </c>
      <c r="F191" s="105" t="e">
        <f>VLOOKUP($A191,#REF!,34,FALSE)</f>
        <v>#REF!</v>
      </c>
      <c r="G191" s="105" t="e">
        <f>VLOOKUP($A191,#REF!,29,FALSE)</f>
        <v>#REF!</v>
      </c>
      <c r="H191" s="105" t="e">
        <f>VLOOKUP(A191,#REF!,35,FALSE)+VLOOKUP(A191,#REF!,41,FALSE)</f>
        <v>#REF!</v>
      </c>
      <c r="I191" s="105" t="e">
        <f t="shared" si="41"/>
        <v>#REF!</v>
      </c>
      <c r="J191" s="105" t="e">
        <f>VLOOKUP(A191,#REF!,42,FALSE)</f>
        <v>#REF!</v>
      </c>
      <c r="K191" s="105" t="e">
        <f t="shared" si="42"/>
        <v>#REF!</v>
      </c>
      <c r="L191" s="164" t="e">
        <f t="shared" si="37"/>
        <v>#REF!</v>
      </c>
      <c r="M191" s="105" t="e">
        <f t="shared" si="43"/>
        <v>#REF!</v>
      </c>
      <c r="N191" s="105" t="e">
        <f>VLOOKUP(A191,#REF!,46,FALSE)</f>
        <v>#REF!</v>
      </c>
      <c r="O191" s="106" t="e">
        <f>VLOOKUP(A191,#REF!,9,FALSE)</f>
        <v>#REF!</v>
      </c>
      <c r="P191" s="114" t="e">
        <f>#REF!</f>
        <v>#REF!</v>
      </c>
      <c r="Q191" s="114" t="e">
        <f>VLOOKUP(A191,#REF!,12,FALSE)</f>
        <v>#REF!</v>
      </c>
      <c r="R191" s="120" t="e">
        <f>#REF!</f>
        <v>#REF!</v>
      </c>
      <c r="S191" s="106" t="e">
        <f>IF(Q191=0,#REF!,ROUND(Q191*R191,4))</f>
        <v>#REF!</v>
      </c>
      <c r="T191" s="121" t="e">
        <f>VLOOKUP($A191,#REF!,15,FALSE)</f>
        <v>#REF!</v>
      </c>
      <c r="U191" s="121" t="e">
        <f>VLOOKUP($A191,#REF!,19,FALSE)</f>
        <v>#REF!</v>
      </c>
      <c r="V191" s="109" t="e">
        <f t="shared" si="44"/>
        <v>#REF!</v>
      </c>
      <c r="W191" s="109" t="e">
        <f t="shared" si="45"/>
        <v>#REF!</v>
      </c>
      <c r="X191" s="105" t="e">
        <f t="shared" si="46"/>
        <v>#REF!</v>
      </c>
      <c r="Y191" s="113" t="e">
        <f t="shared" si="47"/>
        <v>#REF!</v>
      </c>
      <c r="Z191" s="109" t="e">
        <f t="shared" si="48"/>
        <v>#REF!</v>
      </c>
      <c r="AA191" s="113" t="e">
        <f t="shared" si="49"/>
        <v>#REF!</v>
      </c>
      <c r="AB191" s="109" t="e">
        <f t="shared" si="50"/>
        <v>#REF!</v>
      </c>
      <c r="AC191" s="113" t="e">
        <f t="shared" si="51"/>
        <v>#REF!</v>
      </c>
      <c r="AD191" s="105" t="e">
        <f t="shared" si="52"/>
        <v>#REF!</v>
      </c>
      <c r="AE191" s="105" t="e">
        <f t="shared" si="38"/>
        <v>#REF!</v>
      </c>
      <c r="AF191" s="105" t="e">
        <f t="shared" si="39"/>
        <v>#REF!</v>
      </c>
      <c r="AG191" s="105" t="e">
        <f t="shared" si="40"/>
        <v>#REF!</v>
      </c>
      <c r="AH191" s="111" t="e">
        <f>VLOOKUP($A191,#REF!,5,FALSE)</f>
        <v>#REF!</v>
      </c>
      <c r="AI191" s="111" t="e">
        <f>VLOOKUP($A191,#REF!,6,FALSE)</f>
        <v>#REF!</v>
      </c>
      <c r="AJ191" s="109" t="e">
        <f t="shared" si="53"/>
        <v>#REF!</v>
      </c>
      <c r="AK191" s="109" t="e">
        <f t="shared" si="54"/>
        <v>#REF!</v>
      </c>
      <c r="AL191" s="109"/>
      <c r="AM191" s="105"/>
      <c r="AN191" s="105"/>
      <c r="AO191" s="109"/>
      <c r="AP191" s="110"/>
      <c r="AQ191" s="110"/>
      <c r="AR191" s="110"/>
      <c r="AS191" s="110"/>
      <c r="AT191" s="110"/>
      <c r="AU191" s="112"/>
      <c r="AV191" s="112"/>
      <c r="AW191" s="110"/>
      <c r="AX191" s="105"/>
      <c r="AY191" s="105"/>
      <c r="AZ191" s="105"/>
      <c r="BA191" s="105"/>
      <c r="BB191" s="105"/>
      <c r="BC191" s="105"/>
    </row>
    <row r="192" spans="1:55" x14ac:dyDescent="0.15">
      <c r="A192" s="221">
        <v>54</v>
      </c>
      <c r="B192" s="98" t="e">
        <f>VLOOKUP($A192,#REF!,84,FALSE)</f>
        <v>#REF!</v>
      </c>
      <c r="C192" s="98" t="e">
        <f>VLOOKUP($A192,#REF!,85,FALSE)</f>
        <v>#REF!</v>
      </c>
      <c r="D192" s="98" t="e">
        <f>VLOOKUP($A192,#REF!,5,FALSE)</f>
        <v>#REF!</v>
      </c>
      <c r="E192" s="98" t="e">
        <f>VLOOKUP($A192,#REF!,6,FALSE)</f>
        <v>#REF!</v>
      </c>
      <c r="F192" s="105" t="e">
        <f>VLOOKUP($A192,#REF!,34,FALSE)</f>
        <v>#REF!</v>
      </c>
      <c r="G192" s="105" t="e">
        <f>VLOOKUP($A192,#REF!,29,FALSE)</f>
        <v>#REF!</v>
      </c>
      <c r="H192" s="105" t="e">
        <f>VLOOKUP(A192,#REF!,35,FALSE)+VLOOKUP(A192,#REF!,41,FALSE)</f>
        <v>#REF!</v>
      </c>
      <c r="I192" s="105" t="e">
        <f t="shared" si="41"/>
        <v>#REF!</v>
      </c>
      <c r="J192" s="105" t="e">
        <f>VLOOKUP(A192,#REF!,42,FALSE)</f>
        <v>#REF!</v>
      </c>
      <c r="K192" s="105" t="e">
        <f t="shared" si="42"/>
        <v>#REF!</v>
      </c>
      <c r="L192" s="164" t="e">
        <f t="shared" si="37"/>
        <v>#REF!</v>
      </c>
      <c r="M192" s="105" t="e">
        <f t="shared" si="43"/>
        <v>#REF!</v>
      </c>
      <c r="N192" s="105" t="e">
        <f>VLOOKUP(A192,#REF!,46,FALSE)</f>
        <v>#REF!</v>
      </c>
      <c r="O192" s="106" t="e">
        <f>VLOOKUP(A192,#REF!,9,FALSE)</f>
        <v>#REF!</v>
      </c>
      <c r="P192" s="114" t="e">
        <f>#REF!</f>
        <v>#REF!</v>
      </c>
      <c r="Q192" s="114" t="e">
        <f>VLOOKUP(A192,#REF!,12,FALSE)</f>
        <v>#REF!</v>
      </c>
      <c r="R192" s="120" t="e">
        <f>#REF!</f>
        <v>#REF!</v>
      </c>
      <c r="S192" s="106" t="e">
        <f>IF(Q192=0,#REF!,ROUND(Q192*R192,4))</f>
        <v>#REF!</v>
      </c>
      <c r="T192" s="121" t="e">
        <f>VLOOKUP($A192,#REF!,15,FALSE)</f>
        <v>#REF!</v>
      </c>
      <c r="U192" s="121" t="e">
        <f>VLOOKUP($A192,#REF!,19,FALSE)</f>
        <v>#REF!</v>
      </c>
      <c r="V192" s="109" t="e">
        <f t="shared" si="44"/>
        <v>#REF!</v>
      </c>
      <c r="W192" s="109" t="e">
        <f t="shared" si="45"/>
        <v>#REF!</v>
      </c>
      <c r="X192" s="105" t="e">
        <f t="shared" si="46"/>
        <v>#REF!</v>
      </c>
      <c r="Y192" s="113" t="e">
        <f t="shared" si="47"/>
        <v>#REF!</v>
      </c>
      <c r="Z192" s="109" t="e">
        <f t="shared" si="48"/>
        <v>#REF!</v>
      </c>
      <c r="AA192" s="113" t="e">
        <f t="shared" si="49"/>
        <v>#REF!</v>
      </c>
      <c r="AB192" s="109" t="e">
        <f t="shared" si="50"/>
        <v>#REF!</v>
      </c>
      <c r="AC192" s="113" t="e">
        <f t="shared" si="51"/>
        <v>#REF!</v>
      </c>
      <c r="AD192" s="105" t="e">
        <f t="shared" si="52"/>
        <v>#REF!</v>
      </c>
      <c r="AE192" s="105" t="e">
        <f t="shared" si="38"/>
        <v>#REF!</v>
      </c>
      <c r="AF192" s="105" t="e">
        <f t="shared" si="39"/>
        <v>#REF!</v>
      </c>
      <c r="AG192" s="105" t="e">
        <f t="shared" si="40"/>
        <v>#REF!</v>
      </c>
      <c r="AH192" s="111" t="e">
        <f>VLOOKUP($A192,#REF!,5,FALSE)</f>
        <v>#REF!</v>
      </c>
      <c r="AI192" s="111" t="e">
        <f>VLOOKUP($A192,#REF!,6,FALSE)</f>
        <v>#REF!</v>
      </c>
      <c r="AJ192" s="109" t="e">
        <f t="shared" si="53"/>
        <v>#REF!</v>
      </c>
      <c r="AK192" s="109" t="e">
        <f t="shared" si="54"/>
        <v>#REF!</v>
      </c>
      <c r="AL192" s="109"/>
      <c r="AM192" s="105"/>
      <c r="AN192" s="105"/>
      <c r="AO192" s="109"/>
      <c r="AP192" s="110"/>
      <c r="AQ192" s="110"/>
      <c r="AR192" s="110"/>
      <c r="AS192" s="110"/>
      <c r="AT192" s="110"/>
      <c r="AU192" s="112"/>
      <c r="AV192" s="112"/>
      <c r="AW192" s="110"/>
      <c r="AX192" s="105"/>
      <c r="AY192" s="105"/>
      <c r="AZ192" s="105"/>
      <c r="BA192" s="105"/>
      <c r="BB192" s="105"/>
      <c r="BC192" s="105"/>
    </row>
    <row r="193" spans="1:65" x14ac:dyDescent="0.15">
      <c r="A193" s="221">
        <v>60</v>
      </c>
      <c r="B193" s="98" t="e">
        <f>VLOOKUP($A193,#REF!,84,FALSE)</f>
        <v>#REF!</v>
      </c>
      <c r="C193" s="98" t="e">
        <f>VLOOKUP($A193,#REF!,85,FALSE)</f>
        <v>#REF!</v>
      </c>
      <c r="D193" s="98" t="e">
        <f>VLOOKUP($A193,#REF!,5,FALSE)</f>
        <v>#REF!</v>
      </c>
      <c r="E193" s="98" t="e">
        <f>VLOOKUP($A193,#REF!,6,FALSE)</f>
        <v>#REF!</v>
      </c>
      <c r="F193" s="105" t="e">
        <f>VLOOKUP($A193,#REF!,34,FALSE)</f>
        <v>#REF!</v>
      </c>
      <c r="G193" s="105" t="e">
        <f>VLOOKUP($A193,#REF!,29,FALSE)</f>
        <v>#REF!</v>
      </c>
      <c r="H193" s="105" t="e">
        <f>VLOOKUP(A193,#REF!,35,FALSE)+VLOOKUP(A193,#REF!,41,FALSE)</f>
        <v>#REF!</v>
      </c>
      <c r="I193" s="105" t="e">
        <f t="shared" si="41"/>
        <v>#REF!</v>
      </c>
      <c r="J193" s="105" t="e">
        <f>VLOOKUP(A193,#REF!,42,FALSE)</f>
        <v>#REF!</v>
      </c>
      <c r="K193" s="105" t="e">
        <f t="shared" si="42"/>
        <v>#REF!</v>
      </c>
      <c r="L193" s="164" t="e">
        <f t="shared" si="37"/>
        <v>#REF!</v>
      </c>
      <c r="M193" s="105" t="e">
        <f t="shared" si="43"/>
        <v>#REF!</v>
      </c>
      <c r="N193" s="105" t="e">
        <f>VLOOKUP(A193,#REF!,46,FALSE)</f>
        <v>#REF!</v>
      </c>
      <c r="O193" s="106" t="e">
        <f>VLOOKUP(A193,#REF!,9,FALSE)</f>
        <v>#REF!</v>
      </c>
      <c r="P193" s="114" t="e">
        <f>#REF!</f>
        <v>#REF!</v>
      </c>
      <c r="Q193" s="114" t="e">
        <f>VLOOKUP(A193,#REF!,12,FALSE)</f>
        <v>#REF!</v>
      </c>
      <c r="R193" s="120" t="e">
        <f>#REF!</f>
        <v>#REF!</v>
      </c>
      <c r="S193" s="106" t="e">
        <f>IF(Q193=0,#REF!,ROUND(Q193*R193,4))</f>
        <v>#REF!</v>
      </c>
      <c r="T193" s="121" t="e">
        <f>VLOOKUP($A193,#REF!,15,FALSE)</f>
        <v>#REF!</v>
      </c>
      <c r="U193" s="121" t="e">
        <f>VLOOKUP($A193,#REF!,19,FALSE)</f>
        <v>#REF!</v>
      </c>
      <c r="V193" s="109" t="e">
        <f t="shared" si="44"/>
        <v>#REF!</v>
      </c>
      <c r="W193" s="109" t="e">
        <f t="shared" si="45"/>
        <v>#REF!</v>
      </c>
      <c r="X193" s="105" t="e">
        <f t="shared" si="46"/>
        <v>#REF!</v>
      </c>
      <c r="Y193" s="113" t="e">
        <f t="shared" si="47"/>
        <v>#REF!</v>
      </c>
      <c r="Z193" s="109" t="e">
        <f t="shared" si="48"/>
        <v>#REF!</v>
      </c>
      <c r="AA193" s="113" t="e">
        <f t="shared" si="49"/>
        <v>#REF!</v>
      </c>
      <c r="AB193" s="109" t="e">
        <f t="shared" si="50"/>
        <v>#REF!</v>
      </c>
      <c r="AC193" s="113" t="e">
        <f t="shared" si="51"/>
        <v>#REF!</v>
      </c>
      <c r="AD193" s="105" t="e">
        <f t="shared" si="52"/>
        <v>#REF!</v>
      </c>
      <c r="AE193" s="105" t="e">
        <f t="shared" ref="AE193:AE206" si="55">+M193+N193</f>
        <v>#REF!</v>
      </c>
      <c r="AF193" s="105" t="e">
        <f t="shared" ref="AF193:AF206" si="56">+AC193+N193</f>
        <v>#REF!</v>
      </c>
      <c r="AG193" s="105" t="e">
        <f t="shared" ref="AG193:AG206" si="57">+AD193+N193</f>
        <v>#REF!</v>
      </c>
      <c r="AH193" s="111" t="e">
        <f>VLOOKUP($A193,#REF!,5,FALSE)</f>
        <v>#REF!</v>
      </c>
      <c r="AI193" s="111" t="e">
        <f>VLOOKUP($A193,#REF!,6,FALSE)</f>
        <v>#REF!</v>
      </c>
      <c r="AJ193" s="109" t="e">
        <f t="shared" si="53"/>
        <v>#REF!</v>
      </c>
      <c r="AK193" s="109" t="e">
        <f t="shared" si="54"/>
        <v>#REF!</v>
      </c>
      <c r="AL193" s="109"/>
      <c r="AM193" s="105"/>
      <c r="AN193" s="105"/>
      <c r="AO193" s="109"/>
      <c r="AP193" s="110"/>
      <c r="AQ193" s="110"/>
      <c r="AR193" s="110"/>
      <c r="AS193" s="110"/>
      <c r="AT193" s="110"/>
      <c r="AU193" s="112"/>
      <c r="AV193" s="112"/>
      <c r="AW193" s="110"/>
      <c r="AX193" s="105"/>
      <c r="AY193" s="105"/>
      <c r="AZ193" s="105"/>
      <c r="BA193" s="105"/>
      <c r="BB193" s="105"/>
      <c r="BC193" s="105"/>
    </row>
    <row r="194" spans="1:65" x14ac:dyDescent="0.15">
      <c r="A194" s="221">
        <v>663</v>
      </c>
      <c r="B194" s="98" t="e">
        <f>VLOOKUP($A194,#REF!,84,FALSE)</f>
        <v>#REF!</v>
      </c>
      <c r="C194" s="98" t="e">
        <f>VLOOKUP($A194,#REF!,85,FALSE)</f>
        <v>#REF!</v>
      </c>
      <c r="D194" s="98" t="e">
        <f>VLOOKUP($A194,#REF!,5,FALSE)</f>
        <v>#REF!</v>
      </c>
      <c r="E194" s="98" t="e">
        <f>VLOOKUP($A194,#REF!,6,FALSE)</f>
        <v>#REF!</v>
      </c>
      <c r="F194" s="105" t="e">
        <f>VLOOKUP($A194,#REF!,34,FALSE)</f>
        <v>#REF!</v>
      </c>
      <c r="G194" s="105" t="e">
        <f>VLOOKUP($A194,#REF!,29,FALSE)</f>
        <v>#REF!</v>
      </c>
      <c r="H194" s="105" t="e">
        <f>VLOOKUP(A194,#REF!,35,FALSE)+VLOOKUP(A194,#REF!,41,FALSE)</f>
        <v>#REF!</v>
      </c>
      <c r="I194" s="105" t="e">
        <f t="shared" ref="I194:I206" si="58">+Y194</f>
        <v>#REF!</v>
      </c>
      <c r="J194" s="105" t="e">
        <f>VLOOKUP(A194,#REF!,42,FALSE)</f>
        <v>#REF!</v>
      </c>
      <c r="K194" s="105" t="e">
        <f t="shared" ref="K194:K206" si="59">SUM(F194:J194)</f>
        <v>#REF!</v>
      </c>
      <c r="L194" s="164" t="e">
        <f t="shared" si="37"/>
        <v>#REF!</v>
      </c>
      <c r="M194" s="105" t="e">
        <f t="shared" ref="M194:M206" si="60">ROUND(K194*L194,2)</f>
        <v>#REF!</v>
      </c>
      <c r="N194" s="105" t="e">
        <f>VLOOKUP(A194,#REF!,46,FALSE)</f>
        <v>#REF!</v>
      </c>
      <c r="O194" s="106" t="e">
        <f>VLOOKUP(A194,#REF!,9,FALSE)</f>
        <v>#REF!</v>
      </c>
      <c r="P194" s="114" t="e">
        <f>#REF!</f>
        <v>#REF!</v>
      </c>
      <c r="Q194" s="114" t="e">
        <f>VLOOKUP(A194,#REF!,12,FALSE)</f>
        <v>#REF!</v>
      </c>
      <c r="R194" s="120" t="e">
        <f>#REF!</f>
        <v>#REF!</v>
      </c>
      <c r="S194" s="106" t="e">
        <f>IF(Q194=0,#REF!,ROUND(Q194*R194,4))</f>
        <v>#REF!</v>
      </c>
      <c r="T194" s="121" t="e">
        <f>VLOOKUP($A194,#REF!,15,FALSE)</f>
        <v>#REF!</v>
      </c>
      <c r="U194" s="121" t="e">
        <f>VLOOKUP($A194,#REF!,19,FALSE)</f>
        <v>#REF!</v>
      </c>
      <c r="V194" s="109" t="e">
        <f t="shared" ref="V194:V206" si="61">IF($O194="NA","NA",ROUND(U194*(O194/P194),2))</f>
        <v>#REF!</v>
      </c>
      <c r="W194" s="109" t="e">
        <f t="shared" ref="W194:W206" si="62">IF($O194="NA",ROUND(U194*S194,2),ROUND(V194*(S194/O194),2))</f>
        <v>#REF!</v>
      </c>
      <c r="X194" s="105" t="e">
        <f t="shared" ref="X194:X205" si="63">IF(O194="NA","NA",ROUND(MAX(0,AB194)*-1,2))</f>
        <v>#REF!</v>
      </c>
      <c r="Y194" s="113" t="e">
        <f t="shared" ref="Y194:Y206" si="64">IF(O194="NA", W194,W194+X194)</f>
        <v>#REF!</v>
      </c>
      <c r="Z194" s="109" t="e">
        <f t="shared" ref="Z194:Z206" si="65">IF(O194="NA","NA",ROUND(T194*(S194/O194),2))</f>
        <v>#REF!</v>
      </c>
      <c r="AA194" s="113" t="e">
        <f t="shared" ref="AA194:AA206" si="66">IF(O194="NA","NA",ROUND(W194*0.95,2))</f>
        <v>#REF!</v>
      </c>
      <c r="AB194" s="109" t="e">
        <f t="shared" ref="AB194:AB206" si="67">IF(O194="NA","NA",AA194-Z194)</f>
        <v>#REF!</v>
      </c>
      <c r="AC194" s="113" t="e">
        <f t="shared" ref="AC194:AC206" si="68">+F194+G194+H194+ROUND((I194*0.5),2)+J194</f>
        <v>#REF!</v>
      </c>
      <c r="AD194" s="105" t="e">
        <f t="shared" ref="AD194:AD206" si="69">+F194+G194+H194+J194</f>
        <v>#REF!</v>
      </c>
      <c r="AE194" s="105" t="e">
        <f t="shared" si="55"/>
        <v>#REF!</v>
      </c>
      <c r="AF194" s="105" t="e">
        <f t="shared" si="56"/>
        <v>#REF!</v>
      </c>
      <c r="AG194" s="105" t="e">
        <f t="shared" si="57"/>
        <v>#REF!</v>
      </c>
      <c r="AH194" s="111" t="e">
        <f>VLOOKUP($A194,#REF!,5,FALSE)</f>
        <v>#REF!</v>
      </c>
      <c r="AI194" s="111" t="e">
        <f>VLOOKUP($A194,#REF!,6,FALSE)</f>
        <v>#REF!</v>
      </c>
      <c r="AJ194" s="109" t="e">
        <f t="shared" si="53"/>
        <v>#REF!</v>
      </c>
      <c r="AK194" s="109" t="e">
        <f t="shared" si="54"/>
        <v>#REF!</v>
      </c>
      <c r="AL194" s="109"/>
      <c r="AM194" s="105"/>
      <c r="AN194" s="105"/>
      <c r="AO194" s="109"/>
      <c r="AP194" s="110"/>
      <c r="AQ194" s="110"/>
      <c r="AR194" s="110"/>
      <c r="AS194" s="110"/>
      <c r="AT194" s="110"/>
      <c r="AU194" s="112"/>
      <c r="AV194" s="112"/>
      <c r="AW194" s="110"/>
      <c r="AX194" s="105"/>
      <c r="AY194" s="105"/>
      <c r="AZ194" s="105"/>
      <c r="BA194" s="105"/>
      <c r="BB194" s="105"/>
      <c r="BC194" s="105"/>
    </row>
    <row r="195" spans="1:65" x14ac:dyDescent="0.15">
      <c r="A195" s="221">
        <v>236</v>
      </c>
      <c r="B195" s="98" t="e">
        <f>VLOOKUP($A195,#REF!,84,FALSE)</f>
        <v>#REF!</v>
      </c>
      <c r="C195" s="98" t="e">
        <f>VLOOKUP($A195,#REF!,85,FALSE)</f>
        <v>#REF!</v>
      </c>
      <c r="D195" s="98" t="e">
        <f>VLOOKUP($A195,#REF!,5,FALSE)</f>
        <v>#REF!</v>
      </c>
      <c r="E195" s="98" t="e">
        <f>VLOOKUP($A195,#REF!,6,FALSE)</f>
        <v>#REF!</v>
      </c>
      <c r="F195" s="105" t="e">
        <f>VLOOKUP($A195,#REF!,34,FALSE)</f>
        <v>#REF!</v>
      </c>
      <c r="G195" s="105" t="e">
        <f>VLOOKUP($A195,#REF!,29,FALSE)</f>
        <v>#REF!</v>
      </c>
      <c r="H195" s="105" t="e">
        <f>VLOOKUP(A195,#REF!,35,FALSE)+VLOOKUP(A195,#REF!,41,FALSE)</f>
        <v>#REF!</v>
      </c>
      <c r="I195" s="105" t="e">
        <f t="shared" si="58"/>
        <v>#REF!</v>
      </c>
      <c r="J195" s="105" t="e">
        <f>VLOOKUP(A195,#REF!,42,FALSE)</f>
        <v>#REF!</v>
      </c>
      <c r="K195" s="105" t="e">
        <f t="shared" si="59"/>
        <v>#REF!</v>
      </c>
      <c r="L195" s="164" t="e">
        <f t="shared" ref="L195:L206" si="70">+BAF</f>
        <v>#REF!</v>
      </c>
      <c r="M195" s="105" t="e">
        <f t="shared" si="60"/>
        <v>#REF!</v>
      </c>
      <c r="N195" s="105" t="e">
        <f>VLOOKUP(A195,#REF!,46,FALSE)</f>
        <v>#REF!</v>
      </c>
      <c r="O195" s="106" t="e">
        <f>VLOOKUP(A195,#REF!,9,FALSE)</f>
        <v>#REF!</v>
      </c>
      <c r="P195" s="114" t="e">
        <f>#REF!</f>
        <v>#REF!</v>
      </c>
      <c r="Q195" s="114" t="e">
        <f>VLOOKUP(A195,#REF!,12,FALSE)</f>
        <v>#REF!</v>
      </c>
      <c r="R195" s="120" t="e">
        <f>#REF!</f>
        <v>#REF!</v>
      </c>
      <c r="S195" s="106" t="e">
        <f>IF(Q195=0,#REF!,ROUND(Q195*R195,4))</f>
        <v>#REF!</v>
      </c>
      <c r="T195" s="121" t="e">
        <f>VLOOKUP($A195,#REF!,15,FALSE)</f>
        <v>#REF!</v>
      </c>
      <c r="U195" s="121" t="e">
        <f>VLOOKUP($A195,#REF!,19,FALSE)</f>
        <v>#REF!</v>
      </c>
      <c r="V195" s="109" t="e">
        <f t="shared" si="61"/>
        <v>#REF!</v>
      </c>
      <c r="W195" s="109" t="e">
        <f t="shared" si="62"/>
        <v>#REF!</v>
      </c>
      <c r="X195" s="105" t="e">
        <f t="shared" si="63"/>
        <v>#REF!</v>
      </c>
      <c r="Y195" s="113" t="e">
        <f t="shared" si="64"/>
        <v>#REF!</v>
      </c>
      <c r="Z195" s="109" t="e">
        <f t="shared" si="65"/>
        <v>#REF!</v>
      </c>
      <c r="AA195" s="113" t="e">
        <f t="shared" si="66"/>
        <v>#REF!</v>
      </c>
      <c r="AB195" s="109" t="e">
        <f t="shared" si="67"/>
        <v>#REF!</v>
      </c>
      <c r="AC195" s="113" t="e">
        <f t="shared" si="68"/>
        <v>#REF!</v>
      </c>
      <c r="AD195" s="105" t="e">
        <f t="shared" si="69"/>
        <v>#REF!</v>
      </c>
      <c r="AE195" s="105" t="e">
        <f t="shared" si="55"/>
        <v>#REF!</v>
      </c>
      <c r="AF195" s="105" t="e">
        <f t="shared" si="56"/>
        <v>#REF!</v>
      </c>
      <c r="AG195" s="105" t="e">
        <f t="shared" si="57"/>
        <v>#REF!</v>
      </c>
      <c r="AH195" s="111" t="e">
        <f>VLOOKUP($A195,#REF!,5,FALSE)</f>
        <v>#REF!</v>
      </c>
      <c r="AI195" s="111" t="e">
        <f>VLOOKUP($A195,#REF!,6,FALSE)</f>
        <v>#REF!</v>
      </c>
      <c r="AJ195" s="109" t="e">
        <f t="shared" si="53"/>
        <v>#REF!</v>
      </c>
      <c r="AK195" s="109" t="e">
        <f t="shared" si="54"/>
        <v>#REF!</v>
      </c>
      <c r="AL195" s="109"/>
      <c r="AM195" s="105"/>
      <c r="AN195" s="105"/>
      <c r="AO195" s="109"/>
      <c r="AP195" s="110"/>
      <c r="AQ195" s="110"/>
      <c r="AR195" s="110"/>
      <c r="AS195" s="110"/>
      <c r="AT195" s="110"/>
      <c r="AU195" s="112"/>
      <c r="AV195" s="112"/>
      <c r="AW195" s="110"/>
      <c r="AX195" s="105"/>
      <c r="AY195" s="105"/>
      <c r="AZ195" s="105"/>
      <c r="BA195" s="105"/>
      <c r="BB195" s="105"/>
      <c r="BC195" s="105"/>
    </row>
    <row r="196" spans="1:65" x14ac:dyDescent="0.15">
      <c r="A196" s="221">
        <v>288</v>
      </c>
      <c r="B196" s="98" t="e">
        <f>VLOOKUP($A196,#REF!,84,FALSE)</f>
        <v>#REF!</v>
      </c>
      <c r="C196" s="98" t="e">
        <f>VLOOKUP($A196,#REF!,85,FALSE)</f>
        <v>#REF!</v>
      </c>
      <c r="D196" s="98" t="e">
        <f>VLOOKUP($A196,#REF!,5,FALSE)</f>
        <v>#REF!</v>
      </c>
      <c r="E196" s="98" t="e">
        <f>VLOOKUP($A196,#REF!,6,FALSE)</f>
        <v>#REF!</v>
      </c>
      <c r="F196" s="105" t="e">
        <f>VLOOKUP($A196,#REF!,34,FALSE)</f>
        <v>#REF!</v>
      </c>
      <c r="G196" s="105" t="e">
        <f>VLOOKUP($A196,#REF!,29,FALSE)</f>
        <v>#REF!</v>
      </c>
      <c r="H196" s="105" t="e">
        <f>VLOOKUP(A196,#REF!,35,FALSE)+VLOOKUP(A196,#REF!,41,FALSE)</f>
        <v>#REF!</v>
      </c>
      <c r="I196" s="105" t="e">
        <f t="shared" si="58"/>
        <v>#REF!</v>
      </c>
      <c r="J196" s="105" t="e">
        <f>VLOOKUP(A196,#REF!,42,FALSE)</f>
        <v>#REF!</v>
      </c>
      <c r="K196" s="105" t="e">
        <f t="shared" si="59"/>
        <v>#REF!</v>
      </c>
      <c r="L196" s="164" t="e">
        <f t="shared" si="70"/>
        <v>#REF!</v>
      </c>
      <c r="M196" s="105" t="e">
        <f t="shared" si="60"/>
        <v>#REF!</v>
      </c>
      <c r="N196" s="105" t="e">
        <f>VLOOKUP(A196,#REF!,46,FALSE)</f>
        <v>#REF!</v>
      </c>
      <c r="O196" s="106" t="e">
        <f>VLOOKUP(A196,#REF!,9,FALSE)</f>
        <v>#REF!</v>
      </c>
      <c r="P196" s="114" t="e">
        <f>#REF!</f>
        <v>#REF!</v>
      </c>
      <c r="Q196" s="114" t="e">
        <f>VLOOKUP(A196,#REF!,12,FALSE)</f>
        <v>#REF!</v>
      </c>
      <c r="R196" s="120" t="e">
        <f>#REF!</f>
        <v>#REF!</v>
      </c>
      <c r="S196" s="106" t="e">
        <f>IF(Q196=0,#REF!,ROUND(Q196*R196,4))</f>
        <v>#REF!</v>
      </c>
      <c r="T196" s="121" t="e">
        <f>VLOOKUP($A196,#REF!,15,FALSE)</f>
        <v>#REF!</v>
      </c>
      <c r="U196" s="121" t="e">
        <f>VLOOKUP($A196,#REF!,19,FALSE)</f>
        <v>#REF!</v>
      </c>
      <c r="V196" s="109" t="e">
        <f t="shared" si="61"/>
        <v>#REF!</v>
      </c>
      <c r="W196" s="109" t="e">
        <f t="shared" si="62"/>
        <v>#REF!</v>
      </c>
      <c r="X196" s="105" t="e">
        <f t="shared" si="63"/>
        <v>#REF!</v>
      </c>
      <c r="Y196" s="113" t="e">
        <f t="shared" si="64"/>
        <v>#REF!</v>
      </c>
      <c r="Z196" s="109" t="e">
        <f t="shared" si="65"/>
        <v>#REF!</v>
      </c>
      <c r="AA196" s="113" t="e">
        <f t="shared" si="66"/>
        <v>#REF!</v>
      </c>
      <c r="AB196" s="109" t="e">
        <f t="shared" si="67"/>
        <v>#REF!</v>
      </c>
      <c r="AC196" s="113" t="e">
        <f t="shared" si="68"/>
        <v>#REF!</v>
      </c>
      <c r="AD196" s="105" t="e">
        <f t="shared" si="69"/>
        <v>#REF!</v>
      </c>
      <c r="AE196" s="105" t="e">
        <f t="shared" si="55"/>
        <v>#REF!</v>
      </c>
      <c r="AF196" s="105" t="e">
        <f t="shared" si="56"/>
        <v>#REF!</v>
      </c>
      <c r="AG196" s="105" t="e">
        <f t="shared" si="57"/>
        <v>#REF!</v>
      </c>
      <c r="AH196" s="111" t="e">
        <f>VLOOKUP($A196,#REF!,5,FALSE)</f>
        <v>#REF!</v>
      </c>
      <c r="AI196" s="111" t="e">
        <f>VLOOKUP($A196,#REF!,6,FALSE)</f>
        <v>#REF!</v>
      </c>
      <c r="AJ196" s="109" t="e">
        <f t="shared" ref="AJ196:AJ206" si="71">ROUND((AH196*0.75)+(AE196*0.25),2)</f>
        <v>#REF!</v>
      </c>
      <c r="AK196" s="109" t="e">
        <f t="shared" ref="AK196:AK206" si="72">ROUND((AI196*0.75)+(AF196*0.25),2)</f>
        <v>#REF!</v>
      </c>
      <c r="AL196" s="109"/>
      <c r="AM196" s="105"/>
      <c r="AN196" s="105"/>
      <c r="AO196" s="109"/>
      <c r="AP196" s="110"/>
      <c r="AQ196" s="110"/>
      <c r="AR196" s="110"/>
      <c r="AS196" s="110"/>
      <c r="AT196" s="110"/>
      <c r="AU196" s="112"/>
      <c r="AV196" s="112"/>
      <c r="AW196" s="110"/>
      <c r="AX196" s="105"/>
      <c r="AY196" s="105"/>
      <c r="AZ196" s="105"/>
      <c r="BA196" s="105"/>
      <c r="BB196" s="105"/>
      <c r="BC196" s="105"/>
    </row>
    <row r="197" spans="1:65" x14ac:dyDescent="0.15">
      <c r="A197" s="221">
        <v>388</v>
      </c>
      <c r="B197" s="98" t="e">
        <f>VLOOKUP($A197,#REF!,84,FALSE)</f>
        <v>#REF!</v>
      </c>
      <c r="C197" s="98" t="e">
        <f>VLOOKUP($A197,#REF!,85,FALSE)</f>
        <v>#REF!</v>
      </c>
      <c r="D197" s="98" t="e">
        <f>VLOOKUP($A197,#REF!,5,FALSE)</f>
        <v>#REF!</v>
      </c>
      <c r="E197" s="98" t="e">
        <f>VLOOKUP($A197,#REF!,6,FALSE)</f>
        <v>#REF!</v>
      </c>
      <c r="F197" s="105" t="e">
        <f>VLOOKUP($A197,#REF!,34,FALSE)</f>
        <v>#REF!</v>
      </c>
      <c r="G197" s="105" t="e">
        <f>VLOOKUP($A197,#REF!,29,FALSE)</f>
        <v>#REF!</v>
      </c>
      <c r="H197" s="105" t="e">
        <f>VLOOKUP(A197,#REF!,35,FALSE)+VLOOKUP(A197,#REF!,41,FALSE)</f>
        <v>#REF!</v>
      </c>
      <c r="I197" s="105" t="e">
        <f t="shared" si="58"/>
        <v>#REF!</v>
      </c>
      <c r="J197" s="105" t="e">
        <f>VLOOKUP(A197,#REF!,42,FALSE)</f>
        <v>#REF!</v>
      </c>
      <c r="K197" s="105" t="e">
        <f t="shared" si="59"/>
        <v>#REF!</v>
      </c>
      <c r="L197" s="164" t="e">
        <f t="shared" si="70"/>
        <v>#REF!</v>
      </c>
      <c r="M197" s="105" t="e">
        <f t="shared" si="60"/>
        <v>#REF!</v>
      </c>
      <c r="N197" s="105" t="e">
        <f>VLOOKUP(A197,#REF!,46,FALSE)</f>
        <v>#REF!</v>
      </c>
      <c r="O197" s="106" t="e">
        <f>VLOOKUP(A197,#REF!,9,FALSE)</f>
        <v>#REF!</v>
      </c>
      <c r="P197" s="114" t="e">
        <f>#REF!</f>
        <v>#REF!</v>
      </c>
      <c r="Q197" s="114" t="e">
        <f>VLOOKUP(A197,#REF!,12,FALSE)</f>
        <v>#REF!</v>
      </c>
      <c r="R197" s="120" t="e">
        <f>#REF!</f>
        <v>#REF!</v>
      </c>
      <c r="S197" s="106" t="e">
        <f>IF(Q197=0,#REF!,ROUND(Q197*R197,4))</f>
        <v>#REF!</v>
      </c>
      <c r="T197" s="121" t="e">
        <f>VLOOKUP($A197,#REF!,15,FALSE)</f>
        <v>#REF!</v>
      </c>
      <c r="U197" s="121" t="e">
        <f>VLOOKUP($A197,#REF!,19,FALSE)</f>
        <v>#REF!</v>
      </c>
      <c r="V197" s="109" t="e">
        <f t="shared" si="61"/>
        <v>#REF!</v>
      </c>
      <c r="W197" s="109" t="e">
        <f t="shared" si="62"/>
        <v>#REF!</v>
      </c>
      <c r="X197" s="105" t="e">
        <f t="shared" si="63"/>
        <v>#REF!</v>
      </c>
      <c r="Y197" s="113" t="e">
        <f t="shared" si="64"/>
        <v>#REF!</v>
      </c>
      <c r="Z197" s="109" t="e">
        <f t="shared" si="65"/>
        <v>#REF!</v>
      </c>
      <c r="AA197" s="113" t="e">
        <f t="shared" si="66"/>
        <v>#REF!</v>
      </c>
      <c r="AB197" s="109" t="e">
        <f t="shared" si="67"/>
        <v>#REF!</v>
      </c>
      <c r="AC197" s="113" t="e">
        <f t="shared" si="68"/>
        <v>#REF!</v>
      </c>
      <c r="AD197" s="105" t="e">
        <f t="shared" si="69"/>
        <v>#REF!</v>
      </c>
      <c r="AE197" s="105" t="e">
        <f t="shared" si="55"/>
        <v>#REF!</v>
      </c>
      <c r="AF197" s="105" t="e">
        <f t="shared" si="56"/>
        <v>#REF!</v>
      </c>
      <c r="AG197" s="105" t="e">
        <f t="shared" si="57"/>
        <v>#REF!</v>
      </c>
      <c r="AH197" s="111" t="e">
        <f>VLOOKUP($A197,#REF!,5,FALSE)</f>
        <v>#REF!</v>
      </c>
      <c r="AI197" s="111" t="e">
        <f>VLOOKUP($A197,#REF!,6,FALSE)</f>
        <v>#REF!</v>
      </c>
      <c r="AJ197" s="109" t="e">
        <f t="shared" si="71"/>
        <v>#REF!</v>
      </c>
      <c r="AK197" s="109" t="e">
        <f t="shared" si="72"/>
        <v>#REF!</v>
      </c>
      <c r="AL197" s="109"/>
      <c r="AM197" s="105"/>
      <c r="AN197" s="105"/>
      <c r="AO197" s="109"/>
      <c r="AP197" s="110"/>
      <c r="AQ197" s="110"/>
      <c r="AR197" s="110"/>
      <c r="AS197" s="110"/>
      <c r="AT197" s="110"/>
      <c r="AU197" s="112"/>
      <c r="AV197" s="112"/>
      <c r="AW197" s="110"/>
      <c r="AX197" s="105"/>
      <c r="AY197" s="105"/>
      <c r="AZ197" s="105"/>
      <c r="BA197" s="105"/>
      <c r="BB197" s="105"/>
      <c r="BC197" s="105"/>
    </row>
    <row r="198" spans="1:65" x14ac:dyDescent="0.15">
      <c r="A198" s="221">
        <v>1203</v>
      </c>
      <c r="B198" s="98" t="e">
        <f>VLOOKUP($A198,#REF!,84,FALSE)</f>
        <v>#REF!</v>
      </c>
      <c r="C198" s="98" t="e">
        <f>VLOOKUP($A198,#REF!,85,FALSE)</f>
        <v>#REF!</v>
      </c>
      <c r="D198" s="98" t="e">
        <f>VLOOKUP($A198,#REF!,5,FALSE)</f>
        <v>#REF!</v>
      </c>
      <c r="E198" s="98" t="e">
        <f>VLOOKUP($A198,#REF!,6,FALSE)</f>
        <v>#REF!</v>
      </c>
      <c r="F198" s="105" t="e">
        <f>VLOOKUP($A198,#REF!,34,FALSE)</f>
        <v>#REF!</v>
      </c>
      <c r="G198" s="105" t="e">
        <f>VLOOKUP($A198,#REF!,29,FALSE)</f>
        <v>#REF!</v>
      </c>
      <c r="H198" s="105" t="e">
        <f>VLOOKUP(A198,#REF!,35,FALSE)+VLOOKUP(A198,#REF!,41,FALSE)</f>
        <v>#REF!</v>
      </c>
      <c r="I198" s="105" t="e">
        <f t="shared" si="58"/>
        <v>#REF!</v>
      </c>
      <c r="J198" s="105" t="e">
        <f>VLOOKUP(A198,#REF!,42,FALSE)</f>
        <v>#REF!</v>
      </c>
      <c r="K198" s="105" t="e">
        <f t="shared" si="59"/>
        <v>#REF!</v>
      </c>
      <c r="L198" s="164" t="e">
        <f t="shared" si="70"/>
        <v>#REF!</v>
      </c>
      <c r="M198" s="105" t="e">
        <f t="shared" si="60"/>
        <v>#REF!</v>
      </c>
      <c r="N198" s="105" t="e">
        <f>VLOOKUP(A198,#REF!,46,FALSE)</f>
        <v>#REF!</v>
      </c>
      <c r="O198" s="106" t="e">
        <f>VLOOKUP(A198,#REF!,9,FALSE)</f>
        <v>#REF!</v>
      </c>
      <c r="P198" s="114" t="e">
        <f>#REF!</f>
        <v>#REF!</v>
      </c>
      <c r="Q198" s="114" t="e">
        <f>VLOOKUP(A198,#REF!,12,FALSE)</f>
        <v>#REF!</v>
      </c>
      <c r="R198" s="120" t="e">
        <f>#REF!</f>
        <v>#REF!</v>
      </c>
      <c r="S198" s="106" t="e">
        <f>IF(Q198=0,#REF!,ROUND(Q198*R198,4))</f>
        <v>#REF!</v>
      </c>
      <c r="T198" s="121" t="e">
        <f>VLOOKUP($A198,#REF!,15,FALSE)</f>
        <v>#REF!</v>
      </c>
      <c r="U198" s="121" t="e">
        <f>VLOOKUP($A198,#REF!,19,FALSE)</f>
        <v>#REF!</v>
      </c>
      <c r="V198" s="109" t="e">
        <f t="shared" si="61"/>
        <v>#REF!</v>
      </c>
      <c r="W198" s="109" t="e">
        <f t="shared" si="62"/>
        <v>#REF!</v>
      </c>
      <c r="X198" s="105" t="e">
        <f t="shared" si="63"/>
        <v>#REF!</v>
      </c>
      <c r="Y198" s="113" t="e">
        <f t="shared" si="64"/>
        <v>#REF!</v>
      </c>
      <c r="Z198" s="109" t="e">
        <f t="shared" si="65"/>
        <v>#REF!</v>
      </c>
      <c r="AA198" s="113" t="e">
        <f t="shared" si="66"/>
        <v>#REF!</v>
      </c>
      <c r="AB198" s="109" t="e">
        <f t="shared" si="67"/>
        <v>#REF!</v>
      </c>
      <c r="AC198" s="113" t="e">
        <f t="shared" si="68"/>
        <v>#REF!</v>
      </c>
      <c r="AD198" s="105" t="e">
        <f t="shared" si="69"/>
        <v>#REF!</v>
      </c>
      <c r="AE198" s="105" t="e">
        <f t="shared" si="55"/>
        <v>#REF!</v>
      </c>
      <c r="AF198" s="105" t="e">
        <f t="shared" si="56"/>
        <v>#REF!</v>
      </c>
      <c r="AG198" s="105" t="e">
        <f t="shared" si="57"/>
        <v>#REF!</v>
      </c>
      <c r="AH198" s="111" t="e">
        <f>VLOOKUP($A198,#REF!,5,FALSE)</f>
        <v>#REF!</v>
      </c>
      <c r="AI198" s="111" t="e">
        <f>VLOOKUP($A198,#REF!,6,FALSE)</f>
        <v>#REF!</v>
      </c>
      <c r="AJ198" s="109" t="e">
        <f t="shared" si="71"/>
        <v>#REF!</v>
      </c>
      <c r="AK198" s="109" t="e">
        <f t="shared" si="72"/>
        <v>#REF!</v>
      </c>
      <c r="AL198" s="109"/>
      <c r="AM198" s="105"/>
      <c r="AN198" s="105"/>
      <c r="AO198" s="109"/>
      <c r="AP198" s="110"/>
      <c r="AQ198" s="110"/>
      <c r="AR198" s="110"/>
      <c r="AS198" s="110"/>
      <c r="AT198" s="110"/>
      <c r="AU198" s="112"/>
      <c r="AV198" s="112"/>
      <c r="AW198" s="110"/>
      <c r="AX198" s="105"/>
      <c r="AY198" s="105"/>
      <c r="AZ198" s="105"/>
      <c r="BA198" s="105"/>
      <c r="BB198" s="105"/>
      <c r="BC198" s="105"/>
    </row>
    <row r="199" spans="1:65" x14ac:dyDescent="0.15">
      <c r="A199" s="221">
        <v>344</v>
      </c>
      <c r="B199" s="98" t="e">
        <f>VLOOKUP($A199,#REF!,84,FALSE)</f>
        <v>#REF!</v>
      </c>
      <c r="C199" s="98" t="e">
        <f>VLOOKUP($A199,#REF!,85,FALSE)</f>
        <v>#REF!</v>
      </c>
      <c r="D199" s="98" t="e">
        <f>VLOOKUP($A199,#REF!,5,FALSE)</f>
        <v>#REF!</v>
      </c>
      <c r="E199" s="98" t="e">
        <f>VLOOKUP($A199,#REF!,6,FALSE)</f>
        <v>#REF!</v>
      </c>
      <c r="F199" s="105" t="e">
        <f>VLOOKUP($A199,#REF!,34,FALSE)</f>
        <v>#REF!</v>
      </c>
      <c r="G199" s="105" t="e">
        <f>VLOOKUP($A199,#REF!,29,FALSE)</f>
        <v>#REF!</v>
      </c>
      <c r="H199" s="105" t="e">
        <f>VLOOKUP(A199,#REF!,35,FALSE)+VLOOKUP(A199,#REF!,41,FALSE)</f>
        <v>#REF!</v>
      </c>
      <c r="I199" s="105" t="e">
        <f t="shared" si="58"/>
        <v>#REF!</v>
      </c>
      <c r="J199" s="105" t="e">
        <f>VLOOKUP(A199,#REF!,42,FALSE)</f>
        <v>#REF!</v>
      </c>
      <c r="K199" s="105" t="e">
        <f t="shared" si="59"/>
        <v>#REF!</v>
      </c>
      <c r="L199" s="164" t="e">
        <f t="shared" si="70"/>
        <v>#REF!</v>
      </c>
      <c r="M199" s="105" t="e">
        <f t="shared" si="60"/>
        <v>#REF!</v>
      </c>
      <c r="N199" s="105" t="e">
        <f>VLOOKUP(A199,#REF!,46,FALSE)</f>
        <v>#REF!</v>
      </c>
      <c r="O199" s="106" t="e">
        <f>VLOOKUP(A199,#REF!,9,FALSE)</f>
        <v>#REF!</v>
      </c>
      <c r="P199" s="114" t="e">
        <f>#REF!</f>
        <v>#REF!</v>
      </c>
      <c r="Q199" s="114" t="e">
        <f>VLOOKUP(A199,#REF!,12,FALSE)</f>
        <v>#REF!</v>
      </c>
      <c r="R199" s="120" t="e">
        <f>#REF!</f>
        <v>#REF!</v>
      </c>
      <c r="S199" s="106" t="e">
        <f>IF(Q199=0,#REF!,ROUND(Q199*R199,4))</f>
        <v>#REF!</v>
      </c>
      <c r="T199" s="121" t="e">
        <f>VLOOKUP($A199,#REF!,15,FALSE)</f>
        <v>#REF!</v>
      </c>
      <c r="U199" s="121" t="e">
        <f>VLOOKUP($A199,#REF!,19,FALSE)</f>
        <v>#REF!</v>
      </c>
      <c r="V199" s="109" t="e">
        <f t="shared" si="61"/>
        <v>#REF!</v>
      </c>
      <c r="W199" s="109" t="e">
        <f t="shared" si="62"/>
        <v>#REF!</v>
      </c>
      <c r="X199" s="105" t="e">
        <f t="shared" si="63"/>
        <v>#REF!</v>
      </c>
      <c r="Y199" s="113" t="e">
        <f t="shared" si="64"/>
        <v>#REF!</v>
      </c>
      <c r="Z199" s="109" t="e">
        <f t="shared" si="65"/>
        <v>#REF!</v>
      </c>
      <c r="AA199" s="113" t="e">
        <f t="shared" si="66"/>
        <v>#REF!</v>
      </c>
      <c r="AB199" s="109" t="e">
        <f t="shared" si="67"/>
        <v>#REF!</v>
      </c>
      <c r="AC199" s="113" t="e">
        <f t="shared" si="68"/>
        <v>#REF!</v>
      </c>
      <c r="AD199" s="105" t="e">
        <f t="shared" si="69"/>
        <v>#REF!</v>
      </c>
      <c r="AE199" s="105" t="e">
        <f t="shared" si="55"/>
        <v>#REF!</v>
      </c>
      <c r="AF199" s="105" t="e">
        <f t="shared" si="56"/>
        <v>#REF!</v>
      </c>
      <c r="AG199" s="105" t="e">
        <f t="shared" si="57"/>
        <v>#REF!</v>
      </c>
      <c r="AH199" s="111" t="e">
        <f>VLOOKUP($A199,#REF!,5,FALSE)</f>
        <v>#REF!</v>
      </c>
      <c r="AI199" s="111" t="e">
        <f>VLOOKUP($A199,#REF!,6,FALSE)</f>
        <v>#REF!</v>
      </c>
      <c r="AJ199" s="109" t="e">
        <f t="shared" si="71"/>
        <v>#REF!</v>
      </c>
      <c r="AK199" s="109" t="e">
        <f t="shared" si="72"/>
        <v>#REF!</v>
      </c>
      <c r="AL199" s="109"/>
      <c r="AM199" s="105"/>
      <c r="AN199" s="105"/>
      <c r="AO199" s="109"/>
      <c r="AP199" s="110"/>
      <c r="AQ199" s="110"/>
      <c r="AR199" s="110"/>
      <c r="AS199" s="110"/>
      <c r="AT199" s="110"/>
      <c r="AU199" s="112"/>
      <c r="AV199" s="112"/>
      <c r="AW199" s="110"/>
      <c r="AX199" s="105"/>
      <c r="AY199" s="105"/>
      <c r="AZ199" s="105"/>
      <c r="BA199" s="105"/>
      <c r="BB199" s="105"/>
      <c r="BC199" s="105"/>
    </row>
    <row r="200" spans="1:65" x14ac:dyDescent="0.15">
      <c r="A200" s="221">
        <v>703</v>
      </c>
      <c r="B200" s="98" t="e">
        <f>VLOOKUP($A200,#REF!,84,FALSE)</f>
        <v>#REF!</v>
      </c>
      <c r="C200" s="98" t="e">
        <f>VLOOKUP($A200,#REF!,85,FALSE)</f>
        <v>#REF!</v>
      </c>
      <c r="D200" s="98" t="e">
        <f>VLOOKUP($A200,#REF!,5,FALSE)</f>
        <v>#REF!</v>
      </c>
      <c r="E200" s="98" t="e">
        <f>VLOOKUP($A200,#REF!,6,FALSE)</f>
        <v>#REF!</v>
      </c>
      <c r="F200" s="105" t="e">
        <f>VLOOKUP($A200,#REF!,34,FALSE)</f>
        <v>#REF!</v>
      </c>
      <c r="G200" s="105" t="e">
        <f>VLOOKUP($A200,#REF!,29,FALSE)</f>
        <v>#REF!</v>
      </c>
      <c r="H200" s="105" t="e">
        <f>VLOOKUP(A200,#REF!,35,FALSE)+VLOOKUP(A200,#REF!,41,FALSE)</f>
        <v>#REF!</v>
      </c>
      <c r="I200" s="105" t="e">
        <f t="shared" si="58"/>
        <v>#REF!</v>
      </c>
      <c r="J200" s="105" t="e">
        <f>VLOOKUP(A200,#REF!,42,FALSE)</f>
        <v>#REF!</v>
      </c>
      <c r="K200" s="105" t="e">
        <f t="shared" si="59"/>
        <v>#REF!</v>
      </c>
      <c r="L200" s="164" t="e">
        <f t="shared" si="70"/>
        <v>#REF!</v>
      </c>
      <c r="M200" s="105" t="e">
        <f t="shared" si="60"/>
        <v>#REF!</v>
      </c>
      <c r="N200" s="105" t="e">
        <f>VLOOKUP(A200,#REF!,46,FALSE)</f>
        <v>#REF!</v>
      </c>
      <c r="O200" s="106" t="e">
        <f>VLOOKUP(A200,#REF!,9,FALSE)</f>
        <v>#REF!</v>
      </c>
      <c r="P200" s="114" t="e">
        <f>#REF!</f>
        <v>#REF!</v>
      </c>
      <c r="Q200" s="114" t="e">
        <f>VLOOKUP(A200,#REF!,12,FALSE)</f>
        <v>#REF!</v>
      </c>
      <c r="R200" s="120" t="e">
        <f>#REF!</f>
        <v>#REF!</v>
      </c>
      <c r="S200" s="106" t="e">
        <f>IF(Q200=0,#REF!,ROUND(Q200*R200,4))</f>
        <v>#REF!</v>
      </c>
      <c r="T200" s="121" t="e">
        <f>VLOOKUP($A200,#REF!,15,FALSE)</f>
        <v>#REF!</v>
      </c>
      <c r="U200" s="121" t="e">
        <f>VLOOKUP($A200,#REF!,19,FALSE)</f>
        <v>#REF!</v>
      </c>
      <c r="V200" s="109" t="e">
        <f t="shared" si="61"/>
        <v>#REF!</v>
      </c>
      <c r="W200" s="109" t="e">
        <f t="shared" si="62"/>
        <v>#REF!</v>
      </c>
      <c r="X200" s="105" t="e">
        <f t="shared" si="63"/>
        <v>#REF!</v>
      </c>
      <c r="Y200" s="113" t="e">
        <f t="shared" si="64"/>
        <v>#REF!</v>
      </c>
      <c r="Z200" s="109" t="e">
        <f t="shared" si="65"/>
        <v>#REF!</v>
      </c>
      <c r="AA200" s="113" t="e">
        <f t="shared" si="66"/>
        <v>#REF!</v>
      </c>
      <c r="AB200" s="109" t="e">
        <f t="shared" si="67"/>
        <v>#REF!</v>
      </c>
      <c r="AC200" s="113" t="e">
        <f t="shared" si="68"/>
        <v>#REF!</v>
      </c>
      <c r="AD200" s="105" t="e">
        <f t="shared" si="69"/>
        <v>#REF!</v>
      </c>
      <c r="AE200" s="105" t="e">
        <f t="shared" si="55"/>
        <v>#REF!</v>
      </c>
      <c r="AF200" s="105" t="e">
        <f t="shared" si="56"/>
        <v>#REF!</v>
      </c>
      <c r="AG200" s="105" t="e">
        <f t="shared" si="57"/>
        <v>#REF!</v>
      </c>
      <c r="AH200" s="111" t="e">
        <f>VLOOKUP($A200,#REF!,5,FALSE)</f>
        <v>#REF!</v>
      </c>
      <c r="AI200" s="111" t="e">
        <f>VLOOKUP($A200,#REF!,6,FALSE)</f>
        <v>#REF!</v>
      </c>
      <c r="AJ200" s="109" t="e">
        <f t="shared" si="71"/>
        <v>#REF!</v>
      </c>
      <c r="AK200" s="109" t="e">
        <f t="shared" si="72"/>
        <v>#REF!</v>
      </c>
      <c r="AL200" s="109"/>
      <c r="AM200" s="105"/>
      <c r="AN200" s="105"/>
      <c r="AO200" s="109"/>
      <c r="AP200" s="110"/>
      <c r="AQ200" s="110"/>
      <c r="AR200" s="110"/>
      <c r="AS200" s="110"/>
      <c r="AT200" s="110"/>
      <c r="AU200" s="112"/>
      <c r="AV200" s="112"/>
      <c r="AW200" s="110"/>
      <c r="AX200" s="105"/>
      <c r="AY200" s="105"/>
      <c r="AZ200" s="105"/>
      <c r="BA200" s="105"/>
      <c r="BB200" s="105"/>
      <c r="BC200" s="105"/>
    </row>
    <row r="201" spans="1:65" x14ac:dyDescent="0.15">
      <c r="A201" s="221">
        <v>444</v>
      </c>
      <c r="B201" s="98" t="e">
        <f>VLOOKUP($A201,#REF!,84,FALSE)</f>
        <v>#REF!</v>
      </c>
      <c r="C201" s="98" t="e">
        <f>VLOOKUP($A201,#REF!,85,FALSE)</f>
        <v>#REF!</v>
      </c>
      <c r="D201" s="98" t="e">
        <f>VLOOKUP($A201,#REF!,5,FALSE)</f>
        <v>#REF!</v>
      </c>
      <c r="E201" s="98" t="e">
        <f>VLOOKUP($A201,#REF!,6,FALSE)</f>
        <v>#REF!</v>
      </c>
      <c r="F201" s="105" t="e">
        <f>VLOOKUP($A201,#REF!,34,FALSE)</f>
        <v>#REF!</v>
      </c>
      <c r="G201" s="105" t="e">
        <f>VLOOKUP($A201,#REF!,29,FALSE)</f>
        <v>#REF!</v>
      </c>
      <c r="H201" s="105" t="e">
        <f>VLOOKUP(A201,#REF!,35,FALSE)+VLOOKUP(A201,#REF!,41,FALSE)</f>
        <v>#REF!</v>
      </c>
      <c r="I201" s="105" t="e">
        <f t="shared" si="58"/>
        <v>#REF!</v>
      </c>
      <c r="J201" s="105" t="e">
        <f>VLOOKUP(A201,#REF!,42,FALSE)</f>
        <v>#REF!</v>
      </c>
      <c r="K201" s="105" t="e">
        <f t="shared" si="59"/>
        <v>#REF!</v>
      </c>
      <c r="L201" s="164" t="e">
        <f t="shared" si="70"/>
        <v>#REF!</v>
      </c>
      <c r="M201" s="105" t="e">
        <f t="shared" si="60"/>
        <v>#REF!</v>
      </c>
      <c r="N201" s="105" t="e">
        <f>VLOOKUP(A201,#REF!,46,FALSE)</f>
        <v>#REF!</v>
      </c>
      <c r="O201" s="106" t="e">
        <f>VLOOKUP(A201,#REF!,9,FALSE)</f>
        <v>#REF!</v>
      </c>
      <c r="P201" s="114" t="e">
        <f>#REF!</f>
        <v>#REF!</v>
      </c>
      <c r="Q201" s="114" t="e">
        <f>VLOOKUP(A201,#REF!,12,FALSE)</f>
        <v>#REF!</v>
      </c>
      <c r="R201" s="120" t="e">
        <f>#REF!</f>
        <v>#REF!</v>
      </c>
      <c r="S201" s="106" t="e">
        <f>IF(Q201=0,#REF!,ROUND(Q201*R201,4))</f>
        <v>#REF!</v>
      </c>
      <c r="T201" s="121" t="e">
        <f>VLOOKUP($A201,#REF!,15,FALSE)</f>
        <v>#REF!</v>
      </c>
      <c r="U201" s="121" t="e">
        <f>VLOOKUP($A201,#REF!,19,FALSE)</f>
        <v>#REF!</v>
      </c>
      <c r="V201" s="109" t="e">
        <f t="shared" si="61"/>
        <v>#REF!</v>
      </c>
      <c r="W201" s="109" t="e">
        <f t="shared" si="62"/>
        <v>#REF!</v>
      </c>
      <c r="X201" s="105" t="e">
        <f t="shared" si="63"/>
        <v>#REF!</v>
      </c>
      <c r="Y201" s="113" t="e">
        <f t="shared" si="64"/>
        <v>#REF!</v>
      </c>
      <c r="Z201" s="109" t="e">
        <f t="shared" si="65"/>
        <v>#REF!</v>
      </c>
      <c r="AA201" s="113" t="e">
        <f t="shared" si="66"/>
        <v>#REF!</v>
      </c>
      <c r="AB201" s="109" t="e">
        <f t="shared" si="67"/>
        <v>#REF!</v>
      </c>
      <c r="AC201" s="113" t="e">
        <f t="shared" si="68"/>
        <v>#REF!</v>
      </c>
      <c r="AD201" s="105" t="e">
        <f t="shared" si="69"/>
        <v>#REF!</v>
      </c>
      <c r="AE201" s="105" t="e">
        <f t="shared" si="55"/>
        <v>#REF!</v>
      </c>
      <c r="AF201" s="105" t="e">
        <f t="shared" si="56"/>
        <v>#REF!</v>
      </c>
      <c r="AG201" s="105" t="e">
        <f t="shared" si="57"/>
        <v>#REF!</v>
      </c>
      <c r="AH201" s="111" t="e">
        <f>VLOOKUP($A201,#REF!,5,FALSE)</f>
        <v>#REF!</v>
      </c>
      <c r="AI201" s="111" t="e">
        <f>VLOOKUP($A201,#REF!,6,FALSE)</f>
        <v>#REF!</v>
      </c>
      <c r="AJ201" s="109" t="e">
        <f t="shared" si="71"/>
        <v>#REF!</v>
      </c>
      <c r="AK201" s="109" t="e">
        <f t="shared" si="72"/>
        <v>#REF!</v>
      </c>
      <c r="AL201" s="109"/>
      <c r="AM201" s="105"/>
      <c r="AN201" s="105"/>
      <c r="AO201" s="109"/>
      <c r="AP201" s="110"/>
      <c r="AQ201" s="110"/>
      <c r="AR201" s="110"/>
      <c r="AS201" s="110"/>
      <c r="AT201" s="110"/>
      <c r="AU201" s="112"/>
      <c r="AV201" s="112"/>
      <c r="AW201" s="110"/>
      <c r="AX201" s="105"/>
      <c r="AY201" s="105"/>
      <c r="AZ201" s="105"/>
      <c r="BA201" s="105"/>
      <c r="BB201" s="105"/>
      <c r="BC201" s="105"/>
    </row>
    <row r="202" spans="1:65" x14ac:dyDescent="0.15">
      <c r="A202" s="221">
        <v>448</v>
      </c>
      <c r="B202" s="98" t="e">
        <f>VLOOKUP($A202,#REF!,84,FALSE)</f>
        <v>#REF!</v>
      </c>
      <c r="C202" s="98" t="e">
        <f>VLOOKUP($A202,#REF!,85,FALSE)</f>
        <v>#REF!</v>
      </c>
      <c r="D202" s="98" t="e">
        <f>VLOOKUP($A202,#REF!,5,FALSE)</f>
        <v>#REF!</v>
      </c>
      <c r="E202" s="98" t="e">
        <f>VLOOKUP($A202,#REF!,6,FALSE)</f>
        <v>#REF!</v>
      </c>
      <c r="F202" s="105" t="e">
        <f>VLOOKUP($A202,#REF!,34,FALSE)</f>
        <v>#REF!</v>
      </c>
      <c r="G202" s="105" t="e">
        <f>VLOOKUP($A202,#REF!,29,FALSE)</f>
        <v>#REF!</v>
      </c>
      <c r="H202" s="105" t="e">
        <f>VLOOKUP(A202,#REF!,35,FALSE)+VLOOKUP(A202,#REF!,41,FALSE)</f>
        <v>#REF!</v>
      </c>
      <c r="I202" s="105" t="e">
        <f t="shared" si="58"/>
        <v>#REF!</v>
      </c>
      <c r="J202" s="105" t="e">
        <f>VLOOKUP(A202,#REF!,42,FALSE)</f>
        <v>#REF!</v>
      </c>
      <c r="K202" s="105" t="e">
        <f t="shared" si="59"/>
        <v>#REF!</v>
      </c>
      <c r="L202" s="164" t="e">
        <f t="shared" si="70"/>
        <v>#REF!</v>
      </c>
      <c r="M202" s="105" t="e">
        <f t="shared" si="60"/>
        <v>#REF!</v>
      </c>
      <c r="N202" s="105" t="e">
        <f>VLOOKUP(A202,#REF!,46,FALSE)</f>
        <v>#REF!</v>
      </c>
      <c r="O202" s="106" t="e">
        <f>VLOOKUP(A202,#REF!,9,FALSE)</f>
        <v>#REF!</v>
      </c>
      <c r="P202" s="114" t="e">
        <f>#REF!</f>
        <v>#REF!</v>
      </c>
      <c r="Q202" s="114" t="e">
        <f>VLOOKUP(A202,#REF!,12,FALSE)</f>
        <v>#REF!</v>
      </c>
      <c r="R202" s="120" t="e">
        <f>#REF!</f>
        <v>#REF!</v>
      </c>
      <c r="S202" s="106" t="e">
        <f>IF(Q202=0,#REF!,ROUND(Q202*R202,4))</f>
        <v>#REF!</v>
      </c>
      <c r="T202" s="121" t="e">
        <f>VLOOKUP($A202,#REF!,15,FALSE)</f>
        <v>#REF!</v>
      </c>
      <c r="U202" s="121" t="e">
        <f>VLOOKUP($A202,#REF!,19,FALSE)</f>
        <v>#REF!</v>
      </c>
      <c r="V202" s="109" t="e">
        <f t="shared" si="61"/>
        <v>#REF!</v>
      </c>
      <c r="W202" s="109" t="e">
        <f t="shared" si="62"/>
        <v>#REF!</v>
      </c>
      <c r="X202" s="105" t="e">
        <f t="shared" si="63"/>
        <v>#REF!</v>
      </c>
      <c r="Y202" s="113" t="e">
        <f>IF(O202="NA", W202,W202+X202)</f>
        <v>#REF!</v>
      </c>
      <c r="Z202" s="109" t="e">
        <f>IF(O202="NA","NA",ROUND(T202*(S202/O202),2))</f>
        <v>#REF!</v>
      </c>
      <c r="AA202" s="113" t="e">
        <f t="shared" si="66"/>
        <v>#REF!</v>
      </c>
      <c r="AB202" s="109" t="e">
        <f t="shared" si="67"/>
        <v>#REF!</v>
      </c>
      <c r="AC202" s="113" t="e">
        <f t="shared" si="68"/>
        <v>#REF!</v>
      </c>
      <c r="AD202" s="105" t="e">
        <f t="shared" si="69"/>
        <v>#REF!</v>
      </c>
      <c r="AE202" s="105" t="e">
        <f t="shared" si="55"/>
        <v>#REF!</v>
      </c>
      <c r="AF202" s="105" t="e">
        <f t="shared" si="56"/>
        <v>#REF!</v>
      </c>
      <c r="AG202" s="105" t="e">
        <f t="shared" si="57"/>
        <v>#REF!</v>
      </c>
      <c r="AH202" s="111" t="e">
        <f>VLOOKUP($A202,#REF!,5,FALSE)</f>
        <v>#REF!</v>
      </c>
      <c r="AI202" s="111" t="e">
        <f>VLOOKUP($A202,#REF!,6,FALSE)</f>
        <v>#REF!</v>
      </c>
      <c r="AJ202" s="109" t="e">
        <f t="shared" si="71"/>
        <v>#REF!</v>
      </c>
      <c r="AK202" s="109" t="e">
        <f t="shared" si="72"/>
        <v>#REF!</v>
      </c>
      <c r="AL202" s="109"/>
      <c r="AM202" s="105"/>
      <c r="AN202" s="105"/>
      <c r="AO202" s="109"/>
      <c r="AP202" s="110"/>
      <c r="AQ202" s="110"/>
      <c r="AR202" s="110"/>
      <c r="AS202" s="110"/>
      <c r="AT202" s="110"/>
      <c r="AU202" s="112"/>
      <c r="AV202" s="112"/>
      <c r="AW202" s="110"/>
      <c r="AX202" s="105"/>
      <c r="AY202" s="105"/>
      <c r="AZ202" s="105"/>
      <c r="BA202" s="105"/>
      <c r="BB202" s="105"/>
      <c r="BC202" s="105"/>
    </row>
    <row r="203" spans="1:65" x14ac:dyDescent="0.15">
      <c r="A203" s="221">
        <v>386</v>
      </c>
      <c r="B203" s="98" t="e">
        <f>VLOOKUP($A203,#REF!,84,FALSE)</f>
        <v>#REF!</v>
      </c>
      <c r="C203" s="98" t="e">
        <f>VLOOKUP($A203,#REF!,85,FALSE)</f>
        <v>#REF!</v>
      </c>
      <c r="D203" s="98" t="e">
        <f>VLOOKUP($A203,#REF!,5,FALSE)</f>
        <v>#REF!</v>
      </c>
      <c r="E203" s="98" t="e">
        <f>VLOOKUP($A203,#REF!,6,FALSE)</f>
        <v>#REF!</v>
      </c>
      <c r="F203" s="105" t="e">
        <f>VLOOKUP($A203,#REF!,34,FALSE)</f>
        <v>#REF!</v>
      </c>
      <c r="G203" s="105" t="e">
        <f>VLOOKUP($A203,#REF!,29,FALSE)</f>
        <v>#REF!</v>
      </c>
      <c r="H203" s="105" t="e">
        <f>VLOOKUP(A203,#REF!,35,FALSE)+VLOOKUP(A203,#REF!,41,FALSE)</f>
        <v>#REF!</v>
      </c>
      <c r="I203" s="105" t="e">
        <f t="shared" si="58"/>
        <v>#REF!</v>
      </c>
      <c r="J203" s="105" t="e">
        <f>VLOOKUP(A203,#REF!,42,FALSE)</f>
        <v>#REF!</v>
      </c>
      <c r="K203" s="105" t="e">
        <f t="shared" si="59"/>
        <v>#REF!</v>
      </c>
      <c r="L203" s="164" t="e">
        <f t="shared" si="70"/>
        <v>#REF!</v>
      </c>
      <c r="M203" s="105" t="e">
        <f t="shared" si="60"/>
        <v>#REF!</v>
      </c>
      <c r="N203" s="105" t="e">
        <f>VLOOKUP(A203,#REF!,46,FALSE)</f>
        <v>#REF!</v>
      </c>
      <c r="O203" s="106" t="e">
        <f>VLOOKUP(A203,#REF!,9,FALSE)</f>
        <v>#REF!</v>
      </c>
      <c r="P203" s="114" t="e">
        <f>#REF!</f>
        <v>#REF!</v>
      </c>
      <c r="Q203" s="114" t="e">
        <f>VLOOKUP(A203,#REF!,12,FALSE)</f>
        <v>#REF!</v>
      </c>
      <c r="R203" s="120" t="e">
        <f>#REF!</f>
        <v>#REF!</v>
      </c>
      <c r="S203" s="106" t="e">
        <f>IF(Q203=0,#REF!,ROUND(Q203*R203,4))</f>
        <v>#REF!</v>
      </c>
      <c r="T203" s="121" t="e">
        <f>VLOOKUP($A203,#REF!,15,FALSE)</f>
        <v>#REF!</v>
      </c>
      <c r="U203" s="121" t="e">
        <f>VLOOKUP($A203,#REF!,19,FALSE)</f>
        <v>#REF!</v>
      </c>
      <c r="V203" s="109" t="e">
        <f t="shared" si="61"/>
        <v>#REF!</v>
      </c>
      <c r="W203" s="109" t="e">
        <f t="shared" si="62"/>
        <v>#REF!</v>
      </c>
      <c r="X203" s="105" t="e">
        <f t="shared" si="63"/>
        <v>#REF!</v>
      </c>
      <c r="Y203" s="113" t="e">
        <f t="shared" si="64"/>
        <v>#REF!</v>
      </c>
      <c r="Z203" s="109" t="e">
        <f t="shared" si="65"/>
        <v>#REF!</v>
      </c>
      <c r="AA203" s="113" t="e">
        <f t="shared" si="66"/>
        <v>#REF!</v>
      </c>
      <c r="AB203" s="109" t="e">
        <f t="shared" si="67"/>
        <v>#REF!</v>
      </c>
      <c r="AC203" s="113" t="e">
        <f t="shared" si="68"/>
        <v>#REF!</v>
      </c>
      <c r="AD203" s="105" t="e">
        <f t="shared" si="69"/>
        <v>#REF!</v>
      </c>
      <c r="AE203" s="105" t="e">
        <f t="shared" si="55"/>
        <v>#REF!</v>
      </c>
      <c r="AF203" s="105" t="e">
        <f t="shared" si="56"/>
        <v>#REF!</v>
      </c>
      <c r="AG203" s="105" t="e">
        <f t="shared" si="57"/>
        <v>#REF!</v>
      </c>
      <c r="AH203" s="111" t="e">
        <f>VLOOKUP($A203,#REF!,5,FALSE)</f>
        <v>#REF!</v>
      </c>
      <c r="AI203" s="111" t="e">
        <f>VLOOKUP($A203,#REF!,6,FALSE)</f>
        <v>#REF!</v>
      </c>
      <c r="AJ203" s="109" t="e">
        <f t="shared" si="71"/>
        <v>#REF!</v>
      </c>
      <c r="AK203" s="109" t="e">
        <f t="shared" si="72"/>
        <v>#REF!</v>
      </c>
      <c r="AL203" s="109"/>
      <c r="AM203" s="105"/>
      <c r="AN203" s="105"/>
      <c r="AO203" s="109"/>
      <c r="AP203" s="110"/>
      <c r="AQ203" s="110"/>
      <c r="AR203" s="110"/>
      <c r="AS203" s="110"/>
      <c r="AT203" s="110"/>
      <c r="AU203" s="112"/>
      <c r="AV203" s="112"/>
      <c r="AW203" s="110"/>
      <c r="AX203" s="105"/>
      <c r="AY203" s="105"/>
      <c r="AZ203" s="105"/>
      <c r="BA203" s="105"/>
      <c r="BB203" s="105"/>
      <c r="BC203" s="105"/>
    </row>
    <row r="204" spans="1:65" x14ac:dyDescent="0.15">
      <c r="A204" s="221">
        <v>452</v>
      </c>
      <c r="B204" s="98" t="e">
        <f>VLOOKUP($A204,#REF!,84,FALSE)</f>
        <v>#REF!</v>
      </c>
      <c r="C204" s="98" t="e">
        <f>VLOOKUP($A204,#REF!,85,FALSE)</f>
        <v>#REF!</v>
      </c>
      <c r="D204" s="98" t="e">
        <f>VLOOKUP($A204,#REF!,5,FALSE)</f>
        <v>#REF!</v>
      </c>
      <c r="E204" s="98" t="e">
        <f>VLOOKUP($A204,#REF!,6,FALSE)</f>
        <v>#REF!</v>
      </c>
      <c r="F204" s="105" t="e">
        <f>VLOOKUP($A204,#REF!,34,FALSE)</f>
        <v>#REF!</v>
      </c>
      <c r="G204" s="105" t="e">
        <f>VLOOKUP($A204,#REF!,29,FALSE)</f>
        <v>#REF!</v>
      </c>
      <c r="H204" s="105" t="e">
        <f>VLOOKUP(A204,#REF!,35,FALSE)+VLOOKUP(A204,#REF!,41,FALSE)</f>
        <v>#REF!</v>
      </c>
      <c r="I204" s="105" t="e">
        <f t="shared" si="58"/>
        <v>#REF!</v>
      </c>
      <c r="J204" s="105" t="e">
        <f>VLOOKUP(A204,#REF!,42,FALSE)</f>
        <v>#REF!</v>
      </c>
      <c r="K204" s="105" t="e">
        <f t="shared" si="59"/>
        <v>#REF!</v>
      </c>
      <c r="L204" s="164" t="e">
        <f t="shared" si="70"/>
        <v>#REF!</v>
      </c>
      <c r="M204" s="105" t="e">
        <f t="shared" si="60"/>
        <v>#REF!</v>
      </c>
      <c r="N204" s="105" t="e">
        <f>VLOOKUP(A204,#REF!,46,FALSE)</f>
        <v>#REF!</v>
      </c>
      <c r="O204" s="106" t="e">
        <f>VLOOKUP(A204,#REF!,9,FALSE)</f>
        <v>#REF!</v>
      </c>
      <c r="P204" s="114" t="e">
        <f>#REF!</f>
        <v>#REF!</v>
      </c>
      <c r="Q204" s="114" t="e">
        <f>VLOOKUP(A204,#REF!,12,FALSE)</f>
        <v>#REF!</v>
      </c>
      <c r="R204" s="120" t="e">
        <f>#REF!</f>
        <v>#REF!</v>
      </c>
      <c r="S204" s="106" t="e">
        <f>IF(Q204=0,#REF!,ROUND(Q204*R204,4))</f>
        <v>#REF!</v>
      </c>
      <c r="T204" s="121" t="e">
        <f>VLOOKUP($A204,#REF!,15,FALSE)</f>
        <v>#REF!</v>
      </c>
      <c r="U204" s="121" t="e">
        <f>VLOOKUP($A204,#REF!,19,FALSE)</f>
        <v>#REF!</v>
      </c>
      <c r="V204" s="109" t="e">
        <f>IF($O204="NA","NA",ROUND(U204*(O204/P204),2))</f>
        <v>#REF!</v>
      </c>
      <c r="W204" s="109" t="e">
        <f t="shared" si="62"/>
        <v>#REF!</v>
      </c>
      <c r="X204" s="105" t="e">
        <f t="shared" si="63"/>
        <v>#REF!</v>
      </c>
      <c r="Y204" s="113" t="e">
        <f t="shared" si="64"/>
        <v>#REF!</v>
      </c>
      <c r="Z204" s="109" t="e">
        <f t="shared" si="65"/>
        <v>#REF!</v>
      </c>
      <c r="AA204" s="113" t="e">
        <f t="shared" si="66"/>
        <v>#REF!</v>
      </c>
      <c r="AB204" s="109" t="e">
        <f t="shared" si="67"/>
        <v>#REF!</v>
      </c>
      <c r="AC204" s="113" t="e">
        <f t="shared" si="68"/>
        <v>#REF!</v>
      </c>
      <c r="AD204" s="105" t="e">
        <f t="shared" si="69"/>
        <v>#REF!</v>
      </c>
      <c r="AE204" s="105" t="e">
        <f t="shared" si="55"/>
        <v>#REF!</v>
      </c>
      <c r="AF204" s="105" t="e">
        <f t="shared" si="56"/>
        <v>#REF!</v>
      </c>
      <c r="AG204" s="105" t="e">
        <f t="shared" si="57"/>
        <v>#REF!</v>
      </c>
      <c r="AH204" s="111" t="e">
        <f>VLOOKUP($A204,#REF!,5,FALSE)</f>
        <v>#REF!</v>
      </c>
      <c r="AI204" s="111" t="e">
        <f>VLOOKUP($A204,#REF!,6,FALSE)</f>
        <v>#REF!</v>
      </c>
      <c r="AJ204" s="109" t="e">
        <f t="shared" si="71"/>
        <v>#REF!</v>
      </c>
      <c r="AK204" s="109" t="e">
        <f t="shared" si="72"/>
        <v>#REF!</v>
      </c>
      <c r="AL204" s="109"/>
      <c r="AM204" s="105"/>
      <c r="AN204" s="105"/>
      <c r="AO204" s="109"/>
      <c r="AP204" s="110"/>
      <c r="AQ204" s="110"/>
      <c r="AR204" s="110"/>
      <c r="AS204" s="110"/>
      <c r="AT204" s="110"/>
      <c r="AU204" s="112"/>
      <c r="AV204" s="112"/>
      <c r="AW204" s="110"/>
      <c r="AX204" s="105"/>
      <c r="AY204" s="105"/>
      <c r="AZ204" s="105"/>
      <c r="BA204" s="105"/>
      <c r="BB204" s="105"/>
      <c r="BC204" s="105"/>
    </row>
    <row r="205" spans="1:65" x14ac:dyDescent="0.15">
      <c r="A205" s="221">
        <v>454</v>
      </c>
      <c r="B205" s="98" t="e">
        <f>VLOOKUP($A205,#REF!,84,FALSE)</f>
        <v>#REF!</v>
      </c>
      <c r="C205" s="98" t="e">
        <f>VLOOKUP($A205,#REF!,85,FALSE)</f>
        <v>#REF!</v>
      </c>
      <c r="D205" s="98" t="e">
        <f>VLOOKUP($A205,#REF!,5,FALSE)</f>
        <v>#REF!</v>
      </c>
      <c r="E205" s="98" t="e">
        <f>VLOOKUP($A205,#REF!,6,FALSE)</f>
        <v>#REF!</v>
      </c>
      <c r="F205" s="105" t="e">
        <f>VLOOKUP($A205,#REF!,34,FALSE)</f>
        <v>#REF!</v>
      </c>
      <c r="G205" s="105" t="e">
        <f>VLOOKUP($A205,#REF!,29,FALSE)</f>
        <v>#REF!</v>
      </c>
      <c r="H205" s="105" t="e">
        <f>VLOOKUP(A205,#REF!,35,FALSE)+VLOOKUP(A205,#REF!,41,FALSE)</f>
        <v>#REF!</v>
      </c>
      <c r="I205" s="105" t="e">
        <f t="shared" si="58"/>
        <v>#REF!</v>
      </c>
      <c r="J205" s="105" t="e">
        <f>VLOOKUP(A205,#REF!,42,FALSE)</f>
        <v>#REF!</v>
      </c>
      <c r="K205" s="105" t="e">
        <f t="shared" si="59"/>
        <v>#REF!</v>
      </c>
      <c r="L205" s="164" t="e">
        <f t="shared" si="70"/>
        <v>#REF!</v>
      </c>
      <c r="M205" s="105" t="e">
        <f t="shared" si="60"/>
        <v>#REF!</v>
      </c>
      <c r="N205" s="105" t="e">
        <f>VLOOKUP(A205,#REF!,46,FALSE)</f>
        <v>#REF!</v>
      </c>
      <c r="O205" s="106" t="e">
        <f>VLOOKUP(A205,#REF!,9,FALSE)</f>
        <v>#REF!</v>
      </c>
      <c r="P205" s="114" t="e">
        <f>#REF!</f>
        <v>#REF!</v>
      </c>
      <c r="Q205" s="114" t="e">
        <f>VLOOKUP(A205,#REF!,12,FALSE)</f>
        <v>#REF!</v>
      </c>
      <c r="R205" s="120" t="e">
        <f>#REF!</f>
        <v>#REF!</v>
      </c>
      <c r="S205" s="106" t="e">
        <f>IF(Q205=0,#REF!,ROUND(Q205*R205,4))</f>
        <v>#REF!</v>
      </c>
      <c r="T205" s="121" t="e">
        <f>VLOOKUP($A205,#REF!,15,FALSE)</f>
        <v>#REF!</v>
      </c>
      <c r="U205" s="121" t="e">
        <f>VLOOKUP($A205,#REF!,19,FALSE)</f>
        <v>#REF!</v>
      </c>
      <c r="V205" s="109" t="e">
        <f t="shared" si="61"/>
        <v>#REF!</v>
      </c>
      <c r="W205" s="109" t="e">
        <f t="shared" si="62"/>
        <v>#REF!</v>
      </c>
      <c r="X205" s="105" t="e">
        <f t="shared" si="63"/>
        <v>#REF!</v>
      </c>
      <c r="Y205" s="113" t="e">
        <f t="shared" si="64"/>
        <v>#REF!</v>
      </c>
      <c r="Z205" s="109" t="e">
        <f t="shared" si="65"/>
        <v>#REF!</v>
      </c>
      <c r="AA205" s="113" t="e">
        <f t="shared" si="66"/>
        <v>#REF!</v>
      </c>
      <c r="AB205" s="109" t="e">
        <f t="shared" si="67"/>
        <v>#REF!</v>
      </c>
      <c r="AC205" s="113" t="e">
        <f t="shared" si="68"/>
        <v>#REF!</v>
      </c>
      <c r="AD205" s="105" t="e">
        <f t="shared" si="69"/>
        <v>#REF!</v>
      </c>
      <c r="AE205" s="105" t="e">
        <f t="shared" si="55"/>
        <v>#REF!</v>
      </c>
      <c r="AF205" s="105" t="e">
        <f t="shared" si="56"/>
        <v>#REF!</v>
      </c>
      <c r="AG205" s="105" t="e">
        <f t="shared" si="57"/>
        <v>#REF!</v>
      </c>
      <c r="AH205" s="111" t="e">
        <f>VLOOKUP($A205,#REF!,5,FALSE)</f>
        <v>#REF!</v>
      </c>
      <c r="AI205" s="111" t="e">
        <f>VLOOKUP($A205,#REF!,6,FALSE)</f>
        <v>#REF!</v>
      </c>
      <c r="AJ205" s="109" t="e">
        <f t="shared" si="71"/>
        <v>#REF!</v>
      </c>
      <c r="AK205" s="109" t="e">
        <f t="shared" si="72"/>
        <v>#REF!</v>
      </c>
      <c r="AL205" s="109"/>
      <c r="AM205" s="105"/>
      <c r="AN205" s="105"/>
      <c r="AO205" s="109"/>
      <c r="AP205" s="110"/>
      <c r="AQ205" s="110"/>
      <c r="AR205" s="110"/>
      <c r="AS205" s="110"/>
      <c r="AT205" s="110"/>
      <c r="AU205" s="112"/>
      <c r="AV205" s="112"/>
      <c r="AW205" s="110"/>
      <c r="AX205" s="105"/>
      <c r="AY205" s="105"/>
      <c r="AZ205" s="105"/>
      <c r="BA205" s="105"/>
      <c r="BB205" s="105"/>
      <c r="BC205" s="105"/>
    </row>
    <row r="206" spans="1:65" x14ac:dyDescent="0.15">
      <c r="A206" s="221">
        <v>458</v>
      </c>
      <c r="B206" s="98" t="e">
        <f>VLOOKUP($A206,#REF!,84,FALSE)</f>
        <v>#REF!</v>
      </c>
      <c r="C206" s="98" t="e">
        <f>VLOOKUP($A206,#REF!,85,FALSE)</f>
        <v>#REF!</v>
      </c>
      <c r="D206" s="98" t="e">
        <f>VLOOKUP($A206,#REF!,5,FALSE)</f>
        <v>#REF!</v>
      </c>
      <c r="E206" s="98" t="e">
        <f>VLOOKUP($A206,#REF!,6,FALSE)</f>
        <v>#REF!</v>
      </c>
      <c r="F206" s="105" t="e">
        <f>VLOOKUP($A206,#REF!,34,FALSE)</f>
        <v>#REF!</v>
      </c>
      <c r="G206" s="105" t="e">
        <f>VLOOKUP($A206,#REF!,29,FALSE)</f>
        <v>#REF!</v>
      </c>
      <c r="H206" s="105" t="e">
        <f>VLOOKUP(A206,#REF!,35,FALSE)+VLOOKUP(A206,#REF!,41,FALSE)</f>
        <v>#REF!</v>
      </c>
      <c r="I206" s="105" t="e">
        <f t="shared" si="58"/>
        <v>#REF!</v>
      </c>
      <c r="J206" s="105" t="e">
        <f>VLOOKUP(A206,#REF!,42,FALSE)</f>
        <v>#REF!</v>
      </c>
      <c r="K206" s="105" t="e">
        <f t="shared" si="59"/>
        <v>#REF!</v>
      </c>
      <c r="L206" s="164" t="e">
        <f t="shared" si="70"/>
        <v>#REF!</v>
      </c>
      <c r="M206" s="105" t="e">
        <f t="shared" si="60"/>
        <v>#REF!</v>
      </c>
      <c r="N206" s="105" t="e">
        <f>VLOOKUP(A206,#REF!,46,FALSE)</f>
        <v>#REF!</v>
      </c>
      <c r="O206" s="106" t="e">
        <f>VLOOKUP(A206,#REF!,9,FALSE)</f>
        <v>#REF!</v>
      </c>
      <c r="P206" s="114" t="e">
        <f>#REF!</f>
        <v>#REF!</v>
      </c>
      <c r="Q206" s="114" t="e">
        <f>VLOOKUP(A206,#REF!,12,FALSE)</f>
        <v>#REF!</v>
      </c>
      <c r="R206" s="120" t="e">
        <f>#REF!</f>
        <v>#REF!</v>
      </c>
      <c r="S206" s="106" t="e">
        <f>IF(Q206=0,#REF!,ROUND(Q206*R206,4))</f>
        <v>#REF!</v>
      </c>
      <c r="T206" s="121" t="e">
        <f>VLOOKUP($A206,#REF!,15,FALSE)</f>
        <v>#REF!</v>
      </c>
      <c r="U206" s="121" t="e">
        <f>VLOOKUP($A206,#REF!,19,FALSE)</f>
        <v>#REF!</v>
      </c>
      <c r="V206" s="109" t="e">
        <f t="shared" si="61"/>
        <v>#REF!</v>
      </c>
      <c r="W206" s="109" t="e">
        <f t="shared" si="62"/>
        <v>#REF!</v>
      </c>
      <c r="X206" s="105" t="e">
        <f>IF(O206="NA","NA",ROUND(MAX(0,AB206)*-1,2))</f>
        <v>#REF!</v>
      </c>
      <c r="Y206" s="113" t="e">
        <f t="shared" si="64"/>
        <v>#REF!</v>
      </c>
      <c r="Z206" s="109" t="e">
        <f t="shared" si="65"/>
        <v>#REF!</v>
      </c>
      <c r="AA206" s="113" t="e">
        <f t="shared" si="66"/>
        <v>#REF!</v>
      </c>
      <c r="AB206" s="109" t="e">
        <f t="shared" si="67"/>
        <v>#REF!</v>
      </c>
      <c r="AC206" s="113" t="e">
        <f t="shared" si="68"/>
        <v>#REF!</v>
      </c>
      <c r="AD206" s="105" t="e">
        <f t="shared" si="69"/>
        <v>#REF!</v>
      </c>
      <c r="AE206" s="105" t="e">
        <f t="shared" si="55"/>
        <v>#REF!</v>
      </c>
      <c r="AF206" s="105" t="e">
        <f t="shared" si="56"/>
        <v>#REF!</v>
      </c>
      <c r="AG206" s="105" t="e">
        <f t="shared" si="57"/>
        <v>#REF!</v>
      </c>
      <c r="AH206" s="111" t="e">
        <f>VLOOKUP($A206,#REF!,5,FALSE)</f>
        <v>#REF!</v>
      </c>
      <c r="AI206" s="111" t="e">
        <f>VLOOKUP($A206,#REF!,6,FALSE)</f>
        <v>#REF!</v>
      </c>
      <c r="AJ206" s="109" t="e">
        <f t="shared" si="71"/>
        <v>#REF!</v>
      </c>
      <c r="AK206" s="109" t="e">
        <f t="shared" si="72"/>
        <v>#REF!</v>
      </c>
      <c r="AL206" s="109"/>
      <c r="AM206" s="105"/>
      <c r="AN206" s="105"/>
      <c r="AO206" s="109"/>
      <c r="AP206" s="110"/>
      <c r="AQ206" s="110"/>
      <c r="AR206" s="110"/>
      <c r="AS206" s="110"/>
      <c r="AT206" s="110"/>
      <c r="AU206" s="112"/>
      <c r="AV206" s="112"/>
      <c r="AW206" s="110"/>
      <c r="AX206" s="105"/>
      <c r="AY206" s="105"/>
      <c r="AZ206" s="105"/>
      <c r="BA206" s="105"/>
      <c r="BB206" s="105"/>
      <c r="BC206" s="105"/>
    </row>
    <row r="207" spans="1:65" x14ac:dyDescent="0.15">
      <c r="A207" s="103"/>
      <c r="D207" s="104"/>
      <c r="E207" s="104"/>
      <c r="W207" s="104"/>
      <c r="Z207" s="105"/>
      <c r="AB207" s="108"/>
      <c r="AC207" s="108"/>
      <c r="AD207" s="107"/>
      <c r="AE207" s="105"/>
      <c r="AF207" s="106"/>
      <c r="AG207" s="106"/>
      <c r="AH207" s="111"/>
      <c r="AI207" s="105"/>
      <c r="AJ207" s="109"/>
      <c r="AK207" s="109"/>
      <c r="AL207" s="105"/>
      <c r="AM207" s="111"/>
      <c r="AN207" s="105"/>
      <c r="AO207" s="105"/>
      <c r="AP207" s="109"/>
      <c r="AQ207" s="111"/>
      <c r="AR207" s="109"/>
      <c r="AS207" s="109"/>
      <c r="AT207" s="105"/>
      <c r="AU207" s="105"/>
      <c r="AV207" s="109"/>
      <c r="AW207" s="110"/>
      <c r="AX207" s="110"/>
      <c r="AY207" s="110"/>
      <c r="AZ207" s="110"/>
      <c r="BA207" s="110"/>
      <c r="BB207" s="112"/>
      <c r="BC207" s="112"/>
      <c r="BD207" s="110"/>
      <c r="BE207" s="105"/>
      <c r="BF207" s="105"/>
      <c r="BG207" s="105"/>
      <c r="BH207" s="105"/>
      <c r="BI207" s="105"/>
      <c r="BJ207" s="105"/>
    </row>
    <row r="208" spans="1:65" x14ac:dyDescent="0.15">
      <c r="AB208" s="108"/>
      <c r="AC208" s="108"/>
      <c r="AD208" s="107"/>
      <c r="AH208" s="111"/>
      <c r="AI208" s="105"/>
      <c r="AJ208" s="109"/>
      <c r="AK208" s="109"/>
      <c r="AR208" s="107"/>
      <c r="AS208" s="107"/>
      <c r="AV208" s="107"/>
      <c r="AW208" s="107"/>
      <c r="AX208" s="105"/>
      <c r="AY208" s="105"/>
      <c r="AZ208" s="105"/>
      <c r="BB208" s="108"/>
      <c r="BC208" s="108"/>
      <c r="BD208" s="107"/>
      <c r="BK208" s="98">
        <f>SUM(BD3:BD206)</f>
        <v>0</v>
      </c>
      <c r="BL208" s="98">
        <f>SUM(BE3:BE206)</f>
        <v>0</v>
      </c>
      <c r="BM208" s="98">
        <f>SUM(BF3:BF206)</f>
        <v>0</v>
      </c>
    </row>
    <row r="209" spans="1:37" ht="140" x14ac:dyDescent="0.15">
      <c r="B209" s="354" t="s">
        <v>800</v>
      </c>
      <c r="C209" s="354"/>
      <c r="D209" s="99" t="s">
        <v>320</v>
      </c>
      <c r="E209" s="99" t="s">
        <v>321</v>
      </c>
      <c r="F209" s="99" t="str">
        <f>VLOOKUP(F210,'Vent Profile'!$A$170:$E$197,2,FALSE)</f>
        <v>Administrative and Routine (See July 2024 Rate Letter)</v>
      </c>
      <c r="G209" s="99" t="str">
        <f>VLOOKUP(G210,'Vent Profile'!$A$170:$E$197,2,FALSE)</f>
        <v>Other Patient Care (See July 2024 Rate Letter)</v>
      </c>
      <c r="H209" s="99" t="str">
        <f>VLOOKUP(H210,'Vent Profile'!$A$170:$E$197,2,FALSE)</f>
        <v>Capital (See July 2024 Rate Letter)</v>
      </c>
      <c r="I209" s="99" t="str">
        <f>VLOOKUP(I210,'Vent Profile'!$A$170:$E$197,2,FALSE)</f>
        <v>Nursing Service (Line 18)</v>
      </c>
      <c r="J209" s="99" t="str">
        <f>VLOOKUP(J210,'Vent Profile'!$A$170:$E$197,2,FALSE)</f>
        <v>Total Kosher Kitchen Add On (See July 2024 Rate Letter)</v>
      </c>
      <c r="K209" s="99" t="str">
        <f>VLOOKUP(K210,'Vent Profile'!$A$170:$E$197,2,FALSE)</f>
        <v xml:space="preserve">   Total Rate for All Levels (Sum of Lines 1 - 5) </v>
      </c>
      <c r="L209" s="99" t="str">
        <f>VLOOKUP(L210,'Vent Profile'!$A$170:$E$197,2,FALSE)</f>
        <v>Budget Adjustment Factor</v>
      </c>
      <c r="M209" s="99" t="str">
        <f>VLOOKUP(M210,'Vent Profile'!$A$170:$E$197,2,FALSE)</f>
        <v xml:space="preserve">   Final Adjusted Rate  (Line 6 x Line 7)</v>
      </c>
      <c r="N209" s="99" t="s">
        <v>313</v>
      </c>
      <c r="O209" s="99" t="s">
        <v>314</v>
      </c>
      <c r="P209" s="99" t="str">
        <f>VLOOKUP(P210,'Vent Profile'!$A$170:$E$197,2,FALSE)</f>
        <v>Quality Assessment Add On</v>
      </c>
      <c r="Q209" s="99" t="str">
        <f>VLOOKUP(Q210,'Vent Profile'!$A$170:$E$197,2,FALSE)</f>
        <v>Cost Report Period CMI (See July 2024 letter)</v>
      </c>
      <c r="R209" s="99" t="str">
        <f>VLOOKUP(R210,'Vent Profile'!$A$170:$E$197,2,FALSE)</f>
        <v>Statewide Average CMI</v>
      </c>
      <c r="S209" s="99" t="str">
        <f>VLOOKUP(S210,'Vent Profile'!$A$170:$E$197,2,FALSE)</f>
        <v>Quarter Ending 09/30/2024 Facility Average Medicaid CMI</v>
      </c>
      <c r="T209" s="99" t="str">
        <f>VLOOKUP(T210,'Vent Profile'!$A$170:$E$197,2,FALSE)</f>
        <v>Indexed Nursing Service Cost Per Diem (See July 2024 Rate Letter)</v>
      </c>
      <c r="U209" s="99" t="str">
        <f>VLOOKUP(U210,'Vent Profile'!$A$170:$E$197,2,FALSE)</f>
        <v>Indexed Regional Price (See July 2024 Rate Letter)</v>
      </c>
      <c r="V209" s="99" t="str">
        <f>VLOOKUP(V210,'Vent Profile'!$A$170:$E$197,2,FALSE)</f>
        <v>Adjusted to Facility Total Facility CMI (Line 14 x Line 10 ÷ Line 11)</v>
      </c>
      <c r="W209" s="99" t="str">
        <f>VLOOKUP(W210,'Vent Profile'!$A$170:$E$197,2,FALSE)</f>
        <v>Initial Nursing Service Rate (Line 15 x Line 12 ÷ Line 10)</v>
      </c>
      <c r="X209" s="99" t="str">
        <f>VLOOKUP(X210,'Vent Profile'!$A$170:$E$197,2,FALSE)</f>
        <v>Less Positive Difference Between Line 20 and Initial Nursing Service Rate (max(0,Line 21))</v>
      </c>
      <c r="Y209" s="99" t="str">
        <f>VLOOKUP(Y210,'Vent Profile'!$A$170:$E$197,2,FALSE)</f>
        <v>Final Nursing Service Rate Per Day (Line 16 + Line 17)</v>
      </c>
      <c r="Z209" s="99" t="str">
        <f>VLOOKUP(Z210,'Vent Profile'!$A$170:$E$197,2,FALSE)</f>
        <v>Medicaid Adjusted Nursing Service Cost Per Diem (Line 13 x Line 12 ÷ Line 10)</v>
      </c>
      <c r="AA209" s="99" t="str">
        <f>VLOOKUP(AA210,'Vent Profile'!$A$170:$E$197,2,FALSE)</f>
        <v>95% of Initial Nursing Service Rate (Line 16 x .95)</v>
      </c>
      <c r="AB209" s="99" t="str">
        <f>VLOOKUP(AB210,'Vent Profile'!$A$170:$E$197,2,FALSE)</f>
        <v>Difference Between Line 20 and Medicaid Adjusted Nursing Service Cost Per Diem (Line 20 - Line 19)</v>
      </c>
      <c r="AC209" s="99" t="s">
        <v>807</v>
      </c>
      <c r="AD209" s="99" t="s">
        <v>797</v>
      </c>
      <c r="AE209" s="99" t="s">
        <v>808</v>
      </c>
      <c r="AF209" s="99"/>
      <c r="AG209" s="99"/>
      <c r="AH209" s="111"/>
      <c r="AI209" s="105"/>
      <c r="AJ209" s="109"/>
      <c r="AK209" s="109"/>
    </row>
    <row r="210" spans="1:37" x14ac:dyDescent="0.15">
      <c r="A210" s="101" t="s">
        <v>145</v>
      </c>
      <c r="B210" s="101" t="s">
        <v>325</v>
      </c>
      <c r="C210" s="101" t="s">
        <v>265</v>
      </c>
      <c r="D210" s="101"/>
      <c r="E210" s="104" t="s">
        <v>326</v>
      </c>
      <c r="F210" s="101">
        <v>1</v>
      </c>
      <c r="G210" s="101">
        <f>+F210+1</f>
        <v>2</v>
      </c>
      <c r="H210" s="101">
        <f t="shared" ref="H210:K210" si="73">+G210+1</f>
        <v>3</v>
      </c>
      <c r="I210" s="101">
        <f t="shared" si="73"/>
        <v>4</v>
      </c>
      <c r="J210" s="101">
        <f t="shared" si="73"/>
        <v>5</v>
      </c>
      <c r="K210" s="101">
        <f t="shared" si="73"/>
        <v>6</v>
      </c>
      <c r="L210" s="101">
        <v>7</v>
      </c>
      <c r="M210" s="101">
        <v>8</v>
      </c>
      <c r="N210" s="101" t="s">
        <v>538</v>
      </c>
      <c r="O210" s="101" t="s">
        <v>539</v>
      </c>
      <c r="P210" s="101">
        <v>9</v>
      </c>
      <c r="Q210" s="101">
        <f>+P210+1</f>
        <v>10</v>
      </c>
      <c r="R210" s="101">
        <f t="shared" ref="R210:AB210" si="74">+Q210+1</f>
        <v>11</v>
      </c>
      <c r="S210" s="101">
        <f>+R210+1</f>
        <v>12</v>
      </c>
      <c r="T210" s="101">
        <f t="shared" si="74"/>
        <v>13</v>
      </c>
      <c r="U210" s="101">
        <f t="shared" si="74"/>
        <v>14</v>
      </c>
      <c r="V210" s="101">
        <f t="shared" si="74"/>
        <v>15</v>
      </c>
      <c r="W210" s="101">
        <f t="shared" si="74"/>
        <v>16</v>
      </c>
      <c r="X210" s="101">
        <f t="shared" si="74"/>
        <v>17</v>
      </c>
      <c r="Y210" s="101">
        <f t="shared" si="74"/>
        <v>18</v>
      </c>
      <c r="Z210" s="101">
        <f t="shared" si="74"/>
        <v>19</v>
      </c>
      <c r="AA210" s="101">
        <f t="shared" si="74"/>
        <v>20</v>
      </c>
      <c r="AB210" s="101">
        <f t="shared" si="74"/>
        <v>21</v>
      </c>
      <c r="AC210" s="101"/>
      <c r="AD210" s="101"/>
      <c r="AH210" s="111"/>
      <c r="AI210" s="105"/>
      <c r="AJ210" s="109"/>
      <c r="AK210" s="109"/>
    </row>
    <row r="211" spans="1:37" x14ac:dyDescent="0.15">
      <c r="A211" s="115">
        <v>741</v>
      </c>
      <c r="B211" s="98" t="e">
        <f>VLOOKUP($A211,#REF!,84,FALSE)</f>
        <v>#REF!</v>
      </c>
      <c r="C211" s="98" t="e">
        <f>VLOOKUP($A211,#REF!,85,FALSE)</f>
        <v>#REF!</v>
      </c>
      <c r="D211" s="98" t="e">
        <f>VLOOKUP($A211,#REF!,5,FALSE)</f>
        <v>#REF!</v>
      </c>
      <c r="E211" s="98" t="e">
        <f>VLOOKUP($A211,#REF!,6,FALSE)</f>
        <v>#REF!</v>
      </c>
      <c r="F211" s="105" t="e">
        <f>VLOOKUP(A211,#REF!,34,FALSE)</f>
        <v>#REF!</v>
      </c>
      <c r="G211" s="105" t="e">
        <f>VLOOKUP(A211,#REF!,29,FALSE)</f>
        <v>#REF!</v>
      </c>
      <c r="H211" s="105" t="e">
        <f>VLOOKUP(A211,#REF!,35,FALSE)+VLOOKUP(A211,#REF!,41,FALSE)</f>
        <v>#REF!</v>
      </c>
      <c r="I211" s="105" t="e">
        <f t="shared" ref="I211:I226" si="75">+Y211</f>
        <v>#REF!</v>
      </c>
      <c r="J211" s="105" t="e">
        <f>VLOOKUP(A211,#REF!,42,FALSE)</f>
        <v>#REF!</v>
      </c>
      <c r="K211" s="105" t="e">
        <f>SUM(F211:J211)</f>
        <v>#REF!</v>
      </c>
      <c r="L211" s="164" t="e">
        <f t="shared" ref="L211:L228" si="76">+BAF</f>
        <v>#REF!</v>
      </c>
      <c r="M211" s="105" t="e">
        <f>ROUND(K211*L211,2)</f>
        <v>#REF!</v>
      </c>
      <c r="N211" s="105">
        <v>285</v>
      </c>
      <c r="O211" s="105" t="e">
        <f>+M211+N211</f>
        <v>#REF!</v>
      </c>
      <c r="P211" s="105" t="e">
        <f>VLOOKUP(A211,#REF!,46,FALSE)</f>
        <v>#REF!</v>
      </c>
      <c r="Q211" s="106" t="e">
        <f>VLOOKUP(A211,#REF!,9,FALSE)</f>
        <v>#REF!</v>
      </c>
      <c r="R211" s="114" t="e">
        <f>#REF!</f>
        <v>#REF!</v>
      </c>
      <c r="S211" s="114" t="e">
        <f>VLOOKUP(A211,#REF!,16,FALSE)</f>
        <v>#REF!</v>
      </c>
      <c r="T211" s="121" t="e">
        <f>VLOOKUP(A211,#REF!,15,FALSE)</f>
        <v>#REF!</v>
      </c>
      <c r="U211" s="121" t="e">
        <f>VLOOKUP(A211,#REF!,19,FALSE)</f>
        <v>#REF!</v>
      </c>
      <c r="V211" s="109" t="e">
        <f>IF($Q211="NA","NA",ROUND(U211*(Q211/R211),2))</f>
        <v>#REF!</v>
      </c>
      <c r="W211" s="121" t="e">
        <f>IF(Q211="NA",ROUND(U211*S211,2),ROUND(V211*(S211/Q211),2))</f>
        <v>#REF!</v>
      </c>
      <c r="X211" s="105" t="e">
        <f>IF(Q211="NA","NA",ROUND(MAX(0,AB211)*-1,2))</f>
        <v>#REF!</v>
      </c>
      <c r="Y211" s="113" t="e">
        <f>IF(Q211="NA",W211,W211+X211)</f>
        <v>#REF!</v>
      </c>
      <c r="Z211" s="109" t="e">
        <f>IF(Q211="NA","NA",ROUND(T211*(S211/Q211),2))</f>
        <v>#REF!</v>
      </c>
      <c r="AA211" s="113" t="e">
        <f>IF(Q211="NA","NA",ROUND(W211*0.95,2))</f>
        <v>#REF!</v>
      </c>
      <c r="AB211" s="109" t="e">
        <f>IF(Q211="NA","NA",AA211-Z211)</f>
        <v>#REF!</v>
      </c>
      <c r="AC211" s="113" t="e">
        <f>+O211+P211</f>
        <v>#REF!</v>
      </c>
      <c r="AD211" s="105" t="e">
        <f>VLOOKUP($A211,#REF!,5,FALSE)</f>
        <v>#REF!</v>
      </c>
      <c r="AE211" s="111" t="e">
        <f>ROUND((AD211*0.75)+(AC211*0.25),2)</f>
        <v>#REF!</v>
      </c>
      <c r="AF211" s="105"/>
      <c r="AG211" s="105"/>
      <c r="AH211" s="111"/>
      <c r="AI211" s="105"/>
      <c r="AJ211" s="109"/>
      <c r="AK211" s="109"/>
    </row>
    <row r="212" spans="1:37" x14ac:dyDescent="0.15">
      <c r="A212" s="115">
        <v>58</v>
      </c>
      <c r="B212" s="98" t="e">
        <f>VLOOKUP($A212,#REF!,84,FALSE)</f>
        <v>#REF!</v>
      </c>
      <c r="C212" s="98" t="e">
        <f>VLOOKUP($A212,#REF!,85,FALSE)</f>
        <v>#REF!</v>
      </c>
      <c r="D212" s="98" t="e">
        <f>VLOOKUP($A212,#REF!,5,FALSE)</f>
        <v>#REF!</v>
      </c>
      <c r="E212" s="98" t="e">
        <f>VLOOKUP($A212,#REF!,6,FALSE)</f>
        <v>#REF!</v>
      </c>
      <c r="F212" s="105" t="e">
        <f>VLOOKUP(A212,#REF!,34,FALSE)</f>
        <v>#REF!</v>
      </c>
      <c r="G212" s="105" t="e">
        <f>VLOOKUP(A212,#REF!,29,FALSE)</f>
        <v>#REF!</v>
      </c>
      <c r="H212" s="105" t="e">
        <f>VLOOKUP(A212,#REF!,35,FALSE)+VLOOKUP(A212,#REF!,41,FALSE)</f>
        <v>#REF!</v>
      </c>
      <c r="I212" s="105" t="e">
        <f t="shared" si="75"/>
        <v>#REF!</v>
      </c>
      <c r="J212" s="105" t="e">
        <f>VLOOKUP(A212,#REF!,42,FALSE)</f>
        <v>#REF!</v>
      </c>
      <c r="K212" s="105" t="e">
        <f>SUM(F212:J212)</f>
        <v>#REF!</v>
      </c>
      <c r="L212" s="164" t="e">
        <f t="shared" si="76"/>
        <v>#REF!</v>
      </c>
      <c r="M212" s="105" t="e">
        <f>ROUND(K212*L212,2)</f>
        <v>#REF!</v>
      </c>
      <c r="N212" s="105">
        <v>285</v>
      </c>
      <c r="O212" s="105" t="e">
        <f>+M212+N212</f>
        <v>#REF!</v>
      </c>
      <c r="P212" s="105" t="e">
        <f>VLOOKUP(A212,#REF!,46,FALSE)</f>
        <v>#REF!</v>
      </c>
      <c r="Q212" s="106" t="e">
        <f>VLOOKUP(A212,#REF!,9,FALSE)</f>
        <v>#REF!</v>
      </c>
      <c r="R212" s="114" t="e">
        <f>#REF!</f>
        <v>#REF!</v>
      </c>
      <c r="S212" s="114" t="e">
        <f>VLOOKUP(A212,#REF!,16,FALSE)</f>
        <v>#REF!</v>
      </c>
      <c r="T212" s="121" t="e">
        <f>VLOOKUP(A212,#REF!,15,FALSE)</f>
        <v>#REF!</v>
      </c>
      <c r="U212" s="121" t="e">
        <f>VLOOKUP(A212,#REF!,19,FALSE)</f>
        <v>#REF!</v>
      </c>
      <c r="V212" s="109" t="e">
        <f t="shared" ref="V212:V226" si="77">IF($Q212="NA","NA",ROUND(U212*(Q212/R212),2))</f>
        <v>#REF!</v>
      </c>
      <c r="W212" s="121" t="e">
        <f t="shared" ref="W212:W226" si="78">IF(Q212="NA",ROUND(U212*S212,2),ROUND(V212*(S212/Q212),2))</f>
        <v>#REF!</v>
      </c>
      <c r="X212" s="105" t="e">
        <f t="shared" ref="X212:X226" si="79">IF(Q212="NA","NA",ROUND(MAX(0,AB212)*-1,2))</f>
        <v>#REF!</v>
      </c>
      <c r="Y212" s="113" t="e">
        <f t="shared" ref="Y212:Y226" si="80">IF(Q212="NA",W212,W212+X212)</f>
        <v>#REF!</v>
      </c>
      <c r="Z212" s="109" t="e">
        <f t="shared" ref="Z212:Z226" si="81">IF(Q212="NA","NA",ROUND(T212*(S212/Q212),2))</f>
        <v>#REF!</v>
      </c>
      <c r="AA212" s="113" t="e">
        <f t="shared" ref="AA212:AA226" si="82">IF(Q212="NA","NA",ROUND(W212*0.95,2))</f>
        <v>#REF!</v>
      </c>
      <c r="AB212" s="109" t="e">
        <f t="shared" ref="AB212:AB226" si="83">IF(Q212="NA","NA",AA212-Z212)</f>
        <v>#REF!</v>
      </c>
      <c r="AC212" s="113" t="e">
        <f t="shared" ref="AC212:AC226" si="84">+O212+P212</f>
        <v>#REF!</v>
      </c>
      <c r="AD212" s="105" t="e">
        <f>VLOOKUP($A212,#REF!,5,FALSE)</f>
        <v>#REF!</v>
      </c>
      <c r="AE212" s="111" t="e">
        <f t="shared" ref="AE212:AE228" si="85">ROUND((AD212*0.75)+(AC212*0.25),2)</f>
        <v>#REF!</v>
      </c>
      <c r="AF212" s="105"/>
      <c r="AG212" s="105"/>
      <c r="AH212" s="111"/>
      <c r="AI212" s="105"/>
      <c r="AJ212" s="109"/>
      <c r="AK212" s="109"/>
    </row>
    <row r="213" spans="1:37" x14ac:dyDescent="0.15">
      <c r="A213" s="115">
        <v>108</v>
      </c>
      <c r="B213" s="98" t="e">
        <f>VLOOKUP($A213,#REF!,84,FALSE)</f>
        <v>#REF!</v>
      </c>
      <c r="C213" s="98" t="e">
        <f>VLOOKUP($A213,#REF!,85,FALSE)</f>
        <v>#REF!</v>
      </c>
      <c r="D213" s="98" t="e">
        <f>VLOOKUP($A213,#REF!,5,FALSE)</f>
        <v>#REF!</v>
      </c>
      <c r="E213" s="98" t="e">
        <f>VLOOKUP($A213,#REF!,6,FALSE)</f>
        <v>#REF!</v>
      </c>
      <c r="F213" s="105" t="e">
        <f>VLOOKUP(A213,#REF!,34,FALSE)</f>
        <v>#REF!</v>
      </c>
      <c r="G213" s="105" t="e">
        <f>VLOOKUP(A213,#REF!,29,FALSE)</f>
        <v>#REF!</v>
      </c>
      <c r="H213" s="105" t="e">
        <f>VLOOKUP(A213,#REF!,35,FALSE)+VLOOKUP(A213,#REF!,41,FALSE)</f>
        <v>#REF!</v>
      </c>
      <c r="I213" s="105" t="e">
        <f t="shared" si="75"/>
        <v>#REF!</v>
      </c>
      <c r="J213" s="105" t="e">
        <f>VLOOKUP(A213,#REF!,42,FALSE)</f>
        <v>#REF!</v>
      </c>
      <c r="K213" s="105" t="e">
        <f t="shared" ref="K213:K226" si="86">SUM(F213:J213)</f>
        <v>#REF!</v>
      </c>
      <c r="L213" s="164" t="e">
        <f t="shared" si="76"/>
        <v>#REF!</v>
      </c>
      <c r="M213" s="105" t="e">
        <f t="shared" ref="M213:M226" si="87">ROUND(K213*L213,2)</f>
        <v>#REF!</v>
      </c>
      <c r="N213" s="105">
        <v>285</v>
      </c>
      <c r="O213" s="105" t="e">
        <f t="shared" ref="O213:O226" si="88">+M213+N213</f>
        <v>#REF!</v>
      </c>
      <c r="P213" s="105" t="e">
        <f>VLOOKUP(A213,#REF!,46,FALSE)</f>
        <v>#REF!</v>
      </c>
      <c r="Q213" s="106" t="e">
        <f>VLOOKUP(A213,#REF!,9,FALSE)</f>
        <v>#REF!</v>
      </c>
      <c r="R213" s="114" t="e">
        <f>#REF!</f>
        <v>#REF!</v>
      </c>
      <c r="S213" s="114" t="e">
        <f>VLOOKUP(A213,#REF!,16,FALSE)</f>
        <v>#REF!</v>
      </c>
      <c r="T213" s="121" t="e">
        <f>VLOOKUP(A213,#REF!,15,FALSE)</f>
        <v>#REF!</v>
      </c>
      <c r="U213" s="121" t="e">
        <f>VLOOKUP(A213,#REF!,19,FALSE)</f>
        <v>#REF!</v>
      </c>
      <c r="V213" s="109" t="e">
        <f t="shared" si="77"/>
        <v>#REF!</v>
      </c>
      <c r="W213" s="121" t="e">
        <f t="shared" si="78"/>
        <v>#REF!</v>
      </c>
      <c r="X213" s="105" t="e">
        <f t="shared" si="79"/>
        <v>#REF!</v>
      </c>
      <c r="Y213" s="113" t="e">
        <f t="shared" si="80"/>
        <v>#REF!</v>
      </c>
      <c r="Z213" s="109" t="e">
        <f t="shared" si="81"/>
        <v>#REF!</v>
      </c>
      <c r="AA213" s="113" t="e">
        <f t="shared" si="82"/>
        <v>#REF!</v>
      </c>
      <c r="AB213" s="109" t="e">
        <f t="shared" si="83"/>
        <v>#REF!</v>
      </c>
      <c r="AC213" s="113" t="e">
        <f t="shared" si="84"/>
        <v>#REF!</v>
      </c>
      <c r="AD213" s="105" t="e">
        <f>VLOOKUP($A213,#REF!,5,FALSE)</f>
        <v>#REF!</v>
      </c>
      <c r="AE213" s="111" t="e">
        <f t="shared" si="85"/>
        <v>#REF!</v>
      </c>
      <c r="AF213" s="105"/>
      <c r="AG213" s="105"/>
      <c r="AH213" s="111"/>
      <c r="AI213" s="105"/>
      <c r="AJ213" s="109"/>
      <c r="AK213" s="109"/>
    </row>
    <row r="214" spans="1:37" x14ac:dyDescent="0.15">
      <c r="A214" s="115">
        <v>118</v>
      </c>
      <c r="B214" s="98" t="e">
        <f>VLOOKUP($A214,#REF!,84,FALSE)</f>
        <v>#REF!</v>
      </c>
      <c r="C214" s="98" t="e">
        <f>VLOOKUP($A214,#REF!,85,FALSE)</f>
        <v>#REF!</v>
      </c>
      <c r="D214" s="98" t="e">
        <f>VLOOKUP($A214,#REF!,5,FALSE)</f>
        <v>#REF!</v>
      </c>
      <c r="E214" s="98" t="e">
        <f>VLOOKUP($A214,#REF!,6,FALSE)</f>
        <v>#REF!</v>
      </c>
      <c r="F214" s="105" t="e">
        <f>VLOOKUP(A214,#REF!,34,FALSE)</f>
        <v>#REF!</v>
      </c>
      <c r="G214" s="105" t="e">
        <f>VLOOKUP(A214,#REF!,29,FALSE)</f>
        <v>#REF!</v>
      </c>
      <c r="H214" s="105" t="e">
        <f>VLOOKUP(A214,#REF!,35,FALSE)+VLOOKUP(A214,#REF!,41,FALSE)</f>
        <v>#REF!</v>
      </c>
      <c r="I214" s="105" t="e">
        <f t="shared" si="75"/>
        <v>#REF!</v>
      </c>
      <c r="J214" s="105" t="e">
        <f>VLOOKUP(A214,#REF!,42,FALSE)</f>
        <v>#REF!</v>
      </c>
      <c r="K214" s="105" t="e">
        <f t="shared" si="86"/>
        <v>#REF!</v>
      </c>
      <c r="L214" s="164" t="e">
        <f t="shared" si="76"/>
        <v>#REF!</v>
      </c>
      <c r="M214" s="105" t="e">
        <f t="shared" si="87"/>
        <v>#REF!</v>
      </c>
      <c r="N214" s="105">
        <v>285</v>
      </c>
      <c r="O214" s="105" t="e">
        <f t="shared" si="88"/>
        <v>#REF!</v>
      </c>
      <c r="P214" s="105" t="e">
        <f>VLOOKUP(A214,#REF!,46,FALSE)</f>
        <v>#REF!</v>
      </c>
      <c r="Q214" s="106" t="e">
        <f>VLOOKUP(A214,#REF!,9,FALSE)</f>
        <v>#REF!</v>
      </c>
      <c r="R214" s="114" t="e">
        <f>#REF!</f>
        <v>#REF!</v>
      </c>
      <c r="S214" s="114" t="e">
        <f>VLOOKUP(A214,#REF!,16,FALSE)</f>
        <v>#REF!</v>
      </c>
      <c r="T214" s="121" t="e">
        <f>VLOOKUP(A214,#REF!,15,FALSE)</f>
        <v>#REF!</v>
      </c>
      <c r="U214" s="121" t="e">
        <f>VLOOKUP(A214,#REF!,19,FALSE)</f>
        <v>#REF!</v>
      </c>
      <c r="V214" s="109" t="e">
        <f t="shared" si="77"/>
        <v>#REF!</v>
      </c>
      <c r="W214" s="121" t="e">
        <f t="shared" si="78"/>
        <v>#REF!</v>
      </c>
      <c r="X214" s="105" t="e">
        <f t="shared" si="79"/>
        <v>#REF!</v>
      </c>
      <c r="Y214" s="113" t="e">
        <f t="shared" si="80"/>
        <v>#REF!</v>
      </c>
      <c r="Z214" s="109" t="e">
        <f t="shared" si="81"/>
        <v>#REF!</v>
      </c>
      <c r="AA214" s="113" t="e">
        <f t="shared" si="82"/>
        <v>#REF!</v>
      </c>
      <c r="AB214" s="109" t="e">
        <f t="shared" si="83"/>
        <v>#REF!</v>
      </c>
      <c r="AC214" s="113" t="e">
        <f t="shared" si="84"/>
        <v>#REF!</v>
      </c>
      <c r="AD214" s="105" t="e">
        <f>VLOOKUP($A214,#REF!,5,FALSE)</f>
        <v>#REF!</v>
      </c>
      <c r="AE214" s="111" t="e">
        <f t="shared" si="85"/>
        <v>#REF!</v>
      </c>
      <c r="AF214" s="105"/>
      <c r="AG214" s="105"/>
      <c r="AH214" s="111"/>
      <c r="AI214" s="105"/>
      <c r="AJ214" s="109"/>
      <c r="AK214" s="109"/>
    </row>
    <row r="215" spans="1:37" x14ac:dyDescent="0.15">
      <c r="A215" s="115">
        <v>665</v>
      </c>
      <c r="B215" s="98" t="e">
        <f>VLOOKUP($A215,#REF!,84,FALSE)</f>
        <v>#REF!</v>
      </c>
      <c r="C215" s="98" t="e">
        <f>VLOOKUP($A215,#REF!,85,FALSE)</f>
        <v>#REF!</v>
      </c>
      <c r="D215" s="98" t="e">
        <f>VLOOKUP($A215,#REF!,5,FALSE)</f>
        <v>#REF!</v>
      </c>
      <c r="E215" s="98" t="e">
        <f>VLOOKUP($A215,#REF!,6,FALSE)</f>
        <v>#REF!</v>
      </c>
      <c r="F215" s="105" t="e">
        <f>VLOOKUP(A215,#REF!,34,FALSE)</f>
        <v>#REF!</v>
      </c>
      <c r="G215" s="105" t="e">
        <f>VLOOKUP(A215,#REF!,29,FALSE)</f>
        <v>#REF!</v>
      </c>
      <c r="H215" s="105" t="e">
        <f>VLOOKUP(A215,#REF!,35,FALSE)+VLOOKUP(A215,#REF!,41,FALSE)</f>
        <v>#REF!</v>
      </c>
      <c r="I215" s="105" t="e">
        <f t="shared" si="75"/>
        <v>#REF!</v>
      </c>
      <c r="J215" s="105" t="e">
        <f>VLOOKUP(A215,#REF!,42,FALSE)</f>
        <v>#REF!</v>
      </c>
      <c r="K215" s="105" t="e">
        <f t="shared" si="86"/>
        <v>#REF!</v>
      </c>
      <c r="L215" s="164" t="e">
        <f t="shared" si="76"/>
        <v>#REF!</v>
      </c>
      <c r="M215" s="105" t="e">
        <f t="shared" si="87"/>
        <v>#REF!</v>
      </c>
      <c r="N215" s="105">
        <v>285</v>
      </c>
      <c r="O215" s="105" t="e">
        <f t="shared" si="88"/>
        <v>#REF!</v>
      </c>
      <c r="P215" s="105" t="e">
        <f>VLOOKUP(A215,#REF!,46,FALSE)</f>
        <v>#REF!</v>
      </c>
      <c r="Q215" s="106" t="e">
        <f>VLOOKUP(A215,#REF!,9,FALSE)</f>
        <v>#REF!</v>
      </c>
      <c r="R215" s="114" t="e">
        <f>#REF!</f>
        <v>#REF!</v>
      </c>
      <c r="S215" s="114">
        <v>3.84</v>
      </c>
      <c r="T215" s="121" t="e">
        <f>VLOOKUP(A215,#REF!,15,FALSE)</f>
        <v>#REF!</v>
      </c>
      <c r="U215" s="121" t="e">
        <f>VLOOKUP(A215,#REF!,19,FALSE)</f>
        <v>#REF!</v>
      </c>
      <c r="V215" s="109" t="e">
        <f t="shared" si="77"/>
        <v>#REF!</v>
      </c>
      <c r="W215" s="121" t="e">
        <f t="shared" si="78"/>
        <v>#REF!</v>
      </c>
      <c r="X215" s="105" t="e">
        <f t="shared" si="79"/>
        <v>#REF!</v>
      </c>
      <c r="Y215" s="113" t="e">
        <f t="shared" si="80"/>
        <v>#REF!</v>
      </c>
      <c r="Z215" s="109" t="e">
        <f t="shared" si="81"/>
        <v>#REF!</v>
      </c>
      <c r="AA215" s="113" t="e">
        <f t="shared" si="82"/>
        <v>#REF!</v>
      </c>
      <c r="AB215" s="109" t="e">
        <f t="shared" si="83"/>
        <v>#REF!</v>
      </c>
      <c r="AC215" s="113" t="e">
        <f t="shared" si="84"/>
        <v>#REF!</v>
      </c>
      <c r="AD215" s="105" t="e">
        <f>VLOOKUP($A215,#REF!,5,FALSE)</f>
        <v>#REF!</v>
      </c>
      <c r="AE215" s="111" t="e">
        <f t="shared" si="85"/>
        <v>#REF!</v>
      </c>
      <c r="AF215" s="105"/>
      <c r="AG215" s="105"/>
      <c r="AH215" s="111"/>
      <c r="AI215" s="105"/>
      <c r="AJ215" s="109"/>
      <c r="AK215" s="109"/>
    </row>
    <row r="216" spans="1:37" x14ac:dyDescent="0.15">
      <c r="A216" s="115">
        <v>48</v>
      </c>
      <c r="B216" s="98" t="e">
        <f>VLOOKUP($A216,#REF!,84,FALSE)</f>
        <v>#REF!</v>
      </c>
      <c r="C216" s="98" t="e">
        <f>VLOOKUP($A216,#REF!,85,FALSE)</f>
        <v>#REF!</v>
      </c>
      <c r="D216" s="98" t="e">
        <f>VLOOKUP($A216,#REF!,5,FALSE)</f>
        <v>#REF!</v>
      </c>
      <c r="E216" s="98" t="e">
        <f>VLOOKUP($A216,#REF!,6,FALSE)</f>
        <v>#REF!</v>
      </c>
      <c r="F216" s="105" t="e">
        <f>VLOOKUP(A216,#REF!,34,FALSE)</f>
        <v>#REF!</v>
      </c>
      <c r="G216" s="105" t="e">
        <f>VLOOKUP(A216,#REF!,29,FALSE)</f>
        <v>#REF!</v>
      </c>
      <c r="H216" s="105" t="e">
        <f>VLOOKUP(A216,#REF!,35,FALSE)+VLOOKUP(A216,#REF!,41,FALSE)</f>
        <v>#REF!</v>
      </c>
      <c r="I216" s="105" t="e">
        <f t="shared" si="75"/>
        <v>#REF!</v>
      </c>
      <c r="J216" s="105" t="e">
        <f>VLOOKUP(A216,#REF!,42,FALSE)</f>
        <v>#REF!</v>
      </c>
      <c r="K216" s="105" t="e">
        <f t="shared" si="86"/>
        <v>#REF!</v>
      </c>
      <c r="L216" s="164" t="e">
        <f t="shared" si="76"/>
        <v>#REF!</v>
      </c>
      <c r="M216" s="105" t="e">
        <f t="shared" si="87"/>
        <v>#REF!</v>
      </c>
      <c r="N216" s="105">
        <v>285</v>
      </c>
      <c r="O216" s="105" t="e">
        <f t="shared" si="88"/>
        <v>#REF!</v>
      </c>
      <c r="P216" s="105" t="e">
        <f>VLOOKUP(A216,#REF!,46,FALSE)</f>
        <v>#REF!</v>
      </c>
      <c r="Q216" s="106" t="e">
        <f>VLOOKUP(A216,#REF!,9,FALSE)</f>
        <v>#REF!</v>
      </c>
      <c r="R216" s="114" t="e">
        <f>#REF!</f>
        <v>#REF!</v>
      </c>
      <c r="S216" s="114" t="e">
        <f>VLOOKUP(A216,#REF!,16,FALSE)</f>
        <v>#REF!</v>
      </c>
      <c r="T216" s="121" t="e">
        <f>VLOOKUP(A216,#REF!,15,FALSE)</f>
        <v>#REF!</v>
      </c>
      <c r="U216" s="121" t="e">
        <f>VLOOKUP(A216,#REF!,19,FALSE)</f>
        <v>#REF!</v>
      </c>
      <c r="V216" s="109" t="e">
        <f t="shared" si="77"/>
        <v>#REF!</v>
      </c>
      <c r="W216" s="121" t="e">
        <f t="shared" si="78"/>
        <v>#REF!</v>
      </c>
      <c r="X216" s="105" t="e">
        <f t="shared" si="79"/>
        <v>#REF!</v>
      </c>
      <c r="Y216" s="113" t="e">
        <f t="shared" si="80"/>
        <v>#REF!</v>
      </c>
      <c r="Z216" s="109" t="e">
        <f t="shared" si="81"/>
        <v>#REF!</v>
      </c>
      <c r="AA216" s="113" t="e">
        <f t="shared" si="82"/>
        <v>#REF!</v>
      </c>
      <c r="AB216" s="109" t="e">
        <f t="shared" si="83"/>
        <v>#REF!</v>
      </c>
      <c r="AC216" s="113" t="e">
        <f t="shared" si="84"/>
        <v>#REF!</v>
      </c>
      <c r="AD216" s="105" t="e">
        <f>VLOOKUP($A216,#REF!,5,FALSE)</f>
        <v>#REF!</v>
      </c>
      <c r="AE216" s="111" t="e">
        <f t="shared" si="85"/>
        <v>#REF!</v>
      </c>
      <c r="AF216" s="105"/>
      <c r="AG216" s="105"/>
      <c r="AH216" s="111"/>
      <c r="AI216" s="105"/>
      <c r="AJ216" s="109"/>
      <c r="AK216" s="109"/>
    </row>
    <row r="217" spans="1:37" x14ac:dyDescent="0.15">
      <c r="A217" s="98">
        <v>735</v>
      </c>
      <c r="B217" s="98" t="e">
        <f>VLOOKUP($A217,#REF!,84,FALSE)</f>
        <v>#REF!</v>
      </c>
      <c r="C217" s="98" t="e">
        <f>VLOOKUP($A217,#REF!,85,FALSE)</f>
        <v>#REF!</v>
      </c>
      <c r="D217" s="98" t="e">
        <f>VLOOKUP($A217,#REF!,5,FALSE)</f>
        <v>#REF!</v>
      </c>
      <c r="E217" s="98" t="e">
        <f>VLOOKUP($A217,#REF!,6,FALSE)</f>
        <v>#REF!</v>
      </c>
      <c r="F217" s="105" t="e">
        <f>VLOOKUP(A217,#REF!,34,FALSE)</f>
        <v>#REF!</v>
      </c>
      <c r="G217" s="105" t="e">
        <f>VLOOKUP(A217,#REF!,29,FALSE)</f>
        <v>#REF!</v>
      </c>
      <c r="H217" s="105" t="e">
        <f>VLOOKUP(A217,#REF!,35,FALSE)+VLOOKUP(A217,#REF!,41,FALSE)</f>
        <v>#REF!</v>
      </c>
      <c r="I217" s="105" t="e">
        <f t="shared" si="75"/>
        <v>#REF!</v>
      </c>
      <c r="J217" s="105" t="e">
        <f>VLOOKUP(A217,#REF!,42,FALSE)</f>
        <v>#REF!</v>
      </c>
      <c r="K217" s="105" t="e">
        <f t="shared" si="86"/>
        <v>#REF!</v>
      </c>
      <c r="L217" s="164" t="e">
        <f t="shared" si="76"/>
        <v>#REF!</v>
      </c>
      <c r="M217" s="105" t="e">
        <f t="shared" si="87"/>
        <v>#REF!</v>
      </c>
      <c r="N217" s="105">
        <v>285</v>
      </c>
      <c r="O217" s="105" t="e">
        <f t="shared" si="88"/>
        <v>#REF!</v>
      </c>
      <c r="P217" s="105" t="e">
        <f>VLOOKUP(A217,#REF!,46,FALSE)</f>
        <v>#REF!</v>
      </c>
      <c r="Q217" s="106" t="e">
        <f>VLOOKUP(A217,#REF!,9,FALSE)</f>
        <v>#REF!</v>
      </c>
      <c r="R217" s="114" t="e">
        <f>#REF!</f>
        <v>#REF!</v>
      </c>
      <c r="S217" s="114" t="e">
        <f>VLOOKUP(A217,#REF!,16,FALSE)</f>
        <v>#REF!</v>
      </c>
      <c r="T217" s="121" t="e">
        <f>VLOOKUP(A217,#REF!,15,FALSE)</f>
        <v>#REF!</v>
      </c>
      <c r="U217" s="121" t="e">
        <f>VLOOKUP(A217,#REF!,19,FALSE)</f>
        <v>#REF!</v>
      </c>
      <c r="V217" s="109" t="e">
        <f t="shared" si="77"/>
        <v>#REF!</v>
      </c>
      <c r="W217" s="121" t="e">
        <f t="shared" si="78"/>
        <v>#REF!</v>
      </c>
      <c r="X217" s="105" t="e">
        <f t="shared" si="79"/>
        <v>#REF!</v>
      </c>
      <c r="Y217" s="113" t="e">
        <f t="shared" si="80"/>
        <v>#REF!</v>
      </c>
      <c r="Z217" s="109" t="e">
        <f t="shared" si="81"/>
        <v>#REF!</v>
      </c>
      <c r="AA217" s="113" t="e">
        <f t="shared" si="82"/>
        <v>#REF!</v>
      </c>
      <c r="AB217" s="109" t="e">
        <f t="shared" si="83"/>
        <v>#REF!</v>
      </c>
      <c r="AC217" s="113" t="e">
        <f t="shared" si="84"/>
        <v>#REF!</v>
      </c>
      <c r="AD217" s="105" t="e">
        <f>VLOOKUP($A217,#REF!,5,FALSE)</f>
        <v>#REF!</v>
      </c>
      <c r="AE217" s="111" t="e">
        <f t="shared" si="85"/>
        <v>#REF!</v>
      </c>
      <c r="AF217" s="105"/>
      <c r="AG217" s="105"/>
      <c r="AH217" s="111"/>
      <c r="AI217" s="105"/>
      <c r="AJ217" s="109"/>
      <c r="AK217" s="109"/>
    </row>
    <row r="218" spans="1:37" x14ac:dyDescent="0.15">
      <c r="A218" s="115">
        <v>342</v>
      </c>
      <c r="B218" s="98" t="e">
        <f>VLOOKUP($A218,#REF!,84,FALSE)</f>
        <v>#REF!</v>
      </c>
      <c r="C218" s="98" t="e">
        <f>VLOOKUP($A218,#REF!,85,FALSE)</f>
        <v>#REF!</v>
      </c>
      <c r="D218" s="98" t="e">
        <f>VLOOKUP($A218,#REF!,5,FALSE)</f>
        <v>#REF!</v>
      </c>
      <c r="E218" s="98" t="e">
        <f>VLOOKUP($A218,#REF!,6,FALSE)</f>
        <v>#REF!</v>
      </c>
      <c r="F218" s="105" t="e">
        <f>VLOOKUP(A218,#REF!,34,FALSE)</f>
        <v>#REF!</v>
      </c>
      <c r="G218" s="105" t="e">
        <f>VLOOKUP(A218,#REF!,29,FALSE)</f>
        <v>#REF!</v>
      </c>
      <c r="H218" s="105" t="e">
        <f>VLOOKUP(A218,#REF!,35,FALSE)+VLOOKUP(A218,#REF!,41,FALSE)</f>
        <v>#REF!</v>
      </c>
      <c r="I218" s="105" t="e">
        <f t="shared" si="75"/>
        <v>#REF!</v>
      </c>
      <c r="J218" s="105" t="e">
        <f>VLOOKUP(A218,#REF!,42,FALSE)</f>
        <v>#REF!</v>
      </c>
      <c r="K218" s="105" t="e">
        <f t="shared" si="86"/>
        <v>#REF!</v>
      </c>
      <c r="L218" s="164" t="e">
        <f t="shared" si="76"/>
        <v>#REF!</v>
      </c>
      <c r="M218" s="105" t="e">
        <f t="shared" si="87"/>
        <v>#REF!</v>
      </c>
      <c r="N218" s="105">
        <v>285</v>
      </c>
      <c r="O218" s="105" t="e">
        <f t="shared" si="88"/>
        <v>#REF!</v>
      </c>
      <c r="P218" s="105" t="e">
        <f>VLOOKUP(A218,#REF!,46,FALSE)</f>
        <v>#REF!</v>
      </c>
      <c r="Q218" s="106" t="e">
        <f>VLOOKUP(A218,#REF!,9,FALSE)</f>
        <v>#REF!</v>
      </c>
      <c r="R218" s="114" t="e">
        <f>#REF!</f>
        <v>#REF!</v>
      </c>
      <c r="S218" s="114" t="e">
        <f>VLOOKUP(A218,#REF!,16,FALSE)</f>
        <v>#REF!</v>
      </c>
      <c r="T218" s="121" t="e">
        <f>VLOOKUP(A218,#REF!,15,FALSE)</f>
        <v>#REF!</v>
      </c>
      <c r="U218" s="121" t="e">
        <f>VLOOKUP(A218,#REF!,19,FALSE)</f>
        <v>#REF!</v>
      </c>
      <c r="V218" s="109" t="e">
        <f t="shared" si="77"/>
        <v>#REF!</v>
      </c>
      <c r="W218" s="121" t="e">
        <f t="shared" si="78"/>
        <v>#REF!</v>
      </c>
      <c r="X218" s="105" t="e">
        <f t="shared" si="79"/>
        <v>#REF!</v>
      </c>
      <c r="Y218" s="113" t="e">
        <f t="shared" si="80"/>
        <v>#REF!</v>
      </c>
      <c r="Z218" s="109" t="e">
        <f t="shared" si="81"/>
        <v>#REF!</v>
      </c>
      <c r="AA218" s="113" t="e">
        <f t="shared" si="82"/>
        <v>#REF!</v>
      </c>
      <c r="AB218" s="109" t="e">
        <f t="shared" si="83"/>
        <v>#REF!</v>
      </c>
      <c r="AC218" s="113" t="e">
        <f t="shared" si="84"/>
        <v>#REF!</v>
      </c>
      <c r="AD218" s="105" t="e">
        <f>VLOOKUP($A218,#REF!,5,FALSE)</f>
        <v>#REF!</v>
      </c>
      <c r="AE218" s="111" t="e">
        <f t="shared" si="85"/>
        <v>#REF!</v>
      </c>
      <c r="AF218" s="105"/>
      <c r="AG218" s="105"/>
      <c r="AH218" s="111"/>
      <c r="AI218" s="105"/>
      <c r="AJ218" s="109"/>
      <c r="AK218" s="109"/>
    </row>
    <row r="219" spans="1:37" x14ac:dyDescent="0.15">
      <c r="A219" s="115">
        <v>26</v>
      </c>
      <c r="B219" s="98" t="e">
        <f>VLOOKUP($A219,#REF!,84,FALSE)</f>
        <v>#REF!</v>
      </c>
      <c r="C219" s="98" t="e">
        <f>VLOOKUP($A219,#REF!,85,FALSE)</f>
        <v>#REF!</v>
      </c>
      <c r="D219" s="98" t="e">
        <f>VLOOKUP($A219,#REF!,5,FALSE)</f>
        <v>#REF!</v>
      </c>
      <c r="E219" s="98" t="e">
        <f>VLOOKUP($A219,#REF!,6,FALSE)</f>
        <v>#REF!</v>
      </c>
      <c r="F219" s="105" t="e">
        <f>VLOOKUP(A219,#REF!,34,FALSE)</f>
        <v>#REF!</v>
      </c>
      <c r="G219" s="105" t="e">
        <f>VLOOKUP(A219,#REF!,29,FALSE)</f>
        <v>#REF!</v>
      </c>
      <c r="H219" s="105" t="e">
        <f>VLOOKUP(A219,#REF!,35,FALSE)+VLOOKUP(A219,#REF!,41,FALSE)</f>
        <v>#REF!</v>
      </c>
      <c r="I219" s="105" t="e">
        <f t="shared" si="75"/>
        <v>#REF!</v>
      </c>
      <c r="J219" s="105" t="e">
        <f>VLOOKUP(A219,#REF!,42,FALSE)</f>
        <v>#REF!</v>
      </c>
      <c r="K219" s="105" t="e">
        <f t="shared" si="86"/>
        <v>#REF!</v>
      </c>
      <c r="L219" s="164" t="e">
        <f t="shared" si="76"/>
        <v>#REF!</v>
      </c>
      <c r="M219" s="105" t="e">
        <f t="shared" si="87"/>
        <v>#REF!</v>
      </c>
      <c r="N219" s="105">
        <v>285</v>
      </c>
      <c r="O219" s="105" t="e">
        <f t="shared" si="88"/>
        <v>#REF!</v>
      </c>
      <c r="P219" s="105" t="e">
        <f>VLOOKUP(A219,#REF!,46,FALSE)</f>
        <v>#REF!</v>
      </c>
      <c r="Q219" s="106" t="e">
        <f>VLOOKUP(A219,#REF!,9,FALSE)</f>
        <v>#REF!</v>
      </c>
      <c r="R219" s="114" t="e">
        <f>#REF!</f>
        <v>#REF!</v>
      </c>
      <c r="S219" s="114" t="e">
        <f>VLOOKUP(A219,#REF!,16,FALSE)</f>
        <v>#REF!</v>
      </c>
      <c r="T219" s="121" t="e">
        <f>VLOOKUP(A219,#REF!,15,FALSE)</f>
        <v>#REF!</v>
      </c>
      <c r="U219" s="121" t="e">
        <f>VLOOKUP(A219,#REF!,19,FALSE)</f>
        <v>#REF!</v>
      </c>
      <c r="V219" s="109" t="e">
        <f t="shared" si="77"/>
        <v>#REF!</v>
      </c>
      <c r="W219" s="121" t="e">
        <f t="shared" si="78"/>
        <v>#REF!</v>
      </c>
      <c r="X219" s="105" t="e">
        <f t="shared" si="79"/>
        <v>#REF!</v>
      </c>
      <c r="Y219" s="113" t="e">
        <f t="shared" si="80"/>
        <v>#REF!</v>
      </c>
      <c r="Z219" s="109" t="e">
        <f t="shared" si="81"/>
        <v>#REF!</v>
      </c>
      <c r="AA219" s="113" t="e">
        <f t="shared" si="82"/>
        <v>#REF!</v>
      </c>
      <c r="AB219" s="109" t="e">
        <f t="shared" si="83"/>
        <v>#REF!</v>
      </c>
      <c r="AC219" s="113" t="e">
        <f t="shared" si="84"/>
        <v>#REF!</v>
      </c>
      <c r="AD219" s="105" t="e">
        <f>VLOOKUP($A219,#REF!,5,FALSE)</f>
        <v>#REF!</v>
      </c>
      <c r="AE219" s="111" t="e">
        <f t="shared" si="85"/>
        <v>#REF!</v>
      </c>
      <c r="AF219" s="105"/>
      <c r="AG219" s="105"/>
      <c r="AH219" s="111"/>
      <c r="AI219" s="105"/>
      <c r="AJ219" s="109"/>
      <c r="AK219" s="109"/>
    </row>
    <row r="220" spans="1:37" x14ac:dyDescent="0.15">
      <c r="A220" s="115">
        <v>1366</v>
      </c>
      <c r="B220" s="98" t="e">
        <f>VLOOKUP($A220,#REF!,84,FALSE)</f>
        <v>#REF!</v>
      </c>
      <c r="C220" s="98" t="e">
        <f>VLOOKUP($A220,#REF!,85,FALSE)</f>
        <v>#REF!</v>
      </c>
      <c r="D220" s="98" t="e">
        <f>VLOOKUP($A220,#REF!,5,FALSE)</f>
        <v>#REF!</v>
      </c>
      <c r="E220" s="98" t="e">
        <f>VLOOKUP($A220,#REF!,6,FALSE)</f>
        <v>#REF!</v>
      </c>
      <c r="F220" s="105" t="e">
        <f>VLOOKUP(A220,#REF!,34,FALSE)</f>
        <v>#REF!</v>
      </c>
      <c r="G220" s="105" t="e">
        <f>VLOOKUP(A220,#REF!,29,FALSE)</f>
        <v>#REF!</v>
      </c>
      <c r="H220" s="105" t="e">
        <f>VLOOKUP(A220,#REF!,35,FALSE)+VLOOKUP(A220,#REF!,41,FALSE)</f>
        <v>#REF!</v>
      </c>
      <c r="I220" s="105" t="e">
        <f t="shared" si="75"/>
        <v>#REF!</v>
      </c>
      <c r="J220" s="105" t="e">
        <f>VLOOKUP(A220,#REF!,42,FALSE)</f>
        <v>#REF!</v>
      </c>
      <c r="K220" s="105" t="e">
        <f t="shared" si="86"/>
        <v>#REF!</v>
      </c>
      <c r="L220" s="164" t="e">
        <f t="shared" si="76"/>
        <v>#REF!</v>
      </c>
      <c r="M220" s="105" t="e">
        <f t="shared" si="87"/>
        <v>#REF!</v>
      </c>
      <c r="N220" s="105">
        <v>285</v>
      </c>
      <c r="O220" s="105" t="e">
        <f t="shared" si="88"/>
        <v>#REF!</v>
      </c>
      <c r="P220" s="105" t="e">
        <f>VLOOKUP(A220,#REF!,46,FALSE)</f>
        <v>#REF!</v>
      </c>
      <c r="Q220" s="106" t="e">
        <f>VLOOKUP(A220,#REF!,9,FALSE)</f>
        <v>#REF!</v>
      </c>
      <c r="R220" s="114" t="e">
        <f>#REF!</f>
        <v>#REF!</v>
      </c>
      <c r="S220" s="114" t="e">
        <f>VLOOKUP(A220,#REF!,16,FALSE)</f>
        <v>#REF!</v>
      </c>
      <c r="T220" s="121" t="e">
        <f>VLOOKUP(A220,#REF!,15,FALSE)</f>
        <v>#REF!</v>
      </c>
      <c r="U220" s="121" t="e">
        <f>VLOOKUP(A220,#REF!,19,FALSE)</f>
        <v>#REF!</v>
      </c>
      <c r="V220" s="109" t="e">
        <f t="shared" si="77"/>
        <v>#REF!</v>
      </c>
      <c r="W220" s="121" t="e">
        <f t="shared" si="78"/>
        <v>#REF!</v>
      </c>
      <c r="X220" s="105" t="e">
        <f t="shared" si="79"/>
        <v>#REF!</v>
      </c>
      <c r="Y220" s="113" t="e">
        <f t="shared" si="80"/>
        <v>#REF!</v>
      </c>
      <c r="Z220" s="109" t="e">
        <f t="shared" si="81"/>
        <v>#REF!</v>
      </c>
      <c r="AA220" s="113" t="e">
        <f t="shared" si="82"/>
        <v>#REF!</v>
      </c>
      <c r="AB220" s="109" t="e">
        <f t="shared" si="83"/>
        <v>#REF!</v>
      </c>
      <c r="AC220" s="113" t="e">
        <f t="shared" si="84"/>
        <v>#REF!</v>
      </c>
      <c r="AD220" s="105" t="e">
        <f>VLOOKUP($A220,#REF!,5,FALSE)</f>
        <v>#REF!</v>
      </c>
      <c r="AE220" s="111" t="e">
        <f t="shared" si="85"/>
        <v>#REF!</v>
      </c>
      <c r="AF220" s="105"/>
      <c r="AG220" s="105"/>
      <c r="AH220" s="111"/>
      <c r="AI220" s="105"/>
      <c r="AJ220" s="109"/>
      <c r="AK220" s="109"/>
    </row>
    <row r="221" spans="1:37" x14ac:dyDescent="0.15">
      <c r="A221" s="115">
        <v>186</v>
      </c>
      <c r="B221" s="98" t="e">
        <f>VLOOKUP($A221,#REF!,84,FALSE)</f>
        <v>#REF!</v>
      </c>
      <c r="C221" s="98" t="e">
        <f>VLOOKUP($A221,#REF!,85,FALSE)</f>
        <v>#REF!</v>
      </c>
      <c r="D221" s="98" t="e">
        <f>VLOOKUP($A221,#REF!,5,FALSE)</f>
        <v>#REF!</v>
      </c>
      <c r="E221" s="98" t="e">
        <f>VLOOKUP($A221,#REF!,6,FALSE)</f>
        <v>#REF!</v>
      </c>
      <c r="F221" s="105" t="e">
        <f>VLOOKUP(A221,#REF!,34,FALSE)</f>
        <v>#REF!</v>
      </c>
      <c r="G221" s="105" t="e">
        <f>VLOOKUP(A221,#REF!,29,FALSE)</f>
        <v>#REF!</v>
      </c>
      <c r="H221" s="105" t="e">
        <f>VLOOKUP(A221,#REF!,35,FALSE)+VLOOKUP(A221,#REF!,41,FALSE)</f>
        <v>#REF!</v>
      </c>
      <c r="I221" s="105" t="e">
        <f t="shared" si="75"/>
        <v>#REF!</v>
      </c>
      <c r="J221" s="105" t="e">
        <f>VLOOKUP(A221,#REF!,42,FALSE)</f>
        <v>#REF!</v>
      </c>
      <c r="K221" s="105" t="e">
        <f t="shared" si="86"/>
        <v>#REF!</v>
      </c>
      <c r="L221" s="164" t="e">
        <f t="shared" si="76"/>
        <v>#REF!</v>
      </c>
      <c r="M221" s="105" t="e">
        <f t="shared" si="87"/>
        <v>#REF!</v>
      </c>
      <c r="N221" s="105">
        <v>285</v>
      </c>
      <c r="O221" s="105" t="e">
        <f t="shared" si="88"/>
        <v>#REF!</v>
      </c>
      <c r="P221" s="105" t="e">
        <f>VLOOKUP(A221,#REF!,46,FALSE)</f>
        <v>#REF!</v>
      </c>
      <c r="Q221" s="106" t="e">
        <f>VLOOKUP(A221,#REF!,9,FALSE)</f>
        <v>#REF!</v>
      </c>
      <c r="R221" s="114" t="e">
        <f>#REF!</f>
        <v>#REF!</v>
      </c>
      <c r="S221" s="114" t="e">
        <f>VLOOKUP(A221,#REF!,16,FALSE)</f>
        <v>#REF!</v>
      </c>
      <c r="T221" s="121" t="e">
        <f>VLOOKUP(A221,#REF!,15,FALSE)</f>
        <v>#REF!</v>
      </c>
      <c r="U221" s="121" t="e">
        <f>VLOOKUP(A221,#REF!,19,FALSE)</f>
        <v>#REF!</v>
      </c>
      <c r="V221" s="109" t="e">
        <f t="shared" si="77"/>
        <v>#REF!</v>
      </c>
      <c r="W221" s="121" t="e">
        <f t="shared" si="78"/>
        <v>#REF!</v>
      </c>
      <c r="X221" s="105" t="e">
        <f t="shared" si="79"/>
        <v>#REF!</v>
      </c>
      <c r="Y221" s="113" t="e">
        <f t="shared" si="80"/>
        <v>#REF!</v>
      </c>
      <c r="Z221" s="109" t="e">
        <f t="shared" si="81"/>
        <v>#REF!</v>
      </c>
      <c r="AA221" s="113" t="e">
        <f t="shared" si="82"/>
        <v>#REF!</v>
      </c>
      <c r="AB221" s="109" t="e">
        <f t="shared" si="83"/>
        <v>#REF!</v>
      </c>
      <c r="AC221" s="113" t="e">
        <f t="shared" si="84"/>
        <v>#REF!</v>
      </c>
      <c r="AD221" s="105" t="e">
        <f>VLOOKUP($A221,#REF!,5,FALSE)</f>
        <v>#REF!</v>
      </c>
      <c r="AE221" s="111" t="e">
        <f t="shared" si="85"/>
        <v>#REF!</v>
      </c>
      <c r="AF221" s="105"/>
      <c r="AG221" s="105"/>
      <c r="AH221" s="111"/>
      <c r="AI221" s="105"/>
      <c r="AJ221" s="109"/>
      <c r="AK221" s="109"/>
    </row>
    <row r="222" spans="1:37" x14ac:dyDescent="0.15">
      <c r="A222" s="115">
        <v>713</v>
      </c>
      <c r="B222" s="98" t="e">
        <f>VLOOKUP($A222,#REF!,84,FALSE)</f>
        <v>#REF!</v>
      </c>
      <c r="C222" s="98" t="e">
        <f>VLOOKUP($A222,#REF!,85,FALSE)</f>
        <v>#REF!</v>
      </c>
      <c r="D222" s="98" t="e">
        <f>VLOOKUP($A222,#REF!,5,FALSE)</f>
        <v>#REF!</v>
      </c>
      <c r="E222" s="98" t="e">
        <f>VLOOKUP($A222,#REF!,6,FALSE)</f>
        <v>#REF!</v>
      </c>
      <c r="F222" s="105" t="e">
        <f>VLOOKUP(A222,#REF!,34,FALSE)</f>
        <v>#REF!</v>
      </c>
      <c r="G222" s="105" t="e">
        <f>VLOOKUP(A222,#REF!,29,FALSE)</f>
        <v>#REF!</v>
      </c>
      <c r="H222" s="105" t="e">
        <f>VLOOKUP(A222,#REF!,35,FALSE)+VLOOKUP(A222,#REF!,41,FALSE)</f>
        <v>#REF!</v>
      </c>
      <c r="I222" s="105" t="e">
        <f t="shared" si="75"/>
        <v>#REF!</v>
      </c>
      <c r="J222" s="105" t="e">
        <f>VLOOKUP(A222,#REF!,42,FALSE)</f>
        <v>#REF!</v>
      </c>
      <c r="K222" s="105" t="e">
        <f t="shared" si="86"/>
        <v>#REF!</v>
      </c>
      <c r="L222" s="164" t="e">
        <f t="shared" si="76"/>
        <v>#REF!</v>
      </c>
      <c r="M222" s="105" t="e">
        <f t="shared" si="87"/>
        <v>#REF!</v>
      </c>
      <c r="N222" s="105">
        <v>285</v>
      </c>
      <c r="O222" s="105" t="e">
        <f t="shared" si="88"/>
        <v>#REF!</v>
      </c>
      <c r="P222" s="105" t="e">
        <f>VLOOKUP(A222,#REF!,46,FALSE)</f>
        <v>#REF!</v>
      </c>
      <c r="Q222" s="106" t="e">
        <f>VLOOKUP(A222,#REF!,9,FALSE)</f>
        <v>#REF!</v>
      </c>
      <c r="R222" s="114" t="e">
        <f>#REF!</f>
        <v>#REF!</v>
      </c>
      <c r="S222" s="114" t="e">
        <f>VLOOKUP(A222,#REF!,16,FALSE)</f>
        <v>#REF!</v>
      </c>
      <c r="T222" s="121" t="e">
        <f>VLOOKUP(A222,#REF!,15,FALSE)</f>
        <v>#REF!</v>
      </c>
      <c r="U222" s="121" t="e">
        <f>VLOOKUP(A222,#REF!,19,FALSE)</f>
        <v>#REF!</v>
      </c>
      <c r="V222" s="109" t="e">
        <f t="shared" si="77"/>
        <v>#REF!</v>
      </c>
      <c r="W222" s="121" t="e">
        <f t="shared" si="78"/>
        <v>#REF!</v>
      </c>
      <c r="X222" s="105" t="e">
        <f t="shared" si="79"/>
        <v>#REF!</v>
      </c>
      <c r="Y222" s="113" t="e">
        <f t="shared" si="80"/>
        <v>#REF!</v>
      </c>
      <c r="Z222" s="109" t="e">
        <f t="shared" si="81"/>
        <v>#REF!</v>
      </c>
      <c r="AA222" s="113" t="e">
        <f t="shared" si="82"/>
        <v>#REF!</v>
      </c>
      <c r="AB222" s="109" t="e">
        <f t="shared" si="83"/>
        <v>#REF!</v>
      </c>
      <c r="AC222" s="113" t="e">
        <f t="shared" si="84"/>
        <v>#REF!</v>
      </c>
      <c r="AD222" s="105" t="e">
        <f>VLOOKUP($A222,#REF!,5,FALSE)</f>
        <v>#REF!</v>
      </c>
      <c r="AE222" s="111" t="e">
        <f t="shared" si="85"/>
        <v>#REF!</v>
      </c>
      <c r="AF222" s="105"/>
      <c r="AG222" s="105"/>
      <c r="AH222" s="111"/>
      <c r="AI222" s="105"/>
      <c r="AJ222" s="109"/>
      <c r="AK222" s="109"/>
    </row>
    <row r="223" spans="1:37" x14ac:dyDescent="0.15">
      <c r="A223" s="115">
        <v>192</v>
      </c>
      <c r="B223" s="98" t="e">
        <f>VLOOKUP($A223,#REF!,84,FALSE)</f>
        <v>#REF!</v>
      </c>
      <c r="C223" s="98" t="e">
        <f>VLOOKUP($A223,#REF!,85,FALSE)</f>
        <v>#REF!</v>
      </c>
      <c r="D223" s="98" t="e">
        <f>VLOOKUP($A223,#REF!,5,FALSE)</f>
        <v>#REF!</v>
      </c>
      <c r="E223" s="98" t="e">
        <f>VLOOKUP($A223,#REF!,6,FALSE)</f>
        <v>#REF!</v>
      </c>
      <c r="F223" s="105" t="e">
        <f>VLOOKUP(A223,#REF!,34,FALSE)</f>
        <v>#REF!</v>
      </c>
      <c r="G223" s="105" t="e">
        <f>VLOOKUP(A223,#REF!,29,FALSE)</f>
        <v>#REF!</v>
      </c>
      <c r="H223" s="105" t="e">
        <f>VLOOKUP(A223,#REF!,35,FALSE)+VLOOKUP(A223,#REF!,41,FALSE)</f>
        <v>#REF!</v>
      </c>
      <c r="I223" s="105" t="e">
        <f t="shared" si="75"/>
        <v>#REF!</v>
      </c>
      <c r="J223" s="105" t="e">
        <f>VLOOKUP(A223,#REF!,42,FALSE)</f>
        <v>#REF!</v>
      </c>
      <c r="K223" s="105" t="e">
        <f t="shared" si="86"/>
        <v>#REF!</v>
      </c>
      <c r="L223" s="164" t="e">
        <f t="shared" si="76"/>
        <v>#REF!</v>
      </c>
      <c r="M223" s="105" t="e">
        <f t="shared" si="87"/>
        <v>#REF!</v>
      </c>
      <c r="N223" s="105">
        <v>285</v>
      </c>
      <c r="O223" s="105" t="e">
        <f t="shared" si="88"/>
        <v>#REF!</v>
      </c>
      <c r="P223" s="105" t="e">
        <f>VLOOKUP(A223,#REF!,46,FALSE)</f>
        <v>#REF!</v>
      </c>
      <c r="Q223" s="106" t="e">
        <f>VLOOKUP(A223,#REF!,9,FALSE)</f>
        <v>#REF!</v>
      </c>
      <c r="R223" s="114" t="e">
        <f>#REF!</f>
        <v>#REF!</v>
      </c>
      <c r="S223" s="114" t="e">
        <f>VLOOKUP(A223,#REF!,16,FALSE)</f>
        <v>#REF!</v>
      </c>
      <c r="T223" s="121" t="e">
        <f>VLOOKUP(A223,#REF!,15,FALSE)</f>
        <v>#REF!</v>
      </c>
      <c r="U223" s="121" t="e">
        <f>VLOOKUP(A223,#REF!,19,FALSE)</f>
        <v>#REF!</v>
      </c>
      <c r="V223" s="109" t="e">
        <f t="shared" si="77"/>
        <v>#REF!</v>
      </c>
      <c r="W223" s="121" t="e">
        <f t="shared" si="78"/>
        <v>#REF!</v>
      </c>
      <c r="X223" s="105" t="e">
        <f t="shared" si="79"/>
        <v>#REF!</v>
      </c>
      <c r="Y223" s="113" t="e">
        <f t="shared" si="80"/>
        <v>#REF!</v>
      </c>
      <c r="Z223" s="109" t="e">
        <f t="shared" si="81"/>
        <v>#REF!</v>
      </c>
      <c r="AA223" s="113" t="e">
        <f t="shared" si="82"/>
        <v>#REF!</v>
      </c>
      <c r="AB223" s="109" t="e">
        <f t="shared" si="83"/>
        <v>#REF!</v>
      </c>
      <c r="AC223" s="113" t="e">
        <f t="shared" si="84"/>
        <v>#REF!</v>
      </c>
      <c r="AD223" s="105" t="e">
        <f>VLOOKUP($A223,#REF!,5,FALSE)</f>
        <v>#REF!</v>
      </c>
      <c r="AE223" s="111" t="e">
        <f t="shared" si="85"/>
        <v>#REF!</v>
      </c>
      <c r="AF223" s="105"/>
      <c r="AG223" s="105"/>
      <c r="AH223" s="111"/>
      <c r="AI223" s="105"/>
      <c r="AJ223" s="109"/>
      <c r="AK223" s="109"/>
    </row>
    <row r="224" spans="1:37" x14ac:dyDescent="0.15">
      <c r="A224" s="115">
        <v>270</v>
      </c>
      <c r="B224" s="98" t="e">
        <f>VLOOKUP($A224,#REF!,84,FALSE)</f>
        <v>#REF!</v>
      </c>
      <c r="C224" s="98" t="e">
        <f>VLOOKUP($A224,#REF!,85,FALSE)</f>
        <v>#REF!</v>
      </c>
      <c r="D224" s="98" t="e">
        <f>VLOOKUP($A224,#REF!,5,FALSE)</f>
        <v>#REF!</v>
      </c>
      <c r="E224" s="98" t="e">
        <f>VLOOKUP($A224,#REF!,6,FALSE)</f>
        <v>#REF!</v>
      </c>
      <c r="F224" s="105" t="e">
        <f>VLOOKUP(A224,#REF!,34,FALSE)</f>
        <v>#REF!</v>
      </c>
      <c r="G224" s="105" t="e">
        <f>VLOOKUP(A224,#REF!,29,FALSE)</f>
        <v>#REF!</v>
      </c>
      <c r="H224" s="105" t="e">
        <f>VLOOKUP(A224,#REF!,35,FALSE)+VLOOKUP(A224,#REF!,41,FALSE)</f>
        <v>#REF!</v>
      </c>
      <c r="I224" s="105" t="e">
        <f t="shared" si="75"/>
        <v>#REF!</v>
      </c>
      <c r="J224" s="105" t="e">
        <f>VLOOKUP(A224,#REF!,42,FALSE)</f>
        <v>#REF!</v>
      </c>
      <c r="K224" s="105" t="e">
        <f t="shared" si="86"/>
        <v>#REF!</v>
      </c>
      <c r="L224" s="164" t="e">
        <f t="shared" si="76"/>
        <v>#REF!</v>
      </c>
      <c r="M224" s="105" t="e">
        <f t="shared" si="87"/>
        <v>#REF!</v>
      </c>
      <c r="N224" s="105">
        <v>285</v>
      </c>
      <c r="O224" s="105" t="e">
        <f t="shared" si="88"/>
        <v>#REF!</v>
      </c>
      <c r="P224" s="105" t="e">
        <f>VLOOKUP(A224,#REF!,46,FALSE)</f>
        <v>#REF!</v>
      </c>
      <c r="Q224" s="106" t="e">
        <f>VLOOKUP(A224,#REF!,9,FALSE)</f>
        <v>#REF!</v>
      </c>
      <c r="R224" s="114" t="e">
        <f>#REF!</f>
        <v>#REF!</v>
      </c>
      <c r="S224" s="114" t="e">
        <f>VLOOKUP(A224,#REF!,16,FALSE)</f>
        <v>#REF!</v>
      </c>
      <c r="T224" s="121" t="e">
        <f>VLOOKUP(A224,#REF!,15,FALSE)</f>
        <v>#REF!</v>
      </c>
      <c r="U224" s="121" t="e">
        <f>VLOOKUP(A224,#REF!,19,FALSE)</f>
        <v>#REF!</v>
      </c>
      <c r="V224" s="109" t="e">
        <f t="shared" si="77"/>
        <v>#REF!</v>
      </c>
      <c r="W224" s="121" t="e">
        <f t="shared" si="78"/>
        <v>#REF!</v>
      </c>
      <c r="X224" s="105" t="e">
        <f t="shared" si="79"/>
        <v>#REF!</v>
      </c>
      <c r="Y224" s="113" t="e">
        <f t="shared" si="80"/>
        <v>#REF!</v>
      </c>
      <c r="Z224" s="109" t="e">
        <f t="shared" si="81"/>
        <v>#REF!</v>
      </c>
      <c r="AA224" s="113" t="e">
        <f t="shared" si="82"/>
        <v>#REF!</v>
      </c>
      <c r="AB224" s="109" t="e">
        <f t="shared" si="83"/>
        <v>#REF!</v>
      </c>
      <c r="AC224" s="113" t="e">
        <f t="shared" si="84"/>
        <v>#REF!</v>
      </c>
      <c r="AD224" s="105" t="e">
        <f>VLOOKUP($A224,#REF!,5,FALSE)</f>
        <v>#REF!</v>
      </c>
      <c r="AE224" s="111" t="e">
        <f t="shared" si="85"/>
        <v>#REF!</v>
      </c>
      <c r="AF224" s="105"/>
      <c r="AG224" s="105"/>
      <c r="AH224" s="111"/>
      <c r="AI224" s="105"/>
      <c r="AJ224" s="109"/>
      <c r="AK224" s="109"/>
    </row>
    <row r="225" spans="1:58" x14ac:dyDescent="0.15">
      <c r="A225" s="115">
        <v>1232</v>
      </c>
      <c r="B225" s="98" t="e">
        <f>VLOOKUP($A225,#REF!,84,FALSE)</f>
        <v>#REF!</v>
      </c>
      <c r="C225" s="98" t="e">
        <f>VLOOKUP($A225,#REF!,85,FALSE)</f>
        <v>#REF!</v>
      </c>
      <c r="D225" s="98" t="e">
        <f>VLOOKUP($A225,#REF!,5,FALSE)</f>
        <v>#REF!</v>
      </c>
      <c r="E225" s="98" t="e">
        <f>VLOOKUP($A225,#REF!,6,FALSE)</f>
        <v>#REF!</v>
      </c>
      <c r="F225" s="105" t="e">
        <f>VLOOKUP(A225,#REF!,34,FALSE)</f>
        <v>#REF!</v>
      </c>
      <c r="G225" s="105" t="e">
        <f>VLOOKUP(A225,#REF!,29,FALSE)</f>
        <v>#REF!</v>
      </c>
      <c r="H225" s="105" t="e">
        <f>VLOOKUP(A225,#REF!,35,FALSE)+VLOOKUP(A225,#REF!,41,FALSE)</f>
        <v>#REF!</v>
      </c>
      <c r="I225" s="105" t="e">
        <f t="shared" si="75"/>
        <v>#REF!</v>
      </c>
      <c r="J225" s="105" t="e">
        <f>VLOOKUP(A225,#REF!,42,FALSE)</f>
        <v>#REF!</v>
      </c>
      <c r="K225" s="105" t="e">
        <f t="shared" si="86"/>
        <v>#REF!</v>
      </c>
      <c r="L225" s="164" t="e">
        <f t="shared" si="76"/>
        <v>#REF!</v>
      </c>
      <c r="M225" s="105" t="e">
        <f>ROUND(K225*L225,2)</f>
        <v>#REF!</v>
      </c>
      <c r="N225" s="105">
        <v>285</v>
      </c>
      <c r="O225" s="105" t="e">
        <f t="shared" si="88"/>
        <v>#REF!</v>
      </c>
      <c r="P225" s="105" t="e">
        <f>VLOOKUP(A225,#REF!,46,FALSE)</f>
        <v>#REF!</v>
      </c>
      <c r="Q225" s="106" t="e">
        <f>VLOOKUP(A225,#REF!,9,FALSE)</f>
        <v>#REF!</v>
      </c>
      <c r="R225" s="114" t="e">
        <f>#REF!</f>
        <v>#REF!</v>
      </c>
      <c r="S225" s="114">
        <v>3.84</v>
      </c>
      <c r="T225" s="121" t="e">
        <f>VLOOKUP(A225,#REF!,15,FALSE)</f>
        <v>#REF!</v>
      </c>
      <c r="U225" s="121" t="e">
        <f>VLOOKUP(A225,#REF!,19,FALSE)</f>
        <v>#REF!</v>
      </c>
      <c r="V225" s="109" t="e">
        <f t="shared" si="77"/>
        <v>#REF!</v>
      </c>
      <c r="W225" s="121" t="e">
        <f t="shared" si="78"/>
        <v>#REF!</v>
      </c>
      <c r="X225" s="105" t="e">
        <f t="shared" si="79"/>
        <v>#REF!</v>
      </c>
      <c r="Y225" s="113" t="e">
        <f t="shared" si="80"/>
        <v>#REF!</v>
      </c>
      <c r="Z225" s="109" t="e">
        <f t="shared" si="81"/>
        <v>#REF!</v>
      </c>
      <c r="AA225" s="113" t="e">
        <f t="shared" si="82"/>
        <v>#REF!</v>
      </c>
      <c r="AB225" s="109" t="e">
        <f t="shared" si="83"/>
        <v>#REF!</v>
      </c>
      <c r="AC225" s="113" t="e">
        <f t="shared" si="84"/>
        <v>#REF!</v>
      </c>
      <c r="AD225" s="105" t="e">
        <f>VLOOKUP($A225,#REF!,5,FALSE)</f>
        <v>#REF!</v>
      </c>
      <c r="AE225" s="111" t="e">
        <f t="shared" si="85"/>
        <v>#REF!</v>
      </c>
      <c r="AF225" s="105"/>
      <c r="AG225" s="105"/>
      <c r="AH225" s="111"/>
      <c r="AI225" s="105"/>
      <c r="AJ225" s="109"/>
      <c r="AK225" s="109"/>
    </row>
    <row r="226" spans="1:58" x14ac:dyDescent="0.15">
      <c r="A226" s="115">
        <v>290</v>
      </c>
      <c r="B226" s="98" t="e">
        <f>VLOOKUP($A226,#REF!,84,FALSE)</f>
        <v>#REF!</v>
      </c>
      <c r="C226" s="98" t="e">
        <f>VLOOKUP($A226,#REF!,85,FALSE)</f>
        <v>#REF!</v>
      </c>
      <c r="D226" s="98" t="e">
        <f>VLOOKUP($A226,#REF!,5,FALSE)</f>
        <v>#REF!</v>
      </c>
      <c r="E226" s="98" t="e">
        <f>VLOOKUP($A226,#REF!,6,FALSE)</f>
        <v>#REF!</v>
      </c>
      <c r="F226" s="105" t="e">
        <f>VLOOKUP(A226,#REF!,34,FALSE)</f>
        <v>#REF!</v>
      </c>
      <c r="G226" s="105" t="e">
        <f>VLOOKUP(A226,#REF!,29,FALSE)</f>
        <v>#REF!</v>
      </c>
      <c r="H226" s="105" t="e">
        <f>VLOOKUP(A226,#REF!,35,FALSE)+VLOOKUP(A226,#REF!,41,FALSE)</f>
        <v>#REF!</v>
      </c>
      <c r="I226" s="105" t="e">
        <f t="shared" si="75"/>
        <v>#REF!</v>
      </c>
      <c r="J226" s="105" t="e">
        <f>VLOOKUP(A226,#REF!,42,FALSE)</f>
        <v>#REF!</v>
      </c>
      <c r="K226" s="105" t="e">
        <f t="shared" si="86"/>
        <v>#REF!</v>
      </c>
      <c r="L226" s="164" t="e">
        <f t="shared" si="76"/>
        <v>#REF!</v>
      </c>
      <c r="M226" s="105" t="e">
        <f t="shared" si="87"/>
        <v>#REF!</v>
      </c>
      <c r="N226" s="105">
        <v>285</v>
      </c>
      <c r="O226" s="105" t="e">
        <f t="shared" si="88"/>
        <v>#REF!</v>
      </c>
      <c r="P226" s="105" t="e">
        <f>VLOOKUP(A226,#REF!,46,FALSE)</f>
        <v>#REF!</v>
      </c>
      <c r="Q226" s="106" t="e">
        <f>VLOOKUP(A226,#REF!,9,FALSE)</f>
        <v>#REF!</v>
      </c>
      <c r="R226" s="114" t="e">
        <f>#REF!</f>
        <v>#REF!</v>
      </c>
      <c r="S226" s="114" t="e">
        <f>VLOOKUP(A226,#REF!,16,FALSE)</f>
        <v>#REF!</v>
      </c>
      <c r="T226" s="121" t="e">
        <f>VLOOKUP(A226,#REF!,15,FALSE)</f>
        <v>#REF!</v>
      </c>
      <c r="U226" s="121" t="e">
        <f>VLOOKUP(A226,#REF!,19,FALSE)</f>
        <v>#REF!</v>
      </c>
      <c r="V226" s="109" t="e">
        <f t="shared" si="77"/>
        <v>#REF!</v>
      </c>
      <c r="W226" s="121" t="e">
        <f t="shared" si="78"/>
        <v>#REF!</v>
      </c>
      <c r="X226" s="105" t="e">
        <f t="shared" si="79"/>
        <v>#REF!</v>
      </c>
      <c r="Y226" s="113" t="e">
        <f t="shared" si="80"/>
        <v>#REF!</v>
      </c>
      <c r="Z226" s="109" t="e">
        <f t="shared" si="81"/>
        <v>#REF!</v>
      </c>
      <c r="AA226" s="113" t="e">
        <f t="shared" si="82"/>
        <v>#REF!</v>
      </c>
      <c r="AB226" s="109" t="e">
        <f t="shared" si="83"/>
        <v>#REF!</v>
      </c>
      <c r="AC226" s="113" t="e">
        <f t="shared" si="84"/>
        <v>#REF!</v>
      </c>
      <c r="AD226" s="105" t="e">
        <f>VLOOKUP($A226,#REF!,5,FALSE)</f>
        <v>#REF!</v>
      </c>
      <c r="AE226" s="111" t="e">
        <f t="shared" si="85"/>
        <v>#REF!</v>
      </c>
      <c r="AF226" s="105"/>
      <c r="AG226" s="105"/>
      <c r="AH226" s="111"/>
      <c r="AI226" s="105"/>
      <c r="AJ226" s="109"/>
      <c r="AK226" s="109"/>
      <c r="AT226" s="107"/>
      <c r="AU226" s="107"/>
      <c r="AX226" s="107"/>
      <c r="AY226" s="107"/>
      <c r="AZ226" s="105"/>
      <c r="BA226" s="105"/>
      <c r="BB226" s="105"/>
      <c r="BD226" s="108"/>
      <c r="BE226" s="108"/>
      <c r="BF226" s="107"/>
    </row>
    <row r="227" spans="1:58" x14ac:dyDescent="0.15">
      <c r="A227" s="98">
        <v>286</v>
      </c>
      <c r="B227" s="98" t="e">
        <f>VLOOKUP($A227,#REF!,84,FALSE)</f>
        <v>#REF!</v>
      </c>
      <c r="C227" s="98" t="e">
        <f>VLOOKUP($A227,#REF!,85,FALSE)</f>
        <v>#REF!</v>
      </c>
      <c r="D227" s="98" t="e">
        <f>VLOOKUP($A227,#REF!,5,FALSE)</f>
        <v>#REF!</v>
      </c>
      <c r="E227" s="98" t="e">
        <f>VLOOKUP($A227,#REF!,6,FALSE)</f>
        <v>#REF!</v>
      </c>
      <c r="F227" s="105" t="e">
        <f>VLOOKUP(A227,#REF!,34,FALSE)</f>
        <v>#REF!</v>
      </c>
      <c r="G227" s="105" t="e">
        <f>VLOOKUP(A227,#REF!,29,FALSE)</f>
        <v>#REF!</v>
      </c>
      <c r="H227" s="105" t="e">
        <f>VLOOKUP(A227,#REF!,35,FALSE)+VLOOKUP(A227,#REF!,41,FALSE)</f>
        <v>#REF!</v>
      </c>
      <c r="I227" s="105" t="e">
        <f t="shared" ref="I227" si="89">+Y227</f>
        <v>#REF!</v>
      </c>
      <c r="J227" s="105" t="e">
        <f>VLOOKUP(A227,#REF!,42,FALSE)</f>
        <v>#REF!</v>
      </c>
      <c r="K227" s="105" t="e">
        <f t="shared" ref="K227" si="90">SUM(F227:J227)</f>
        <v>#REF!</v>
      </c>
      <c r="L227" s="164" t="e">
        <f t="shared" si="76"/>
        <v>#REF!</v>
      </c>
      <c r="M227" s="105" t="e">
        <f t="shared" ref="M227" si="91">ROUND(K227*L227,2)</f>
        <v>#REF!</v>
      </c>
      <c r="N227" s="105">
        <v>285</v>
      </c>
      <c r="O227" s="105" t="e">
        <f t="shared" ref="O227" si="92">+M227+N227</f>
        <v>#REF!</v>
      </c>
      <c r="P227" s="105" t="e">
        <f>VLOOKUP(A227,#REF!,46,FALSE)</f>
        <v>#REF!</v>
      </c>
      <c r="Q227" s="106" t="e">
        <f>VLOOKUP(A227,#REF!,9,FALSE)</f>
        <v>#REF!</v>
      </c>
      <c r="R227" s="114" t="e">
        <f>#REF!</f>
        <v>#REF!</v>
      </c>
      <c r="S227" s="114" t="e">
        <f>VLOOKUP(A227,#REF!,16,FALSE)</f>
        <v>#REF!</v>
      </c>
      <c r="T227" s="121" t="e">
        <f>VLOOKUP(A227,#REF!,15,FALSE)</f>
        <v>#REF!</v>
      </c>
      <c r="U227" s="121" t="e">
        <f>VLOOKUP(A227,#REF!,19,FALSE)</f>
        <v>#REF!</v>
      </c>
      <c r="V227" s="109" t="e">
        <f t="shared" ref="V227" si="93">IF($Q227="NA","NA",ROUND(U227*(Q227/R227),2))</f>
        <v>#REF!</v>
      </c>
      <c r="W227" s="121" t="e">
        <f t="shared" ref="W227" si="94">IF(Q227="NA",ROUND(U227*S227,2),ROUND(V227*(S227/Q227),2))</f>
        <v>#REF!</v>
      </c>
      <c r="X227" s="105" t="e">
        <f t="shared" ref="X227" si="95">IF(Q227="NA","NA",ROUND(MAX(0,AB227)*-1,2))</f>
        <v>#REF!</v>
      </c>
      <c r="Y227" s="113" t="e">
        <f t="shared" ref="Y227" si="96">IF(Q227="NA",W227,W227+X227)</f>
        <v>#REF!</v>
      </c>
      <c r="Z227" s="109" t="e">
        <f t="shared" ref="Z227" si="97">IF(Q227="NA","NA",ROUND(T227*(S227/Q227),2))</f>
        <v>#REF!</v>
      </c>
      <c r="AA227" s="113" t="e">
        <f t="shared" ref="AA227" si="98">IF(Q227="NA","NA",ROUND(W227*0.95,2))</f>
        <v>#REF!</v>
      </c>
      <c r="AB227" s="109" t="e">
        <f t="shared" ref="AB227" si="99">IF(Q227="NA","NA",AA227-Z227)</f>
        <v>#REF!</v>
      </c>
      <c r="AC227" s="113" t="e">
        <f t="shared" ref="AC227" si="100">+O227+P227</f>
        <v>#REF!</v>
      </c>
      <c r="AD227" s="105" t="e">
        <f>VLOOKUP($A227,#REF!,5,FALSE)</f>
        <v>#REF!</v>
      </c>
      <c r="AE227" s="111" t="e">
        <f t="shared" si="85"/>
        <v>#REF!</v>
      </c>
      <c r="AF227" s="105"/>
      <c r="AR227" s="107"/>
      <c r="AS227" s="107"/>
      <c r="AV227" s="107"/>
      <c r="AW227" s="107"/>
      <c r="AX227" s="105"/>
      <c r="AY227" s="105"/>
      <c r="AZ227" s="105"/>
      <c r="BB227" s="108"/>
      <c r="BC227" s="108"/>
      <c r="BD227" s="107"/>
    </row>
    <row r="228" spans="1:58" x14ac:dyDescent="0.15">
      <c r="A228" s="98">
        <v>294</v>
      </c>
      <c r="B228" s="98" t="e">
        <f>VLOOKUP($A228,#REF!,84,FALSE)</f>
        <v>#REF!</v>
      </c>
      <c r="C228" s="98" t="e">
        <f>VLOOKUP($A228,#REF!,85,FALSE)</f>
        <v>#REF!</v>
      </c>
      <c r="D228" s="98" t="e">
        <f>VLOOKUP($A228,#REF!,5,FALSE)</f>
        <v>#REF!</v>
      </c>
      <c r="E228" s="98" t="e">
        <f>VLOOKUP($A228,#REF!,6,FALSE)</f>
        <v>#REF!</v>
      </c>
      <c r="F228" s="105" t="e">
        <f>VLOOKUP(A228,#REF!,34,FALSE)</f>
        <v>#REF!</v>
      </c>
      <c r="G228" s="105" t="e">
        <f>VLOOKUP(A228,#REF!,29,FALSE)</f>
        <v>#REF!</v>
      </c>
      <c r="H228" s="105" t="e">
        <f>VLOOKUP(A228,#REF!,35,FALSE)+VLOOKUP(A228,#REF!,41,FALSE)</f>
        <v>#REF!</v>
      </c>
      <c r="I228" s="105" t="e">
        <f t="shared" ref="I228" si="101">+Y228</f>
        <v>#REF!</v>
      </c>
      <c r="J228" s="105" t="e">
        <f>VLOOKUP(A228,#REF!,42,FALSE)</f>
        <v>#REF!</v>
      </c>
      <c r="K228" s="105" t="e">
        <f t="shared" ref="K228" si="102">SUM(F228:J228)</f>
        <v>#REF!</v>
      </c>
      <c r="L228" s="164" t="e">
        <f t="shared" si="76"/>
        <v>#REF!</v>
      </c>
      <c r="M228" s="105" t="e">
        <f t="shared" ref="M228" si="103">ROUND(K228*L228,2)</f>
        <v>#REF!</v>
      </c>
      <c r="N228" s="105">
        <v>285</v>
      </c>
      <c r="O228" s="105" t="e">
        <f t="shared" ref="O228" si="104">+M228+N228</f>
        <v>#REF!</v>
      </c>
      <c r="P228" s="105" t="e">
        <f>VLOOKUP(A228,#REF!,46,FALSE)</f>
        <v>#REF!</v>
      </c>
      <c r="Q228" s="106" t="e">
        <f>VLOOKUP(A228,#REF!,9,FALSE)</f>
        <v>#REF!</v>
      </c>
      <c r="R228" s="114" t="e">
        <f>#REF!</f>
        <v>#REF!</v>
      </c>
      <c r="S228" s="114" t="e">
        <f>VLOOKUP(A228,#REF!,16,FALSE)</f>
        <v>#REF!</v>
      </c>
      <c r="T228" s="121" t="e">
        <f>VLOOKUP(A228,#REF!,15,FALSE)</f>
        <v>#REF!</v>
      </c>
      <c r="U228" s="121" t="e">
        <f>VLOOKUP(A228,#REF!,19,FALSE)</f>
        <v>#REF!</v>
      </c>
      <c r="V228" s="109" t="e">
        <f t="shared" ref="V228" si="105">IF($Q228="NA","NA",ROUND(U228*(Q228/R228),2))</f>
        <v>#REF!</v>
      </c>
      <c r="W228" s="121" t="e">
        <f t="shared" ref="W228" si="106">IF(Q228="NA",ROUND(U228*S228,2),ROUND(V228*(S228/Q228),2))</f>
        <v>#REF!</v>
      </c>
      <c r="X228" s="105" t="e">
        <f t="shared" ref="X228" si="107">IF(Q228="NA","NA",ROUND(MAX(0,AB228)*-1,2))</f>
        <v>#REF!</v>
      </c>
      <c r="Y228" s="113" t="e">
        <f t="shared" ref="Y228" si="108">IF(Q228="NA",W228,W228+X228)</f>
        <v>#REF!</v>
      </c>
      <c r="Z228" s="109" t="e">
        <f t="shared" ref="Z228" si="109">IF(Q228="NA","NA",ROUND(T228*(S228/Q228),2))</f>
        <v>#REF!</v>
      </c>
      <c r="AA228" s="113" t="e">
        <f t="shared" ref="AA228" si="110">IF(Q228="NA","NA",ROUND(W228*0.95,2))</f>
        <v>#REF!</v>
      </c>
      <c r="AB228" s="109" t="e">
        <f t="shared" ref="AB228" si="111">IF(Q228="NA","NA",AA228-Z228)</f>
        <v>#REF!</v>
      </c>
      <c r="AC228" s="113" t="e">
        <f t="shared" ref="AC228" si="112">+O228+P228</f>
        <v>#REF!</v>
      </c>
      <c r="AD228" s="105" t="e">
        <f>VLOOKUP($A228,#REF!,5,FALSE)</f>
        <v>#REF!</v>
      </c>
      <c r="AE228" s="111" t="e">
        <f t="shared" si="85"/>
        <v>#REF!</v>
      </c>
      <c r="AF228" s="105"/>
      <c r="AR228" s="107"/>
      <c r="AS228" s="107"/>
      <c r="AV228" s="107"/>
      <c r="AW228" s="107"/>
      <c r="AX228" s="105"/>
      <c r="AY228" s="105"/>
      <c r="AZ228" s="105"/>
      <c r="BB228" s="108"/>
      <c r="BC228" s="108"/>
      <c r="BD228" s="107"/>
    </row>
    <row r="229" spans="1:58" x14ac:dyDescent="0.15">
      <c r="AB229" s="108"/>
      <c r="AC229" s="108"/>
      <c r="AD229" s="107"/>
      <c r="AR229" s="107"/>
      <c r="AS229" s="107"/>
      <c r="AV229" s="107"/>
      <c r="AW229" s="107"/>
      <c r="AX229" s="105"/>
      <c r="AY229" s="105"/>
      <c r="AZ229" s="105"/>
      <c r="BB229" s="108"/>
      <c r="BC229" s="108"/>
      <c r="BD229" s="107"/>
    </row>
    <row r="230" spans="1:58" x14ac:dyDescent="0.15">
      <c r="AB230" s="108"/>
      <c r="AC230" s="108"/>
      <c r="AD230" s="107"/>
      <c r="AR230" s="107"/>
      <c r="AS230" s="107"/>
      <c r="AV230" s="107"/>
      <c r="AW230" s="107"/>
      <c r="AX230" s="105"/>
      <c r="AY230" s="105"/>
      <c r="AZ230" s="105"/>
      <c r="BB230" s="108"/>
      <c r="BC230" s="108"/>
      <c r="BD230" s="107"/>
    </row>
    <row r="231" spans="1:58" x14ac:dyDescent="0.15">
      <c r="AB231" s="108"/>
      <c r="AC231" s="108"/>
      <c r="AD231" s="107"/>
      <c r="AR231" s="107"/>
      <c r="AS231" s="107"/>
      <c r="AV231" s="107"/>
      <c r="AW231" s="107"/>
      <c r="AX231" s="105"/>
      <c r="AY231" s="105"/>
      <c r="AZ231" s="105"/>
      <c r="BB231" s="108"/>
      <c r="BC231" s="108"/>
      <c r="BD231" s="107"/>
    </row>
    <row r="232" spans="1:58" x14ac:dyDescent="0.15">
      <c r="AB232" s="108"/>
      <c r="AC232" s="108"/>
      <c r="AD232" s="107"/>
      <c r="AR232" s="107"/>
      <c r="AS232" s="107"/>
      <c r="AV232" s="107"/>
      <c r="AW232" s="107"/>
      <c r="AX232" s="105"/>
      <c r="AY232" s="105"/>
      <c r="AZ232" s="105"/>
      <c r="BB232" s="108"/>
      <c r="BC232" s="108"/>
      <c r="BD232" s="107"/>
    </row>
    <row r="233" spans="1:58" x14ac:dyDescent="0.15">
      <c r="AB233" s="108"/>
      <c r="AC233" s="108"/>
      <c r="AD233" s="107"/>
      <c r="AR233" s="107"/>
      <c r="AS233" s="107"/>
      <c r="AV233" s="107"/>
      <c r="AW233" s="107"/>
      <c r="AX233" s="105"/>
      <c r="AY233" s="105"/>
      <c r="AZ233" s="105"/>
      <c r="BB233" s="108"/>
      <c r="BC233" s="108"/>
      <c r="BD233" s="107"/>
    </row>
    <row r="234" spans="1:58" x14ac:dyDescent="0.15">
      <c r="AB234" s="108"/>
      <c r="AC234" s="108"/>
      <c r="AD234" s="107"/>
      <c r="AR234" s="107"/>
      <c r="AS234" s="107"/>
      <c r="AV234" s="107"/>
      <c r="AW234" s="107"/>
      <c r="AX234" s="105"/>
      <c r="AY234" s="105"/>
      <c r="AZ234" s="105"/>
      <c r="BB234" s="108"/>
      <c r="BC234" s="108"/>
      <c r="BD234" s="107"/>
    </row>
    <row r="235" spans="1:58" x14ac:dyDescent="0.15">
      <c r="AB235" s="108"/>
      <c r="AC235" s="108"/>
      <c r="AD235" s="107"/>
      <c r="AR235" s="107"/>
      <c r="AS235" s="107"/>
      <c r="AV235" s="107"/>
      <c r="AW235" s="107"/>
      <c r="AX235" s="105"/>
      <c r="AY235" s="105"/>
      <c r="AZ235" s="105"/>
      <c r="BB235" s="108"/>
      <c r="BC235" s="108"/>
      <c r="BD235" s="107"/>
    </row>
    <row r="236" spans="1:58" x14ac:dyDescent="0.15">
      <c r="AB236" s="108"/>
      <c r="AC236" s="108"/>
      <c r="AD236" s="107"/>
      <c r="AR236" s="107"/>
      <c r="AS236" s="107"/>
      <c r="AV236" s="107"/>
      <c r="AW236" s="107"/>
      <c r="AX236" s="105"/>
      <c r="AY236" s="105"/>
      <c r="AZ236" s="105"/>
      <c r="BB236" s="108"/>
      <c r="BC236" s="108"/>
      <c r="BD236" s="107"/>
    </row>
    <row r="237" spans="1:58" x14ac:dyDescent="0.15">
      <c r="AB237" s="108"/>
      <c r="AC237" s="108"/>
      <c r="AD237" s="107"/>
      <c r="AR237" s="107"/>
      <c r="AS237" s="107"/>
      <c r="AV237" s="107"/>
      <c r="AW237" s="107"/>
      <c r="AX237" s="105"/>
      <c r="AY237" s="105"/>
      <c r="AZ237" s="105"/>
      <c r="BB237" s="108"/>
      <c r="BC237" s="108"/>
      <c r="BD237" s="107"/>
    </row>
    <row r="238" spans="1:58" x14ac:dyDescent="0.15">
      <c r="AB238" s="108"/>
      <c r="AC238" s="108"/>
      <c r="AD238" s="107"/>
      <c r="AR238" s="107"/>
      <c r="AS238" s="107"/>
      <c r="AV238" s="107"/>
      <c r="AW238" s="107"/>
      <c r="AX238" s="105"/>
      <c r="AY238" s="105"/>
      <c r="AZ238" s="105"/>
      <c r="BB238" s="108"/>
      <c r="BC238" s="108"/>
      <c r="BD238" s="107"/>
    </row>
    <row r="239" spans="1:58" x14ac:dyDescent="0.15">
      <c r="AB239" s="108"/>
      <c r="AC239" s="108"/>
      <c r="AD239" s="107"/>
      <c r="AR239" s="107"/>
      <c r="AS239" s="107"/>
      <c r="AV239" s="107"/>
      <c r="AW239" s="107"/>
      <c r="AX239" s="105"/>
      <c r="AY239" s="105"/>
      <c r="AZ239" s="105"/>
      <c r="BB239" s="108"/>
      <c r="BC239" s="108"/>
      <c r="BD239" s="107"/>
    </row>
    <row r="240" spans="1:58" x14ac:dyDescent="0.15">
      <c r="AB240" s="108"/>
      <c r="AC240" s="108"/>
      <c r="AD240" s="107"/>
      <c r="AR240" s="107"/>
      <c r="AS240" s="107"/>
      <c r="AV240" s="107"/>
      <c r="AW240" s="107"/>
      <c r="AX240" s="105"/>
      <c r="AY240" s="105"/>
      <c r="AZ240" s="105"/>
      <c r="BB240" s="108"/>
      <c r="BC240" s="108"/>
      <c r="BD240" s="107"/>
    </row>
    <row r="241" spans="28:56" x14ac:dyDescent="0.15">
      <c r="AB241" s="108"/>
      <c r="AC241" s="108"/>
      <c r="AD241" s="107"/>
      <c r="AR241" s="107"/>
      <c r="AS241" s="107"/>
      <c r="AV241" s="107"/>
      <c r="AW241" s="107"/>
      <c r="AX241" s="105"/>
      <c r="AY241" s="105"/>
      <c r="AZ241" s="105"/>
      <c r="BB241" s="108"/>
      <c r="BC241" s="108"/>
      <c r="BD241" s="107"/>
    </row>
    <row r="242" spans="28:56" x14ac:dyDescent="0.15">
      <c r="AB242" s="108"/>
      <c r="AC242" s="108"/>
      <c r="AD242" s="107"/>
      <c r="AR242" s="107"/>
      <c r="AS242" s="107"/>
      <c r="AV242" s="107"/>
      <c r="AW242" s="107"/>
      <c r="AX242" s="105"/>
      <c r="AY242" s="105"/>
      <c r="AZ242" s="105"/>
      <c r="BB242" s="108"/>
      <c r="BC242" s="108"/>
      <c r="BD242" s="107"/>
    </row>
    <row r="243" spans="28:56" x14ac:dyDescent="0.15">
      <c r="AB243" s="108"/>
      <c r="AC243" s="108"/>
      <c r="AD243" s="107"/>
      <c r="AR243" s="107"/>
      <c r="AS243" s="107"/>
      <c r="AV243" s="107"/>
      <c r="AW243" s="107"/>
      <c r="AX243" s="105"/>
      <c r="AY243" s="105"/>
      <c r="AZ243" s="105"/>
      <c r="BB243" s="108"/>
      <c r="BC243" s="108"/>
      <c r="BD243" s="107"/>
    </row>
    <row r="244" spans="28:56" x14ac:dyDescent="0.15">
      <c r="AB244" s="108"/>
      <c r="AC244" s="108"/>
      <c r="AD244" s="107"/>
      <c r="AR244" s="107"/>
      <c r="AS244" s="107"/>
      <c r="AV244" s="107"/>
      <c r="AW244" s="107"/>
      <c r="AX244" s="105"/>
      <c r="AY244" s="105"/>
      <c r="AZ244" s="105"/>
      <c r="BB244" s="108"/>
      <c r="BC244" s="108"/>
      <c r="BD244" s="107"/>
    </row>
    <row r="245" spans="28:56" x14ac:dyDescent="0.15">
      <c r="AB245" s="108"/>
      <c r="AC245" s="108"/>
      <c r="AD245" s="107"/>
      <c r="AR245" s="107"/>
      <c r="AS245" s="107"/>
      <c r="AV245" s="107"/>
      <c r="AW245" s="107"/>
      <c r="AX245" s="105"/>
      <c r="AY245" s="105"/>
      <c r="AZ245" s="105"/>
      <c r="BB245" s="108"/>
      <c r="BC245" s="108"/>
      <c r="BD245" s="107"/>
    </row>
    <row r="246" spans="28:56" x14ac:dyDescent="0.15">
      <c r="AB246" s="108"/>
      <c r="AC246" s="108"/>
      <c r="AD246" s="107"/>
      <c r="AR246" s="107"/>
      <c r="AS246" s="107"/>
      <c r="AV246" s="107"/>
      <c r="AW246" s="107"/>
      <c r="AX246" s="105"/>
      <c r="AY246" s="105"/>
      <c r="AZ246" s="105"/>
      <c r="BB246" s="108"/>
      <c r="BC246" s="108"/>
      <c r="BD246" s="107"/>
    </row>
    <row r="247" spans="28:56" x14ac:dyDescent="0.15">
      <c r="AB247" s="108"/>
      <c r="AC247" s="108"/>
      <c r="AD247" s="107"/>
      <c r="AR247" s="107"/>
      <c r="AS247" s="107"/>
      <c r="AV247" s="107"/>
      <c r="AW247" s="107"/>
      <c r="AX247" s="105"/>
      <c r="AY247" s="105"/>
      <c r="AZ247" s="105"/>
      <c r="BB247" s="108"/>
      <c r="BC247" s="108"/>
      <c r="BD247" s="107"/>
    </row>
    <row r="248" spans="28:56" x14ac:dyDescent="0.15">
      <c r="AB248" s="108"/>
      <c r="AC248" s="108"/>
      <c r="AD248" s="107"/>
      <c r="AR248" s="107"/>
      <c r="AS248" s="107"/>
      <c r="AV248" s="107"/>
      <c r="AW248" s="107"/>
      <c r="AX248" s="105"/>
      <c r="AY248" s="105"/>
      <c r="AZ248" s="105"/>
      <c r="BB248" s="108"/>
      <c r="BC248" s="108"/>
      <c r="BD248" s="107"/>
    </row>
    <row r="249" spans="28:56" x14ac:dyDescent="0.15">
      <c r="AB249" s="108"/>
      <c r="AC249" s="108"/>
      <c r="AD249" s="107"/>
      <c r="AR249" s="107"/>
      <c r="AS249" s="107"/>
      <c r="AV249" s="107"/>
      <c r="AW249" s="107"/>
      <c r="AX249" s="105"/>
      <c r="AY249" s="105"/>
      <c r="AZ249" s="105"/>
      <c r="BB249" s="108"/>
      <c r="BC249" s="108"/>
      <c r="BD249" s="107"/>
    </row>
    <row r="250" spans="28:56" x14ac:dyDescent="0.15">
      <c r="AB250" s="108"/>
      <c r="AC250" s="108"/>
      <c r="AD250" s="107"/>
      <c r="AR250" s="107"/>
      <c r="AS250" s="107"/>
      <c r="AV250" s="107"/>
      <c r="AW250" s="107"/>
      <c r="AX250" s="105"/>
      <c r="AY250" s="105"/>
      <c r="AZ250" s="105"/>
      <c r="BB250" s="108"/>
      <c r="BC250" s="108"/>
      <c r="BD250" s="107"/>
    </row>
    <row r="251" spans="28:56" x14ac:dyDescent="0.15">
      <c r="AB251" s="108"/>
      <c r="AC251" s="108"/>
      <c r="AD251" s="107"/>
      <c r="AR251" s="107"/>
      <c r="AS251" s="107"/>
      <c r="AV251" s="107"/>
      <c r="AW251" s="107"/>
      <c r="AX251" s="105"/>
      <c r="AY251" s="105"/>
      <c r="AZ251" s="105"/>
      <c r="BB251" s="108"/>
      <c r="BC251" s="108"/>
      <c r="BD251" s="107"/>
    </row>
    <row r="252" spans="28:56" x14ac:dyDescent="0.15">
      <c r="AB252" s="108"/>
      <c r="AC252" s="108"/>
      <c r="AD252" s="107"/>
      <c r="AR252" s="107"/>
      <c r="AS252" s="107"/>
      <c r="AV252" s="107"/>
      <c r="AW252" s="107"/>
      <c r="AX252" s="105"/>
      <c r="AY252" s="105"/>
      <c r="AZ252" s="105"/>
      <c r="BB252" s="108"/>
      <c r="BC252" s="108"/>
      <c r="BD252" s="107"/>
    </row>
    <row r="253" spans="28:56" x14ac:dyDescent="0.15">
      <c r="AB253" s="108"/>
      <c r="AC253" s="108"/>
      <c r="AD253" s="107"/>
      <c r="AR253" s="107"/>
      <c r="AS253" s="107"/>
      <c r="AV253" s="107"/>
      <c r="AW253" s="107"/>
      <c r="AX253" s="105"/>
      <c r="AY253" s="105"/>
      <c r="AZ253" s="105"/>
      <c r="BB253" s="108"/>
      <c r="BC253" s="108"/>
      <c r="BD253" s="107"/>
    </row>
  </sheetData>
  <mergeCells count="2">
    <mergeCell ref="B1:C1"/>
    <mergeCell ref="B209:C209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5"/>
  <dimension ref="A1:BL253"/>
  <sheetViews>
    <sheetView workbookViewId="0">
      <selection activeCell="A3" sqref="A3"/>
    </sheetView>
  </sheetViews>
  <sheetFormatPr baseColWidth="10" defaultColWidth="9.3984375" defaultRowHeight="13" x14ac:dyDescent="0.15"/>
  <cols>
    <col min="1" max="1" width="9.3984375" style="98" bestFit="1" customWidth="1"/>
    <col min="2" max="2" width="10.19921875" style="98" bestFit="1" customWidth="1"/>
    <col min="3" max="3" width="66.796875" style="98" customWidth="1"/>
    <col min="4" max="4" width="24.19921875" style="98" bestFit="1" customWidth="1"/>
    <col min="5" max="5" width="24.19921875" style="98" customWidth="1"/>
    <col min="6" max="6" width="14.59765625" style="98" customWidth="1"/>
    <col min="7" max="7" width="12.59765625" style="98" customWidth="1"/>
    <col min="8" max="8" width="11.3984375" style="98" customWidth="1"/>
    <col min="9" max="9" width="13" style="98" customWidth="1"/>
    <col min="10" max="10" width="14.59765625" style="98" customWidth="1"/>
    <col min="11" max="11" width="13.3984375" style="98" customWidth="1"/>
    <col min="12" max="12" width="11.3984375" style="98" customWidth="1"/>
    <col min="13" max="13" width="13.796875" style="98" customWidth="1"/>
    <col min="14" max="14" width="12.3984375" style="98" customWidth="1"/>
    <col min="15" max="15" width="12.796875" style="98" customWidth="1"/>
    <col min="16" max="16" width="14.59765625" style="98" customWidth="1"/>
    <col min="17" max="18" width="11.796875" style="98" customWidth="1"/>
    <col min="19" max="19" width="15.3984375" style="98" customWidth="1"/>
    <col min="20" max="22" width="14.796875" style="98" customWidth="1"/>
    <col min="23" max="23" width="20.3984375" style="98" customWidth="1"/>
    <col min="24" max="27" width="18.19921875" style="98" customWidth="1"/>
    <col min="28" max="28" width="12.19921875" style="98" customWidth="1"/>
    <col min="29" max="29" width="14.59765625" style="98" customWidth="1"/>
    <col min="30" max="30" width="10.3984375" style="98" bestFit="1" customWidth="1"/>
    <col min="31" max="33" width="16.3984375" style="98" customWidth="1"/>
    <col min="34" max="38" width="17.3984375" style="98" customWidth="1"/>
    <col min="39" max="39" width="11.796875" style="98" customWidth="1"/>
    <col min="40" max="40" width="15.3984375" style="98" customWidth="1"/>
    <col min="41" max="41" width="11.796875" style="98" customWidth="1"/>
    <col min="42" max="42" width="19" style="98" customWidth="1"/>
    <col min="43" max="43" width="16.19921875" style="98" customWidth="1"/>
    <col min="44" max="44" width="10.3984375" style="98" bestFit="1" customWidth="1"/>
    <col min="45" max="45" width="18.3984375" style="98" customWidth="1"/>
    <col min="46" max="46" width="14.796875" style="98" customWidth="1"/>
    <col min="47" max="47" width="23.19921875" style="98" customWidth="1"/>
    <col min="48" max="48" width="14.796875" style="98" customWidth="1"/>
    <col min="49" max="49" width="20.796875" style="98" customWidth="1"/>
    <col min="50" max="50" width="14.796875" style="98" customWidth="1"/>
    <col min="51" max="51" width="19.796875" style="98" customWidth="1"/>
    <col min="52" max="52" width="18.19921875" style="98" customWidth="1"/>
    <col min="53" max="53" width="18.3984375" style="98" customWidth="1"/>
    <col min="54" max="54" width="15" style="98" customWidth="1"/>
    <col min="55" max="55" width="18.59765625" style="98" customWidth="1"/>
    <col min="56" max="56" width="17.59765625" style="98" customWidth="1"/>
    <col min="57" max="57" width="11.796875" style="98" customWidth="1"/>
    <col min="58" max="58" width="17.3984375" style="98" customWidth="1"/>
    <col min="59" max="59" width="11.796875" style="98" customWidth="1"/>
    <col min="60" max="60" width="13.59765625" style="98" customWidth="1"/>
    <col min="61" max="61" width="18.19921875" style="98" customWidth="1"/>
    <col min="62" max="62" width="23.3984375" style="98" customWidth="1"/>
    <col min="63" max="63" width="27" style="98" customWidth="1"/>
    <col min="64" max="64" width="18.3984375" style="98" customWidth="1"/>
    <col min="65" max="66" width="14.19921875" style="98" customWidth="1"/>
    <col min="67" max="67" width="13" style="98" customWidth="1"/>
    <col min="68" max="16384" width="9.3984375" style="98"/>
  </cols>
  <sheetData>
    <row r="1" spans="1:51" ht="140" x14ac:dyDescent="0.15">
      <c r="B1" s="354" t="s">
        <v>814</v>
      </c>
      <c r="C1" s="354"/>
      <c r="D1" s="99" t="s">
        <v>320</v>
      </c>
      <c r="E1" s="99" t="s">
        <v>321</v>
      </c>
      <c r="F1" s="99" t="str">
        <f>VLOOKUP(F2,'Facility Profile'!$A$242:$E$287,2,FALSE)</f>
        <v>Administrative and Routine (See July 2024 Rate Letter)</v>
      </c>
      <c r="G1" s="99" t="str">
        <f>VLOOKUP(G2,'Facility Profile'!$A$242:$E$287,2,FALSE)</f>
        <v>Other Patient Care (See July 2024 Rate Letter)</v>
      </c>
      <c r="H1" s="99" t="str">
        <f>VLOOKUP(H2,'Facility Profile'!$A$242:$E$287,2,FALSE)</f>
        <v>Capital (See July 2024 Rate Letter)</v>
      </c>
      <c r="I1" s="99" t="str">
        <f>VLOOKUP(I2,'Facility Profile'!$A$242:$E$287,2,FALSE)</f>
        <v>Nursing Service (Line 20)</v>
      </c>
      <c r="J1" s="99" t="str">
        <f>VLOOKUP(J2,'Facility Profile'!$A$242:$E$287,2,FALSE)</f>
        <v>Total Kosher Kitchen Add On (See July 2024 Rate Letter)</v>
      </c>
      <c r="K1" s="99" t="str">
        <f>VLOOKUP(K2,'Facility Profile'!$A$242:$E$287,2,FALSE)</f>
        <v xml:space="preserve">   Total Rate for All Levels (Sum of Lines 1 - 5) </v>
      </c>
      <c r="L1" s="99" t="str">
        <f>VLOOKUP(L2,'Facility Profile'!$A$242:$E$287,2,FALSE)</f>
        <v>Budget Adjustment Factor</v>
      </c>
      <c r="M1" s="99" t="str">
        <f>VLOOKUP(M2,'Facility Profile'!$A$242:$E$287,2,FALSE)</f>
        <v xml:space="preserve">   Final Adjusted Rate  (Line 6 x Line 7)</v>
      </c>
      <c r="N1" s="99" t="str">
        <f>VLOOKUP(N2,'Facility Profile'!$A$242:$E$287,2,FALSE)</f>
        <v>Quality Assessment Add On</v>
      </c>
      <c r="O1" s="99" t="str">
        <f>VLOOKUP(O2,'Facility Profile'!$A$242:$E$287,2,FALSE)</f>
        <v>Cost Report Period CMI (See July 2024 letter)</v>
      </c>
      <c r="P1" s="99" t="str">
        <f>VLOOKUP(P2,'Facility Profile'!$A$242:$E$287,2,FALSE)</f>
        <v>Statewide Average CMI</v>
      </c>
      <c r="Q1" s="99" t="str">
        <f>VLOOKUP(Q2,'Facility Profile'!$A$242:$E$287,2,FALSE)</f>
        <v>Quarter Ending 12/31/2024 Facility Average Medicaid CMI (1)</v>
      </c>
      <c r="R1" s="99" t="str">
        <f>VLOOKUP(R2,'Facility Profile'!$A$242:$E$287,2,FALSE)</f>
        <v>Case Mix Index Proportional Adjustment</v>
      </c>
      <c r="S1" s="99" t="str">
        <f>VLOOKUP(S2,'Facility Profile'!$A$242:$E$287,2,FALSE)</f>
        <v>Quarter Ending 12/31/2024 Facility Adjusted Average Medicaid CMI (Line 12 x Line 13)</v>
      </c>
      <c r="T1" s="99" t="str">
        <f>VLOOKUP(T2,'Facility Profile'!$A$242:$E$287,2,FALSE)</f>
        <v>Indexed Nursing Service Cost Per Diem (See July 2024 letter)</v>
      </c>
      <c r="U1" s="99" t="str">
        <f>VLOOKUP(U2,'Facility Profile'!$A$242:$E$287,2,FALSE)</f>
        <v>Indexed Regional Price (See July 2024 Rate Letter)</v>
      </c>
      <c r="V1" s="99" t="str">
        <f>VLOOKUP(V2,'Facility Profile'!$A$242:$E$287,2,FALSE)</f>
        <v>Adjusted to Facility Total Facility CMI (Line 16 x Line 10 ÷ Line 11)</v>
      </c>
      <c r="W1" s="99" t="str">
        <f>VLOOKUP(W2,'Facility Profile'!$A$242:$E$287,2,FALSE)</f>
        <v>Initial Nursing Service Rate (Line 17 x Line 14 ÷ Line 10)</v>
      </c>
      <c r="X1" s="99" t="str">
        <f>VLOOKUP(X2,'Facility Profile'!$A$242:$E$287,2,FALSE)</f>
        <v>Less Positive Difference Between Line 22 and Initial Nursing Service Rate (max(0,Line 23))</v>
      </c>
      <c r="Y1" s="99" t="str">
        <f>VLOOKUP(Y2,'Facility Profile'!$A$242:$E$287,2,FALSE)</f>
        <v>Final Nursing Service Rate Per Day (Line 18 + Line 19)</v>
      </c>
      <c r="Z1" s="99" t="str">
        <f>VLOOKUP(Z2,'Facility Profile'!$A$242:$E$287,2,FALSE)</f>
        <v>Medicaid Adjusted Nursing Service Cost Per Diem (Line 15 x Line 14 ÷ Line 10)</v>
      </c>
      <c r="AA1" s="99" t="str">
        <f>VLOOKUP(AA2,'Facility Profile'!$A$242:$E$287,2,FALSE)</f>
        <v>95% of Initial Nursing Service Rate (Line 18 x .95)</v>
      </c>
      <c r="AB1" s="99" t="str">
        <f>VLOOKUP(AB2,'Facility Profile'!$A$242:$E$287,2,FALSE)</f>
        <v>Difference Between Line 22 and Medicaid Adjusted Nursing Service Cost Per Diem (Line 22 - Line 21)</v>
      </c>
      <c r="AC1" s="99" t="str">
        <f>VLOOKUP(AC2,'Facility Profile'!$A$242:$E$287,2,FALSE)</f>
        <v>Administrative Day Rate (Line 1 + Line 2 + Line 3 + (Line 4 x .50) + Line 5)</v>
      </c>
      <c r="AD1" s="99" t="str">
        <f>VLOOKUP(AD2,'Facility Profile'!$A$242:$E$287,2,FALSE)</f>
        <v>Therapeutic Home Leave Rate (Line 1 + Line 2 + Line 3 + Line 5)</v>
      </c>
      <c r="AE1" s="99" t="s">
        <v>801</v>
      </c>
      <c r="AF1" s="99" t="s">
        <v>802</v>
      </c>
      <c r="AG1" s="99" t="s">
        <v>806</v>
      </c>
      <c r="AH1" s="99" t="s">
        <v>803</v>
      </c>
      <c r="AI1" s="99" t="s">
        <v>796</v>
      </c>
      <c r="AJ1" s="99" t="s">
        <v>804</v>
      </c>
      <c r="AK1" s="99" t="s">
        <v>805</v>
      </c>
      <c r="AL1" s="223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51" s="101" customFormat="1" x14ac:dyDescent="0.15">
      <c r="A2" s="100" t="s">
        <v>145</v>
      </c>
      <c r="B2" s="101" t="s">
        <v>325</v>
      </c>
      <c r="C2" s="101" t="s">
        <v>265</v>
      </c>
      <c r="F2" s="101">
        <v>1</v>
      </c>
      <c r="G2" s="101">
        <v>2</v>
      </c>
      <c r="H2" s="101">
        <v>3</v>
      </c>
      <c r="I2" s="101">
        <v>4</v>
      </c>
      <c r="J2" s="101">
        <v>5</v>
      </c>
      <c r="K2" s="101">
        <v>6</v>
      </c>
      <c r="L2" s="101">
        <v>7</v>
      </c>
      <c r="M2" s="101">
        <v>8</v>
      </c>
      <c r="N2" s="101">
        <v>9</v>
      </c>
      <c r="O2" s="101">
        <f t="shared" ref="O2:AD2" si="0">+N2+1</f>
        <v>10</v>
      </c>
      <c r="P2" s="101">
        <f t="shared" si="0"/>
        <v>11</v>
      </c>
      <c r="Q2" s="101">
        <f t="shared" si="0"/>
        <v>12</v>
      </c>
      <c r="R2" s="101">
        <f t="shared" si="0"/>
        <v>13</v>
      </c>
      <c r="S2" s="101">
        <f t="shared" si="0"/>
        <v>14</v>
      </c>
      <c r="T2" s="101">
        <f t="shared" si="0"/>
        <v>15</v>
      </c>
      <c r="U2" s="101">
        <f t="shared" si="0"/>
        <v>16</v>
      </c>
      <c r="V2" s="101">
        <f t="shared" si="0"/>
        <v>17</v>
      </c>
      <c r="W2" s="101">
        <f t="shared" si="0"/>
        <v>18</v>
      </c>
      <c r="X2" s="101">
        <f t="shared" si="0"/>
        <v>19</v>
      </c>
      <c r="Y2" s="101">
        <f t="shared" si="0"/>
        <v>20</v>
      </c>
      <c r="Z2" s="101">
        <f t="shared" si="0"/>
        <v>21</v>
      </c>
      <c r="AA2" s="101">
        <f t="shared" si="0"/>
        <v>22</v>
      </c>
      <c r="AB2" s="101">
        <f t="shared" si="0"/>
        <v>23</v>
      </c>
      <c r="AC2" s="101">
        <f t="shared" si="0"/>
        <v>24</v>
      </c>
      <c r="AD2" s="101">
        <f t="shared" si="0"/>
        <v>25</v>
      </c>
      <c r="AI2" s="102"/>
      <c r="AK2" s="122"/>
      <c r="AL2" s="122"/>
    </row>
    <row r="3" spans="1:51" x14ac:dyDescent="0.15">
      <c r="A3" s="115">
        <v>228</v>
      </c>
      <c r="B3" s="98" t="e">
        <f>VLOOKUP($A3,#REF!,101,FALSE)</f>
        <v>#REF!</v>
      </c>
      <c r="C3" s="98" t="e">
        <f>VLOOKUP($A3,#REF!,102,FALSE)</f>
        <v>#REF!</v>
      </c>
      <c r="D3" s="104" t="e">
        <f>VLOOKUP($A3,#REF!,5,FALSE)</f>
        <v>#REF!</v>
      </c>
      <c r="E3" s="104" t="e">
        <f>VLOOKUP($A3,#REF!,6,FALSE)</f>
        <v>#REF!</v>
      </c>
      <c r="F3" s="105" t="e">
        <f>VLOOKUP($A3,#REF!,34,FALSE)</f>
        <v>#REF!</v>
      </c>
      <c r="G3" s="105" t="e">
        <f>VLOOKUP($A3,#REF!,29,FALSE)</f>
        <v>#REF!</v>
      </c>
      <c r="H3" s="105" t="e">
        <f>VLOOKUP($A3,#REF!,35,FALSE)+VLOOKUP($A3,#REF!,97,FALSE)</f>
        <v>#REF!</v>
      </c>
      <c r="I3" s="105" t="e">
        <f>+Y3</f>
        <v>#REF!</v>
      </c>
      <c r="J3" s="105" t="e">
        <f>VLOOKUP($A3,#REF!,42,FALSE)</f>
        <v>#REF!</v>
      </c>
      <c r="K3" s="105" t="e">
        <f>SUM(F3:J3)</f>
        <v>#REF!</v>
      </c>
      <c r="L3" s="164" t="e">
        <f t="shared" ref="L3:L66" si="1">+BAF</f>
        <v>#REF!</v>
      </c>
      <c r="M3" s="105" t="e">
        <f>ROUND(K3*L3,2)</f>
        <v>#REF!</v>
      </c>
      <c r="N3" s="105" t="e">
        <f>VLOOKUP($A3,#REF!,46,FALSE)</f>
        <v>#REF!</v>
      </c>
      <c r="O3" s="106" t="e">
        <f>VLOOKUP($A3,#REF!,9,FALSE)</f>
        <v>#REF!</v>
      </c>
      <c r="P3" s="114" t="e">
        <f>#REF!</f>
        <v>#REF!</v>
      </c>
      <c r="Q3" s="114" t="e">
        <f>VLOOKUP(A3,#REF!,17,FALSE)</f>
        <v>#REF!</v>
      </c>
      <c r="R3" s="120" t="e">
        <f>#REF!</f>
        <v>#REF!</v>
      </c>
      <c r="S3" s="114" t="e">
        <f>IF(Q3=0,#REF!,ROUND(Q3*R3,4))</f>
        <v>#REF!</v>
      </c>
      <c r="T3" s="105" t="e">
        <f>VLOOKUP($A3,#REF!,15,FALSE)</f>
        <v>#REF!</v>
      </c>
      <c r="U3" s="105" t="e">
        <f>VLOOKUP($A3,#REF!,19,FALSE)</f>
        <v>#REF!</v>
      </c>
      <c r="V3" s="109" t="e">
        <f>IF($O3="NA","NA",ROUND(U3*(O3/P3),2))</f>
        <v>#REF!</v>
      </c>
      <c r="W3" s="121" t="e">
        <f>IF($O3="NA",ROUND(U3*S3,2),ROUND(V3*(S3/O3),2))</f>
        <v>#REF!</v>
      </c>
      <c r="X3" s="105" t="e">
        <f>IF(O3="NA","NA",ROUND(MAX(0,AB3)*-1,2))</f>
        <v>#REF!</v>
      </c>
      <c r="Y3" s="109" t="e">
        <f>IF($O3="NA",W3,W3+X3)</f>
        <v>#REF!</v>
      </c>
      <c r="Z3" s="109" t="e">
        <f>IF(O3="NA","NA",ROUND(T3*(S3/O3),2))</f>
        <v>#REF!</v>
      </c>
      <c r="AA3" s="113" t="e">
        <f>IF(O3="NA","NA",ROUND(W3*0.95,2))</f>
        <v>#REF!</v>
      </c>
      <c r="AB3" s="109" t="e">
        <f>IF(O3="NA","NA",AA3-Z3)</f>
        <v>#REF!</v>
      </c>
      <c r="AC3" s="113" t="e">
        <f>+F3+G3+H3+ROUND((I3*0.5),2)+J3</f>
        <v>#REF!</v>
      </c>
      <c r="AD3" s="105" t="e">
        <f>+F3+G3+H3+J3</f>
        <v>#REF!</v>
      </c>
      <c r="AE3" s="105" t="e">
        <f>+M3+N3</f>
        <v>#REF!</v>
      </c>
      <c r="AF3" s="105" t="e">
        <f>+AC3+N3</f>
        <v>#REF!</v>
      </c>
      <c r="AG3" s="105" t="e">
        <f>+AD3+N3</f>
        <v>#REF!</v>
      </c>
      <c r="AH3" s="111" t="e">
        <f>VLOOKUP($A3,#REF!,5,FALSE)</f>
        <v>#REF!</v>
      </c>
      <c r="AI3" s="111" t="e">
        <f>VLOOKUP($A3,#REF!,6,FALSE)</f>
        <v>#REF!</v>
      </c>
      <c r="AJ3" s="109" t="e">
        <f>ROUND((AH3*0.5)+(AE3*0.5),2)</f>
        <v>#REF!</v>
      </c>
      <c r="AK3" s="109" t="e">
        <f>ROUND((AI3*0.5)+(AF3*0.5),2)</f>
        <v>#REF!</v>
      </c>
      <c r="AL3" s="109"/>
      <c r="AM3" s="110"/>
      <c r="AN3" s="110"/>
      <c r="AO3" s="110"/>
      <c r="AP3" s="110"/>
      <c r="AQ3" s="112"/>
      <c r="AR3" s="112"/>
      <c r="AS3" s="110"/>
      <c r="AT3" s="105"/>
      <c r="AU3" s="105"/>
      <c r="AV3" s="105"/>
      <c r="AW3" s="105"/>
      <c r="AX3" s="105"/>
      <c r="AY3" s="105"/>
    </row>
    <row r="4" spans="1:51" x14ac:dyDescent="0.15">
      <c r="A4" s="115">
        <v>70</v>
      </c>
      <c r="B4" s="98" t="e">
        <f>VLOOKUP($A4,#REF!,101,FALSE)</f>
        <v>#REF!</v>
      </c>
      <c r="C4" s="98" t="e">
        <f>VLOOKUP($A4,#REF!,102,FALSE)</f>
        <v>#REF!</v>
      </c>
      <c r="D4" s="104" t="e">
        <f>VLOOKUP($A4,#REF!,5,FALSE)</f>
        <v>#REF!</v>
      </c>
      <c r="E4" s="104" t="e">
        <f>VLOOKUP($A4,#REF!,6,FALSE)</f>
        <v>#REF!</v>
      </c>
      <c r="F4" s="105" t="e">
        <f>VLOOKUP($A4,#REF!,34,FALSE)</f>
        <v>#REF!</v>
      </c>
      <c r="G4" s="105" t="e">
        <f>VLOOKUP($A4,#REF!,29,FALSE)</f>
        <v>#REF!</v>
      </c>
      <c r="H4" s="105" t="e">
        <f>VLOOKUP($A4,#REF!,35,FALSE)+VLOOKUP($A4,#REF!,97,FALSE)</f>
        <v>#REF!</v>
      </c>
      <c r="I4" s="105" t="e">
        <f t="shared" ref="I4:I67" si="2">+Y4</f>
        <v>#REF!</v>
      </c>
      <c r="J4" s="105" t="e">
        <f>VLOOKUP($A4,#REF!,42,FALSE)</f>
        <v>#REF!</v>
      </c>
      <c r="K4" s="105" t="e">
        <f t="shared" ref="K4:K67" si="3">SUM(F4:J4)</f>
        <v>#REF!</v>
      </c>
      <c r="L4" s="164" t="e">
        <f t="shared" si="1"/>
        <v>#REF!</v>
      </c>
      <c r="M4" s="105" t="e">
        <f t="shared" ref="M4:M67" si="4">ROUND(K4*L4,2)</f>
        <v>#REF!</v>
      </c>
      <c r="N4" s="105" t="e">
        <f>VLOOKUP($A4,#REF!,46,FALSE)</f>
        <v>#REF!</v>
      </c>
      <c r="O4" s="106" t="e">
        <f>VLOOKUP($A4,#REF!,9,FALSE)</f>
        <v>#REF!</v>
      </c>
      <c r="P4" s="114" t="e">
        <f>#REF!</f>
        <v>#REF!</v>
      </c>
      <c r="Q4" s="114" t="e">
        <f>VLOOKUP(A4,#REF!,17,FALSE)</f>
        <v>#REF!</v>
      </c>
      <c r="R4" s="120" t="e">
        <f>#REF!</f>
        <v>#REF!</v>
      </c>
      <c r="S4" s="114" t="e">
        <f>IF(Q4=0,#REF!,ROUND(Q4*R4,4))</f>
        <v>#REF!</v>
      </c>
      <c r="T4" s="105" t="e">
        <f>VLOOKUP($A4,#REF!,15,FALSE)</f>
        <v>#REF!</v>
      </c>
      <c r="U4" s="105" t="e">
        <f>VLOOKUP($A4,#REF!,19,FALSE)</f>
        <v>#REF!</v>
      </c>
      <c r="V4" s="109" t="e">
        <f t="shared" ref="V4:V67" si="5">IF($O4="NA","NA",ROUND(U4*(O4/P4),2))</f>
        <v>#REF!</v>
      </c>
      <c r="W4" s="121" t="e">
        <f t="shared" ref="W4:W67" si="6">IF($O4="NA",ROUND(U4*S4,2),ROUND(V4*(S4/O4),2))</f>
        <v>#REF!</v>
      </c>
      <c r="X4" s="105" t="e">
        <f t="shared" ref="X4:X67" si="7">IF(O4="NA","NA",ROUND(MAX(0,AB4)*-1,2))</f>
        <v>#REF!</v>
      </c>
      <c r="Y4" s="109" t="e">
        <f t="shared" ref="Y4:Y67" si="8">IF($O4="NA",W4,W4+X4)</f>
        <v>#REF!</v>
      </c>
      <c r="Z4" s="109" t="e">
        <f t="shared" ref="Z4:Z67" si="9">IF(O4="NA","NA",ROUND(T4*(S4/O4),2))</f>
        <v>#REF!</v>
      </c>
      <c r="AA4" s="113" t="e">
        <f t="shared" ref="AA4:AA67" si="10">IF(O4="NA","NA",ROUND(W4*0.95,2))</f>
        <v>#REF!</v>
      </c>
      <c r="AB4" s="109" t="e">
        <f t="shared" ref="AB4:AB67" si="11">IF(O4="NA","NA",AA4-Z4)</f>
        <v>#REF!</v>
      </c>
      <c r="AC4" s="113" t="e">
        <f t="shared" ref="AC4:AC67" si="12">+F4+G4+H4+ROUND((I4*0.5),2)+J4</f>
        <v>#REF!</v>
      </c>
      <c r="AD4" s="105" t="e">
        <f t="shared" ref="AD4:AD67" si="13">+F4+G4+H4+J4</f>
        <v>#REF!</v>
      </c>
      <c r="AE4" s="105" t="e">
        <f t="shared" ref="AE4:AE67" si="14">+M4+N4</f>
        <v>#REF!</v>
      </c>
      <c r="AF4" s="105" t="e">
        <f t="shared" ref="AF4:AF67" si="15">+AC4+N4</f>
        <v>#REF!</v>
      </c>
      <c r="AG4" s="105" t="e">
        <f t="shared" ref="AG4:AG67" si="16">+AD4+N4</f>
        <v>#REF!</v>
      </c>
      <c r="AH4" s="111" t="e">
        <f>VLOOKUP($A4,#REF!,5,FALSE)</f>
        <v>#REF!</v>
      </c>
      <c r="AI4" s="111" t="e">
        <f>VLOOKUP($A4,#REF!,6,FALSE)</f>
        <v>#REF!</v>
      </c>
      <c r="AJ4" s="109" t="e">
        <f t="shared" ref="AJ4:AJ67" si="17">ROUND((AH4*0.5)+(AE4*0.5),2)</f>
        <v>#REF!</v>
      </c>
      <c r="AK4" s="109" t="e">
        <f t="shared" ref="AK4:AK67" si="18">ROUND((AI4*0.5)+(AF4*0.5),2)</f>
        <v>#REF!</v>
      </c>
      <c r="AL4" s="109"/>
      <c r="AM4" s="110"/>
      <c r="AN4" s="110"/>
      <c r="AO4" s="110"/>
      <c r="AP4" s="110"/>
      <c r="AQ4" s="112"/>
      <c r="AR4" s="112"/>
      <c r="AS4" s="110"/>
      <c r="AT4" s="105"/>
      <c r="AU4" s="105"/>
      <c r="AV4" s="105"/>
      <c r="AW4" s="105"/>
      <c r="AX4" s="105"/>
      <c r="AY4" s="105"/>
    </row>
    <row r="5" spans="1:51" x14ac:dyDescent="0.15">
      <c r="A5" s="115">
        <v>30</v>
      </c>
      <c r="B5" s="98" t="e">
        <f>VLOOKUP($A5,#REF!,101,FALSE)</f>
        <v>#REF!</v>
      </c>
      <c r="C5" s="98" t="e">
        <f>VLOOKUP($A5,#REF!,102,FALSE)</f>
        <v>#REF!</v>
      </c>
      <c r="D5" s="104" t="e">
        <f>VLOOKUP($A5,#REF!,5,FALSE)</f>
        <v>#REF!</v>
      </c>
      <c r="E5" s="104" t="e">
        <f>VLOOKUP($A5,#REF!,6,FALSE)</f>
        <v>#REF!</v>
      </c>
      <c r="F5" s="105" t="e">
        <f>VLOOKUP($A5,#REF!,34,FALSE)</f>
        <v>#REF!</v>
      </c>
      <c r="G5" s="105" t="e">
        <f>VLOOKUP($A5,#REF!,29,FALSE)</f>
        <v>#REF!</v>
      </c>
      <c r="H5" s="105" t="e">
        <f>VLOOKUP($A5,#REF!,35,FALSE)+VLOOKUP($A5,#REF!,97,FALSE)</f>
        <v>#REF!</v>
      </c>
      <c r="I5" s="105" t="e">
        <f t="shared" si="2"/>
        <v>#REF!</v>
      </c>
      <c r="J5" s="105" t="e">
        <f>VLOOKUP($A5,#REF!,42,FALSE)</f>
        <v>#REF!</v>
      </c>
      <c r="K5" s="105" t="e">
        <f t="shared" si="3"/>
        <v>#REF!</v>
      </c>
      <c r="L5" s="164" t="e">
        <f t="shared" si="1"/>
        <v>#REF!</v>
      </c>
      <c r="M5" s="105" t="e">
        <f t="shared" si="4"/>
        <v>#REF!</v>
      </c>
      <c r="N5" s="105" t="e">
        <f>VLOOKUP($A5,#REF!,46,FALSE)</f>
        <v>#REF!</v>
      </c>
      <c r="O5" s="106" t="e">
        <f>VLOOKUP($A5,#REF!,9,FALSE)</f>
        <v>#REF!</v>
      </c>
      <c r="P5" s="114" t="e">
        <f>#REF!</f>
        <v>#REF!</v>
      </c>
      <c r="Q5" s="114" t="e">
        <f>VLOOKUP(A5,#REF!,17,FALSE)</f>
        <v>#REF!</v>
      </c>
      <c r="R5" s="120" t="e">
        <f>#REF!</f>
        <v>#REF!</v>
      </c>
      <c r="S5" s="114" t="e">
        <f>IF(Q5=0,#REF!,ROUND(Q5*R5,4))</f>
        <v>#REF!</v>
      </c>
      <c r="T5" s="105" t="e">
        <f>VLOOKUP($A5,#REF!,15,FALSE)</f>
        <v>#REF!</v>
      </c>
      <c r="U5" s="105" t="e">
        <f>VLOOKUP($A5,#REF!,19,FALSE)</f>
        <v>#REF!</v>
      </c>
      <c r="V5" s="109" t="e">
        <f t="shared" si="5"/>
        <v>#REF!</v>
      </c>
      <c r="W5" s="121" t="e">
        <f t="shared" si="6"/>
        <v>#REF!</v>
      </c>
      <c r="X5" s="105" t="e">
        <f t="shared" si="7"/>
        <v>#REF!</v>
      </c>
      <c r="Y5" s="109" t="e">
        <f t="shared" si="8"/>
        <v>#REF!</v>
      </c>
      <c r="Z5" s="109" t="e">
        <f t="shared" si="9"/>
        <v>#REF!</v>
      </c>
      <c r="AA5" s="113" t="e">
        <f t="shared" si="10"/>
        <v>#REF!</v>
      </c>
      <c r="AB5" s="109" t="e">
        <f t="shared" si="11"/>
        <v>#REF!</v>
      </c>
      <c r="AC5" s="113" t="e">
        <f t="shared" si="12"/>
        <v>#REF!</v>
      </c>
      <c r="AD5" s="105" t="e">
        <f t="shared" si="13"/>
        <v>#REF!</v>
      </c>
      <c r="AE5" s="105" t="e">
        <f t="shared" si="14"/>
        <v>#REF!</v>
      </c>
      <c r="AF5" s="105" t="e">
        <f t="shared" si="15"/>
        <v>#REF!</v>
      </c>
      <c r="AG5" s="105" t="e">
        <f t="shared" si="16"/>
        <v>#REF!</v>
      </c>
      <c r="AH5" s="111" t="e">
        <f>VLOOKUP($A5,#REF!,5,FALSE)</f>
        <v>#REF!</v>
      </c>
      <c r="AI5" s="111" t="e">
        <f>VLOOKUP($A5,#REF!,6,FALSE)</f>
        <v>#REF!</v>
      </c>
      <c r="AJ5" s="109" t="e">
        <f t="shared" si="17"/>
        <v>#REF!</v>
      </c>
      <c r="AK5" s="109" t="e">
        <f t="shared" si="18"/>
        <v>#REF!</v>
      </c>
      <c r="AL5" s="109"/>
      <c r="AM5" s="110"/>
      <c r="AN5" s="110"/>
      <c r="AO5" s="110"/>
      <c r="AP5" s="110"/>
      <c r="AQ5" s="112"/>
      <c r="AR5" s="112"/>
      <c r="AS5" s="110"/>
      <c r="AT5" s="105"/>
      <c r="AU5" s="105"/>
      <c r="AV5" s="105"/>
      <c r="AW5" s="105"/>
      <c r="AX5" s="105"/>
      <c r="AY5" s="105"/>
    </row>
    <row r="6" spans="1:51" x14ac:dyDescent="0.15">
      <c r="A6" s="115">
        <v>34</v>
      </c>
      <c r="B6" s="98" t="e">
        <f>VLOOKUP($A6,#REF!,101,FALSE)</f>
        <v>#REF!</v>
      </c>
      <c r="C6" s="98" t="e">
        <f>VLOOKUP($A6,#REF!,102,FALSE)</f>
        <v>#REF!</v>
      </c>
      <c r="D6" s="104" t="e">
        <f>VLOOKUP($A6,#REF!,5,FALSE)</f>
        <v>#REF!</v>
      </c>
      <c r="E6" s="104" t="e">
        <f>VLOOKUP($A6,#REF!,6,FALSE)</f>
        <v>#REF!</v>
      </c>
      <c r="F6" s="105" t="e">
        <f>VLOOKUP($A6,#REF!,34,FALSE)</f>
        <v>#REF!</v>
      </c>
      <c r="G6" s="105" t="e">
        <f>VLOOKUP($A6,#REF!,29,FALSE)</f>
        <v>#REF!</v>
      </c>
      <c r="H6" s="105" t="e">
        <f>VLOOKUP($A6,#REF!,35,FALSE)+VLOOKUP($A6,#REF!,97,FALSE)</f>
        <v>#REF!</v>
      </c>
      <c r="I6" s="105" t="e">
        <f t="shared" si="2"/>
        <v>#REF!</v>
      </c>
      <c r="J6" s="105" t="e">
        <f>VLOOKUP($A6,#REF!,42,FALSE)</f>
        <v>#REF!</v>
      </c>
      <c r="K6" s="105" t="e">
        <f t="shared" si="3"/>
        <v>#REF!</v>
      </c>
      <c r="L6" s="164" t="e">
        <f t="shared" si="1"/>
        <v>#REF!</v>
      </c>
      <c r="M6" s="105" t="e">
        <f t="shared" si="4"/>
        <v>#REF!</v>
      </c>
      <c r="N6" s="105" t="e">
        <f>VLOOKUP($A6,#REF!,46,FALSE)</f>
        <v>#REF!</v>
      </c>
      <c r="O6" s="106" t="e">
        <f>VLOOKUP($A6,#REF!,9,FALSE)</f>
        <v>#REF!</v>
      </c>
      <c r="P6" s="114" t="e">
        <f>#REF!</f>
        <v>#REF!</v>
      </c>
      <c r="Q6" s="114" t="e">
        <f>VLOOKUP(A6,#REF!,17,FALSE)</f>
        <v>#REF!</v>
      </c>
      <c r="R6" s="120" t="e">
        <f>#REF!</f>
        <v>#REF!</v>
      </c>
      <c r="S6" s="114" t="e">
        <f>IF(Q6=0,#REF!,ROUND(Q6*R6,4))</f>
        <v>#REF!</v>
      </c>
      <c r="T6" s="105" t="e">
        <f>VLOOKUP($A6,#REF!,15,FALSE)</f>
        <v>#REF!</v>
      </c>
      <c r="U6" s="105" t="e">
        <f>VLOOKUP($A6,#REF!,19,FALSE)</f>
        <v>#REF!</v>
      </c>
      <c r="V6" s="109" t="e">
        <f t="shared" si="5"/>
        <v>#REF!</v>
      </c>
      <c r="W6" s="121" t="e">
        <f t="shared" si="6"/>
        <v>#REF!</v>
      </c>
      <c r="X6" s="105" t="e">
        <f t="shared" si="7"/>
        <v>#REF!</v>
      </c>
      <c r="Y6" s="109" t="e">
        <f t="shared" si="8"/>
        <v>#REF!</v>
      </c>
      <c r="Z6" s="109" t="e">
        <f t="shared" si="9"/>
        <v>#REF!</v>
      </c>
      <c r="AA6" s="113" t="e">
        <f t="shared" si="10"/>
        <v>#REF!</v>
      </c>
      <c r="AB6" s="109" t="e">
        <f t="shared" si="11"/>
        <v>#REF!</v>
      </c>
      <c r="AC6" s="113" t="e">
        <f t="shared" si="12"/>
        <v>#REF!</v>
      </c>
      <c r="AD6" s="105" t="e">
        <f t="shared" si="13"/>
        <v>#REF!</v>
      </c>
      <c r="AE6" s="105" t="e">
        <f t="shared" si="14"/>
        <v>#REF!</v>
      </c>
      <c r="AF6" s="105" t="e">
        <f t="shared" si="15"/>
        <v>#REF!</v>
      </c>
      <c r="AG6" s="105" t="e">
        <f t="shared" si="16"/>
        <v>#REF!</v>
      </c>
      <c r="AH6" s="111" t="e">
        <f>VLOOKUP($A6,#REF!,5,FALSE)</f>
        <v>#REF!</v>
      </c>
      <c r="AI6" s="111" t="e">
        <f>VLOOKUP($A6,#REF!,6,FALSE)</f>
        <v>#REF!</v>
      </c>
      <c r="AJ6" s="109" t="e">
        <f t="shared" si="17"/>
        <v>#REF!</v>
      </c>
      <c r="AK6" s="109" t="e">
        <f t="shared" si="18"/>
        <v>#REF!</v>
      </c>
      <c r="AL6" s="109"/>
      <c r="AM6" s="110"/>
      <c r="AN6" s="110"/>
      <c r="AO6" s="110"/>
      <c r="AP6" s="110"/>
      <c r="AQ6" s="112"/>
      <c r="AR6" s="112"/>
      <c r="AS6" s="110"/>
      <c r="AT6" s="105"/>
      <c r="AU6" s="105"/>
      <c r="AV6" s="105"/>
      <c r="AW6" s="105"/>
      <c r="AX6" s="105"/>
      <c r="AY6" s="105"/>
    </row>
    <row r="7" spans="1:51" x14ac:dyDescent="0.15">
      <c r="A7" s="115">
        <v>36</v>
      </c>
      <c r="B7" s="98" t="e">
        <f>VLOOKUP($A7,#REF!,101,FALSE)</f>
        <v>#REF!</v>
      </c>
      <c r="C7" s="98" t="e">
        <f>VLOOKUP($A7,#REF!,102,FALSE)</f>
        <v>#REF!</v>
      </c>
      <c r="D7" s="104" t="e">
        <f>VLOOKUP($A7,#REF!,5,FALSE)</f>
        <v>#REF!</v>
      </c>
      <c r="E7" s="104" t="e">
        <f>VLOOKUP($A7,#REF!,6,FALSE)</f>
        <v>#REF!</v>
      </c>
      <c r="F7" s="105" t="e">
        <f>VLOOKUP($A7,#REF!,34,FALSE)</f>
        <v>#REF!</v>
      </c>
      <c r="G7" s="105" t="e">
        <f>VLOOKUP($A7,#REF!,29,FALSE)</f>
        <v>#REF!</v>
      </c>
      <c r="H7" s="105" t="e">
        <f>VLOOKUP($A7,#REF!,35,FALSE)+VLOOKUP($A7,#REF!,97,FALSE)</f>
        <v>#REF!</v>
      </c>
      <c r="I7" s="105" t="e">
        <f t="shared" si="2"/>
        <v>#REF!</v>
      </c>
      <c r="J7" s="105" t="e">
        <f>VLOOKUP($A7,#REF!,42,FALSE)</f>
        <v>#REF!</v>
      </c>
      <c r="K7" s="105" t="e">
        <f t="shared" si="3"/>
        <v>#REF!</v>
      </c>
      <c r="L7" s="164" t="e">
        <f t="shared" si="1"/>
        <v>#REF!</v>
      </c>
      <c r="M7" s="105" t="e">
        <f t="shared" si="4"/>
        <v>#REF!</v>
      </c>
      <c r="N7" s="105" t="e">
        <f>VLOOKUP($A7,#REF!,46,FALSE)</f>
        <v>#REF!</v>
      </c>
      <c r="O7" s="106" t="e">
        <f>VLOOKUP($A7,#REF!,9,FALSE)</f>
        <v>#REF!</v>
      </c>
      <c r="P7" s="114" t="e">
        <f>#REF!</f>
        <v>#REF!</v>
      </c>
      <c r="Q7" s="114" t="e">
        <f>VLOOKUP(A7,#REF!,17,FALSE)</f>
        <v>#REF!</v>
      </c>
      <c r="R7" s="120" t="e">
        <f>#REF!</f>
        <v>#REF!</v>
      </c>
      <c r="S7" s="114" t="e">
        <f>IF(Q7=0,#REF!,ROUND(Q7*R7,4))</f>
        <v>#REF!</v>
      </c>
      <c r="T7" s="105" t="e">
        <f>VLOOKUP($A7,#REF!,15,FALSE)</f>
        <v>#REF!</v>
      </c>
      <c r="U7" s="105" t="e">
        <f>VLOOKUP($A7,#REF!,19,FALSE)</f>
        <v>#REF!</v>
      </c>
      <c r="V7" s="109" t="e">
        <f t="shared" si="5"/>
        <v>#REF!</v>
      </c>
      <c r="W7" s="121" t="e">
        <f t="shared" si="6"/>
        <v>#REF!</v>
      </c>
      <c r="X7" s="105" t="e">
        <f t="shared" si="7"/>
        <v>#REF!</v>
      </c>
      <c r="Y7" s="109" t="e">
        <f t="shared" si="8"/>
        <v>#REF!</v>
      </c>
      <c r="Z7" s="109" t="e">
        <f t="shared" si="9"/>
        <v>#REF!</v>
      </c>
      <c r="AA7" s="113" t="e">
        <f t="shared" si="10"/>
        <v>#REF!</v>
      </c>
      <c r="AB7" s="109" t="e">
        <f t="shared" si="11"/>
        <v>#REF!</v>
      </c>
      <c r="AC7" s="113" t="e">
        <f t="shared" si="12"/>
        <v>#REF!</v>
      </c>
      <c r="AD7" s="105" t="e">
        <f t="shared" si="13"/>
        <v>#REF!</v>
      </c>
      <c r="AE7" s="105" t="e">
        <f t="shared" si="14"/>
        <v>#REF!</v>
      </c>
      <c r="AF7" s="105" t="e">
        <f t="shared" si="15"/>
        <v>#REF!</v>
      </c>
      <c r="AG7" s="105" t="e">
        <f t="shared" si="16"/>
        <v>#REF!</v>
      </c>
      <c r="AH7" s="111" t="e">
        <f>VLOOKUP($A7,#REF!,5,FALSE)</f>
        <v>#REF!</v>
      </c>
      <c r="AI7" s="111" t="e">
        <f>VLOOKUP($A7,#REF!,6,FALSE)</f>
        <v>#REF!</v>
      </c>
      <c r="AJ7" s="109" t="e">
        <f t="shared" si="17"/>
        <v>#REF!</v>
      </c>
      <c r="AK7" s="109" t="e">
        <f t="shared" si="18"/>
        <v>#REF!</v>
      </c>
      <c r="AL7" s="109"/>
      <c r="AM7" s="110"/>
      <c r="AN7" s="110"/>
      <c r="AO7" s="110"/>
      <c r="AP7" s="110"/>
      <c r="AQ7" s="112"/>
      <c r="AR7" s="112"/>
      <c r="AS7" s="110"/>
      <c r="AT7" s="105"/>
      <c r="AU7" s="105"/>
      <c r="AV7" s="105"/>
      <c r="AW7" s="105"/>
      <c r="AX7" s="105"/>
      <c r="AY7" s="105"/>
    </row>
    <row r="8" spans="1:51" x14ac:dyDescent="0.15">
      <c r="A8" s="115">
        <v>38</v>
      </c>
      <c r="B8" s="98" t="e">
        <f>VLOOKUP($A8,#REF!,101,FALSE)</f>
        <v>#REF!</v>
      </c>
      <c r="C8" s="98" t="e">
        <f>VLOOKUP($A8,#REF!,102,FALSE)</f>
        <v>#REF!</v>
      </c>
      <c r="D8" s="104" t="e">
        <f>VLOOKUP($A8,#REF!,5,FALSE)</f>
        <v>#REF!</v>
      </c>
      <c r="E8" s="104" t="e">
        <f>VLOOKUP($A8,#REF!,6,FALSE)</f>
        <v>#REF!</v>
      </c>
      <c r="F8" s="105" t="e">
        <f>VLOOKUP($A8,#REF!,34,FALSE)</f>
        <v>#REF!</v>
      </c>
      <c r="G8" s="105" t="e">
        <f>VLOOKUP($A8,#REF!,29,FALSE)</f>
        <v>#REF!</v>
      </c>
      <c r="H8" s="105" t="e">
        <f>VLOOKUP($A8,#REF!,35,FALSE)+VLOOKUP($A8,#REF!,97,FALSE)</f>
        <v>#REF!</v>
      </c>
      <c r="I8" s="105" t="e">
        <f t="shared" si="2"/>
        <v>#REF!</v>
      </c>
      <c r="J8" s="105" t="e">
        <f>VLOOKUP($A8,#REF!,42,FALSE)</f>
        <v>#REF!</v>
      </c>
      <c r="K8" s="105" t="e">
        <f t="shared" si="3"/>
        <v>#REF!</v>
      </c>
      <c r="L8" s="164" t="e">
        <f t="shared" si="1"/>
        <v>#REF!</v>
      </c>
      <c r="M8" s="105" t="e">
        <f t="shared" si="4"/>
        <v>#REF!</v>
      </c>
      <c r="N8" s="105" t="e">
        <f>VLOOKUP($A8,#REF!,46,FALSE)</f>
        <v>#REF!</v>
      </c>
      <c r="O8" s="106" t="e">
        <f>VLOOKUP($A8,#REF!,9,FALSE)</f>
        <v>#REF!</v>
      </c>
      <c r="P8" s="114" t="e">
        <f>#REF!</f>
        <v>#REF!</v>
      </c>
      <c r="Q8" s="114" t="e">
        <f>VLOOKUP(A8,#REF!,17,FALSE)</f>
        <v>#REF!</v>
      </c>
      <c r="R8" s="120" t="e">
        <f>#REF!</f>
        <v>#REF!</v>
      </c>
      <c r="S8" s="114" t="e">
        <f>IF(Q8=0,#REF!,ROUND(Q8*R8,4))</f>
        <v>#REF!</v>
      </c>
      <c r="T8" s="105" t="e">
        <f>VLOOKUP($A8,#REF!,15,FALSE)</f>
        <v>#REF!</v>
      </c>
      <c r="U8" s="105" t="e">
        <f>VLOOKUP($A8,#REF!,19,FALSE)</f>
        <v>#REF!</v>
      </c>
      <c r="V8" s="109" t="e">
        <f t="shared" si="5"/>
        <v>#REF!</v>
      </c>
      <c r="W8" s="121" t="e">
        <f t="shared" si="6"/>
        <v>#REF!</v>
      </c>
      <c r="X8" s="105" t="e">
        <f t="shared" si="7"/>
        <v>#REF!</v>
      </c>
      <c r="Y8" s="109" t="e">
        <f t="shared" si="8"/>
        <v>#REF!</v>
      </c>
      <c r="Z8" s="109" t="e">
        <f t="shared" si="9"/>
        <v>#REF!</v>
      </c>
      <c r="AA8" s="113" t="e">
        <f t="shared" si="10"/>
        <v>#REF!</v>
      </c>
      <c r="AB8" s="109" t="e">
        <f t="shared" si="11"/>
        <v>#REF!</v>
      </c>
      <c r="AC8" s="113" t="e">
        <f t="shared" si="12"/>
        <v>#REF!</v>
      </c>
      <c r="AD8" s="105" t="e">
        <f t="shared" si="13"/>
        <v>#REF!</v>
      </c>
      <c r="AE8" s="105" t="e">
        <f t="shared" si="14"/>
        <v>#REF!</v>
      </c>
      <c r="AF8" s="105" t="e">
        <f t="shared" si="15"/>
        <v>#REF!</v>
      </c>
      <c r="AG8" s="105" t="e">
        <f t="shared" si="16"/>
        <v>#REF!</v>
      </c>
      <c r="AH8" s="111" t="e">
        <f>VLOOKUP($A8,#REF!,5,FALSE)</f>
        <v>#REF!</v>
      </c>
      <c r="AI8" s="111" t="e">
        <f>VLOOKUP($A8,#REF!,6,FALSE)</f>
        <v>#REF!</v>
      </c>
      <c r="AJ8" s="109" t="e">
        <f t="shared" si="17"/>
        <v>#REF!</v>
      </c>
      <c r="AK8" s="109" t="e">
        <f t="shared" si="18"/>
        <v>#REF!</v>
      </c>
      <c r="AL8" s="109"/>
      <c r="AM8" s="110"/>
      <c r="AN8" s="110"/>
      <c r="AO8" s="110"/>
      <c r="AP8" s="110"/>
      <c r="AQ8" s="112"/>
      <c r="AR8" s="112"/>
      <c r="AS8" s="110"/>
      <c r="AT8" s="105"/>
      <c r="AU8" s="105"/>
      <c r="AV8" s="105"/>
      <c r="AW8" s="105"/>
      <c r="AX8" s="105"/>
      <c r="AY8" s="105"/>
    </row>
    <row r="9" spans="1:51" x14ac:dyDescent="0.15">
      <c r="A9" s="115">
        <v>224</v>
      </c>
      <c r="B9" s="98" t="e">
        <f>VLOOKUP($A9,#REF!,101,FALSE)</f>
        <v>#REF!</v>
      </c>
      <c r="C9" s="98" t="e">
        <f>VLOOKUP($A9,#REF!,102,FALSE)</f>
        <v>#REF!</v>
      </c>
      <c r="D9" s="104" t="e">
        <f>VLOOKUP($A9,#REF!,5,FALSE)</f>
        <v>#REF!</v>
      </c>
      <c r="E9" s="104" t="e">
        <f>VLOOKUP($A9,#REF!,6,FALSE)</f>
        <v>#REF!</v>
      </c>
      <c r="F9" s="105" t="e">
        <f>VLOOKUP($A9,#REF!,34,FALSE)</f>
        <v>#REF!</v>
      </c>
      <c r="G9" s="105" t="e">
        <f>VLOOKUP($A9,#REF!,29,FALSE)</f>
        <v>#REF!</v>
      </c>
      <c r="H9" s="105" t="e">
        <f>VLOOKUP($A9,#REF!,35,FALSE)+VLOOKUP($A9,#REF!,97,FALSE)</f>
        <v>#REF!</v>
      </c>
      <c r="I9" s="105" t="e">
        <f t="shared" si="2"/>
        <v>#REF!</v>
      </c>
      <c r="J9" s="105" t="e">
        <f>VLOOKUP($A9,#REF!,42,FALSE)</f>
        <v>#REF!</v>
      </c>
      <c r="K9" s="105" t="e">
        <f t="shared" si="3"/>
        <v>#REF!</v>
      </c>
      <c r="L9" s="164" t="e">
        <f t="shared" si="1"/>
        <v>#REF!</v>
      </c>
      <c r="M9" s="105" t="e">
        <f t="shared" si="4"/>
        <v>#REF!</v>
      </c>
      <c r="N9" s="105" t="e">
        <f>VLOOKUP($A9,#REF!,46,FALSE)</f>
        <v>#REF!</v>
      </c>
      <c r="O9" s="106" t="e">
        <f>VLOOKUP($A9,#REF!,9,FALSE)</f>
        <v>#REF!</v>
      </c>
      <c r="P9" s="114" t="e">
        <f>#REF!</f>
        <v>#REF!</v>
      </c>
      <c r="Q9" s="114" t="e">
        <f>VLOOKUP(A9,#REF!,17,FALSE)</f>
        <v>#REF!</v>
      </c>
      <c r="R9" s="120" t="e">
        <f>#REF!</f>
        <v>#REF!</v>
      </c>
      <c r="S9" s="114" t="e">
        <f>IF(Q9=0,#REF!,ROUND(Q9*R9,4))</f>
        <v>#REF!</v>
      </c>
      <c r="T9" s="105" t="e">
        <f>VLOOKUP($A9,#REF!,15,FALSE)</f>
        <v>#REF!</v>
      </c>
      <c r="U9" s="105" t="e">
        <f>VLOOKUP($A9,#REF!,19,FALSE)</f>
        <v>#REF!</v>
      </c>
      <c r="V9" s="109" t="e">
        <f t="shared" si="5"/>
        <v>#REF!</v>
      </c>
      <c r="W9" s="121" t="e">
        <f t="shared" si="6"/>
        <v>#REF!</v>
      </c>
      <c r="X9" s="105" t="e">
        <f t="shared" si="7"/>
        <v>#REF!</v>
      </c>
      <c r="Y9" s="109" t="e">
        <f t="shared" si="8"/>
        <v>#REF!</v>
      </c>
      <c r="Z9" s="109" t="e">
        <f t="shared" si="9"/>
        <v>#REF!</v>
      </c>
      <c r="AA9" s="113" t="e">
        <f t="shared" si="10"/>
        <v>#REF!</v>
      </c>
      <c r="AB9" s="109" t="e">
        <f t="shared" si="11"/>
        <v>#REF!</v>
      </c>
      <c r="AC9" s="113" t="e">
        <f t="shared" si="12"/>
        <v>#REF!</v>
      </c>
      <c r="AD9" s="105" t="e">
        <f t="shared" si="13"/>
        <v>#REF!</v>
      </c>
      <c r="AE9" s="105" t="e">
        <f t="shared" si="14"/>
        <v>#REF!</v>
      </c>
      <c r="AF9" s="105" t="e">
        <f t="shared" si="15"/>
        <v>#REF!</v>
      </c>
      <c r="AG9" s="105" t="e">
        <f t="shared" si="16"/>
        <v>#REF!</v>
      </c>
      <c r="AH9" s="111" t="e">
        <f>VLOOKUP($A9,#REF!,5,FALSE)</f>
        <v>#REF!</v>
      </c>
      <c r="AI9" s="111" t="e">
        <f>VLOOKUP($A9,#REF!,6,FALSE)</f>
        <v>#REF!</v>
      </c>
      <c r="AJ9" s="109" t="e">
        <f t="shared" si="17"/>
        <v>#REF!</v>
      </c>
      <c r="AK9" s="109" t="e">
        <f t="shared" si="18"/>
        <v>#REF!</v>
      </c>
      <c r="AL9" s="109"/>
      <c r="AM9" s="110"/>
      <c r="AN9" s="110"/>
      <c r="AO9" s="110"/>
      <c r="AP9" s="110"/>
      <c r="AQ9" s="112"/>
      <c r="AR9" s="112"/>
      <c r="AS9" s="110"/>
      <c r="AT9" s="105"/>
      <c r="AU9" s="105"/>
      <c r="AV9" s="105"/>
      <c r="AW9" s="105"/>
      <c r="AX9" s="105"/>
      <c r="AY9" s="105"/>
    </row>
    <row r="10" spans="1:51" x14ac:dyDescent="0.15">
      <c r="A10" s="115">
        <v>44</v>
      </c>
      <c r="B10" s="98" t="e">
        <f>VLOOKUP($A10,#REF!,101,FALSE)</f>
        <v>#REF!</v>
      </c>
      <c r="C10" s="98" t="e">
        <f>VLOOKUP($A10,#REF!,102,FALSE)</f>
        <v>#REF!</v>
      </c>
      <c r="D10" s="104" t="e">
        <f>VLOOKUP($A10,#REF!,5,FALSE)</f>
        <v>#REF!</v>
      </c>
      <c r="E10" s="104" t="e">
        <f>VLOOKUP($A10,#REF!,6,FALSE)</f>
        <v>#REF!</v>
      </c>
      <c r="F10" s="105" t="e">
        <f>VLOOKUP($A10,#REF!,34,FALSE)</f>
        <v>#REF!</v>
      </c>
      <c r="G10" s="105" t="e">
        <f>VLOOKUP($A10,#REF!,29,FALSE)</f>
        <v>#REF!</v>
      </c>
      <c r="H10" s="105" t="e">
        <f>VLOOKUP($A10,#REF!,35,FALSE)+VLOOKUP($A10,#REF!,97,FALSE)</f>
        <v>#REF!</v>
      </c>
      <c r="I10" s="105" t="e">
        <f t="shared" si="2"/>
        <v>#REF!</v>
      </c>
      <c r="J10" s="105" t="e">
        <f>VLOOKUP($A10,#REF!,42,FALSE)</f>
        <v>#REF!</v>
      </c>
      <c r="K10" s="105" t="e">
        <f t="shared" si="3"/>
        <v>#REF!</v>
      </c>
      <c r="L10" s="164" t="e">
        <f t="shared" si="1"/>
        <v>#REF!</v>
      </c>
      <c r="M10" s="105" t="e">
        <f t="shared" si="4"/>
        <v>#REF!</v>
      </c>
      <c r="N10" s="105" t="e">
        <f>VLOOKUP($A10,#REF!,46,FALSE)</f>
        <v>#REF!</v>
      </c>
      <c r="O10" s="106" t="e">
        <f>VLOOKUP($A10,#REF!,9,FALSE)</f>
        <v>#REF!</v>
      </c>
      <c r="P10" s="114" t="e">
        <f>#REF!</f>
        <v>#REF!</v>
      </c>
      <c r="Q10" s="114" t="e">
        <f>VLOOKUP(A10,#REF!,17,FALSE)</f>
        <v>#REF!</v>
      </c>
      <c r="R10" s="120" t="e">
        <f>#REF!</f>
        <v>#REF!</v>
      </c>
      <c r="S10" s="114" t="e">
        <f>IF(Q10=0,#REF!,ROUND(Q10*R10,4))</f>
        <v>#REF!</v>
      </c>
      <c r="T10" s="105" t="e">
        <f>VLOOKUP($A10,#REF!,15,FALSE)</f>
        <v>#REF!</v>
      </c>
      <c r="U10" s="105" t="e">
        <f>VLOOKUP($A10,#REF!,19,FALSE)</f>
        <v>#REF!</v>
      </c>
      <c r="V10" s="109" t="e">
        <f t="shared" si="5"/>
        <v>#REF!</v>
      </c>
      <c r="W10" s="121" t="e">
        <f t="shared" si="6"/>
        <v>#REF!</v>
      </c>
      <c r="X10" s="105" t="e">
        <f t="shared" si="7"/>
        <v>#REF!</v>
      </c>
      <c r="Y10" s="109" t="e">
        <f t="shared" si="8"/>
        <v>#REF!</v>
      </c>
      <c r="Z10" s="109" t="e">
        <f t="shared" si="9"/>
        <v>#REF!</v>
      </c>
      <c r="AA10" s="113" t="e">
        <f t="shared" si="10"/>
        <v>#REF!</v>
      </c>
      <c r="AB10" s="109" t="e">
        <f t="shared" si="11"/>
        <v>#REF!</v>
      </c>
      <c r="AC10" s="113" t="e">
        <f t="shared" si="12"/>
        <v>#REF!</v>
      </c>
      <c r="AD10" s="105" t="e">
        <f t="shared" si="13"/>
        <v>#REF!</v>
      </c>
      <c r="AE10" s="105" t="e">
        <f t="shared" si="14"/>
        <v>#REF!</v>
      </c>
      <c r="AF10" s="105" t="e">
        <f t="shared" si="15"/>
        <v>#REF!</v>
      </c>
      <c r="AG10" s="105" t="e">
        <f t="shared" si="16"/>
        <v>#REF!</v>
      </c>
      <c r="AH10" s="111" t="e">
        <f>VLOOKUP($A10,#REF!,5,FALSE)</f>
        <v>#REF!</v>
      </c>
      <c r="AI10" s="111" t="e">
        <f>VLOOKUP($A10,#REF!,6,FALSE)</f>
        <v>#REF!</v>
      </c>
      <c r="AJ10" s="109" t="e">
        <f t="shared" si="17"/>
        <v>#REF!</v>
      </c>
      <c r="AK10" s="109" t="e">
        <f t="shared" si="18"/>
        <v>#REF!</v>
      </c>
      <c r="AL10" s="109"/>
      <c r="AM10" s="110"/>
      <c r="AN10" s="110"/>
      <c r="AO10" s="110"/>
      <c r="AP10" s="110"/>
      <c r="AQ10" s="112"/>
      <c r="AR10" s="112"/>
      <c r="AS10" s="110"/>
      <c r="AT10" s="105"/>
      <c r="AU10" s="105"/>
      <c r="AV10" s="105"/>
      <c r="AW10" s="105"/>
      <c r="AX10" s="105"/>
      <c r="AY10" s="105"/>
    </row>
    <row r="11" spans="1:51" x14ac:dyDescent="0.15">
      <c r="A11" s="115">
        <v>671</v>
      </c>
      <c r="B11" s="98" t="e">
        <f>VLOOKUP($A11,#REF!,101,FALSE)</f>
        <v>#REF!</v>
      </c>
      <c r="C11" s="98" t="e">
        <f>VLOOKUP($A11,#REF!,102,FALSE)</f>
        <v>#REF!</v>
      </c>
      <c r="D11" s="104" t="e">
        <f>VLOOKUP($A11,#REF!,5,FALSE)</f>
        <v>#REF!</v>
      </c>
      <c r="E11" s="104" t="e">
        <f>VLOOKUP($A11,#REF!,6,FALSE)</f>
        <v>#REF!</v>
      </c>
      <c r="F11" s="105" t="e">
        <f>VLOOKUP($A11,#REF!,34,FALSE)</f>
        <v>#REF!</v>
      </c>
      <c r="G11" s="105" t="e">
        <f>VLOOKUP($A11,#REF!,29,FALSE)</f>
        <v>#REF!</v>
      </c>
      <c r="H11" s="105" t="e">
        <f>VLOOKUP($A11,#REF!,35,FALSE)+VLOOKUP($A11,#REF!,97,FALSE)</f>
        <v>#REF!</v>
      </c>
      <c r="I11" s="105" t="e">
        <f t="shared" si="2"/>
        <v>#REF!</v>
      </c>
      <c r="J11" s="105" t="e">
        <f>VLOOKUP($A11,#REF!,42,FALSE)</f>
        <v>#REF!</v>
      </c>
      <c r="K11" s="105" t="e">
        <f t="shared" si="3"/>
        <v>#REF!</v>
      </c>
      <c r="L11" s="164" t="e">
        <f t="shared" si="1"/>
        <v>#REF!</v>
      </c>
      <c r="M11" s="105" t="e">
        <f t="shared" si="4"/>
        <v>#REF!</v>
      </c>
      <c r="N11" s="105" t="e">
        <f>VLOOKUP($A11,#REF!,46,FALSE)</f>
        <v>#REF!</v>
      </c>
      <c r="O11" s="106" t="e">
        <f>VLOOKUP($A11,#REF!,9,FALSE)</f>
        <v>#REF!</v>
      </c>
      <c r="P11" s="114" t="e">
        <f>#REF!</f>
        <v>#REF!</v>
      </c>
      <c r="Q11" s="114" t="e">
        <f>VLOOKUP(A11,#REF!,17,FALSE)</f>
        <v>#REF!</v>
      </c>
      <c r="R11" s="120" t="e">
        <f>#REF!</f>
        <v>#REF!</v>
      </c>
      <c r="S11" s="114" t="e">
        <f>IF(Q11=0,#REF!,ROUND(Q11*R11,4))</f>
        <v>#REF!</v>
      </c>
      <c r="T11" s="105" t="e">
        <f>VLOOKUP($A11,#REF!,15,FALSE)</f>
        <v>#REF!</v>
      </c>
      <c r="U11" s="105" t="e">
        <f>VLOOKUP($A11,#REF!,19,FALSE)</f>
        <v>#REF!</v>
      </c>
      <c r="V11" s="109" t="e">
        <f t="shared" si="5"/>
        <v>#REF!</v>
      </c>
      <c r="W11" s="121" t="e">
        <f t="shared" si="6"/>
        <v>#REF!</v>
      </c>
      <c r="X11" s="105" t="e">
        <f t="shared" si="7"/>
        <v>#REF!</v>
      </c>
      <c r="Y11" s="109" t="e">
        <f t="shared" si="8"/>
        <v>#REF!</v>
      </c>
      <c r="Z11" s="109" t="e">
        <f t="shared" si="9"/>
        <v>#REF!</v>
      </c>
      <c r="AA11" s="113" t="e">
        <f t="shared" si="10"/>
        <v>#REF!</v>
      </c>
      <c r="AB11" s="109" t="e">
        <f t="shared" si="11"/>
        <v>#REF!</v>
      </c>
      <c r="AC11" s="113" t="e">
        <f t="shared" si="12"/>
        <v>#REF!</v>
      </c>
      <c r="AD11" s="105" t="e">
        <f t="shared" si="13"/>
        <v>#REF!</v>
      </c>
      <c r="AE11" s="105" t="e">
        <f t="shared" si="14"/>
        <v>#REF!</v>
      </c>
      <c r="AF11" s="105" t="e">
        <f t="shared" si="15"/>
        <v>#REF!</v>
      </c>
      <c r="AG11" s="105" t="e">
        <f t="shared" si="16"/>
        <v>#REF!</v>
      </c>
      <c r="AH11" s="111" t="e">
        <f>VLOOKUP($A11,#REF!,5,FALSE)</f>
        <v>#REF!</v>
      </c>
      <c r="AI11" s="111" t="e">
        <f>VLOOKUP($A11,#REF!,6,FALSE)</f>
        <v>#REF!</v>
      </c>
      <c r="AJ11" s="109" t="e">
        <f t="shared" si="17"/>
        <v>#REF!</v>
      </c>
      <c r="AK11" s="109" t="e">
        <f t="shared" si="18"/>
        <v>#REF!</v>
      </c>
      <c r="AL11" s="109"/>
      <c r="AM11" s="110"/>
      <c r="AN11" s="110"/>
      <c r="AO11" s="110"/>
      <c r="AP11" s="110"/>
      <c r="AQ11" s="112"/>
      <c r="AR11" s="112"/>
      <c r="AS11" s="110"/>
      <c r="AT11" s="105"/>
      <c r="AU11" s="105"/>
      <c r="AV11" s="105"/>
      <c r="AW11" s="105"/>
      <c r="AX11" s="105"/>
      <c r="AY11" s="105"/>
    </row>
    <row r="12" spans="1:51" x14ac:dyDescent="0.15">
      <c r="A12" s="115">
        <v>46</v>
      </c>
      <c r="B12" s="98" t="e">
        <f>VLOOKUP($A12,#REF!,101,FALSE)</f>
        <v>#REF!</v>
      </c>
      <c r="C12" s="98" t="e">
        <f>VLOOKUP($A12,#REF!,102,FALSE)</f>
        <v>#REF!</v>
      </c>
      <c r="D12" s="104" t="e">
        <f>VLOOKUP($A12,#REF!,5,FALSE)</f>
        <v>#REF!</v>
      </c>
      <c r="E12" s="104" t="e">
        <f>VLOOKUP($A12,#REF!,6,FALSE)</f>
        <v>#REF!</v>
      </c>
      <c r="F12" s="105" t="e">
        <f>VLOOKUP($A12,#REF!,34,FALSE)</f>
        <v>#REF!</v>
      </c>
      <c r="G12" s="105" t="e">
        <f>VLOOKUP($A12,#REF!,29,FALSE)</f>
        <v>#REF!</v>
      </c>
      <c r="H12" s="105" t="e">
        <f>VLOOKUP($A12,#REF!,35,FALSE)+VLOOKUP($A12,#REF!,97,FALSE)</f>
        <v>#REF!</v>
      </c>
      <c r="I12" s="105" t="e">
        <f t="shared" si="2"/>
        <v>#REF!</v>
      </c>
      <c r="J12" s="105" t="e">
        <f>VLOOKUP($A12,#REF!,42,FALSE)</f>
        <v>#REF!</v>
      </c>
      <c r="K12" s="105" t="e">
        <f t="shared" si="3"/>
        <v>#REF!</v>
      </c>
      <c r="L12" s="164" t="e">
        <f t="shared" si="1"/>
        <v>#REF!</v>
      </c>
      <c r="M12" s="105" t="e">
        <f t="shared" si="4"/>
        <v>#REF!</v>
      </c>
      <c r="N12" s="105" t="e">
        <f>VLOOKUP($A12,#REF!,46,FALSE)</f>
        <v>#REF!</v>
      </c>
      <c r="O12" s="106" t="e">
        <f>VLOOKUP($A12,#REF!,9,FALSE)</f>
        <v>#REF!</v>
      </c>
      <c r="P12" s="114" t="e">
        <f>#REF!</f>
        <v>#REF!</v>
      </c>
      <c r="Q12" s="114" t="e">
        <f>VLOOKUP(A12,#REF!,17,FALSE)</f>
        <v>#REF!</v>
      </c>
      <c r="R12" s="120" t="e">
        <f>#REF!</f>
        <v>#REF!</v>
      </c>
      <c r="S12" s="114" t="e">
        <f>IF(Q12=0,#REF!,ROUND(Q12*R12,4))</f>
        <v>#REF!</v>
      </c>
      <c r="T12" s="105" t="e">
        <f>VLOOKUP($A12,#REF!,15,FALSE)</f>
        <v>#REF!</v>
      </c>
      <c r="U12" s="105" t="e">
        <f>VLOOKUP($A12,#REF!,19,FALSE)</f>
        <v>#REF!</v>
      </c>
      <c r="V12" s="109" t="e">
        <f t="shared" si="5"/>
        <v>#REF!</v>
      </c>
      <c r="W12" s="121" t="e">
        <f t="shared" si="6"/>
        <v>#REF!</v>
      </c>
      <c r="X12" s="105" t="e">
        <f t="shared" si="7"/>
        <v>#REF!</v>
      </c>
      <c r="Y12" s="109" t="e">
        <f t="shared" si="8"/>
        <v>#REF!</v>
      </c>
      <c r="Z12" s="109" t="e">
        <f t="shared" si="9"/>
        <v>#REF!</v>
      </c>
      <c r="AA12" s="113" t="e">
        <f t="shared" si="10"/>
        <v>#REF!</v>
      </c>
      <c r="AB12" s="109" t="e">
        <f t="shared" si="11"/>
        <v>#REF!</v>
      </c>
      <c r="AC12" s="113" t="e">
        <f t="shared" si="12"/>
        <v>#REF!</v>
      </c>
      <c r="AD12" s="105" t="e">
        <f t="shared" si="13"/>
        <v>#REF!</v>
      </c>
      <c r="AE12" s="105" t="e">
        <f t="shared" si="14"/>
        <v>#REF!</v>
      </c>
      <c r="AF12" s="105" t="e">
        <f t="shared" si="15"/>
        <v>#REF!</v>
      </c>
      <c r="AG12" s="105" t="e">
        <f t="shared" si="16"/>
        <v>#REF!</v>
      </c>
      <c r="AH12" s="111" t="e">
        <f>VLOOKUP($A12,#REF!,5,FALSE)</f>
        <v>#REF!</v>
      </c>
      <c r="AI12" s="111" t="e">
        <f>VLOOKUP($A12,#REF!,6,FALSE)</f>
        <v>#REF!</v>
      </c>
      <c r="AJ12" s="109" t="e">
        <f t="shared" si="17"/>
        <v>#REF!</v>
      </c>
      <c r="AK12" s="109" t="e">
        <f t="shared" si="18"/>
        <v>#REF!</v>
      </c>
      <c r="AL12" s="109"/>
      <c r="AM12" s="110"/>
      <c r="AN12" s="110"/>
      <c r="AO12" s="110"/>
      <c r="AP12" s="110"/>
      <c r="AQ12" s="112"/>
      <c r="AR12" s="112"/>
      <c r="AS12" s="110"/>
      <c r="AT12" s="105"/>
      <c r="AU12" s="105"/>
      <c r="AV12" s="105"/>
      <c r="AW12" s="105"/>
      <c r="AX12" s="105"/>
      <c r="AY12" s="105"/>
    </row>
    <row r="13" spans="1:51" x14ac:dyDescent="0.15">
      <c r="A13" s="115">
        <v>32</v>
      </c>
      <c r="B13" s="98" t="e">
        <f>VLOOKUP($A13,#REF!,101,FALSE)</f>
        <v>#REF!</v>
      </c>
      <c r="C13" s="98" t="e">
        <f>VLOOKUP($A13,#REF!,102,FALSE)</f>
        <v>#REF!</v>
      </c>
      <c r="D13" s="104" t="e">
        <f>VLOOKUP($A13,#REF!,5,FALSE)</f>
        <v>#REF!</v>
      </c>
      <c r="E13" s="104" t="e">
        <f>VLOOKUP($A13,#REF!,6,FALSE)</f>
        <v>#REF!</v>
      </c>
      <c r="F13" s="105" t="e">
        <f>VLOOKUP($A13,#REF!,34,FALSE)</f>
        <v>#REF!</v>
      </c>
      <c r="G13" s="105" t="e">
        <f>VLOOKUP($A13,#REF!,29,FALSE)</f>
        <v>#REF!</v>
      </c>
      <c r="H13" s="105" t="e">
        <f>VLOOKUP($A13,#REF!,35,FALSE)+VLOOKUP($A13,#REF!,97,FALSE)</f>
        <v>#REF!</v>
      </c>
      <c r="I13" s="105" t="e">
        <f t="shared" si="2"/>
        <v>#REF!</v>
      </c>
      <c r="J13" s="105" t="e">
        <f>VLOOKUP($A13,#REF!,42,FALSE)</f>
        <v>#REF!</v>
      </c>
      <c r="K13" s="105" t="e">
        <f t="shared" si="3"/>
        <v>#REF!</v>
      </c>
      <c r="L13" s="164" t="e">
        <f t="shared" si="1"/>
        <v>#REF!</v>
      </c>
      <c r="M13" s="105" t="e">
        <f t="shared" si="4"/>
        <v>#REF!</v>
      </c>
      <c r="N13" s="105" t="e">
        <f>VLOOKUP($A13,#REF!,46,FALSE)</f>
        <v>#REF!</v>
      </c>
      <c r="O13" s="106" t="e">
        <f>VLOOKUP($A13,#REF!,9,FALSE)</f>
        <v>#REF!</v>
      </c>
      <c r="P13" s="114" t="e">
        <f>#REF!</f>
        <v>#REF!</v>
      </c>
      <c r="Q13" s="114" t="e">
        <f>VLOOKUP(A13,#REF!,17,FALSE)</f>
        <v>#REF!</v>
      </c>
      <c r="R13" s="120" t="e">
        <f>#REF!</f>
        <v>#REF!</v>
      </c>
      <c r="S13" s="114" t="e">
        <f>IF(Q13=0,#REF!,ROUND(Q13*R13,4))</f>
        <v>#REF!</v>
      </c>
      <c r="T13" s="105" t="e">
        <f>VLOOKUP($A13,#REF!,15,FALSE)</f>
        <v>#REF!</v>
      </c>
      <c r="U13" s="105" t="e">
        <f>VLOOKUP($A13,#REF!,19,FALSE)</f>
        <v>#REF!</v>
      </c>
      <c r="V13" s="109" t="e">
        <f t="shared" si="5"/>
        <v>#REF!</v>
      </c>
      <c r="W13" s="121" t="e">
        <f t="shared" si="6"/>
        <v>#REF!</v>
      </c>
      <c r="X13" s="105" t="e">
        <f t="shared" si="7"/>
        <v>#REF!</v>
      </c>
      <c r="Y13" s="109" t="e">
        <f t="shared" si="8"/>
        <v>#REF!</v>
      </c>
      <c r="Z13" s="109" t="e">
        <f t="shared" si="9"/>
        <v>#REF!</v>
      </c>
      <c r="AA13" s="113" t="e">
        <f t="shared" si="10"/>
        <v>#REF!</v>
      </c>
      <c r="AB13" s="109" t="e">
        <f t="shared" si="11"/>
        <v>#REF!</v>
      </c>
      <c r="AC13" s="113" t="e">
        <f t="shared" si="12"/>
        <v>#REF!</v>
      </c>
      <c r="AD13" s="105" t="e">
        <f t="shared" si="13"/>
        <v>#REF!</v>
      </c>
      <c r="AE13" s="105" t="e">
        <f t="shared" si="14"/>
        <v>#REF!</v>
      </c>
      <c r="AF13" s="105" t="e">
        <f t="shared" si="15"/>
        <v>#REF!</v>
      </c>
      <c r="AG13" s="105" t="e">
        <f t="shared" si="16"/>
        <v>#REF!</v>
      </c>
      <c r="AH13" s="111" t="e">
        <f>VLOOKUP($A13,#REF!,5,FALSE)</f>
        <v>#REF!</v>
      </c>
      <c r="AI13" s="111" t="e">
        <f>VLOOKUP($A13,#REF!,6,FALSE)</f>
        <v>#REF!</v>
      </c>
      <c r="AJ13" s="109" t="e">
        <f t="shared" si="17"/>
        <v>#REF!</v>
      </c>
      <c r="AK13" s="109" t="e">
        <f t="shared" si="18"/>
        <v>#REF!</v>
      </c>
      <c r="AL13" s="109"/>
      <c r="AM13" s="110"/>
      <c r="AN13" s="110"/>
      <c r="AO13" s="110"/>
      <c r="AP13" s="110"/>
      <c r="AQ13" s="112"/>
      <c r="AR13" s="112"/>
      <c r="AS13" s="110"/>
      <c r="AT13" s="105"/>
      <c r="AU13" s="105"/>
      <c r="AV13" s="105"/>
      <c r="AW13" s="105"/>
      <c r="AX13" s="105"/>
      <c r="AY13" s="105"/>
    </row>
    <row r="14" spans="1:51" x14ac:dyDescent="0.15">
      <c r="A14" s="115">
        <v>689</v>
      </c>
      <c r="B14" s="98" t="e">
        <f>VLOOKUP($A14,#REF!,101,FALSE)</f>
        <v>#REF!</v>
      </c>
      <c r="C14" s="98" t="e">
        <f>VLOOKUP($A14,#REF!,102,FALSE)</f>
        <v>#REF!</v>
      </c>
      <c r="D14" s="104" t="e">
        <f>VLOOKUP($A14,#REF!,5,FALSE)</f>
        <v>#REF!</v>
      </c>
      <c r="E14" s="104" t="e">
        <f>VLOOKUP($A14,#REF!,6,FALSE)</f>
        <v>#REF!</v>
      </c>
      <c r="F14" s="105" t="e">
        <f>VLOOKUP($A14,#REF!,34,FALSE)</f>
        <v>#REF!</v>
      </c>
      <c r="G14" s="105" t="e">
        <f>VLOOKUP($A14,#REF!,29,FALSE)</f>
        <v>#REF!</v>
      </c>
      <c r="H14" s="105" t="e">
        <f>VLOOKUP($A14,#REF!,35,FALSE)+VLOOKUP($A14,#REF!,97,FALSE)</f>
        <v>#REF!</v>
      </c>
      <c r="I14" s="105" t="e">
        <f t="shared" si="2"/>
        <v>#REF!</v>
      </c>
      <c r="J14" s="105" t="e">
        <f>VLOOKUP($A14,#REF!,42,FALSE)</f>
        <v>#REF!</v>
      </c>
      <c r="K14" s="105" t="e">
        <f t="shared" si="3"/>
        <v>#REF!</v>
      </c>
      <c r="L14" s="164" t="e">
        <f t="shared" si="1"/>
        <v>#REF!</v>
      </c>
      <c r="M14" s="105" t="e">
        <f t="shared" si="4"/>
        <v>#REF!</v>
      </c>
      <c r="N14" s="105" t="e">
        <f>VLOOKUP($A14,#REF!,46,FALSE)</f>
        <v>#REF!</v>
      </c>
      <c r="O14" s="106" t="e">
        <f>VLOOKUP($A14,#REF!,9,FALSE)</f>
        <v>#REF!</v>
      </c>
      <c r="P14" s="114" t="e">
        <f>#REF!</f>
        <v>#REF!</v>
      </c>
      <c r="Q14" s="114" t="e">
        <f>VLOOKUP(A14,#REF!,17,FALSE)</f>
        <v>#REF!</v>
      </c>
      <c r="R14" s="120" t="e">
        <f>#REF!</f>
        <v>#REF!</v>
      </c>
      <c r="S14" s="114" t="e">
        <f>IF(Q14=0,#REF!,ROUND(Q14*R14,4))</f>
        <v>#REF!</v>
      </c>
      <c r="T14" s="105" t="e">
        <f>VLOOKUP($A14,#REF!,15,FALSE)</f>
        <v>#REF!</v>
      </c>
      <c r="U14" s="105" t="e">
        <f>VLOOKUP($A14,#REF!,19,FALSE)</f>
        <v>#REF!</v>
      </c>
      <c r="V14" s="109" t="e">
        <f t="shared" si="5"/>
        <v>#REF!</v>
      </c>
      <c r="W14" s="121" t="e">
        <f t="shared" si="6"/>
        <v>#REF!</v>
      </c>
      <c r="X14" s="105" t="e">
        <f t="shared" si="7"/>
        <v>#REF!</v>
      </c>
      <c r="Y14" s="109" t="e">
        <f t="shared" si="8"/>
        <v>#REF!</v>
      </c>
      <c r="Z14" s="109" t="e">
        <f t="shared" si="9"/>
        <v>#REF!</v>
      </c>
      <c r="AA14" s="113" t="e">
        <f t="shared" si="10"/>
        <v>#REF!</v>
      </c>
      <c r="AB14" s="109" t="e">
        <f t="shared" si="11"/>
        <v>#REF!</v>
      </c>
      <c r="AC14" s="113" t="e">
        <f t="shared" si="12"/>
        <v>#REF!</v>
      </c>
      <c r="AD14" s="105" t="e">
        <f t="shared" si="13"/>
        <v>#REF!</v>
      </c>
      <c r="AE14" s="105" t="e">
        <f t="shared" si="14"/>
        <v>#REF!</v>
      </c>
      <c r="AF14" s="105" t="e">
        <f t="shared" si="15"/>
        <v>#REF!</v>
      </c>
      <c r="AG14" s="105" t="e">
        <f t="shared" si="16"/>
        <v>#REF!</v>
      </c>
      <c r="AH14" s="111" t="e">
        <f>VLOOKUP($A14,#REF!,5,FALSE)</f>
        <v>#REF!</v>
      </c>
      <c r="AI14" s="111" t="e">
        <f>VLOOKUP($A14,#REF!,6,FALSE)</f>
        <v>#REF!</v>
      </c>
      <c r="AJ14" s="109" t="e">
        <f t="shared" si="17"/>
        <v>#REF!</v>
      </c>
      <c r="AK14" s="109" t="e">
        <f t="shared" si="18"/>
        <v>#REF!</v>
      </c>
      <c r="AL14" s="109"/>
      <c r="AM14" s="110"/>
      <c r="AN14" s="110"/>
      <c r="AO14" s="110"/>
      <c r="AP14" s="110"/>
      <c r="AQ14" s="112"/>
      <c r="AR14" s="112"/>
      <c r="AS14" s="110"/>
      <c r="AT14" s="105"/>
      <c r="AU14" s="105"/>
      <c r="AV14" s="105"/>
      <c r="AW14" s="105"/>
      <c r="AX14" s="105"/>
      <c r="AY14" s="105"/>
    </row>
    <row r="15" spans="1:51" x14ac:dyDescent="0.15">
      <c r="A15" s="115">
        <v>116</v>
      </c>
      <c r="B15" s="98" t="e">
        <f>VLOOKUP($A15,#REF!,101,FALSE)</f>
        <v>#REF!</v>
      </c>
      <c r="C15" s="98" t="e">
        <f>VLOOKUP($A15,#REF!,102,FALSE)</f>
        <v>#REF!</v>
      </c>
      <c r="D15" s="104" t="e">
        <f>VLOOKUP($A15,#REF!,5,FALSE)</f>
        <v>#REF!</v>
      </c>
      <c r="E15" s="104" t="e">
        <f>VLOOKUP($A15,#REF!,6,FALSE)</f>
        <v>#REF!</v>
      </c>
      <c r="F15" s="105" t="e">
        <f>VLOOKUP($A15,#REF!,34,FALSE)</f>
        <v>#REF!</v>
      </c>
      <c r="G15" s="105" t="e">
        <f>VLOOKUP($A15,#REF!,29,FALSE)</f>
        <v>#REF!</v>
      </c>
      <c r="H15" s="105" t="e">
        <f>VLOOKUP($A15,#REF!,35,FALSE)+VLOOKUP($A15,#REF!,97,FALSE)</f>
        <v>#REF!</v>
      </c>
      <c r="I15" s="105" t="e">
        <f t="shared" si="2"/>
        <v>#REF!</v>
      </c>
      <c r="J15" s="105" t="e">
        <f>VLOOKUP($A15,#REF!,42,FALSE)</f>
        <v>#REF!</v>
      </c>
      <c r="K15" s="105" t="e">
        <f t="shared" si="3"/>
        <v>#REF!</v>
      </c>
      <c r="L15" s="164" t="e">
        <f t="shared" si="1"/>
        <v>#REF!</v>
      </c>
      <c r="M15" s="105" t="e">
        <f t="shared" si="4"/>
        <v>#REF!</v>
      </c>
      <c r="N15" s="105" t="e">
        <f>VLOOKUP($A15,#REF!,46,FALSE)</f>
        <v>#REF!</v>
      </c>
      <c r="O15" s="106" t="e">
        <f>VLOOKUP($A15,#REF!,9,FALSE)</f>
        <v>#REF!</v>
      </c>
      <c r="P15" s="114" t="e">
        <f>#REF!</f>
        <v>#REF!</v>
      </c>
      <c r="Q15" s="114" t="e">
        <f>VLOOKUP(A15,#REF!,17,FALSE)</f>
        <v>#REF!</v>
      </c>
      <c r="R15" s="120" t="e">
        <f>#REF!</f>
        <v>#REF!</v>
      </c>
      <c r="S15" s="114" t="e">
        <f>IF(Q15=0,#REF!,ROUND(Q15*R15,4))</f>
        <v>#REF!</v>
      </c>
      <c r="T15" s="105" t="e">
        <f>VLOOKUP($A15,#REF!,15,FALSE)</f>
        <v>#REF!</v>
      </c>
      <c r="U15" s="105" t="e">
        <f>VLOOKUP($A15,#REF!,19,FALSE)</f>
        <v>#REF!</v>
      </c>
      <c r="V15" s="109" t="e">
        <f t="shared" si="5"/>
        <v>#REF!</v>
      </c>
      <c r="W15" s="121" t="e">
        <f t="shared" si="6"/>
        <v>#REF!</v>
      </c>
      <c r="X15" s="105" t="e">
        <f t="shared" si="7"/>
        <v>#REF!</v>
      </c>
      <c r="Y15" s="109" t="e">
        <f t="shared" si="8"/>
        <v>#REF!</v>
      </c>
      <c r="Z15" s="109" t="e">
        <f t="shared" si="9"/>
        <v>#REF!</v>
      </c>
      <c r="AA15" s="113" t="e">
        <f t="shared" si="10"/>
        <v>#REF!</v>
      </c>
      <c r="AB15" s="109" t="e">
        <f t="shared" si="11"/>
        <v>#REF!</v>
      </c>
      <c r="AC15" s="113" t="e">
        <f t="shared" si="12"/>
        <v>#REF!</v>
      </c>
      <c r="AD15" s="105" t="e">
        <f t="shared" si="13"/>
        <v>#REF!</v>
      </c>
      <c r="AE15" s="105" t="e">
        <f t="shared" si="14"/>
        <v>#REF!</v>
      </c>
      <c r="AF15" s="105" t="e">
        <f t="shared" si="15"/>
        <v>#REF!</v>
      </c>
      <c r="AG15" s="105" t="e">
        <f t="shared" si="16"/>
        <v>#REF!</v>
      </c>
      <c r="AH15" s="111" t="e">
        <f>VLOOKUP($A15,#REF!,5,FALSE)</f>
        <v>#REF!</v>
      </c>
      <c r="AI15" s="111" t="e">
        <f>VLOOKUP($A15,#REF!,6,FALSE)</f>
        <v>#REF!</v>
      </c>
      <c r="AJ15" s="109" t="e">
        <f t="shared" si="17"/>
        <v>#REF!</v>
      </c>
      <c r="AK15" s="109" t="e">
        <f t="shared" si="18"/>
        <v>#REF!</v>
      </c>
      <c r="AL15" s="109"/>
      <c r="AM15" s="110"/>
      <c r="AN15" s="110"/>
      <c r="AO15" s="110"/>
      <c r="AP15" s="110"/>
      <c r="AQ15" s="112"/>
      <c r="AR15" s="112"/>
      <c r="AS15" s="110"/>
      <c r="AT15" s="105"/>
      <c r="AU15" s="105"/>
      <c r="AV15" s="105"/>
      <c r="AW15" s="105"/>
      <c r="AX15" s="105"/>
      <c r="AY15" s="105"/>
    </row>
    <row r="16" spans="1:51" x14ac:dyDescent="0.15">
      <c r="A16" s="115">
        <v>725</v>
      </c>
      <c r="B16" s="98" t="e">
        <f>VLOOKUP($A16,#REF!,101,FALSE)</f>
        <v>#REF!</v>
      </c>
      <c r="C16" s="98" t="e">
        <f>VLOOKUP($A16,#REF!,102,FALSE)</f>
        <v>#REF!</v>
      </c>
      <c r="D16" s="104" t="e">
        <f>VLOOKUP($A16,#REF!,5,FALSE)</f>
        <v>#REF!</v>
      </c>
      <c r="E16" s="104" t="e">
        <f>VLOOKUP($A16,#REF!,6,FALSE)</f>
        <v>#REF!</v>
      </c>
      <c r="F16" s="105" t="e">
        <f>VLOOKUP($A16,#REF!,34,FALSE)</f>
        <v>#REF!</v>
      </c>
      <c r="G16" s="105" t="e">
        <f>VLOOKUP($A16,#REF!,29,FALSE)</f>
        <v>#REF!</v>
      </c>
      <c r="H16" s="105" t="e">
        <f>VLOOKUP($A16,#REF!,35,FALSE)+VLOOKUP($A16,#REF!,97,FALSE)</f>
        <v>#REF!</v>
      </c>
      <c r="I16" s="105" t="e">
        <f t="shared" si="2"/>
        <v>#REF!</v>
      </c>
      <c r="J16" s="105" t="e">
        <f>VLOOKUP($A16,#REF!,42,FALSE)</f>
        <v>#REF!</v>
      </c>
      <c r="K16" s="105" t="e">
        <f t="shared" si="3"/>
        <v>#REF!</v>
      </c>
      <c r="L16" s="164" t="e">
        <f t="shared" si="1"/>
        <v>#REF!</v>
      </c>
      <c r="M16" s="105" t="e">
        <f t="shared" si="4"/>
        <v>#REF!</v>
      </c>
      <c r="N16" s="105" t="e">
        <f>VLOOKUP($A16,#REF!,46,FALSE)</f>
        <v>#REF!</v>
      </c>
      <c r="O16" s="106" t="e">
        <f>VLOOKUP($A16,#REF!,9,FALSE)</f>
        <v>#REF!</v>
      </c>
      <c r="P16" s="114" t="e">
        <f>#REF!</f>
        <v>#REF!</v>
      </c>
      <c r="Q16" s="114" t="e">
        <f>VLOOKUP(A16,#REF!,17,FALSE)</f>
        <v>#REF!</v>
      </c>
      <c r="R16" s="120" t="e">
        <f>#REF!</f>
        <v>#REF!</v>
      </c>
      <c r="S16" s="114" t="e">
        <f>IF(Q16=0,#REF!,ROUND(Q16*R16,4))</f>
        <v>#REF!</v>
      </c>
      <c r="T16" s="105" t="e">
        <f>VLOOKUP($A16,#REF!,15,FALSE)</f>
        <v>#REF!</v>
      </c>
      <c r="U16" s="105" t="e">
        <f>VLOOKUP($A16,#REF!,19,FALSE)</f>
        <v>#REF!</v>
      </c>
      <c r="V16" s="109" t="e">
        <f t="shared" si="5"/>
        <v>#REF!</v>
      </c>
      <c r="W16" s="121" t="e">
        <f t="shared" si="6"/>
        <v>#REF!</v>
      </c>
      <c r="X16" s="105" t="e">
        <f t="shared" si="7"/>
        <v>#REF!</v>
      </c>
      <c r="Y16" s="109" t="e">
        <f t="shared" si="8"/>
        <v>#REF!</v>
      </c>
      <c r="Z16" s="109" t="e">
        <f t="shared" si="9"/>
        <v>#REF!</v>
      </c>
      <c r="AA16" s="113" t="e">
        <f t="shared" si="10"/>
        <v>#REF!</v>
      </c>
      <c r="AB16" s="109" t="e">
        <f t="shared" si="11"/>
        <v>#REF!</v>
      </c>
      <c r="AC16" s="113" t="e">
        <f t="shared" si="12"/>
        <v>#REF!</v>
      </c>
      <c r="AD16" s="105" t="e">
        <f t="shared" si="13"/>
        <v>#REF!</v>
      </c>
      <c r="AE16" s="105" t="e">
        <f t="shared" si="14"/>
        <v>#REF!</v>
      </c>
      <c r="AF16" s="105" t="e">
        <f t="shared" si="15"/>
        <v>#REF!</v>
      </c>
      <c r="AG16" s="105" t="e">
        <f t="shared" si="16"/>
        <v>#REF!</v>
      </c>
      <c r="AH16" s="111" t="e">
        <f>VLOOKUP($A16,#REF!,5,FALSE)</f>
        <v>#REF!</v>
      </c>
      <c r="AI16" s="111" t="e">
        <f>VLOOKUP($A16,#REF!,6,FALSE)</f>
        <v>#REF!</v>
      </c>
      <c r="AJ16" s="109" t="e">
        <f t="shared" si="17"/>
        <v>#REF!</v>
      </c>
      <c r="AK16" s="109" t="e">
        <f t="shared" si="18"/>
        <v>#REF!</v>
      </c>
      <c r="AL16" s="109"/>
      <c r="AM16" s="110"/>
      <c r="AN16" s="110"/>
      <c r="AO16" s="110"/>
      <c r="AP16" s="110"/>
      <c r="AQ16" s="112"/>
      <c r="AR16" s="112"/>
      <c r="AS16" s="110"/>
      <c r="AT16" s="105"/>
      <c r="AU16" s="105"/>
      <c r="AV16" s="105"/>
      <c r="AW16" s="105"/>
      <c r="AX16" s="105"/>
      <c r="AY16" s="105"/>
    </row>
    <row r="17" spans="1:51" x14ac:dyDescent="0.15">
      <c r="A17" s="115">
        <v>122</v>
      </c>
      <c r="B17" s="98" t="e">
        <f>VLOOKUP($A17,#REF!,101,FALSE)</f>
        <v>#REF!</v>
      </c>
      <c r="C17" s="98" t="e">
        <f>VLOOKUP($A17,#REF!,102,FALSE)</f>
        <v>#REF!</v>
      </c>
      <c r="D17" s="104" t="e">
        <f>VLOOKUP($A17,#REF!,5,FALSE)</f>
        <v>#REF!</v>
      </c>
      <c r="E17" s="104" t="e">
        <f>VLOOKUP($A17,#REF!,6,FALSE)</f>
        <v>#REF!</v>
      </c>
      <c r="F17" s="105" t="e">
        <f>VLOOKUP($A17,#REF!,34,FALSE)</f>
        <v>#REF!</v>
      </c>
      <c r="G17" s="105" t="e">
        <f>VLOOKUP($A17,#REF!,29,FALSE)</f>
        <v>#REF!</v>
      </c>
      <c r="H17" s="105" t="e">
        <f>VLOOKUP($A17,#REF!,35,FALSE)+VLOOKUP($A17,#REF!,97,FALSE)</f>
        <v>#REF!</v>
      </c>
      <c r="I17" s="105" t="e">
        <f t="shared" si="2"/>
        <v>#REF!</v>
      </c>
      <c r="J17" s="105" t="e">
        <f>VLOOKUP($A17,#REF!,42,FALSE)</f>
        <v>#REF!</v>
      </c>
      <c r="K17" s="105" t="e">
        <f t="shared" si="3"/>
        <v>#REF!</v>
      </c>
      <c r="L17" s="164" t="e">
        <f t="shared" si="1"/>
        <v>#REF!</v>
      </c>
      <c r="M17" s="105" t="e">
        <f t="shared" si="4"/>
        <v>#REF!</v>
      </c>
      <c r="N17" s="105" t="e">
        <f>VLOOKUP($A17,#REF!,46,FALSE)</f>
        <v>#REF!</v>
      </c>
      <c r="O17" s="106" t="e">
        <f>VLOOKUP($A17,#REF!,9,FALSE)</f>
        <v>#REF!</v>
      </c>
      <c r="P17" s="114" t="e">
        <f>#REF!</f>
        <v>#REF!</v>
      </c>
      <c r="Q17" s="114" t="e">
        <f>VLOOKUP(A17,#REF!,17,FALSE)</f>
        <v>#REF!</v>
      </c>
      <c r="R17" s="120" t="e">
        <f>#REF!</f>
        <v>#REF!</v>
      </c>
      <c r="S17" s="114" t="e">
        <f>IF(Q17=0,#REF!,ROUND(Q17*R17,4))</f>
        <v>#REF!</v>
      </c>
      <c r="T17" s="105" t="e">
        <f>VLOOKUP($A17,#REF!,15,FALSE)</f>
        <v>#REF!</v>
      </c>
      <c r="U17" s="105" t="e">
        <f>VLOOKUP($A17,#REF!,19,FALSE)</f>
        <v>#REF!</v>
      </c>
      <c r="V17" s="109" t="e">
        <f t="shared" si="5"/>
        <v>#REF!</v>
      </c>
      <c r="W17" s="121" t="e">
        <f t="shared" si="6"/>
        <v>#REF!</v>
      </c>
      <c r="X17" s="105" t="e">
        <f t="shared" si="7"/>
        <v>#REF!</v>
      </c>
      <c r="Y17" s="109" t="e">
        <f t="shared" si="8"/>
        <v>#REF!</v>
      </c>
      <c r="Z17" s="109" t="e">
        <f t="shared" si="9"/>
        <v>#REF!</v>
      </c>
      <c r="AA17" s="113" t="e">
        <f t="shared" si="10"/>
        <v>#REF!</v>
      </c>
      <c r="AB17" s="109" t="e">
        <f t="shared" si="11"/>
        <v>#REF!</v>
      </c>
      <c r="AC17" s="113" t="e">
        <f t="shared" si="12"/>
        <v>#REF!</v>
      </c>
      <c r="AD17" s="105" t="e">
        <f t="shared" si="13"/>
        <v>#REF!</v>
      </c>
      <c r="AE17" s="105" t="e">
        <f t="shared" si="14"/>
        <v>#REF!</v>
      </c>
      <c r="AF17" s="105" t="e">
        <f t="shared" si="15"/>
        <v>#REF!</v>
      </c>
      <c r="AG17" s="105" t="e">
        <f t="shared" si="16"/>
        <v>#REF!</v>
      </c>
      <c r="AH17" s="111" t="e">
        <f>VLOOKUP($A17,#REF!,5,FALSE)</f>
        <v>#REF!</v>
      </c>
      <c r="AI17" s="111" t="e">
        <f>VLOOKUP($A17,#REF!,6,FALSE)</f>
        <v>#REF!</v>
      </c>
      <c r="AJ17" s="109" t="e">
        <f t="shared" si="17"/>
        <v>#REF!</v>
      </c>
      <c r="AK17" s="109" t="e">
        <f t="shared" si="18"/>
        <v>#REF!</v>
      </c>
      <c r="AL17" s="109"/>
      <c r="AM17" s="110"/>
      <c r="AN17" s="110"/>
      <c r="AO17" s="110"/>
      <c r="AP17" s="110"/>
      <c r="AQ17" s="112"/>
      <c r="AR17" s="112"/>
      <c r="AS17" s="110"/>
      <c r="AT17" s="105"/>
      <c r="AU17" s="105"/>
      <c r="AV17" s="105"/>
      <c r="AW17" s="105"/>
      <c r="AX17" s="105"/>
      <c r="AY17" s="105"/>
    </row>
    <row r="18" spans="1:51" x14ac:dyDescent="0.15">
      <c r="A18" s="115">
        <v>446</v>
      </c>
      <c r="B18" s="98" t="e">
        <f>VLOOKUP($A18,#REF!,101,FALSE)</f>
        <v>#REF!</v>
      </c>
      <c r="C18" s="98" t="e">
        <f>VLOOKUP($A18,#REF!,102,FALSE)</f>
        <v>#REF!</v>
      </c>
      <c r="D18" s="104" t="e">
        <f>VLOOKUP($A18,#REF!,5,FALSE)</f>
        <v>#REF!</v>
      </c>
      <c r="E18" s="104" t="e">
        <f>VLOOKUP($A18,#REF!,6,FALSE)</f>
        <v>#REF!</v>
      </c>
      <c r="F18" s="105" t="e">
        <f>VLOOKUP($A18,#REF!,34,FALSE)</f>
        <v>#REF!</v>
      </c>
      <c r="G18" s="105" t="e">
        <f>VLOOKUP($A18,#REF!,29,FALSE)</f>
        <v>#REF!</v>
      </c>
      <c r="H18" s="105" t="e">
        <f>VLOOKUP($A18,#REF!,35,FALSE)+VLOOKUP($A18,#REF!,97,FALSE)</f>
        <v>#REF!</v>
      </c>
      <c r="I18" s="105" t="e">
        <f t="shared" si="2"/>
        <v>#REF!</v>
      </c>
      <c r="J18" s="105" t="e">
        <f>VLOOKUP($A18,#REF!,42,FALSE)</f>
        <v>#REF!</v>
      </c>
      <c r="K18" s="105" t="e">
        <f t="shared" si="3"/>
        <v>#REF!</v>
      </c>
      <c r="L18" s="164" t="e">
        <f t="shared" si="1"/>
        <v>#REF!</v>
      </c>
      <c r="M18" s="105" t="e">
        <f t="shared" si="4"/>
        <v>#REF!</v>
      </c>
      <c r="N18" s="105" t="e">
        <f>VLOOKUP($A18,#REF!,46,FALSE)</f>
        <v>#REF!</v>
      </c>
      <c r="O18" s="106" t="e">
        <f>VLOOKUP($A18,#REF!,9,FALSE)</f>
        <v>#REF!</v>
      </c>
      <c r="P18" s="114" t="e">
        <f>#REF!</f>
        <v>#REF!</v>
      </c>
      <c r="Q18" s="114" t="e">
        <f>VLOOKUP(A18,#REF!,17,FALSE)</f>
        <v>#REF!</v>
      </c>
      <c r="R18" s="120" t="e">
        <f>#REF!</f>
        <v>#REF!</v>
      </c>
      <c r="S18" s="114" t="e">
        <f>IF(Q18=0,#REF!,ROUND(Q18*R18,4))</f>
        <v>#REF!</v>
      </c>
      <c r="T18" s="105" t="e">
        <f>VLOOKUP($A18,#REF!,15,FALSE)</f>
        <v>#REF!</v>
      </c>
      <c r="U18" s="105" t="e">
        <f>VLOOKUP($A18,#REF!,19,FALSE)</f>
        <v>#REF!</v>
      </c>
      <c r="V18" s="109" t="e">
        <f t="shared" si="5"/>
        <v>#REF!</v>
      </c>
      <c r="W18" s="121" t="e">
        <f t="shared" si="6"/>
        <v>#REF!</v>
      </c>
      <c r="X18" s="105" t="e">
        <f t="shared" si="7"/>
        <v>#REF!</v>
      </c>
      <c r="Y18" s="109" t="e">
        <f t="shared" si="8"/>
        <v>#REF!</v>
      </c>
      <c r="Z18" s="109" t="e">
        <f t="shared" si="9"/>
        <v>#REF!</v>
      </c>
      <c r="AA18" s="113" t="e">
        <f t="shared" si="10"/>
        <v>#REF!</v>
      </c>
      <c r="AB18" s="109" t="e">
        <f t="shared" si="11"/>
        <v>#REF!</v>
      </c>
      <c r="AC18" s="113" t="e">
        <f t="shared" si="12"/>
        <v>#REF!</v>
      </c>
      <c r="AD18" s="105" t="e">
        <f t="shared" si="13"/>
        <v>#REF!</v>
      </c>
      <c r="AE18" s="105" t="e">
        <f t="shared" si="14"/>
        <v>#REF!</v>
      </c>
      <c r="AF18" s="105" t="e">
        <f t="shared" si="15"/>
        <v>#REF!</v>
      </c>
      <c r="AG18" s="105" t="e">
        <f t="shared" si="16"/>
        <v>#REF!</v>
      </c>
      <c r="AH18" s="111" t="e">
        <f>VLOOKUP($A18,#REF!,5,FALSE)</f>
        <v>#REF!</v>
      </c>
      <c r="AI18" s="111" t="e">
        <f>VLOOKUP($A18,#REF!,6,FALSE)</f>
        <v>#REF!</v>
      </c>
      <c r="AJ18" s="109" t="e">
        <f t="shared" si="17"/>
        <v>#REF!</v>
      </c>
      <c r="AK18" s="109" t="e">
        <f t="shared" si="18"/>
        <v>#REF!</v>
      </c>
      <c r="AL18" s="109"/>
      <c r="AM18" s="110"/>
      <c r="AN18" s="110"/>
      <c r="AO18" s="110"/>
      <c r="AP18" s="110"/>
      <c r="AQ18" s="112"/>
      <c r="AR18" s="112"/>
      <c r="AS18" s="110"/>
      <c r="AT18" s="105"/>
      <c r="AU18" s="105"/>
      <c r="AV18" s="105"/>
      <c r="AW18" s="105"/>
      <c r="AX18" s="105"/>
      <c r="AY18" s="105"/>
    </row>
    <row r="19" spans="1:51" x14ac:dyDescent="0.15">
      <c r="A19" s="115">
        <v>66</v>
      </c>
      <c r="B19" s="98" t="e">
        <f>VLOOKUP($A19,#REF!,101,FALSE)</f>
        <v>#REF!</v>
      </c>
      <c r="C19" s="98" t="e">
        <f>VLOOKUP($A19,#REF!,102,FALSE)</f>
        <v>#REF!</v>
      </c>
      <c r="D19" s="104" t="e">
        <f>VLOOKUP($A19,#REF!,5,FALSE)</f>
        <v>#REF!</v>
      </c>
      <c r="E19" s="104" t="e">
        <f>VLOOKUP($A19,#REF!,6,FALSE)</f>
        <v>#REF!</v>
      </c>
      <c r="F19" s="105" t="e">
        <f>VLOOKUP($A19,#REF!,34,FALSE)</f>
        <v>#REF!</v>
      </c>
      <c r="G19" s="105" t="e">
        <f>VLOOKUP($A19,#REF!,29,FALSE)</f>
        <v>#REF!</v>
      </c>
      <c r="H19" s="105" t="e">
        <f>VLOOKUP($A19,#REF!,35,FALSE)+VLOOKUP($A19,#REF!,97,FALSE)</f>
        <v>#REF!</v>
      </c>
      <c r="I19" s="105" t="e">
        <f t="shared" si="2"/>
        <v>#REF!</v>
      </c>
      <c r="J19" s="105" t="e">
        <f>VLOOKUP($A19,#REF!,42,FALSE)</f>
        <v>#REF!</v>
      </c>
      <c r="K19" s="105" t="e">
        <f t="shared" si="3"/>
        <v>#REF!</v>
      </c>
      <c r="L19" s="164" t="e">
        <f t="shared" si="1"/>
        <v>#REF!</v>
      </c>
      <c r="M19" s="105" t="e">
        <f t="shared" si="4"/>
        <v>#REF!</v>
      </c>
      <c r="N19" s="105" t="e">
        <f>VLOOKUP($A19,#REF!,46,FALSE)</f>
        <v>#REF!</v>
      </c>
      <c r="O19" s="106" t="e">
        <f>VLOOKUP($A19,#REF!,9,FALSE)</f>
        <v>#REF!</v>
      </c>
      <c r="P19" s="114" t="e">
        <f>#REF!</f>
        <v>#REF!</v>
      </c>
      <c r="Q19" s="114" t="e">
        <f>VLOOKUP(A19,#REF!,17,FALSE)</f>
        <v>#REF!</v>
      </c>
      <c r="R19" s="120" t="e">
        <f>#REF!</f>
        <v>#REF!</v>
      </c>
      <c r="S19" s="114" t="e">
        <f>IF(Q19=0,#REF!,ROUND(Q19*R19,4))</f>
        <v>#REF!</v>
      </c>
      <c r="T19" s="105" t="e">
        <f>VLOOKUP($A19,#REF!,15,FALSE)</f>
        <v>#REF!</v>
      </c>
      <c r="U19" s="105" t="e">
        <f>VLOOKUP($A19,#REF!,19,FALSE)</f>
        <v>#REF!</v>
      </c>
      <c r="V19" s="109" t="e">
        <f t="shared" si="5"/>
        <v>#REF!</v>
      </c>
      <c r="W19" s="121" t="e">
        <f t="shared" si="6"/>
        <v>#REF!</v>
      </c>
      <c r="X19" s="105" t="e">
        <f t="shared" si="7"/>
        <v>#REF!</v>
      </c>
      <c r="Y19" s="109" t="e">
        <f t="shared" si="8"/>
        <v>#REF!</v>
      </c>
      <c r="Z19" s="109" t="e">
        <f t="shared" si="9"/>
        <v>#REF!</v>
      </c>
      <c r="AA19" s="113" t="e">
        <f t="shared" si="10"/>
        <v>#REF!</v>
      </c>
      <c r="AB19" s="109" t="e">
        <f t="shared" si="11"/>
        <v>#REF!</v>
      </c>
      <c r="AC19" s="113" t="e">
        <f t="shared" si="12"/>
        <v>#REF!</v>
      </c>
      <c r="AD19" s="105" t="e">
        <f t="shared" si="13"/>
        <v>#REF!</v>
      </c>
      <c r="AE19" s="105" t="e">
        <f t="shared" si="14"/>
        <v>#REF!</v>
      </c>
      <c r="AF19" s="105" t="e">
        <f t="shared" si="15"/>
        <v>#REF!</v>
      </c>
      <c r="AG19" s="105" t="e">
        <f t="shared" si="16"/>
        <v>#REF!</v>
      </c>
      <c r="AH19" s="111" t="e">
        <f>VLOOKUP($A19,#REF!,5,FALSE)</f>
        <v>#REF!</v>
      </c>
      <c r="AI19" s="111" t="e">
        <f>VLOOKUP($A19,#REF!,6,FALSE)</f>
        <v>#REF!</v>
      </c>
      <c r="AJ19" s="109" t="e">
        <f t="shared" si="17"/>
        <v>#REF!</v>
      </c>
      <c r="AK19" s="109" t="e">
        <f t="shared" si="18"/>
        <v>#REF!</v>
      </c>
      <c r="AL19" s="109"/>
      <c r="AM19" s="110"/>
      <c r="AN19" s="110"/>
      <c r="AO19" s="110"/>
      <c r="AP19" s="110"/>
      <c r="AQ19" s="112"/>
      <c r="AR19" s="112"/>
      <c r="AS19" s="110"/>
      <c r="AT19" s="105"/>
      <c r="AU19" s="105"/>
      <c r="AV19" s="105"/>
      <c r="AW19" s="105"/>
      <c r="AX19" s="105"/>
      <c r="AY19" s="105"/>
    </row>
    <row r="20" spans="1:51" x14ac:dyDescent="0.15">
      <c r="A20" s="115">
        <v>741</v>
      </c>
      <c r="B20" s="98" t="e">
        <f>VLOOKUP($A20,#REF!,101,FALSE)</f>
        <v>#REF!</v>
      </c>
      <c r="C20" s="98" t="e">
        <f>VLOOKUP($A20,#REF!,102,FALSE)</f>
        <v>#REF!</v>
      </c>
      <c r="D20" s="104" t="e">
        <f>VLOOKUP($A20,#REF!,5,FALSE)</f>
        <v>#REF!</v>
      </c>
      <c r="E20" s="104" t="e">
        <f>VLOOKUP($A20,#REF!,6,FALSE)</f>
        <v>#REF!</v>
      </c>
      <c r="F20" s="105" t="e">
        <f>VLOOKUP($A20,#REF!,34,FALSE)</f>
        <v>#REF!</v>
      </c>
      <c r="G20" s="105" t="e">
        <f>VLOOKUP($A20,#REF!,29,FALSE)</f>
        <v>#REF!</v>
      </c>
      <c r="H20" s="105" t="e">
        <f>VLOOKUP($A20,#REF!,35,FALSE)+VLOOKUP($A20,#REF!,97,FALSE)</f>
        <v>#REF!</v>
      </c>
      <c r="I20" s="105" t="e">
        <f t="shared" si="2"/>
        <v>#REF!</v>
      </c>
      <c r="J20" s="105" t="e">
        <f>VLOOKUP($A20,#REF!,42,FALSE)</f>
        <v>#REF!</v>
      </c>
      <c r="K20" s="105" t="e">
        <f t="shared" si="3"/>
        <v>#REF!</v>
      </c>
      <c r="L20" s="164" t="e">
        <f t="shared" si="1"/>
        <v>#REF!</v>
      </c>
      <c r="M20" s="105" t="e">
        <f t="shared" si="4"/>
        <v>#REF!</v>
      </c>
      <c r="N20" s="105" t="e">
        <f>VLOOKUP($A20,#REF!,46,FALSE)</f>
        <v>#REF!</v>
      </c>
      <c r="O20" s="106" t="e">
        <f>VLOOKUP($A20,#REF!,9,FALSE)</f>
        <v>#REF!</v>
      </c>
      <c r="P20" s="114" t="e">
        <f>#REF!</f>
        <v>#REF!</v>
      </c>
      <c r="Q20" s="114" t="e">
        <f>VLOOKUP(A20,#REF!,17,FALSE)</f>
        <v>#REF!</v>
      </c>
      <c r="R20" s="120" t="e">
        <f>#REF!</f>
        <v>#REF!</v>
      </c>
      <c r="S20" s="114" t="e">
        <f>IF(Q20=0,#REF!,ROUND(Q20*R20,4))</f>
        <v>#REF!</v>
      </c>
      <c r="T20" s="105" t="e">
        <f>VLOOKUP($A20,#REF!,15,FALSE)</f>
        <v>#REF!</v>
      </c>
      <c r="U20" s="105" t="e">
        <f>VLOOKUP($A20,#REF!,19,FALSE)</f>
        <v>#REF!</v>
      </c>
      <c r="V20" s="109" t="e">
        <f t="shared" si="5"/>
        <v>#REF!</v>
      </c>
      <c r="W20" s="121" t="e">
        <f t="shared" si="6"/>
        <v>#REF!</v>
      </c>
      <c r="X20" s="105" t="e">
        <f t="shared" si="7"/>
        <v>#REF!</v>
      </c>
      <c r="Y20" s="109" t="e">
        <f t="shared" si="8"/>
        <v>#REF!</v>
      </c>
      <c r="Z20" s="109" t="e">
        <f t="shared" si="9"/>
        <v>#REF!</v>
      </c>
      <c r="AA20" s="113" t="e">
        <f t="shared" si="10"/>
        <v>#REF!</v>
      </c>
      <c r="AB20" s="109" t="e">
        <f t="shared" si="11"/>
        <v>#REF!</v>
      </c>
      <c r="AC20" s="113" t="e">
        <f t="shared" si="12"/>
        <v>#REF!</v>
      </c>
      <c r="AD20" s="105" t="e">
        <f t="shared" si="13"/>
        <v>#REF!</v>
      </c>
      <c r="AE20" s="105" t="e">
        <f t="shared" si="14"/>
        <v>#REF!</v>
      </c>
      <c r="AF20" s="105" t="e">
        <f t="shared" si="15"/>
        <v>#REF!</v>
      </c>
      <c r="AG20" s="105" t="e">
        <f t="shared" si="16"/>
        <v>#REF!</v>
      </c>
      <c r="AH20" s="111" t="e">
        <f>VLOOKUP($A20,#REF!,5,FALSE)</f>
        <v>#REF!</v>
      </c>
      <c r="AI20" s="111" t="e">
        <f>VLOOKUP($A20,#REF!,6,FALSE)</f>
        <v>#REF!</v>
      </c>
      <c r="AJ20" s="109" t="e">
        <f t="shared" si="17"/>
        <v>#REF!</v>
      </c>
      <c r="AK20" s="109" t="e">
        <f t="shared" si="18"/>
        <v>#REF!</v>
      </c>
      <c r="AL20" s="109"/>
      <c r="AM20" s="110"/>
      <c r="AN20" s="110"/>
      <c r="AO20" s="110"/>
      <c r="AP20" s="110"/>
      <c r="AQ20" s="112"/>
      <c r="AR20" s="112"/>
      <c r="AS20" s="110"/>
      <c r="AT20" s="105"/>
      <c r="AU20" s="105"/>
      <c r="AV20" s="105"/>
      <c r="AW20" s="105"/>
      <c r="AX20" s="105"/>
      <c r="AY20" s="105"/>
    </row>
    <row r="21" spans="1:51" x14ac:dyDescent="0.15">
      <c r="A21" s="115">
        <v>78</v>
      </c>
      <c r="B21" s="98" t="e">
        <f>VLOOKUP($A21,#REF!,101,FALSE)</f>
        <v>#REF!</v>
      </c>
      <c r="C21" s="98" t="e">
        <f>VLOOKUP($A21,#REF!,102,FALSE)</f>
        <v>#REF!</v>
      </c>
      <c r="D21" s="104" t="e">
        <f>VLOOKUP($A21,#REF!,5,FALSE)</f>
        <v>#REF!</v>
      </c>
      <c r="E21" s="104" t="e">
        <f>VLOOKUP($A21,#REF!,6,FALSE)</f>
        <v>#REF!</v>
      </c>
      <c r="F21" s="105" t="e">
        <f>VLOOKUP($A21,#REF!,34,FALSE)</f>
        <v>#REF!</v>
      </c>
      <c r="G21" s="105" t="e">
        <f>VLOOKUP($A21,#REF!,29,FALSE)</f>
        <v>#REF!</v>
      </c>
      <c r="H21" s="105" t="e">
        <f>VLOOKUP($A21,#REF!,35,FALSE)+VLOOKUP($A21,#REF!,97,FALSE)</f>
        <v>#REF!</v>
      </c>
      <c r="I21" s="105" t="e">
        <f t="shared" si="2"/>
        <v>#REF!</v>
      </c>
      <c r="J21" s="105" t="e">
        <f>VLOOKUP($A21,#REF!,42,FALSE)</f>
        <v>#REF!</v>
      </c>
      <c r="K21" s="105" t="e">
        <f t="shared" si="3"/>
        <v>#REF!</v>
      </c>
      <c r="L21" s="164" t="e">
        <f t="shared" si="1"/>
        <v>#REF!</v>
      </c>
      <c r="M21" s="105" t="e">
        <f t="shared" si="4"/>
        <v>#REF!</v>
      </c>
      <c r="N21" s="105" t="e">
        <f>VLOOKUP($A21,#REF!,46,FALSE)</f>
        <v>#REF!</v>
      </c>
      <c r="O21" s="106" t="e">
        <f>VLOOKUP($A21,#REF!,9,FALSE)</f>
        <v>#REF!</v>
      </c>
      <c r="P21" s="114" t="e">
        <f>#REF!</f>
        <v>#REF!</v>
      </c>
      <c r="Q21" s="114" t="e">
        <f>VLOOKUP(A21,#REF!,17,FALSE)</f>
        <v>#REF!</v>
      </c>
      <c r="R21" s="120" t="e">
        <f>#REF!</f>
        <v>#REF!</v>
      </c>
      <c r="S21" s="114" t="e">
        <f>IF(Q21=0,#REF!,ROUND(Q21*R21,4))</f>
        <v>#REF!</v>
      </c>
      <c r="T21" s="105" t="e">
        <f>VLOOKUP($A21,#REF!,15,FALSE)</f>
        <v>#REF!</v>
      </c>
      <c r="U21" s="105" t="e">
        <f>VLOOKUP($A21,#REF!,19,FALSE)</f>
        <v>#REF!</v>
      </c>
      <c r="V21" s="109" t="e">
        <f t="shared" si="5"/>
        <v>#REF!</v>
      </c>
      <c r="W21" s="121" t="e">
        <f t="shared" si="6"/>
        <v>#REF!</v>
      </c>
      <c r="X21" s="105" t="e">
        <f t="shared" si="7"/>
        <v>#REF!</v>
      </c>
      <c r="Y21" s="109" t="e">
        <f t="shared" si="8"/>
        <v>#REF!</v>
      </c>
      <c r="Z21" s="109" t="e">
        <f t="shared" si="9"/>
        <v>#REF!</v>
      </c>
      <c r="AA21" s="113" t="e">
        <f t="shared" si="10"/>
        <v>#REF!</v>
      </c>
      <c r="AB21" s="109" t="e">
        <f t="shared" si="11"/>
        <v>#REF!</v>
      </c>
      <c r="AC21" s="113" t="e">
        <f t="shared" si="12"/>
        <v>#REF!</v>
      </c>
      <c r="AD21" s="105" t="e">
        <f t="shared" si="13"/>
        <v>#REF!</v>
      </c>
      <c r="AE21" s="105" t="e">
        <f t="shared" si="14"/>
        <v>#REF!</v>
      </c>
      <c r="AF21" s="105" t="e">
        <f t="shared" si="15"/>
        <v>#REF!</v>
      </c>
      <c r="AG21" s="105" t="e">
        <f t="shared" si="16"/>
        <v>#REF!</v>
      </c>
      <c r="AH21" s="111" t="e">
        <f>VLOOKUP($A21,#REF!,5,FALSE)</f>
        <v>#REF!</v>
      </c>
      <c r="AI21" s="111" t="e">
        <f>VLOOKUP($A21,#REF!,6,FALSE)</f>
        <v>#REF!</v>
      </c>
      <c r="AJ21" s="109" t="e">
        <f t="shared" si="17"/>
        <v>#REF!</v>
      </c>
      <c r="AK21" s="109" t="e">
        <f t="shared" si="18"/>
        <v>#REF!</v>
      </c>
      <c r="AL21" s="109"/>
      <c r="AM21" s="110"/>
      <c r="AN21" s="110"/>
      <c r="AO21" s="110"/>
      <c r="AP21" s="110"/>
      <c r="AQ21" s="112"/>
      <c r="AR21" s="112"/>
      <c r="AS21" s="110"/>
      <c r="AT21" s="105"/>
      <c r="AU21" s="105"/>
      <c r="AV21" s="105"/>
      <c r="AW21" s="105"/>
      <c r="AX21" s="105"/>
      <c r="AY21" s="105"/>
    </row>
    <row r="22" spans="1:51" x14ac:dyDescent="0.15">
      <c r="A22" s="115">
        <v>88</v>
      </c>
      <c r="B22" s="98" t="e">
        <f>VLOOKUP($A22,#REF!,101,FALSE)</f>
        <v>#REF!</v>
      </c>
      <c r="C22" s="98" t="e">
        <f>VLOOKUP($A22,#REF!,102,FALSE)</f>
        <v>#REF!</v>
      </c>
      <c r="D22" s="104" t="e">
        <f>VLOOKUP($A22,#REF!,5,FALSE)</f>
        <v>#REF!</v>
      </c>
      <c r="E22" s="104" t="e">
        <f>VLOOKUP($A22,#REF!,6,FALSE)</f>
        <v>#REF!</v>
      </c>
      <c r="F22" s="105" t="e">
        <f>VLOOKUP($A22,#REF!,34,FALSE)</f>
        <v>#REF!</v>
      </c>
      <c r="G22" s="105" t="e">
        <f>VLOOKUP($A22,#REF!,29,FALSE)</f>
        <v>#REF!</v>
      </c>
      <c r="H22" s="105" t="e">
        <f>VLOOKUP($A22,#REF!,35,FALSE)+VLOOKUP($A22,#REF!,97,FALSE)</f>
        <v>#REF!</v>
      </c>
      <c r="I22" s="105" t="e">
        <f t="shared" si="2"/>
        <v>#REF!</v>
      </c>
      <c r="J22" s="105" t="e">
        <f>VLOOKUP($A22,#REF!,42,FALSE)</f>
        <v>#REF!</v>
      </c>
      <c r="K22" s="105" t="e">
        <f t="shared" si="3"/>
        <v>#REF!</v>
      </c>
      <c r="L22" s="164" t="e">
        <f t="shared" si="1"/>
        <v>#REF!</v>
      </c>
      <c r="M22" s="105" t="e">
        <f t="shared" si="4"/>
        <v>#REF!</v>
      </c>
      <c r="N22" s="105" t="e">
        <f>VLOOKUP($A22,#REF!,46,FALSE)</f>
        <v>#REF!</v>
      </c>
      <c r="O22" s="106" t="e">
        <f>VLOOKUP($A22,#REF!,9,FALSE)</f>
        <v>#REF!</v>
      </c>
      <c r="P22" s="114" t="e">
        <f>#REF!</f>
        <v>#REF!</v>
      </c>
      <c r="Q22" s="114" t="e">
        <f>VLOOKUP(A22,#REF!,17,FALSE)</f>
        <v>#REF!</v>
      </c>
      <c r="R22" s="120" t="e">
        <f>#REF!</f>
        <v>#REF!</v>
      </c>
      <c r="S22" s="114" t="e">
        <f>IF(Q22=0,#REF!,ROUND(Q22*R22,4))</f>
        <v>#REF!</v>
      </c>
      <c r="T22" s="105" t="e">
        <f>VLOOKUP($A22,#REF!,15,FALSE)</f>
        <v>#REF!</v>
      </c>
      <c r="U22" s="105" t="e">
        <f>VLOOKUP($A22,#REF!,19,FALSE)</f>
        <v>#REF!</v>
      </c>
      <c r="V22" s="109" t="e">
        <f t="shared" si="5"/>
        <v>#REF!</v>
      </c>
      <c r="W22" s="121" t="e">
        <f t="shared" si="6"/>
        <v>#REF!</v>
      </c>
      <c r="X22" s="105" t="e">
        <f t="shared" si="7"/>
        <v>#REF!</v>
      </c>
      <c r="Y22" s="109" t="e">
        <f t="shared" si="8"/>
        <v>#REF!</v>
      </c>
      <c r="Z22" s="109" t="e">
        <f t="shared" si="9"/>
        <v>#REF!</v>
      </c>
      <c r="AA22" s="113" t="e">
        <f t="shared" si="10"/>
        <v>#REF!</v>
      </c>
      <c r="AB22" s="109" t="e">
        <f t="shared" si="11"/>
        <v>#REF!</v>
      </c>
      <c r="AC22" s="113" t="e">
        <f t="shared" si="12"/>
        <v>#REF!</v>
      </c>
      <c r="AD22" s="105" t="e">
        <f t="shared" si="13"/>
        <v>#REF!</v>
      </c>
      <c r="AE22" s="105" t="e">
        <f t="shared" si="14"/>
        <v>#REF!</v>
      </c>
      <c r="AF22" s="105" t="e">
        <f t="shared" si="15"/>
        <v>#REF!</v>
      </c>
      <c r="AG22" s="105" t="e">
        <f t="shared" si="16"/>
        <v>#REF!</v>
      </c>
      <c r="AH22" s="111" t="e">
        <f>VLOOKUP($A22,#REF!,5,FALSE)</f>
        <v>#REF!</v>
      </c>
      <c r="AI22" s="111" t="e">
        <f>VLOOKUP($A22,#REF!,6,FALSE)</f>
        <v>#REF!</v>
      </c>
      <c r="AJ22" s="109" t="e">
        <f t="shared" si="17"/>
        <v>#REF!</v>
      </c>
      <c r="AK22" s="109" t="e">
        <f t="shared" si="18"/>
        <v>#REF!</v>
      </c>
      <c r="AL22" s="109"/>
      <c r="AM22" s="110"/>
      <c r="AN22" s="110"/>
      <c r="AO22" s="110"/>
      <c r="AP22" s="110"/>
      <c r="AQ22" s="112"/>
      <c r="AR22" s="112"/>
      <c r="AS22" s="110"/>
      <c r="AT22" s="105"/>
      <c r="AU22" s="105"/>
      <c r="AV22" s="105"/>
      <c r="AW22" s="105"/>
      <c r="AX22" s="105"/>
      <c r="AY22" s="105"/>
    </row>
    <row r="23" spans="1:51" x14ac:dyDescent="0.15">
      <c r="A23" s="115">
        <v>98</v>
      </c>
      <c r="B23" s="98" t="e">
        <f>VLOOKUP($A23,#REF!,101,FALSE)</f>
        <v>#REF!</v>
      </c>
      <c r="C23" s="98" t="e">
        <f>VLOOKUP($A23,#REF!,102,FALSE)</f>
        <v>#REF!</v>
      </c>
      <c r="D23" s="104" t="e">
        <f>VLOOKUP($A23,#REF!,5,FALSE)</f>
        <v>#REF!</v>
      </c>
      <c r="E23" s="104" t="e">
        <f>VLOOKUP($A23,#REF!,6,FALSE)</f>
        <v>#REF!</v>
      </c>
      <c r="F23" s="105" t="e">
        <f>VLOOKUP($A23,#REF!,34,FALSE)</f>
        <v>#REF!</v>
      </c>
      <c r="G23" s="105" t="e">
        <f>VLOOKUP($A23,#REF!,29,FALSE)</f>
        <v>#REF!</v>
      </c>
      <c r="H23" s="105" t="e">
        <f>VLOOKUP($A23,#REF!,35,FALSE)+VLOOKUP($A23,#REF!,97,FALSE)</f>
        <v>#REF!</v>
      </c>
      <c r="I23" s="105" t="e">
        <f t="shared" si="2"/>
        <v>#REF!</v>
      </c>
      <c r="J23" s="105" t="e">
        <f>VLOOKUP($A23,#REF!,42,FALSE)</f>
        <v>#REF!</v>
      </c>
      <c r="K23" s="105" t="e">
        <f t="shared" si="3"/>
        <v>#REF!</v>
      </c>
      <c r="L23" s="164" t="e">
        <f t="shared" si="1"/>
        <v>#REF!</v>
      </c>
      <c r="M23" s="105" t="e">
        <f t="shared" si="4"/>
        <v>#REF!</v>
      </c>
      <c r="N23" s="105" t="e">
        <f>VLOOKUP($A23,#REF!,46,FALSE)</f>
        <v>#REF!</v>
      </c>
      <c r="O23" s="106" t="e">
        <f>VLOOKUP($A23,#REF!,9,FALSE)</f>
        <v>#REF!</v>
      </c>
      <c r="P23" s="114" t="e">
        <f>#REF!</f>
        <v>#REF!</v>
      </c>
      <c r="Q23" s="114" t="e">
        <f>VLOOKUP(A23,#REF!,17,FALSE)</f>
        <v>#REF!</v>
      </c>
      <c r="R23" s="120" t="e">
        <f>#REF!</f>
        <v>#REF!</v>
      </c>
      <c r="S23" s="114" t="e">
        <f>IF(Q23=0,#REF!,ROUND(Q23*R23,4))</f>
        <v>#REF!</v>
      </c>
      <c r="T23" s="105" t="e">
        <f>VLOOKUP($A23,#REF!,15,FALSE)</f>
        <v>#REF!</v>
      </c>
      <c r="U23" s="105" t="e">
        <f>VLOOKUP($A23,#REF!,19,FALSE)</f>
        <v>#REF!</v>
      </c>
      <c r="V23" s="109" t="e">
        <f t="shared" si="5"/>
        <v>#REF!</v>
      </c>
      <c r="W23" s="121" t="e">
        <f t="shared" si="6"/>
        <v>#REF!</v>
      </c>
      <c r="X23" s="105" t="e">
        <f t="shared" si="7"/>
        <v>#REF!</v>
      </c>
      <c r="Y23" s="109" t="e">
        <f t="shared" si="8"/>
        <v>#REF!</v>
      </c>
      <c r="Z23" s="109" t="e">
        <f t="shared" si="9"/>
        <v>#REF!</v>
      </c>
      <c r="AA23" s="113" t="e">
        <f t="shared" si="10"/>
        <v>#REF!</v>
      </c>
      <c r="AB23" s="109" t="e">
        <f t="shared" si="11"/>
        <v>#REF!</v>
      </c>
      <c r="AC23" s="113" t="e">
        <f t="shared" si="12"/>
        <v>#REF!</v>
      </c>
      <c r="AD23" s="105" t="e">
        <f t="shared" si="13"/>
        <v>#REF!</v>
      </c>
      <c r="AE23" s="105" t="e">
        <f t="shared" si="14"/>
        <v>#REF!</v>
      </c>
      <c r="AF23" s="105" t="e">
        <f t="shared" si="15"/>
        <v>#REF!</v>
      </c>
      <c r="AG23" s="105" t="e">
        <f t="shared" si="16"/>
        <v>#REF!</v>
      </c>
      <c r="AH23" s="111" t="e">
        <f>VLOOKUP($A23,#REF!,5,FALSE)</f>
        <v>#REF!</v>
      </c>
      <c r="AI23" s="111" t="e">
        <f>VLOOKUP($A23,#REF!,6,FALSE)</f>
        <v>#REF!</v>
      </c>
      <c r="AJ23" s="109" t="e">
        <f t="shared" si="17"/>
        <v>#REF!</v>
      </c>
      <c r="AK23" s="109" t="e">
        <f t="shared" si="18"/>
        <v>#REF!</v>
      </c>
      <c r="AL23" s="109"/>
      <c r="AM23" s="110"/>
      <c r="AN23" s="110"/>
      <c r="AO23" s="110"/>
      <c r="AP23" s="110"/>
      <c r="AQ23" s="112"/>
      <c r="AR23" s="112"/>
      <c r="AS23" s="110"/>
      <c r="AT23" s="105"/>
      <c r="AU23" s="105"/>
      <c r="AV23" s="105"/>
      <c r="AW23" s="105"/>
      <c r="AX23" s="105"/>
      <c r="AY23" s="105"/>
    </row>
    <row r="24" spans="1:51" x14ac:dyDescent="0.15">
      <c r="A24" s="115">
        <v>100</v>
      </c>
      <c r="B24" s="98" t="e">
        <f>VLOOKUP($A24,#REF!,101,FALSE)</f>
        <v>#REF!</v>
      </c>
      <c r="C24" s="98" t="e">
        <f>VLOOKUP($A24,#REF!,102,FALSE)</f>
        <v>#REF!</v>
      </c>
      <c r="D24" s="104" t="e">
        <f>VLOOKUP($A24,#REF!,5,FALSE)</f>
        <v>#REF!</v>
      </c>
      <c r="E24" s="104" t="e">
        <f>VLOOKUP($A24,#REF!,6,FALSE)</f>
        <v>#REF!</v>
      </c>
      <c r="F24" s="105" t="e">
        <f>VLOOKUP($A24,#REF!,34,FALSE)</f>
        <v>#REF!</v>
      </c>
      <c r="G24" s="105" t="e">
        <f>VLOOKUP($A24,#REF!,29,FALSE)</f>
        <v>#REF!</v>
      </c>
      <c r="H24" s="105" t="e">
        <f>VLOOKUP($A24,#REF!,35,FALSE)+VLOOKUP($A24,#REF!,97,FALSE)</f>
        <v>#REF!</v>
      </c>
      <c r="I24" s="105" t="e">
        <f t="shared" si="2"/>
        <v>#REF!</v>
      </c>
      <c r="J24" s="105" t="e">
        <f>VLOOKUP($A24,#REF!,42,FALSE)</f>
        <v>#REF!</v>
      </c>
      <c r="K24" s="105" t="e">
        <f t="shared" si="3"/>
        <v>#REF!</v>
      </c>
      <c r="L24" s="164" t="e">
        <f t="shared" si="1"/>
        <v>#REF!</v>
      </c>
      <c r="M24" s="105" t="e">
        <f t="shared" si="4"/>
        <v>#REF!</v>
      </c>
      <c r="N24" s="105" t="e">
        <f>VLOOKUP($A24,#REF!,46,FALSE)</f>
        <v>#REF!</v>
      </c>
      <c r="O24" s="106" t="e">
        <f>VLOOKUP($A24,#REF!,9,FALSE)</f>
        <v>#REF!</v>
      </c>
      <c r="P24" s="114" t="e">
        <f>#REF!</f>
        <v>#REF!</v>
      </c>
      <c r="Q24" s="114" t="e">
        <f>VLOOKUP(A24,#REF!,17,FALSE)</f>
        <v>#REF!</v>
      </c>
      <c r="R24" s="120" t="e">
        <f>#REF!</f>
        <v>#REF!</v>
      </c>
      <c r="S24" s="114" t="e">
        <f>IF(Q24=0,#REF!,ROUND(Q24*R24,4))</f>
        <v>#REF!</v>
      </c>
      <c r="T24" s="105" t="e">
        <f>VLOOKUP($A24,#REF!,15,FALSE)</f>
        <v>#REF!</v>
      </c>
      <c r="U24" s="105" t="e">
        <f>VLOOKUP($A24,#REF!,19,FALSE)</f>
        <v>#REF!</v>
      </c>
      <c r="V24" s="109" t="e">
        <f t="shared" si="5"/>
        <v>#REF!</v>
      </c>
      <c r="W24" s="121" t="e">
        <f t="shared" si="6"/>
        <v>#REF!</v>
      </c>
      <c r="X24" s="105" t="e">
        <f t="shared" si="7"/>
        <v>#REF!</v>
      </c>
      <c r="Y24" s="109" t="e">
        <f t="shared" si="8"/>
        <v>#REF!</v>
      </c>
      <c r="Z24" s="109" t="e">
        <f t="shared" si="9"/>
        <v>#REF!</v>
      </c>
      <c r="AA24" s="113" t="e">
        <f t="shared" si="10"/>
        <v>#REF!</v>
      </c>
      <c r="AB24" s="109" t="e">
        <f t="shared" si="11"/>
        <v>#REF!</v>
      </c>
      <c r="AC24" s="113" t="e">
        <f t="shared" si="12"/>
        <v>#REF!</v>
      </c>
      <c r="AD24" s="105" t="e">
        <f t="shared" si="13"/>
        <v>#REF!</v>
      </c>
      <c r="AE24" s="105" t="e">
        <f t="shared" si="14"/>
        <v>#REF!</v>
      </c>
      <c r="AF24" s="105" t="e">
        <f t="shared" si="15"/>
        <v>#REF!</v>
      </c>
      <c r="AG24" s="105" t="e">
        <f t="shared" si="16"/>
        <v>#REF!</v>
      </c>
      <c r="AH24" s="111" t="e">
        <f>VLOOKUP($A24,#REF!,5,FALSE)</f>
        <v>#REF!</v>
      </c>
      <c r="AI24" s="111" t="e">
        <f>VLOOKUP($A24,#REF!,6,FALSE)</f>
        <v>#REF!</v>
      </c>
      <c r="AJ24" s="109" t="e">
        <f t="shared" si="17"/>
        <v>#REF!</v>
      </c>
      <c r="AK24" s="109" t="e">
        <f t="shared" si="18"/>
        <v>#REF!</v>
      </c>
      <c r="AL24" s="109"/>
      <c r="AM24" s="110"/>
      <c r="AN24" s="110"/>
      <c r="AO24" s="110"/>
      <c r="AP24" s="110"/>
      <c r="AQ24" s="112"/>
      <c r="AR24" s="112"/>
      <c r="AS24" s="110"/>
      <c r="AT24" s="105"/>
      <c r="AU24" s="105"/>
      <c r="AV24" s="105"/>
      <c r="AW24" s="105"/>
      <c r="AX24" s="105"/>
      <c r="AY24" s="105"/>
    </row>
    <row r="25" spans="1:51" x14ac:dyDescent="0.15">
      <c r="A25" s="115">
        <v>310</v>
      </c>
      <c r="B25" s="98" t="e">
        <f>VLOOKUP($A25,#REF!,101,FALSE)</f>
        <v>#REF!</v>
      </c>
      <c r="C25" s="98" t="e">
        <f>VLOOKUP($A25,#REF!,102,FALSE)</f>
        <v>#REF!</v>
      </c>
      <c r="D25" s="104" t="e">
        <f>VLOOKUP($A25,#REF!,5,FALSE)</f>
        <v>#REF!</v>
      </c>
      <c r="E25" s="104" t="e">
        <f>VLOOKUP($A25,#REF!,6,FALSE)</f>
        <v>#REF!</v>
      </c>
      <c r="F25" s="105" t="e">
        <f>VLOOKUP($A25,#REF!,34,FALSE)</f>
        <v>#REF!</v>
      </c>
      <c r="G25" s="105" t="e">
        <f>VLOOKUP($A25,#REF!,29,FALSE)</f>
        <v>#REF!</v>
      </c>
      <c r="H25" s="105" t="e">
        <f>VLOOKUP($A25,#REF!,35,FALSE)+VLOOKUP($A25,#REF!,97,FALSE)</f>
        <v>#REF!</v>
      </c>
      <c r="I25" s="105" t="e">
        <f t="shared" si="2"/>
        <v>#REF!</v>
      </c>
      <c r="J25" s="105" t="e">
        <f>VLOOKUP($A25,#REF!,42,FALSE)</f>
        <v>#REF!</v>
      </c>
      <c r="K25" s="105" t="e">
        <f t="shared" si="3"/>
        <v>#REF!</v>
      </c>
      <c r="L25" s="164" t="e">
        <f t="shared" si="1"/>
        <v>#REF!</v>
      </c>
      <c r="M25" s="105" t="e">
        <f t="shared" si="4"/>
        <v>#REF!</v>
      </c>
      <c r="N25" s="105" t="e">
        <f>VLOOKUP($A25,#REF!,46,FALSE)</f>
        <v>#REF!</v>
      </c>
      <c r="O25" s="106" t="e">
        <f>VLOOKUP($A25,#REF!,9,FALSE)</f>
        <v>#REF!</v>
      </c>
      <c r="P25" s="114" t="e">
        <f>#REF!</f>
        <v>#REF!</v>
      </c>
      <c r="Q25" s="114" t="e">
        <f>VLOOKUP(A25,#REF!,17,FALSE)</f>
        <v>#REF!</v>
      </c>
      <c r="R25" s="120" t="e">
        <f>#REF!</f>
        <v>#REF!</v>
      </c>
      <c r="S25" s="114" t="e">
        <f>IF(Q25=0,#REF!,ROUND(Q25*R25,4))</f>
        <v>#REF!</v>
      </c>
      <c r="T25" s="105" t="e">
        <f>VLOOKUP($A25,#REF!,15,FALSE)</f>
        <v>#REF!</v>
      </c>
      <c r="U25" s="105" t="e">
        <f>VLOOKUP($A25,#REF!,19,FALSE)</f>
        <v>#REF!</v>
      </c>
      <c r="V25" s="109" t="e">
        <f t="shared" si="5"/>
        <v>#REF!</v>
      </c>
      <c r="W25" s="121" t="e">
        <f t="shared" si="6"/>
        <v>#REF!</v>
      </c>
      <c r="X25" s="105" t="e">
        <f t="shared" si="7"/>
        <v>#REF!</v>
      </c>
      <c r="Y25" s="109" t="e">
        <f t="shared" si="8"/>
        <v>#REF!</v>
      </c>
      <c r="Z25" s="109" t="e">
        <f t="shared" si="9"/>
        <v>#REF!</v>
      </c>
      <c r="AA25" s="113" t="e">
        <f t="shared" si="10"/>
        <v>#REF!</v>
      </c>
      <c r="AB25" s="109" t="e">
        <f t="shared" si="11"/>
        <v>#REF!</v>
      </c>
      <c r="AC25" s="113" t="e">
        <f t="shared" si="12"/>
        <v>#REF!</v>
      </c>
      <c r="AD25" s="105" t="e">
        <f t="shared" si="13"/>
        <v>#REF!</v>
      </c>
      <c r="AE25" s="105" t="e">
        <f t="shared" si="14"/>
        <v>#REF!</v>
      </c>
      <c r="AF25" s="105" t="e">
        <f t="shared" si="15"/>
        <v>#REF!</v>
      </c>
      <c r="AG25" s="105" t="e">
        <f t="shared" si="16"/>
        <v>#REF!</v>
      </c>
      <c r="AH25" s="111" t="e">
        <f>VLOOKUP($A25,#REF!,5,FALSE)</f>
        <v>#REF!</v>
      </c>
      <c r="AI25" s="111" t="e">
        <f>VLOOKUP($A25,#REF!,6,FALSE)</f>
        <v>#REF!</v>
      </c>
      <c r="AJ25" s="109" t="e">
        <f t="shared" si="17"/>
        <v>#REF!</v>
      </c>
      <c r="AK25" s="109" t="e">
        <f t="shared" si="18"/>
        <v>#REF!</v>
      </c>
      <c r="AL25" s="109"/>
      <c r="AM25" s="110"/>
      <c r="AN25" s="110"/>
      <c r="AO25" s="110"/>
      <c r="AP25" s="110"/>
      <c r="AQ25" s="112"/>
      <c r="AR25" s="112"/>
      <c r="AS25" s="110"/>
      <c r="AT25" s="105"/>
      <c r="AU25" s="105"/>
      <c r="AV25" s="105"/>
      <c r="AW25" s="105"/>
      <c r="AX25" s="105"/>
      <c r="AY25" s="105"/>
    </row>
    <row r="26" spans="1:51" x14ac:dyDescent="0.15">
      <c r="A26" s="115">
        <v>132</v>
      </c>
      <c r="B26" s="98" t="e">
        <f>VLOOKUP($A26,#REF!,101,FALSE)</f>
        <v>#REF!</v>
      </c>
      <c r="C26" s="98" t="e">
        <f>VLOOKUP($A26,#REF!,102,FALSE)</f>
        <v>#REF!</v>
      </c>
      <c r="D26" s="104" t="e">
        <f>VLOOKUP($A26,#REF!,5,FALSE)</f>
        <v>#REF!</v>
      </c>
      <c r="E26" s="104" t="e">
        <f>VLOOKUP($A26,#REF!,6,FALSE)</f>
        <v>#REF!</v>
      </c>
      <c r="F26" s="105" t="e">
        <f>VLOOKUP($A26,#REF!,34,FALSE)</f>
        <v>#REF!</v>
      </c>
      <c r="G26" s="105" t="e">
        <f>VLOOKUP($A26,#REF!,29,FALSE)</f>
        <v>#REF!</v>
      </c>
      <c r="H26" s="105" t="e">
        <f>VLOOKUP($A26,#REF!,35,FALSE)+VLOOKUP($A26,#REF!,97,FALSE)</f>
        <v>#REF!</v>
      </c>
      <c r="I26" s="105" t="e">
        <f t="shared" si="2"/>
        <v>#REF!</v>
      </c>
      <c r="J26" s="105" t="e">
        <f>VLOOKUP($A26,#REF!,42,FALSE)</f>
        <v>#REF!</v>
      </c>
      <c r="K26" s="105" t="e">
        <f t="shared" si="3"/>
        <v>#REF!</v>
      </c>
      <c r="L26" s="164" t="e">
        <f t="shared" si="1"/>
        <v>#REF!</v>
      </c>
      <c r="M26" s="105" t="e">
        <f t="shared" si="4"/>
        <v>#REF!</v>
      </c>
      <c r="N26" s="105" t="e">
        <f>VLOOKUP($A26,#REF!,46,FALSE)</f>
        <v>#REF!</v>
      </c>
      <c r="O26" s="106" t="e">
        <f>VLOOKUP($A26,#REF!,9,FALSE)</f>
        <v>#REF!</v>
      </c>
      <c r="P26" s="114" t="e">
        <f>#REF!</f>
        <v>#REF!</v>
      </c>
      <c r="Q26" s="114" t="e">
        <f>VLOOKUP(A26,#REF!,17,FALSE)</f>
        <v>#REF!</v>
      </c>
      <c r="R26" s="120" t="e">
        <f>#REF!</f>
        <v>#REF!</v>
      </c>
      <c r="S26" s="114" t="e">
        <f>IF(Q26=0,#REF!,ROUND(Q26*R26,4))</f>
        <v>#REF!</v>
      </c>
      <c r="T26" s="105" t="e">
        <f>VLOOKUP($A26,#REF!,15,FALSE)</f>
        <v>#REF!</v>
      </c>
      <c r="U26" s="105" t="e">
        <f>VLOOKUP($A26,#REF!,19,FALSE)</f>
        <v>#REF!</v>
      </c>
      <c r="V26" s="109" t="e">
        <f t="shared" si="5"/>
        <v>#REF!</v>
      </c>
      <c r="W26" s="121" t="e">
        <f t="shared" si="6"/>
        <v>#REF!</v>
      </c>
      <c r="X26" s="105" t="e">
        <f t="shared" si="7"/>
        <v>#REF!</v>
      </c>
      <c r="Y26" s="109" t="e">
        <f t="shared" si="8"/>
        <v>#REF!</v>
      </c>
      <c r="Z26" s="109" t="e">
        <f t="shared" si="9"/>
        <v>#REF!</v>
      </c>
      <c r="AA26" s="113" t="e">
        <f t="shared" si="10"/>
        <v>#REF!</v>
      </c>
      <c r="AB26" s="109" t="e">
        <f t="shared" si="11"/>
        <v>#REF!</v>
      </c>
      <c r="AC26" s="113" t="e">
        <f t="shared" si="12"/>
        <v>#REF!</v>
      </c>
      <c r="AD26" s="105" t="e">
        <f t="shared" si="13"/>
        <v>#REF!</v>
      </c>
      <c r="AE26" s="105" t="e">
        <f t="shared" si="14"/>
        <v>#REF!</v>
      </c>
      <c r="AF26" s="105" t="e">
        <f t="shared" si="15"/>
        <v>#REF!</v>
      </c>
      <c r="AG26" s="105" t="e">
        <f t="shared" si="16"/>
        <v>#REF!</v>
      </c>
      <c r="AH26" s="111" t="e">
        <f>VLOOKUP($A26,#REF!,5,FALSE)</f>
        <v>#REF!</v>
      </c>
      <c r="AI26" s="111" t="e">
        <f>VLOOKUP($A26,#REF!,6,FALSE)</f>
        <v>#REF!</v>
      </c>
      <c r="AJ26" s="109" t="e">
        <f t="shared" si="17"/>
        <v>#REF!</v>
      </c>
      <c r="AK26" s="109" t="e">
        <f t="shared" si="18"/>
        <v>#REF!</v>
      </c>
      <c r="AL26" s="109"/>
      <c r="AM26" s="110"/>
      <c r="AN26" s="110"/>
      <c r="AO26" s="110"/>
      <c r="AP26" s="110"/>
      <c r="AQ26" s="112"/>
      <c r="AR26" s="112"/>
      <c r="AS26" s="110"/>
      <c r="AT26" s="105"/>
      <c r="AU26" s="105"/>
      <c r="AV26" s="105"/>
      <c r="AW26" s="105"/>
      <c r="AX26" s="105"/>
      <c r="AY26" s="105"/>
    </row>
    <row r="27" spans="1:51" x14ac:dyDescent="0.15">
      <c r="A27" s="115">
        <v>198</v>
      </c>
      <c r="B27" s="98" t="e">
        <f>VLOOKUP($A27,#REF!,101,FALSE)</f>
        <v>#REF!</v>
      </c>
      <c r="C27" s="98" t="e">
        <f>VLOOKUP($A27,#REF!,102,FALSE)</f>
        <v>#REF!</v>
      </c>
      <c r="D27" s="104" t="e">
        <f>VLOOKUP($A27,#REF!,5,FALSE)</f>
        <v>#REF!</v>
      </c>
      <c r="E27" s="104" t="e">
        <f>VLOOKUP($A27,#REF!,6,FALSE)</f>
        <v>#REF!</v>
      </c>
      <c r="F27" s="105" t="e">
        <f>VLOOKUP($A27,#REF!,34,FALSE)</f>
        <v>#REF!</v>
      </c>
      <c r="G27" s="105" t="e">
        <f>VLOOKUP($A27,#REF!,29,FALSE)</f>
        <v>#REF!</v>
      </c>
      <c r="H27" s="105" t="e">
        <f>VLOOKUP($A27,#REF!,35,FALSE)+VLOOKUP($A27,#REF!,97,FALSE)</f>
        <v>#REF!</v>
      </c>
      <c r="I27" s="105" t="e">
        <f t="shared" si="2"/>
        <v>#REF!</v>
      </c>
      <c r="J27" s="105" t="e">
        <f>VLOOKUP($A27,#REF!,42,FALSE)</f>
        <v>#REF!</v>
      </c>
      <c r="K27" s="105" t="e">
        <f t="shared" si="3"/>
        <v>#REF!</v>
      </c>
      <c r="L27" s="164" t="e">
        <f t="shared" si="1"/>
        <v>#REF!</v>
      </c>
      <c r="M27" s="105" t="e">
        <f t="shared" si="4"/>
        <v>#REF!</v>
      </c>
      <c r="N27" s="105" t="e">
        <f>VLOOKUP($A27,#REF!,46,FALSE)</f>
        <v>#REF!</v>
      </c>
      <c r="O27" s="106" t="e">
        <f>VLOOKUP($A27,#REF!,9,FALSE)</f>
        <v>#REF!</v>
      </c>
      <c r="P27" s="114" t="e">
        <f>#REF!</f>
        <v>#REF!</v>
      </c>
      <c r="Q27" s="114" t="e">
        <f>VLOOKUP(A27,#REF!,17,FALSE)</f>
        <v>#REF!</v>
      </c>
      <c r="R27" s="120" t="e">
        <f>#REF!</f>
        <v>#REF!</v>
      </c>
      <c r="S27" s="114" t="e">
        <f>IF(Q27=0,#REF!,ROUND(Q27*R27,4))</f>
        <v>#REF!</v>
      </c>
      <c r="T27" s="105" t="e">
        <f>VLOOKUP($A27,#REF!,15,FALSE)</f>
        <v>#REF!</v>
      </c>
      <c r="U27" s="105" t="e">
        <f>VLOOKUP($A27,#REF!,19,FALSE)</f>
        <v>#REF!</v>
      </c>
      <c r="V27" s="109" t="e">
        <f t="shared" si="5"/>
        <v>#REF!</v>
      </c>
      <c r="W27" s="121" t="e">
        <f t="shared" si="6"/>
        <v>#REF!</v>
      </c>
      <c r="X27" s="105" t="e">
        <f t="shared" si="7"/>
        <v>#REF!</v>
      </c>
      <c r="Y27" s="109" t="e">
        <f t="shared" si="8"/>
        <v>#REF!</v>
      </c>
      <c r="Z27" s="109" t="e">
        <f t="shared" si="9"/>
        <v>#REF!</v>
      </c>
      <c r="AA27" s="113" t="e">
        <f t="shared" si="10"/>
        <v>#REF!</v>
      </c>
      <c r="AB27" s="109" t="e">
        <f t="shared" si="11"/>
        <v>#REF!</v>
      </c>
      <c r="AC27" s="113" t="e">
        <f t="shared" si="12"/>
        <v>#REF!</v>
      </c>
      <c r="AD27" s="105" t="e">
        <f t="shared" si="13"/>
        <v>#REF!</v>
      </c>
      <c r="AE27" s="105" t="e">
        <f t="shared" si="14"/>
        <v>#REF!</v>
      </c>
      <c r="AF27" s="105" t="e">
        <f t="shared" si="15"/>
        <v>#REF!</v>
      </c>
      <c r="AG27" s="105" t="e">
        <f t="shared" si="16"/>
        <v>#REF!</v>
      </c>
      <c r="AH27" s="111" t="e">
        <f>VLOOKUP($A27,#REF!,5,FALSE)</f>
        <v>#REF!</v>
      </c>
      <c r="AI27" s="111" t="e">
        <f>VLOOKUP($A27,#REF!,6,FALSE)</f>
        <v>#REF!</v>
      </c>
      <c r="AJ27" s="109" t="e">
        <f t="shared" si="17"/>
        <v>#REF!</v>
      </c>
      <c r="AK27" s="109" t="e">
        <f t="shared" si="18"/>
        <v>#REF!</v>
      </c>
      <c r="AL27" s="109"/>
      <c r="AM27" s="110"/>
      <c r="AN27" s="110"/>
      <c r="AO27" s="110"/>
      <c r="AP27" s="110"/>
      <c r="AQ27" s="112"/>
      <c r="AR27" s="112"/>
      <c r="AS27" s="110"/>
      <c r="AT27" s="105"/>
      <c r="AU27" s="105"/>
      <c r="AV27" s="105"/>
      <c r="AW27" s="105"/>
      <c r="AX27" s="105"/>
      <c r="AY27" s="105"/>
    </row>
    <row r="28" spans="1:51" x14ac:dyDescent="0.15">
      <c r="A28" s="115">
        <v>687</v>
      </c>
      <c r="B28" s="98" t="e">
        <f>VLOOKUP($A28,#REF!,101,FALSE)</f>
        <v>#REF!</v>
      </c>
      <c r="C28" s="98" t="e">
        <f>VLOOKUP($A28,#REF!,102,FALSE)</f>
        <v>#REF!</v>
      </c>
      <c r="D28" s="104" t="e">
        <f>VLOOKUP($A28,#REF!,5,FALSE)</f>
        <v>#REF!</v>
      </c>
      <c r="E28" s="104" t="e">
        <f>VLOOKUP($A28,#REF!,6,FALSE)</f>
        <v>#REF!</v>
      </c>
      <c r="F28" s="105" t="e">
        <f>VLOOKUP($A28,#REF!,34,FALSE)</f>
        <v>#REF!</v>
      </c>
      <c r="G28" s="105" t="e">
        <f>VLOOKUP($A28,#REF!,29,FALSE)</f>
        <v>#REF!</v>
      </c>
      <c r="H28" s="105" t="e">
        <f>VLOOKUP($A28,#REF!,35,FALSE)+VLOOKUP($A28,#REF!,97,FALSE)</f>
        <v>#REF!</v>
      </c>
      <c r="I28" s="105" t="e">
        <f t="shared" si="2"/>
        <v>#REF!</v>
      </c>
      <c r="J28" s="105" t="e">
        <f>VLOOKUP($A28,#REF!,42,FALSE)</f>
        <v>#REF!</v>
      </c>
      <c r="K28" s="105" t="e">
        <f t="shared" si="3"/>
        <v>#REF!</v>
      </c>
      <c r="L28" s="164" t="e">
        <f t="shared" si="1"/>
        <v>#REF!</v>
      </c>
      <c r="M28" s="105" t="e">
        <f t="shared" si="4"/>
        <v>#REF!</v>
      </c>
      <c r="N28" s="105" t="e">
        <f>VLOOKUP($A28,#REF!,46,FALSE)</f>
        <v>#REF!</v>
      </c>
      <c r="O28" s="106" t="e">
        <f>VLOOKUP($A28,#REF!,9,FALSE)</f>
        <v>#REF!</v>
      </c>
      <c r="P28" s="114" t="e">
        <f>#REF!</f>
        <v>#REF!</v>
      </c>
      <c r="Q28" s="114" t="e">
        <f>VLOOKUP(A28,#REF!,17,FALSE)</f>
        <v>#REF!</v>
      </c>
      <c r="R28" s="120" t="e">
        <f>#REF!</f>
        <v>#REF!</v>
      </c>
      <c r="S28" s="114" t="e">
        <f>IF(Q28=0,#REF!,ROUND(Q28*R28,4))</f>
        <v>#REF!</v>
      </c>
      <c r="T28" s="105" t="e">
        <f>VLOOKUP($A28,#REF!,15,FALSE)</f>
        <v>#REF!</v>
      </c>
      <c r="U28" s="105" t="e">
        <f>VLOOKUP($A28,#REF!,19,FALSE)</f>
        <v>#REF!</v>
      </c>
      <c r="V28" s="109" t="e">
        <f t="shared" si="5"/>
        <v>#REF!</v>
      </c>
      <c r="W28" s="121" t="e">
        <f t="shared" si="6"/>
        <v>#REF!</v>
      </c>
      <c r="X28" s="105" t="e">
        <f t="shared" si="7"/>
        <v>#REF!</v>
      </c>
      <c r="Y28" s="109" t="e">
        <f t="shared" si="8"/>
        <v>#REF!</v>
      </c>
      <c r="Z28" s="109" t="e">
        <f t="shared" si="9"/>
        <v>#REF!</v>
      </c>
      <c r="AA28" s="113" t="e">
        <f t="shared" si="10"/>
        <v>#REF!</v>
      </c>
      <c r="AB28" s="109" t="e">
        <f t="shared" si="11"/>
        <v>#REF!</v>
      </c>
      <c r="AC28" s="113" t="e">
        <f t="shared" si="12"/>
        <v>#REF!</v>
      </c>
      <c r="AD28" s="105" t="e">
        <f t="shared" si="13"/>
        <v>#REF!</v>
      </c>
      <c r="AE28" s="105" t="e">
        <f t="shared" si="14"/>
        <v>#REF!</v>
      </c>
      <c r="AF28" s="105" t="e">
        <f t="shared" si="15"/>
        <v>#REF!</v>
      </c>
      <c r="AG28" s="105" t="e">
        <f t="shared" si="16"/>
        <v>#REF!</v>
      </c>
      <c r="AH28" s="111" t="e">
        <f>VLOOKUP($A28,#REF!,5,FALSE)</f>
        <v>#REF!</v>
      </c>
      <c r="AI28" s="111" t="e">
        <f>VLOOKUP($A28,#REF!,6,FALSE)</f>
        <v>#REF!</v>
      </c>
      <c r="AJ28" s="109" t="e">
        <f t="shared" si="17"/>
        <v>#REF!</v>
      </c>
      <c r="AK28" s="109" t="e">
        <f t="shared" si="18"/>
        <v>#REF!</v>
      </c>
      <c r="AL28" s="109"/>
      <c r="AM28" s="110"/>
      <c r="AN28" s="110"/>
      <c r="AO28" s="110"/>
      <c r="AP28" s="110"/>
      <c r="AQ28" s="112"/>
      <c r="AR28" s="112"/>
      <c r="AS28" s="110"/>
      <c r="AT28" s="105"/>
      <c r="AU28" s="105"/>
      <c r="AV28" s="105"/>
      <c r="AW28" s="105"/>
      <c r="AX28" s="105"/>
      <c r="AY28" s="105"/>
    </row>
    <row r="29" spans="1:51" x14ac:dyDescent="0.15">
      <c r="A29" s="115">
        <v>246</v>
      </c>
      <c r="B29" s="98" t="e">
        <f>VLOOKUP($A29,#REF!,101,FALSE)</f>
        <v>#REF!</v>
      </c>
      <c r="C29" s="98" t="e">
        <f>VLOOKUP($A29,#REF!,102,FALSE)</f>
        <v>#REF!</v>
      </c>
      <c r="D29" s="104" t="e">
        <f>VLOOKUP($A29,#REF!,5,FALSE)</f>
        <v>#REF!</v>
      </c>
      <c r="E29" s="104" t="e">
        <f>VLOOKUP($A29,#REF!,6,FALSE)</f>
        <v>#REF!</v>
      </c>
      <c r="F29" s="105" t="e">
        <f>VLOOKUP($A29,#REF!,34,FALSE)</f>
        <v>#REF!</v>
      </c>
      <c r="G29" s="105" t="e">
        <f>VLOOKUP($A29,#REF!,29,FALSE)</f>
        <v>#REF!</v>
      </c>
      <c r="H29" s="105" t="e">
        <f>VLOOKUP($A29,#REF!,35,FALSE)+VLOOKUP($A29,#REF!,97,FALSE)</f>
        <v>#REF!</v>
      </c>
      <c r="I29" s="105" t="e">
        <f t="shared" si="2"/>
        <v>#REF!</v>
      </c>
      <c r="J29" s="105" t="e">
        <f>VLOOKUP($A29,#REF!,42,FALSE)</f>
        <v>#REF!</v>
      </c>
      <c r="K29" s="105" t="e">
        <f t="shared" si="3"/>
        <v>#REF!</v>
      </c>
      <c r="L29" s="164" t="e">
        <f t="shared" si="1"/>
        <v>#REF!</v>
      </c>
      <c r="M29" s="105" t="e">
        <f t="shared" si="4"/>
        <v>#REF!</v>
      </c>
      <c r="N29" s="105" t="e">
        <f>VLOOKUP($A29,#REF!,46,FALSE)</f>
        <v>#REF!</v>
      </c>
      <c r="O29" s="106" t="e">
        <f>VLOOKUP($A29,#REF!,9,FALSE)</f>
        <v>#REF!</v>
      </c>
      <c r="P29" s="114" t="e">
        <f>#REF!</f>
        <v>#REF!</v>
      </c>
      <c r="Q29" s="114" t="e">
        <f>VLOOKUP(A29,#REF!,17,FALSE)</f>
        <v>#REF!</v>
      </c>
      <c r="R29" s="120" t="e">
        <f>#REF!</f>
        <v>#REF!</v>
      </c>
      <c r="S29" s="114" t="e">
        <f>IF(Q29=0,#REF!,ROUND(Q29*R29,4))</f>
        <v>#REF!</v>
      </c>
      <c r="T29" s="105" t="e">
        <f>VLOOKUP($A29,#REF!,15,FALSE)</f>
        <v>#REF!</v>
      </c>
      <c r="U29" s="105" t="e">
        <f>VLOOKUP($A29,#REF!,19,FALSE)</f>
        <v>#REF!</v>
      </c>
      <c r="V29" s="109" t="e">
        <f t="shared" si="5"/>
        <v>#REF!</v>
      </c>
      <c r="W29" s="121" t="e">
        <f t="shared" si="6"/>
        <v>#REF!</v>
      </c>
      <c r="X29" s="105" t="e">
        <f t="shared" si="7"/>
        <v>#REF!</v>
      </c>
      <c r="Y29" s="109" t="e">
        <f t="shared" si="8"/>
        <v>#REF!</v>
      </c>
      <c r="Z29" s="109" t="e">
        <f t="shared" si="9"/>
        <v>#REF!</v>
      </c>
      <c r="AA29" s="113" t="e">
        <f t="shared" si="10"/>
        <v>#REF!</v>
      </c>
      <c r="AB29" s="109" t="e">
        <f t="shared" si="11"/>
        <v>#REF!</v>
      </c>
      <c r="AC29" s="113" t="e">
        <f t="shared" si="12"/>
        <v>#REF!</v>
      </c>
      <c r="AD29" s="105" t="e">
        <f t="shared" si="13"/>
        <v>#REF!</v>
      </c>
      <c r="AE29" s="105" t="e">
        <f t="shared" si="14"/>
        <v>#REF!</v>
      </c>
      <c r="AF29" s="105" t="e">
        <f t="shared" si="15"/>
        <v>#REF!</v>
      </c>
      <c r="AG29" s="105" t="e">
        <f t="shared" si="16"/>
        <v>#REF!</v>
      </c>
      <c r="AH29" s="111" t="e">
        <f>VLOOKUP($A29,#REF!,5,FALSE)</f>
        <v>#REF!</v>
      </c>
      <c r="AI29" s="111" t="e">
        <f>VLOOKUP($A29,#REF!,6,FALSE)</f>
        <v>#REF!</v>
      </c>
      <c r="AJ29" s="109" t="e">
        <f t="shared" si="17"/>
        <v>#REF!</v>
      </c>
      <c r="AK29" s="109" t="e">
        <f t="shared" si="18"/>
        <v>#REF!</v>
      </c>
      <c r="AL29" s="109"/>
      <c r="AM29" s="110"/>
      <c r="AN29" s="110"/>
      <c r="AO29" s="110"/>
      <c r="AP29" s="110"/>
      <c r="AQ29" s="112"/>
      <c r="AR29" s="112"/>
      <c r="AS29" s="110"/>
      <c r="AT29" s="105"/>
      <c r="AU29" s="105"/>
      <c r="AV29" s="105"/>
      <c r="AW29" s="105"/>
      <c r="AX29" s="105"/>
      <c r="AY29" s="105"/>
    </row>
    <row r="30" spans="1:51" x14ac:dyDescent="0.15">
      <c r="A30" s="115">
        <v>278</v>
      </c>
      <c r="B30" s="98" t="e">
        <f>VLOOKUP($A30,#REF!,101,FALSE)</f>
        <v>#REF!</v>
      </c>
      <c r="C30" s="98" t="e">
        <f>VLOOKUP($A30,#REF!,102,FALSE)</f>
        <v>#REF!</v>
      </c>
      <c r="D30" s="104" t="e">
        <f>VLOOKUP($A30,#REF!,5,FALSE)</f>
        <v>#REF!</v>
      </c>
      <c r="E30" s="104" t="e">
        <f>VLOOKUP($A30,#REF!,6,FALSE)</f>
        <v>#REF!</v>
      </c>
      <c r="F30" s="105" t="e">
        <f>VLOOKUP($A30,#REF!,34,FALSE)</f>
        <v>#REF!</v>
      </c>
      <c r="G30" s="105" t="e">
        <f>VLOOKUP($A30,#REF!,29,FALSE)</f>
        <v>#REF!</v>
      </c>
      <c r="H30" s="105" t="e">
        <f>VLOOKUP($A30,#REF!,35,FALSE)+VLOOKUP($A30,#REF!,97,FALSE)</f>
        <v>#REF!</v>
      </c>
      <c r="I30" s="105" t="e">
        <f t="shared" si="2"/>
        <v>#REF!</v>
      </c>
      <c r="J30" s="105" t="e">
        <f>VLOOKUP($A30,#REF!,42,FALSE)</f>
        <v>#REF!</v>
      </c>
      <c r="K30" s="105" t="e">
        <f t="shared" si="3"/>
        <v>#REF!</v>
      </c>
      <c r="L30" s="164" t="e">
        <f t="shared" si="1"/>
        <v>#REF!</v>
      </c>
      <c r="M30" s="105" t="e">
        <f t="shared" si="4"/>
        <v>#REF!</v>
      </c>
      <c r="N30" s="105" t="e">
        <f>VLOOKUP($A30,#REF!,46,FALSE)</f>
        <v>#REF!</v>
      </c>
      <c r="O30" s="106" t="e">
        <f>VLOOKUP($A30,#REF!,9,FALSE)</f>
        <v>#REF!</v>
      </c>
      <c r="P30" s="114" t="e">
        <f>#REF!</f>
        <v>#REF!</v>
      </c>
      <c r="Q30" s="114" t="e">
        <f>VLOOKUP(A30,#REF!,17,FALSE)</f>
        <v>#REF!</v>
      </c>
      <c r="R30" s="120" t="e">
        <f>#REF!</f>
        <v>#REF!</v>
      </c>
      <c r="S30" s="114" t="e">
        <f>IF(Q30=0,#REF!,ROUND(Q30*R30,4))</f>
        <v>#REF!</v>
      </c>
      <c r="T30" s="105" t="e">
        <f>VLOOKUP($A30,#REF!,15,FALSE)</f>
        <v>#REF!</v>
      </c>
      <c r="U30" s="105" t="e">
        <f>VLOOKUP($A30,#REF!,19,FALSE)</f>
        <v>#REF!</v>
      </c>
      <c r="V30" s="109" t="e">
        <f t="shared" si="5"/>
        <v>#REF!</v>
      </c>
      <c r="W30" s="121" t="e">
        <f t="shared" si="6"/>
        <v>#REF!</v>
      </c>
      <c r="X30" s="105" t="e">
        <f t="shared" si="7"/>
        <v>#REF!</v>
      </c>
      <c r="Y30" s="109" t="e">
        <f t="shared" si="8"/>
        <v>#REF!</v>
      </c>
      <c r="Z30" s="109" t="e">
        <f t="shared" si="9"/>
        <v>#REF!</v>
      </c>
      <c r="AA30" s="113" t="e">
        <f t="shared" si="10"/>
        <v>#REF!</v>
      </c>
      <c r="AB30" s="109" t="e">
        <f t="shared" si="11"/>
        <v>#REF!</v>
      </c>
      <c r="AC30" s="113" t="e">
        <f t="shared" si="12"/>
        <v>#REF!</v>
      </c>
      <c r="AD30" s="105" t="e">
        <f t="shared" si="13"/>
        <v>#REF!</v>
      </c>
      <c r="AE30" s="105" t="e">
        <f t="shared" si="14"/>
        <v>#REF!</v>
      </c>
      <c r="AF30" s="105" t="e">
        <f t="shared" si="15"/>
        <v>#REF!</v>
      </c>
      <c r="AG30" s="105" t="e">
        <f t="shared" si="16"/>
        <v>#REF!</v>
      </c>
      <c r="AH30" s="111" t="e">
        <f>VLOOKUP($A30,#REF!,5,FALSE)</f>
        <v>#REF!</v>
      </c>
      <c r="AI30" s="111" t="e">
        <f>VLOOKUP($A30,#REF!,6,FALSE)</f>
        <v>#REF!</v>
      </c>
      <c r="AJ30" s="109" t="e">
        <f t="shared" si="17"/>
        <v>#REF!</v>
      </c>
      <c r="AK30" s="109" t="e">
        <f t="shared" si="18"/>
        <v>#REF!</v>
      </c>
      <c r="AL30" s="109"/>
      <c r="AM30" s="110"/>
      <c r="AN30" s="110"/>
      <c r="AO30" s="110"/>
      <c r="AP30" s="110"/>
      <c r="AQ30" s="112"/>
      <c r="AR30" s="112"/>
      <c r="AS30" s="110"/>
      <c r="AT30" s="105"/>
      <c r="AU30" s="105"/>
      <c r="AV30" s="105"/>
      <c r="AW30" s="105"/>
      <c r="AX30" s="105"/>
      <c r="AY30" s="105"/>
    </row>
    <row r="31" spans="1:51" x14ac:dyDescent="0.15">
      <c r="A31" s="115">
        <v>282</v>
      </c>
      <c r="B31" s="98" t="e">
        <f>VLOOKUP($A31,#REF!,101,FALSE)</f>
        <v>#REF!</v>
      </c>
      <c r="C31" s="98" t="e">
        <f>VLOOKUP($A31,#REF!,102,FALSE)</f>
        <v>#REF!</v>
      </c>
      <c r="D31" s="104" t="e">
        <f>VLOOKUP($A31,#REF!,5,FALSE)</f>
        <v>#REF!</v>
      </c>
      <c r="E31" s="104" t="e">
        <f>VLOOKUP($A31,#REF!,6,FALSE)</f>
        <v>#REF!</v>
      </c>
      <c r="F31" s="105" t="e">
        <f>VLOOKUP($A31,#REF!,34,FALSE)</f>
        <v>#REF!</v>
      </c>
      <c r="G31" s="105" t="e">
        <f>VLOOKUP($A31,#REF!,29,FALSE)</f>
        <v>#REF!</v>
      </c>
      <c r="H31" s="105" t="e">
        <f>VLOOKUP($A31,#REF!,35,FALSE)+VLOOKUP($A31,#REF!,97,FALSE)</f>
        <v>#REF!</v>
      </c>
      <c r="I31" s="105" t="e">
        <f t="shared" si="2"/>
        <v>#REF!</v>
      </c>
      <c r="J31" s="105" t="e">
        <f>VLOOKUP($A31,#REF!,42,FALSE)</f>
        <v>#REF!</v>
      </c>
      <c r="K31" s="105" t="e">
        <f t="shared" si="3"/>
        <v>#REF!</v>
      </c>
      <c r="L31" s="164" t="e">
        <f t="shared" si="1"/>
        <v>#REF!</v>
      </c>
      <c r="M31" s="105" t="e">
        <f t="shared" si="4"/>
        <v>#REF!</v>
      </c>
      <c r="N31" s="105" t="e">
        <f>VLOOKUP($A31,#REF!,46,FALSE)</f>
        <v>#REF!</v>
      </c>
      <c r="O31" s="106" t="e">
        <f>VLOOKUP($A31,#REF!,9,FALSE)</f>
        <v>#REF!</v>
      </c>
      <c r="P31" s="114" t="e">
        <f>#REF!</f>
        <v>#REF!</v>
      </c>
      <c r="Q31" s="114" t="e">
        <f>VLOOKUP(A31,#REF!,17,FALSE)</f>
        <v>#REF!</v>
      </c>
      <c r="R31" s="120" t="e">
        <f>#REF!</f>
        <v>#REF!</v>
      </c>
      <c r="S31" s="114" t="e">
        <f>IF(Q31=0,#REF!,ROUND(Q31*R31,4))</f>
        <v>#REF!</v>
      </c>
      <c r="T31" s="105" t="e">
        <f>VLOOKUP($A31,#REF!,15,FALSE)</f>
        <v>#REF!</v>
      </c>
      <c r="U31" s="105" t="e">
        <f>VLOOKUP($A31,#REF!,19,FALSE)</f>
        <v>#REF!</v>
      </c>
      <c r="V31" s="121" t="e">
        <f t="shared" si="5"/>
        <v>#REF!</v>
      </c>
      <c r="W31" s="121" t="e">
        <f t="shared" si="6"/>
        <v>#REF!</v>
      </c>
      <c r="X31" s="105" t="e">
        <f t="shared" si="7"/>
        <v>#REF!</v>
      </c>
      <c r="Y31" s="109" t="e">
        <f t="shared" si="8"/>
        <v>#REF!</v>
      </c>
      <c r="Z31" s="109" t="e">
        <f t="shared" si="9"/>
        <v>#REF!</v>
      </c>
      <c r="AA31" s="113" t="e">
        <f t="shared" si="10"/>
        <v>#REF!</v>
      </c>
      <c r="AB31" s="109" t="e">
        <f t="shared" si="11"/>
        <v>#REF!</v>
      </c>
      <c r="AC31" s="113" t="e">
        <f t="shared" si="12"/>
        <v>#REF!</v>
      </c>
      <c r="AD31" s="105" t="e">
        <f t="shared" si="13"/>
        <v>#REF!</v>
      </c>
      <c r="AE31" s="105" t="e">
        <f t="shared" si="14"/>
        <v>#REF!</v>
      </c>
      <c r="AF31" s="105" t="e">
        <f t="shared" si="15"/>
        <v>#REF!</v>
      </c>
      <c r="AG31" s="105" t="e">
        <f t="shared" si="16"/>
        <v>#REF!</v>
      </c>
      <c r="AH31" s="111" t="e">
        <f>VLOOKUP($A31,#REF!,5,FALSE)</f>
        <v>#REF!</v>
      </c>
      <c r="AI31" s="111" t="e">
        <f>VLOOKUP($A31,#REF!,6,FALSE)</f>
        <v>#REF!</v>
      </c>
      <c r="AJ31" s="109" t="e">
        <f t="shared" si="17"/>
        <v>#REF!</v>
      </c>
      <c r="AK31" s="109" t="e">
        <f t="shared" si="18"/>
        <v>#REF!</v>
      </c>
      <c r="AL31" s="109"/>
      <c r="AM31" s="110"/>
      <c r="AN31" s="110"/>
      <c r="AO31" s="110"/>
      <c r="AP31" s="110"/>
      <c r="AQ31" s="112"/>
      <c r="AR31" s="112"/>
      <c r="AS31" s="110"/>
      <c r="AT31" s="105"/>
      <c r="AU31" s="105"/>
      <c r="AV31" s="105"/>
      <c r="AW31" s="105"/>
      <c r="AX31" s="105"/>
      <c r="AY31" s="105"/>
    </row>
    <row r="32" spans="1:51" x14ac:dyDescent="0.15">
      <c r="A32" s="115">
        <v>284</v>
      </c>
      <c r="B32" s="98" t="e">
        <f>VLOOKUP($A32,#REF!,101,FALSE)</f>
        <v>#REF!</v>
      </c>
      <c r="C32" s="98" t="e">
        <f>VLOOKUP($A32,#REF!,102,FALSE)</f>
        <v>#REF!</v>
      </c>
      <c r="D32" s="104" t="e">
        <f>VLOOKUP($A32,#REF!,5,FALSE)</f>
        <v>#REF!</v>
      </c>
      <c r="E32" s="104" t="e">
        <f>VLOOKUP($A32,#REF!,6,FALSE)</f>
        <v>#REF!</v>
      </c>
      <c r="F32" s="105" t="e">
        <f>VLOOKUP($A32,#REF!,34,FALSE)</f>
        <v>#REF!</v>
      </c>
      <c r="G32" s="105" t="e">
        <f>VLOOKUP($A32,#REF!,29,FALSE)</f>
        <v>#REF!</v>
      </c>
      <c r="H32" s="105" t="e">
        <f>VLOOKUP($A32,#REF!,35,FALSE)+VLOOKUP($A32,#REF!,97,FALSE)</f>
        <v>#REF!</v>
      </c>
      <c r="I32" s="105" t="e">
        <f t="shared" si="2"/>
        <v>#REF!</v>
      </c>
      <c r="J32" s="105" t="e">
        <f>VLOOKUP($A32,#REF!,42,FALSE)</f>
        <v>#REF!</v>
      </c>
      <c r="K32" s="105" t="e">
        <f t="shared" si="3"/>
        <v>#REF!</v>
      </c>
      <c r="L32" s="164" t="e">
        <f t="shared" si="1"/>
        <v>#REF!</v>
      </c>
      <c r="M32" s="105" t="e">
        <f t="shared" si="4"/>
        <v>#REF!</v>
      </c>
      <c r="N32" s="105" t="e">
        <f>VLOOKUP($A32,#REF!,46,FALSE)</f>
        <v>#REF!</v>
      </c>
      <c r="O32" s="106" t="e">
        <f>VLOOKUP($A32,#REF!,9,FALSE)</f>
        <v>#REF!</v>
      </c>
      <c r="P32" s="114" t="e">
        <f>#REF!</f>
        <v>#REF!</v>
      </c>
      <c r="Q32" s="114" t="e">
        <f>VLOOKUP(A32,#REF!,17,FALSE)</f>
        <v>#REF!</v>
      </c>
      <c r="R32" s="120" t="e">
        <f>#REF!</f>
        <v>#REF!</v>
      </c>
      <c r="S32" s="114" t="e">
        <f>IF(Q32=0,#REF!,ROUND(Q32*R32,4))</f>
        <v>#REF!</v>
      </c>
      <c r="T32" s="105" t="e">
        <f>VLOOKUP($A32,#REF!,15,FALSE)</f>
        <v>#REF!</v>
      </c>
      <c r="U32" s="105" t="e">
        <f>VLOOKUP($A32,#REF!,19,FALSE)</f>
        <v>#REF!</v>
      </c>
      <c r="V32" s="109" t="e">
        <f t="shared" si="5"/>
        <v>#REF!</v>
      </c>
      <c r="W32" s="121" t="e">
        <f t="shared" si="6"/>
        <v>#REF!</v>
      </c>
      <c r="X32" s="105" t="e">
        <f t="shared" si="7"/>
        <v>#REF!</v>
      </c>
      <c r="Y32" s="109" t="e">
        <f t="shared" si="8"/>
        <v>#REF!</v>
      </c>
      <c r="Z32" s="109" t="e">
        <f t="shared" si="9"/>
        <v>#REF!</v>
      </c>
      <c r="AA32" s="113" t="e">
        <f t="shared" si="10"/>
        <v>#REF!</v>
      </c>
      <c r="AB32" s="109" t="e">
        <f t="shared" si="11"/>
        <v>#REF!</v>
      </c>
      <c r="AC32" s="113" t="e">
        <f t="shared" si="12"/>
        <v>#REF!</v>
      </c>
      <c r="AD32" s="105" t="e">
        <f t="shared" si="13"/>
        <v>#REF!</v>
      </c>
      <c r="AE32" s="105" t="e">
        <f t="shared" si="14"/>
        <v>#REF!</v>
      </c>
      <c r="AF32" s="105" t="e">
        <f t="shared" si="15"/>
        <v>#REF!</v>
      </c>
      <c r="AG32" s="105" t="e">
        <f t="shared" si="16"/>
        <v>#REF!</v>
      </c>
      <c r="AH32" s="111" t="e">
        <f>VLOOKUP($A32,#REF!,5,FALSE)</f>
        <v>#REF!</v>
      </c>
      <c r="AI32" s="111" t="e">
        <f>VLOOKUP($A32,#REF!,6,FALSE)</f>
        <v>#REF!</v>
      </c>
      <c r="AJ32" s="109" t="e">
        <f t="shared" si="17"/>
        <v>#REF!</v>
      </c>
      <c r="AK32" s="109" t="e">
        <f t="shared" si="18"/>
        <v>#REF!</v>
      </c>
      <c r="AL32" s="109"/>
      <c r="AM32" s="110"/>
      <c r="AN32" s="110"/>
      <c r="AO32" s="110"/>
      <c r="AP32" s="110"/>
      <c r="AQ32" s="112"/>
      <c r="AR32" s="112"/>
      <c r="AS32" s="110"/>
      <c r="AT32" s="105"/>
      <c r="AU32" s="105"/>
      <c r="AV32" s="105"/>
      <c r="AW32" s="105"/>
      <c r="AX32" s="105"/>
      <c r="AY32" s="105"/>
    </row>
    <row r="33" spans="1:51" x14ac:dyDescent="0.15">
      <c r="A33" s="115">
        <v>240</v>
      </c>
      <c r="B33" s="98" t="e">
        <f>VLOOKUP($A33,#REF!,101,FALSE)</f>
        <v>#REF!</v>
      </c>
      <c r="C33" s="98" t="e">
        <f>VLOOKUP($A33,#REF!,102,FALSE)</f>
        <v>#REF!</v>
      </c>
      <c r="D33" s="104" t="e">
        <f>VLOOKUP($A33,#REF!,5,FALSE)</f>
        <v>#REF!</v>
      </c>
      <c r="E33" s="104" t="e">
        <f>VLOOKUP($A33,#REF!,6,FALSE)</f>
        <v>#REF!</v>
      </c>
      <c r="F33" s="105" t="e">
        <f>VLOOKUP($A33,#REF!,34,FALSE)</f>
        <v>#REF!</v>
      </c>
      <c r="G33" s="105" t="e">
        <f>VLOOKUP($A33,#REF!,29,FALSE)</f>
        <v>#REF!</v>
      </c>
      <c r="H33" s="105" t="e">
        <f>VLOOKUP($A33,#REF!,35,FALSE)+VLOOKUP($A33,#REF!,97,FALSE)</f>
        <v>#REF!</v>
      </c>
      <c r="I33" s="105" t="e">
        <f t="shared" si="2"/>
        <v>#REF!</v>
      </c>
      <c r="J33" s="105" t="e">
        <f>VLOOKUP($A33,#REF!,42,FALSE)</f>
        <v>#REF!</v>
      </c>
      <c r="K33" s="105" t="e">
        <f t="shared" si="3"/>
        <v>#REF!</v>
      </c>
      <c r="L33" s="164" t="e">
        <f t="shared" si="1"/>
        <v>#REF!</v>
      </c>
      <c r="M33" s="105" t="e">
        <f t="shared" si="4"/>
        <v>#REF!</v>
      </c>
      <c r="N33" s="105" t="e">
        <f>VLOOKUP($A33,#REF!,46,FALSE)</f>
        <v>#REF!</v>
      </c>
      <c r="O33" s="106" t="e">
        <f>VLOOKUP($A33,#REF!,9,FALSE)</f>
        <v>#REF!</v>
      </c>
      <c r="P33" s="114" t="e">
        <f>#REF!</f>
        <v>#REF!</v>
      </c>
      <c r="Q33" s="114" t="e">
        <f>VLOOKUP(A33,#REF!,17,FALSE)</f>
        <v>#REF!</v>
      </c>
      <c r="R33" s="120" t="e">
        <f>#REF!</f>
        <v>#REF!</v>
      </c>
      <c r="S33" s="114" t="e">
        <f>IF(Q33=0,#REF!,ROUND(Q33*R33,4))</f>
        <v>#REF!</v>
      </c>
      <c r="T33" s="105" t="e">
        <f>VLOOKUP($A33,#REF!,15,FALSE)</f>
        <v>#REF!</v>
      </c>
      <c r="U33" s="105" t="e">
        <f>VLOOKUP($A33,#REF!,19,FALSE)</f>
        <v>#REF!</v>
      </c>
      <c r="V33" s="109" t="e">
        <f t="shared" si="5"/>
        <v>#REF!</v>
      </c>
      <c r="W33" s="121" t="e">
        <f t="shared" si="6"/>
        <v>#REF!</v>
      </c>
      <c r="X33" s="105" t="e">
        <f t="shared" si="7"/>
        <v>#REF!</v>
      </c>
      <c r="Y33" s="109" t="e">
        <f t="shared" si="8"/>
        <v>#REF!</v>
      </c>
      <c r="Z33" s="109" t="e">
        <f t="shared" si="9"/>
        <v>#REF!</v>
      </c>
      <c r="AA33" s="113" t="e">
        <f t="shared" si="10"/>
        <v>#REF!</v>
      </c>
      <c r="AB33" s="109" t="e">
        <f t="shared" si="11"/>
        <v>#REF!</v>
      </c>
      <c r="AC33" s="113" t="e">
        <f t="shared" si="12"/>
        <v>#REF!</v>
      </c>
      <c r="AD33" s="105" t="e">
        <f t="shared" si="13"/>
        <v>#REF!</v>
      </c>
      <c r="AE33" s="105" t="e">
        <f t="shared" si="14"/>
        <v>#REF!</v>
      </c>
      <c r="AF33" s="105" t="e">
        <f t="shared" si="15"/>
        <v>#REF!</v>
      </c>
      <c r="AG33" s="105" t="e">
        <f t="shared" si="16"/>
        <v>#REF!</v>
      </c>
      <c r="AH33" s="111" t="e">
        <f>VLOOKUP($A33,#REF!,5,FALSE)</f>
        <v>#REF!</v>
      </c>
      <c r="AI33" s="111" t="e">
        <f>VLOOKUP($A33,#REF!,6,FALSE)</f>
        <v>#REF!</v>
      </c>
      <c r="AJ33" s="109" t="e">
        <f t="shared" si="17"/>
        <v>#REF!</v>
      </c>
      <c r="AK33" s="109" t="e">
        <f t="shared" si="18"/>
        <v>#REF!</v>
      </c>
      <c r="AL33" s="109"/>
      <c r="AM33" s="110"/>
      <c r="AN33" s="110"/>
      <c r="AO33" s="110"/>
      <c r="AP33" s="110"/>
      <c r="AQ33" s="112"/>
      <c r="AR33" s="112"/>
      <c r="AS33" s="110"/>
      <c r="AT33" s="105"/>
      <c r="AU33" s="105"/>
      <c r="AV33" s="105"/>
      <c r="AW33" s="105"/>
      <c r="AX33" s="105"/>
      <c r="AY33" s="105"/>
    </row>
    <row r="34" spans="1:51" x14ac:dyDescent="0.15">
      <c r="A34" s="115">
        <v>154</v>
      </c>
      <c r="B34" s="98" t="e">
        <f>VLOOKUP($A34,#REF!,101,FALSE)</f>
        <v>#REF!</v>
      </c>
      <c r="C34" s="98" t="e">
        <f>VLOOKUP($A34,#REF!,102,FALSE)</f>
        <v>#REF!</v>
      </c>
      <c r="D34" s="104" t="e">
        <f>VLOOKUP($A34,#REF!,5,FALSE)</f>
        <v>#REF!</v>
      </c>
      <c r="E34" s="104" t="e">
        <f>VLOOKUP($A34,#REF!,6,FALSE)</f>
        <v>#REF!</v>
      </c>
      <c r="F34" s="105" t="e">
        <f>VLOOKUP($A34,#REF!,34,FALSE)</f>
        <v>#REF!</v>
      </c>
      <c r="G34" s="105" t="e">
        <f>VLOOKUP($A34,#REF!,29,FALSE)</f>
        <v>#REF!</v>
      </c>
      <c r="H34" s="105" t="e">
        <f>VLOOKUP($A34,#REF!,35,FALSE)+VLOOKUP($A34,#REF!,97,FALSE)</f>
        <v>#REF!</v>
      </c>
      <c r="I34" s="105" t="e">
        <f t="shared" si="2"/>
        <v>#REF!</v>
      </c>
      <c r="J34" s="105" t="e">
        <f>VLOOKUP($A34,#REF!,42,FALSE)</f>
        <v>#REF!</v>
      </c>
      <c r="K34" s="105" t="e">
        <f t="shared" si="3"/>
        <v>#REF!</v>
      </c>
      <c r="L34" s="164" t="e">
        <f t="shared" si="1"/>
        <v>#REF!</v>
      </c>
      <c r="M34" s="105" t="e">
        <f t="shared" si="4"/>
        <v>#REF!</v>
      </c>
      <c r="N34" s="105" t="e">
        <f>VLOOKUP($A34,#REF!,46,FALSE)</f>
        <v>#REF!</v>
      </c>
      <c r="O34" s="106" t="e">
        <f>VLOOKUP($A34,#REF!,9,FALSE)</f>
        <v>#REF!</v>
      </c>
      <c r="P34" s="114" t="e">
        <f>#REF!</f>
        <v>#REF!</v>
      </c>
      <c r="Q34" s="114" t="e">
        <f>VLOOKUP(A34,#REF!,17,FALSE)</f>
        <v>#REF!</v>
      </c>
      <c r="R34" s="120" t="e">
        <f>#REF!</f>
        <v>#REF!</v>
      </c>
      <c r="S34" s="114" t="e">
        <f>IF(Q34=0,#REF!,ROUND(Q34*R34,4))</f>
        <v>#REF!</v>
      </c>
      <c r="T34" s="105" t="e">
        <f>VLOOKUP($A34,#REF!,15,FALSE)</f>
        <v>#REF!</v>
      </c>
      <c r="U34" s="105" t="e">
        <f>VLOOKUP($A34,#REF!,19,FALSE)</f>
        <v>#REF!</v>
      </c>
      <c r="V34" s="109" t="e">
        <f t="shared" si="5"/>
        <v>#REF!</v>
      </c>
      <c r="W34" s="121" t="e">
        <f t="shared" si="6"/>
        <v>#REF!</v>
      </c>
      <c r="X34" s="105" t="e">
        <f t="shared" si="7"/>
        <v>#REF!</v>
      </c>
      <c r="Y34" s="109" t="e">
        <f t="shared" si="8"/>
        <v>#REF!</v>
      </c>
      <c r="Z34" s="109" t="e">
        <f t="shared" si="9"/>
        <v>#REF!</v>
      </c>
      <c r="AA34" s="113" t="e">
        <f t="shared" si="10"/>
        <v>#REF!</v>
      </c>
      <c r="AB34" s="109" t="e">
        <f t="shared" si="11"/>
        <v>#REF!</v>
      </c>
      <c r="AC34" s="113" t="e">
        <f t="shared" si="12"/>
        <v>#REF!</v>
      </c>
      <c r="AD34" s="105" t="e">
        <f t="shared" si="13"/>
        <v>#REF!</v>
      </c>
      <c r="AE34" s="105" t="e">
        <f t="shared" si="14"/>
        <v>#REF!</v>
      </c>
      <c r="AF34" s="105" t="e">
        <f t="shared" si="15"/>
        <v>#REF!</v>
      </c>
      <c r="AG34" s="105" t="e">
        <f t="shared" si="16"/>
        <v>#REF!</v>
      </c>
      <c r="AH34" s="111" t="e">
        <f>VLOOKUP($A34,#REF!,5,FALSE)</f>
        <v>#REF!</v>
      </c>
      <c r="AI34" s="111" t="e">
        <f>VLOOKUP($A34,#REF!,6,FALSE)</f>
        <v>#REF!</v>
      </c>
      <c r="AJ34" s="109" t="e">
        <f t="shared" si="17"/>
        <v>#REF!</v>
      </c>
      <c r="AK34" s="109" t="e">
        <f t="shared" si="18"/>
        <v>#REF!</v>
      </c>
      <c r="AL34" s="109"/>
      <c r="AM34" s="110"/>
      <c r="AN34" s="110"/>
      <c r="AO34" s="110"/>
      <c r="AP34" s="110"/>
      <c r="AQ34" s="112"/>
      <c r="AR34" s="112"/>
      <c r="AS34" s="110"/>
      <c r="AT34" s="105"/>
      <c r="AU34" s="105"/>
      <c r="AV34" s="105"/>
      <c r="AW34" s="105"/>
      <c r="AX34" s="105"/>
      <c r="AY34" s="105"/>
    </row>
    <row r="35" spans="1:51" x14ac:dyDescent="0.15">
      <c r="A35" s="115">
        <v>358</v>
      </c>
      <c r="B35" s="98" t="e">
        <f>VLOOKUP($A35,#REF!,101,FALSE)</f>
        <v>#REF!</v>
      </c>
      <c r="C35" s="98" t="e">
        <f>VLOOKUP($A35,#REF!,102,FALSE)</f>
        <v>#REF!</v>
      </c>
      <c r="D35" s="104" t="e">
        <f>VLOOKUP($A35,#REF!,5,FALSE)</f>
        <v>#REF!</v>
      </c>
      <c r="E35" s="104" t="e">
        <f>VLOOKUP($A35,#REF!,6,FALSE)</f>
        <v>#REF!</v>
      </c>
      <c r="F35" s="105" t="e">
        <f>VLOOKUP($A35,#REF!,34,FALSE)</f>
        <v>#REF!</v>
      </c>
      <c r="G35" s="105" t="e">
        <f>VLOOKUP($A35,#REF!,29,FALSE)</f>
        <v>#REF!</v>
      </c>
      <c r="H35" s="105" t="e">
        <f>VLOOKUP($A35,#REF!,35,FALSE)+VLOOKUP($A35,#REF!,97,FALSE)</f>
        <v>#REF!</v>
      </c>
      <c r="I35" s="105" t="e">
        <f t="shared" si="2"/>
        <v>#REF!</v>
      </c>
      <c r="J35" s="105" t="e">
        <f>VLOOKUP($A35,#REF!,42,FALSE)</f>
        <v>#REF!</v>
      </c>
      <c r="K35" s="105" t="e">
        <f t="shared" si="3"/>
        <v>#REF!</v>
      </c>
      <c r="L35" s="164" t="e">
        <f t="shared" si="1"/>
        <v>#REF!</v>
      </c>
      <c r="M35" s="105" t="e">
        <f t="shared" si="4"/>
        <v>#REF!</v>
      </c>
      <c r="N35" s="105" t="e">
        <f>VLOOKUP($A35,#REF!,46,FALSE)</f>
        <v>#REF!</v>
      </c>
      <c r="O35" s="106" t="e">
        <f>VLOOKUP($A35,#REF!,9,FALSE)</f>
        <v>#REF!</v>
      </c>
      <c r="P35" s="114" t="e">
        <f>#REF!</f>
        <v>#REF!</v>
      </c>
      <c r="Q35" s="114" t="e">
        <f>VLOOKUP(A35,#REF!,17,FALSE)</f>
        <v>#REF!</v>
      </c>
      <c r="R35" s="120" t="e">
        <f>#REF!</f>
        <v>#REF!</v>
      </c>
      <c r="S35" s="114" t="e">
        <f>IF(Q35=0,#REF!,ROUND(Q35*R35,4))</f>
        <v>#REF!</v>
      </c>
      <c r="T35" s="105" t="e">
        <f>VLOOKUP($A35,#REF!,15,FALSE)</f>
        <v>#REF!</v>
      </c>
      <c r="U35" s="105" t="e">
        <f>VLOOKUP($A35,#REF!,19,FALSE)</f>
        <v>#REF!</v>
      </c>
      <c r="V35" s="109" t="e">
        <f t="shared" si="5"/>
        <v>#REF!</v>
      </c>
      <c r="W35" s="121" t="e">
        <f t="shared" si="6"/>
        <v>#REF!</v>
      </c>
      <c r="X35" s="105" t="e">
        <f t="shared" si="7"/>
        <v>#REF!</v>
      </c>
      <c r="Y35" s="109" t="e">
        <f t="shared" si="8"/>
        <v>#REF!</v>
      </c>
      <c r="Z35" s="109" t="e">
        <f t="shared" si="9"/>
        <v>#REF!</v>
      </c>
      <c r="AA35" s="113" t="e">
        <f t="shared" si="10"/>
        <v>#REF!</v>
      </c>
      <c r="AB35" s="109" t="e">
        <f t="shared" si="11"/>
        <v>#REF!</v>
      </c>
      <c r="AC35" s="113" t="e">
        <f t="shared" si="12"/>
        <v>#REF!</v>
      </c>
      <c r="AD35" s="105" t="e">
        <f t="shared" si="13"/>
        <v>#REF!</v>
      </c>
      <c r="AE35" s="105" t="e">
        <f t="shared" si="14"/>
        <v>#REF!</v>
      </c>
      <c r="AF35" s="105" t="e">
        <f t="shared" si="15"/>
        <v>#REF!</v>
      </c>
      <c r="AG35" s="105" t="e">
        <f t="shared" si="16"/>
        <v>#REF!</v>
      </c>
      <c r="AH35" s="111" t="e">
        <f>VLOOKUP($A35,#REF!,5,FALSE)</f>
        <v>#REF!</v>
      </c>
      <c r="AI35" s="111" t="e">
        <f>VLOOKUP($A35,#REF!,6,FALSE)</f>
        <v>#REF!</v>
      </c>
      <c r="AJ35" s="109" t="e">
        <f t="shared" si="17"/>
        <v>#REF!</v>
      </c>
      <c r="AK35" s="109" t="e">
        <f t="shared" si="18"/>
        <v>#REF!</v>
      </c>
      <c r="AL35" s="109"/>
      <c r="AM35" s="110"/>
      <c r="AN35" s="110"/>
      <c r="AO35" s="110"/>
      <c r="AP35" s="110"/>
      <c r="AQ35" s="112"/>
      <c r="AR35" s="112"/>
      <c r="AS35" s="110"/>
      <c r="AT35" s="105"/>
      <c r="AU35" s="105"/>
      <c r="AV35" s="105"/>
      <c r="AW35" s="105"/>
      <c r="AX35" s="105"/>
      <c r="AY35" s="105"/>
    </row>
    <row r="36" spans="1:51" x14ac:dyDescent="0.15">
      <c r="A36" s="115">
        <v>134</v>
      </c>
      <c r="B36" s="98" t="e">
        <f>VLOOKUP($A36,#REF!,101,FALSE)</f>
        <v>#REF!</v>
      </c>
      <c r="C36" s="98" t="e">
        <f>VLOOKUP($A36,#REF!,102,FALSE)</f>
        <v>#REF!</v>
      </c>
      <c r="D36" s="104" t="e">
        <f>VLOOKUP($A36,#REF!,5,FALSE)</f>
        <v>#REF!</v>
      </c>
      <c r="E36" s="104" t="e">
        <f>VLOOKUP($A36,#REF!,6,FALSE)</f>
        <v>#REF!</v>
      </c>
      <c r="F36" s="105" t="e">
        <f>VLOOKUP($A36,#REF!,34,FALSE)</f>
        <v>#REF!</v>
      </c>
      <c r="G36" s="105" t="e">
        <f>VLOOKUP($A36,#REF!,29,FALSE)</f>
        <v>#REF!</v>
      </c>
      <c r="H36" s="105" t="e">
        <f>VLOOKUP($A36,#REF!,35,FALSE)+VLOOKUP($A36,#REF!,97,FALSE)</f>
        <v>#REF!</v>
      </c>
      <c r="I36" s="105" t="e">
        <f t="shared" si="2"/>
        <v>#REF!</v>
      </c>
      <c r="J36" s="105" t="e">
        <f>VLOOKUP($A36,#REF!,42,FALSE)</f>
        <v>#REF!</v>
      </c>
      <c r="K36" s="105" t="e">
        <f t="shared" si="3"/>
        <v>#REF!</v>
      </c>
      <c r="L36" s="164" t="e">
        <f t="shared" si="1"/>
        <v>#REF!</v>
      </c>
      <c r="M36" s="105" t="e">
        <f t="shared" si="4"/>
        <v>#REF!</v>
      </c>
      <c r="N36" s="105" t="e">
        <f>VLOOKUP($A36,#REF!,46,FALSE)</f>
        <v>#REF!</v>
      </c>
      <c r="O36" s="106" t="e">
        <f>VLOOKUP($A36,#REF!,9,FALSE)</f>
        <v>#REF!</v>
      </c>
      <c r="P36" s="114" t="e">
        <f>#REF!</f>
        <v>#REF!</v>
      </c>
      <c r="Q36" s="114" t="e">
        <f>VLOOKUP(A36,#REF!,17,FALSE)</f>
        <v>#REF!</v>
      </c>
      <c r="R36" s="120" t="e">
        <f>#REF!</f>
        <v>#REF!</v>
      </c>
      <c r="S36" s="114" t="e">
        <f>IF(Q36=0,#REF!,ROUND(Q36*R36,4))</f>
        <v>#REF!</v>
      </c>
      <c r="T36" s="105" t="e">
        <f>VLOOKUP($A36,#REF!,15,FALSE)</f>
        <v>#REF!</v>
      </c>
      <c r="U36" s="105" t="e">
        <f>VLOOKUP($A36,#REF!,19,FALSE)</f>
        <v>#REF!</v>
      </c>
      <c r="V36" s="109" t="e">
        <f t="shared" si="5"/>
        <v>#REF!</v>
      </c>
      <c r="W36" s="121" t="e">
        <f t="shared" si="6"/>
        <v>#REF!</v>
      </c>
      <c r="X36" s="105" t="e">
        <f t="shared" si="7"/>
        <v>#REF!</v>
      </c>
      <c r="Y36" s="109" t="e">
        <f t="shared" si="8"/>
        <v>#REF!</v>
      </c>
      <c r="Z36" s="109" t="e">
        <f t="shared" si="9"/>
        <v>#REF!</v>
      </c>
      <c r="AA36" s="113" t="e">
        <f t="shared" si="10"/>
        <v>#REF!</v>
      </c>
      <c r="AB36" s="109" t="e">
        <f t="shared" si="11"/>
        <v>#REF!</v>
      </c>
      <c r="AC36" s="113" t="e">
        <f t="shared" si="12"/>
        <v>#REF!</v>
      </c>
      <c r="AD36" s="105" t="e">
        <f t="shared" si="13"/>
        <v>#REF!</v>
      </c>
      <c r="AE36" s="105" t="e">
        <f t="shared" si="14"/>
        <v>#REF!</v>
      </c>
      <c r="AF36" s="105" t="e">
        <f t="shared" si="15"/>
        <v>#REF!</v>
      </c>
      <c r="AG36" s="105" t="e">
        <f t="shared" si="16"/>
        <v>#REF!</v>
      </c>
      <c r="AH36" s="111" t="e">
        <f>VLOOKUP($A36,#REF!,5,FALSE)</f>
        <v>#REF!</v>
      </c>
      <c r="AI36" s="111" t="e">
        <f>VLOOKUP($A36,#REF!,6,FALSE)</f>
        <v>#REF!</v>
      </c>
      <c r="AJ36" s="109" t="e">
        <f t="shared" si="17"/>
        <v>#REF!</v>
      </c>
      <c r="AK36" s="109" t="e">
        <f t="shared" si="18"/>
        <v>#REF!</v>
      </c>
      <c r="AL36" s="109"/>
      <c r="AM36" s="110"/>
      <c r="AN36" s="110"/>
      <c r="AO36" s="110"/>
      <c r="AP36" s="110"/>
      <c r="AQ36" s="112"/>
      <c r="AR36" s="112"/>
      <c r="AS36" s="110"/>
      <c r="AT36" s="105"/>
      <c r="AU36" s="105"/>
      <c r="AV36" s="105"/>
      <c r="AW36" s="105"/>
      <c r="AX36" s="105"/>
      <c r="AY36" s="105"/>
    </row>
    <row r="37" spans="1:51" x14ac:dyDescent="0.15">
      <c r="A37" s="115">
        <v>695</v>
      </c>
      <c r="B37" s="98" t="e">
        <f>VLOOKUP($A37,#REF!,101,FALSE)</f>
        <v>#REF!</v>
      </c>
      <c r="C37" s="98" t="e">
        <f>VLOOKUP($A37,#REF!,102,FALSE)</f>
        <v>#REF!</v>
      </c>
      <c r="D37" s="104" t="e">
        <f>VLOOKUP($A37,#REF!,5,FALSE)</f>
        <v>#REF!</v>
      </c>
      <c r="E37" s="104" t="e">
        <f>VLOOKUP($A37,#REF!,6,FALSE)</f>
        <v>#REF!</v>
      </c>
      <c r="F37" s="105" t="e">
        <f>VLOOKUP($A37,#REF!,34,FALSE)</f>
        <v>#REF!</v>
      </c>
      <c r="G37" s="105" t="e">
        <f>VLOOKUP($A37,#REF!,29,FALSE)</f>
        <v>#REF!</v>
      </c>
      <c r="H37" s="105" t="e">
        <f>VLOOKUP($A37,#REF!,35,FALSE)+VLOOKUP($A37,#REF!,97,FALSE)</f>
        <v>#REF!</v>
      </c>
      <c r="I37" s="105" t="e">
        <f t="shared" si="2"/>
        <v>#REF!</v>
      </c>
      <c r="J37" s="105" t="e">
        <f>VLOOKUP($A37,#REF!,42,FALSE)</f>
        <v>#REF!</v>
      </c>
      <c r="K37" s="105" t="e">
        <f t="shared" si="3"/>
        <v>#REF!</v>
      </c>
      <c r="L37" s="164" t="e">
        <f t="shared" si="1"/>
        <v>#REF!</v>
      </c>
      <c r="M37" s="105" t="e">
        <f t="shared" si="4"/>
        <v>#REF!</v>
      </c>
      <c r="N37" s="105" t="e">
        <f>VLOOKUP($A37,#REF!,46,FALSE)</f>
        <v>#REF!</v>
      </c>
      <c r="O37" s="106" t="e">
        <f>VLOOKUP($A37,#REF!,9,FALSE)</f>
        <v>#REF!</v>
      </c>
      <c r="P37" s="114" t="e">
        <f>#REF!</f>
        <v>#REF!</v>
      </c>
      <c r="Q37" s="114" t="e">
        <f>VLOOKUP(A37,#REF!,17,FALSE)</f>
        <v>#REF!</v>
      </c>
      <c r="R37" s="120" t="e">
        <f>#REF!</f>
        <v>#REF!</v>
      </c>
      <c r="S37" s="114" t="e">
        <f>IF(Q37=0,#REF!,ROUND(Q37*R37,4))</f>
        <v>#REF!</v>
      </c>
      <c r="T37" s="105" t="e">
        <f>VLOOKUP($A37,#REF!,15,FALSE)</f>
        <v>#REF!</v>
      </c>
      <c r="U37" s="105" t="e">
        <f>VLOOKUP($A37,#REF!,19,FALSE)</f>
        <v>#REF!</v>
      </c>
      <c r="V37" s="109" t="e">
        <f t="shared" si="5"/>
        <v>#REF!</v>
      </c>
      <c r="W37" s="121" t="e">
        <f t="shared" si="6"/>
        <v>#REF!</v>
      </c>
      <c r="X37" s="105" t="e">
        <f t="shared" si="7"/>
        <v>#REF!</v>
      </c>
      <c r="Y37" s="109" t="e">
        <f t="shared" si="8"/>
        <v>#REF!</v>
      </c>
      <c r="Z37" s="109" t="e">
        <f t="shared" si="9"/>
        <v>#REF!</v>
      </c>
      <c r="AA37" s="113" t="e">
        <f t="shared" si="10"/>
        <v>#REF!</v>
      </c>
      <c r="AB37" s="109" t="e">
        <f t="shared" si="11"/>
        <v>#REF!</v>
      </c>
      <c r="AC37" s="113" t="e">
        <f t="shared" si="12"/>
        <v>#REF!</v>
      </c>
      <c r="AD37" s="105" t="e">
        <f t="shared" si="13"/>
        <v>#REF!</v>
      </c>
      <c r="AE37" s="105" t="e">
        <f t="shared" si="14"/>
        <v>#REF!</v>
      </c>
      <c r="AF37" s="105" t="e">
        <f t="shared" si="15"/>
        <v>#REF!</v>
      </c>
      <c r="AG37" s="105" t="e">
        <f t="shared" si="16"/>
        <v>#REF!</v>
      </c>
      <c r="AH37" s="111" t="e">
        <f>VLOOKUP($A37,#REF!,5,FALSE)</f>
        <v>#REF!</v>
      </c>
      <c r="AI37" s="111" t="e">
        <f>VLOOKUP($A37,#REF!,6,FALSE)</f>
        <v>#REF!</v>
      </c>
      <c r="AJ37" s="109" t="e">
        <f t="shared" si="17"/>
        <v>#REF!</v>
      </c>
      <c r="AK37" s="109" t="e">
        <f t="shared" si="18"/>
        <v>#REF!</v>
      </c>
      <c r="AL37" s="109"/>
      <c r="AM37" s="110"/>
      <c r="AN37" s="110"/>
      <c r="AO37" s="110"/>
      <c r="AP37" s="110"/>
      <c r="AQ37" s="112"/>
      <c r="AR37" s="112"/>
      <c r="AS37" s="110"/>
      <c r="AT37" s="105"/>
      <c r="AU37" s="105"/>
      <c r="AV37" s="105"/>
      <c r="AW37" s="105"/>
      <c r="AX37" s="105"/>
      <c r="AY37" s="105"/>
    </row>
    <row r="38" spans="1:51" x14ac:dyDescent="0.15">
      <c r="A38" s="115">
        <v>362</v>
      </c>
      <c r="B38" s="98" t="e">
        <f>VLOOKUP($A38,#REF!,101,FALSE)</f>
        <v>#REF!</v>
      </c>
      <c r="C38" s="98" t="e">
        <f>VLOOKUP($A38,#REF!,102,FALSE)</f>
        <v>#REF!</v>
      </c>
      <c r="D38" s="104" t="e">
        <f>VLOOKUP($A38,#REF!,5,FALSE)</f>
        <v>#REF!</v>
      </c>
      <c r="E38" s="104" t="e">
        <f>VLOOKUP($A38,#REF!,6,FALSE)</f>
        <v>#REF!</v>
      </c>
      <c r="F38" s="105" t="e">
        <f>VLOOKUP($A38,#REF!,34,FALSE)</f>
        <v>#REF!</v>
      </c>
      <c r="G38" s="105" t="e">
        <f>VLOOKUP($A38,#REF!,29,FALSE)</f>
        <v>#REF!</v>
      </c>
      <c r="H38" s="105" t="e">
        <f>VLOOKUP($A38,#REF!,35,FALSE)+VLOOKUP($A38,#REF!,97,FALSE)</f>
        <v>#REF!</v>
      </c>
      <c r="I38" s="105" t="e">
        <f t="shared" si="2"/>
        <v>#REF!</v>
      </c>
      <c r="J38" s="105" t="e">
        <f>VLOOKUP($A38,#REF!,42,FALSE)</f>
        <v>#REF!</v>
      </c>
      <c r="K38" s="105" t="e">
        <f t="shared" si="3"/>
        <v>#REF!</v>
      </c>
      <c r="L38" s="164" t="e">
        <f t="shared" si="1"/>
        <v>#REF!</v>
      </c>
      <c r="M38" s="105" t="e">
        <f t="shared" si="4"/>
        <v>#REF!</v>
      </c>
      <c r="N38" s="105" t="e">
        <f>VLOOKUP($A38,#REF!,46,FALSE)</f>
        <v>#REF!</v>
      </c>
      <c r="O38" s="106" t="e">
        <f>VLOOKUP($A38,#REF!,9,FALSE)</f>
        <v>#REF!</v>
      </c>
      <c r="P38" s="114" t="e">
        <f>#REF!</f>
        <v>#REF!</v>
      </c>
      <c r="Q38" s="114" t="e">
        <f>VLOOKUP(A38,#REF!,17,FALSE)</f>
        <v>#REF!</v>
      </c>
      <c r="R38" s="120" t="e">
        <f>#REF!</f>
        <v>#REF!</v>
      </c>
      <c r="S38" s="114" t="e">
        <f>IF(Q38=0,#REF!,ROUND(Q38*R38,4))</f>
        <v>#REF!</v>
      </c>
      <c r="T38" s="105" t="e">
        <f>VLOOKUP($A38,#REF!,15,FALSE)</f>
        <v>#REF!</v>
      </c>
      <c r="U38" s="105" t="e">
        <f>VLOOKUP($A38,#REF!,19,FALSE)</f>
        <v>#REF!</v>
      </c>
      <c r="V38" s="109" t="e">
        <f t="shared" si="5"/>
        <v>#REF!</v>
      </c>
      <c r="W38" s="121" t="e">
        <f t="shared" si="6"/>
        <v>#REF!</v>
      </c>
      <c r="X38" s="105" t="e">
        <f t="shared" si="7"/>
        <v>#REF!</v>
      </c>
      <c r="Y38" s="109" t="e">
        <f t="shared" si="8"/>
        <v>#REF!</v>
      </c>
      <c r="Z38" s="109" t="e">
        <f t="shared" si="9"/>
        <v>#REF!</v>
      </c>
      <c r="AA38" s="113" t="e">
        <f t="shared" si="10"/>
        <v>#REF!</v>
      </c>
      <c r="AB38" s="109" t="e">
        <f t="shared" si="11"/>
        <v>#REF!</v>
      </c>
      <c r="AC38" s="113" t="e">
        <f t="shared" si="12"/>
        <v>#REF!</v>
      </c>
      <c r="AD38" s="105" t="e">
        <f t="shared" si="13"/>
        <v>#REF!</v>
      </c>
      <c r="AE38" s="105" t="e">
        <f t="shared" si="14"/>
        <v>#REF!</v>
      </c>
      <c r="AF38" s="105" t="e">
        <f t="shared" si="15"/>
        <v>#REF!</v>
      </c>
      <c r="AG38" s="105" t="e">
        <f t="shared" si="16"/>
        <v>#REF!</v>
      </c>
      <c r="AH38" s="111" t="e">
        <f>VLOOKUP($A38,#REF!,5,FALSE)</f>
        <v>#REF!</v>
      </c>
      <c r="AI38" s="111" t="e">
        <f>VLOOKUP($A38,#REF!,6,FALSE)</f>
        <v>#REF!</v>
      </c>
      <c r="AJ38" s="109" t="e">
        <f t="shared" si="17"/>
        <v>#REF!</v>
      </c>
      <c r="AK38" s="109" t="e">
        <f t="shared" si="18"/>
        <v>#REF!</v>
      </c>
      <c r="AL38" s="109"/>
      <c r="AM38" s="110"/>
      <c r="AN38" s="110"/>
      <c r="AO38" s="110"/>
      <c r="AP38" s="110"/>
      <c r="AQ38" s="112"/>
      <c r="AR38" s="112"/>
      <c r="AS38" s="110"/>
      <c r="AT38" s="105"/>
      <c r="AU38" s="105"/>
      <c r="AV38" s="105"/>
      <c r="AW38" s="105"/>
      <c r="AX38" s="105"/>
      <c r="AY38" s="105"/>
    </row>
    <row r="39" spans="1:51" x14ac:dyDescent="0.15">
      <c r="A39" s="115">
        <v>390</v>
      </c>
      <c r="B39" s="98" t="e">
        <f>VLOOKUP($A39,#REF!,101,FALSE)</f>
        <v>#REF!</v>
      </c>
      <c r="C39" s="98" t="e">
        <f>VLOOKUP($A39,#REF!,102,FALSE)</f>
        <v>#REF!</v>
      </c>
      <c r="D39" s="104" t="e">
        <f>VLOOKUP($A39,#REF!,5,FALSE)</f>
        <v>#REF!</v>
      </c>
      <c r="E39" s="104" t="e">
        <f>VLOOKUP($A39,#REF!,6,FALSE)</f>
        <v>#REF!</v>
      </c>
      <c r="F39" s="105" t="e">
        <f>VLOOKUP($A39,#REF!,34,FALSE)</f>
        <v>#REF!</v>
      </c>
      <c r="G39" s="105" t="e">
        <f>VLOOKUP($A39,#REF!,29,FALSE)</f>
        <v>#REF!</v>
      </c>
      <c r="H39" s="105" t="e">
        <f>VLOOKUP($A39,#REF!,35,FALSE)+VLOOKUP($A39,#REF!,97,FALSE)</f>
        <v>#REF!</v>
      </c>
      <c r="I39" s="105" t="e">
        <f t="shared" si="2"/>
        <v>#REF!</v>
      </c>
      <c r="J39" s="105" t="e">
        <f>VLOOKUP($A39,#REF!,42,FALSE)</f>
        <v>#REF!</v>
      </c>
      <c r="K39" s="105" t="e">
        <f t="shared" si="3"/>
        <v>#REF!</v>
      </c>
      <c r="L39" s="164" t="e">
        <f t="shared" si="1"/>
        <v>#REF!</v>
      </c>
      <c r="M39" s="105" t="e">
        <f t="shared" si="4"/>
        <v>#REF!</v>
      </c>
      <c r="N39" s="105" t="e">
        <f>VLOOKUP($A39,#REF!,46,FALSE)</f>
        <v>#REF!</v>
      </c>
      <c r="O39" s="106" t="e">
        <f>VLOOKUP($A39,#REF!,9,FALSE)</f>
        <v>#REF!</v>
      </c>
      <c r="P39" s="114" t="e">
        <f>#REF!</f>
        <v>#REF!</v>
      </c>
      <c r="Q39" s="114" t="e">
        <f>VLOOKUP(A39,#REF!,17,FALSE)</f>
        <v>#REF!</v>
      </c>
      <c r="R39" s="120" t="e">
        <f>#REF!</f>
        <v>#REF!</v>
      </c>
      <c r="S39" s="114" t="e">
        <f>IF(Q39=0,#REF!,ROUND(Q39*R39,4))</f>
        <v>#REF!</v>
      </c>
      <c r="T39" s="105" t="e">
        <f>VLOOKUP($A39,#REF!,15,FALSE)</f>
        <v>#REF!</v>
      </c>
      <c r="U39" s="105" t="e">
        <f>VLOOKUP($A39,#REF!,19,FALSE)</f>
        <v>#REF!</v>
      </c>
      <c r="V39" s="109" t="e">
        <f t="shared" si="5"/>
        <v>#REF!</v>
      </c>
      <c r="W39" s="121" t="e">
        <f t="shared" si="6"/>
        <v>#REF!</v>
      </c>
      <c r="X39" s="105" t="e">
        <f t="shared" si="7"/>
        <v>#REF!</v>
      </c>
      <c r="Y39" s="109" t="e">
        <f t="shared" si="8"/>
        <v>#REF!</v>
      </c>
      <c r="Z39" s="109" t="e">
        <f t="shared" si="9"/>
        <v>#REF!</v>
      </c>
      <c r="AA39" s="113" t="e">
        <f t="shared" si="10"/>
        <v>#REF!</v>
      </c>
      <c r="AB39" s="109" t="e">
        <f t="shared" si="11"/>
        <v>#REF!</v>
      </c>
      <c r="AC39" s="113" t="e">
        <f t="shared" si="12"/>
        <v>#REF!</v>
      </c>
      <c r="AD39" s="105" t="e">
        <f t="shared" si="13"/>
        <v>#REF!</v>
      </c>
      <c r="AE39" s="105" t="e">
        <f t="shared" si="14"/>
        <v>#REF!</v>
      </c>
      <c r="AF39" s="105" t="e">
        <f t="shared" si="15"/>
        <v>#REF!</v>
      </c>
      <c r="AG39" s="105" t="e">
        <f t="shared" si="16"/>
        <v>#REF!</v>
      </c>
      <c r="AH39" s="111" t="e">
        <f>VLOOKUP($A39,#REF!,5,FALSE)</f>
        <v>#REF!</v>
      </c>
      <c r="AI39" s="111" t="e">
        <f>VLOOKUP($A39,#REF!,6,FALSE)</f>
        <v>#REF!</v>
      </c>
      <c r="AJ39" s="109" t="e">
        <f t="shared" si="17"/>
        <v>#REF!</v>
      </c>
      <c r="AK39" s="109" t="e">
        <f t="shared" si="18"/>
        <v>#REF!</v>
      </c>
      <c r="AL39" s="109"/>
      <c r="AM39" s="110"/>
      <c r="AN39" s="110"/>
      <c r="AO39" s="110"/>
      <c r="AP39" s="110"/>
      <c r="AQ39" s="112"/>
      <c r="AR39" s="112"/>
      <c r="AS39" s="110"/>
      <c r="AT39" s="105"/>
      <c r="AU39" s="105"/>
      <c r="AV39" s="105"/>
      <c r="AW39" s="105"/>
      <c r="AX39" s="105"/>
      <c r="AY39" s="105"/>
    </row>
    <row r="40" spans="1:51" x14ac:dyDescent="0.15">
      <c r="A40" s="115">
        <v>384</v>
      </c>
      <c r="B40" s="98" t="e">
        <f>VLOOKUP($A40,#REF!,101,FALSE)</f>
        <v>#REF!</v>
      </c>
      <c r="C40" s="98" t="e">
        <f>VLOOKUP($A40,#REF!,102,FALSE)</f>
        <v>#REF!</v>
      </c>
      <c r="D40" s="104" t="e">
        <f>VLOOKUP($A40,#REF!,5,FALSE)</f>
        <v>#REF!</v>
      </c>
      <c r="E40" s="104" t="e">
        <f>VLOOKUP($A40,#REF!,6,FALSE)</f>
        <v>#REF!</v>
      </c>
      <c r="F40" s="105" t="e">
        <f>VLOOKUP($A40,#REF!,34,FALSE)</f>
        <v>#REF!</v>
      </c>
      <c r="G40" s="105" t="e">
        <f>VLOOKUP($A40,#REF!,29,FALSE)</f>
        <v>#REF!</v>
      </c>
      <c r="H40" s="105" t="e">
        <f>VLOOKUP($A40,#REF!,35,FALSE)+VLOOKUP($A40,#REF!,97,FALSE)</f>
        <v>#REF!</v>
      </c>
      <c r="I40" s="105" t="e">
        <f t="shared" si="2"/>
        <v>#REF!</v>
      </c>
      <c r="J40" s="105" t="e">
        <f>VLOOKUP($A40,#REF!,42,FALSE)</f>
        <v>#REF!</v>
      </c>
      <c r="K40" s="105" t="e">
        <f t="shared" si="3"/>
        <v>#REF!</v>
      </c>
      <c r="L40" s="164" t="e">
        <f t="shared" si="1"/>
        <v>#REF!</v>
      </c>
      <c r="M40" s="105" t="e">
        <f t="shared" si="4"/>
        <v>#REF!</v>
      </c>
      <c r="N40" s="105" t="e">
        <f>VLOOKUP($A40,#REF!,46,FALSE)</f>
        <v>#REF!</v>
      </c>
      <c r="O40" s="106" t="e">
        <f>VLOOKUP($A40,#REF!,9,FALSE)</f>
        <v>#REF!</v>
      </c>
      <c r="P40" s="114" t="e">
        <f>#REF!</f>
        <v>#REF!</v>
      </c>
      <c r="Q40" s="114" t="e">
        <f>VLOOKUP(A40,#REF!,17,FALSE)</f>
        <v>#REF!</v>
      </c>
      <c r="R40" s="120" t="e">
        <f>#REF!</f>
        <v>#REF!</v>
      </c>
      <c r="S40" s="114" t="e">
        <f>IF(Q40=0,#REF!,ROUND(Q40*R40,4))</f>
        <v>#REF!</v>
      </c>
      <c r="T40" s="105" t="e">
        <f>VLOOKUP($A40,#REF!,15,FALSE)</f>
        <v>#REF!</v>
      </c>
      <c r="U40" s="105" t="e">
        <f>VLOOKUP($A40,#REF!,19,FALSE)</f>
        <v>#REF!</v>
      </c>
      <c r="V40" s="109" t="e">
        <f t="shared" si="5"/>
        <v>#REF!</v>
      </c>
      <c r="W40" s="121" t="e">
        <f t="shared" si="6"/>
        <v>#REF!</v>
      </c>
      <c r="X40" s="105" t="e">
        <f t="shared" si="7"/>
        <v>#REF!</v>
      </c>
      <c r="Y40" s="109" t="e">
        <f t="shared" si="8"/>
        <v>#REF!</v>
      </c>
      <c r="Z40" s="109" t="e">
        <f t="shared" si="9"/>
        <v>#REF!</v>
      </c>
      <c r="AA40" s="113" t="e">
        <f t="shared" si="10"/>
        <v>#REF!</v>
      </c>
      <c r="AB40" s="109" t="e">
        <f t="shared" si="11"/>
        <v>#REF!</v>
      </c>
      <c r="AC40" s="113" t="e">
        <f t="shared" si="12"/>
        <v>#REF!</v>
      </c>
      <c r="AD40" s="105" t="e">
        <f t="shared" si="13"/>
        <v>#REF!</v>
      </c>
      <c r="AE40" s="105" t="e">
        <f t="shared" si="14"/>
        <v>#REF!</v>
      </c>
      <c r="AF40" s="105" t="e">
        <f t="shared" si="15"/>
        <v>#REF!</v>
      </c>
      <c r="AG40" s="105" t="e">
        <f t="shared" si="16"/>
        <v>#REF!</v>
      </c>
      <c r="AH40" s="111" t="e">
        <f>VLOOKUP($A40,#REF!,5,FALSE)</f>
        <v>#REF!</v>
      </c>
      <c r="AI40" s="111" t="e">
        <f>VLOOKUP($A40,#REF!,6,FALSE)</f>
        <v>#REF!</v>
      </c>
      <c r="AJ40" s="109" t="e">
        <f t="shared" si="17"/>
        <v>#REF!</v>
      </c>
      <c r="AK40" s="109" t="e">
        <f t="shared" si="18"/>
        <v>#REF!</v>
      </c>
      <c r="AL40" s="109"/>
      <c r="AM40" s="110"/>
      <c r="AN40" s="110"/>
      <c r="AO40" s="110"/>
      <c r="AP40" s="110"/>
      <c r="AQ40" s="112"/>
      <c r="AR40" s="112"/>
      <c r="AS40" s="110"/>
      <c r="AT40" s="105"/>
      <c r="AU40" s="105"/>
      <c r="AV40" s="105"/>
      <c r="AW40" s="105"/>
      <c r="AX40" s="105"/>
      <c r="AY40" s="105"/>
    </row>
    <row r="41" spans="1:51" x14ac:dyDescent="0.15">
      <c r="A41" s="115">
        <v>314</v>
      </c>
      <c r="B41" s="98" t="e">
        <f>VLOOKUP($A41,#REF!,101,FALSE)</f>
        <v>#REF!</v>
      </c>
      <c r="C41" s="98" t="e">
        <f>VLOOKUP($A41,#REF!,102,FALSE)</f>
        <v>#REF!</v>
      </c>
      <c r="D41" s="104" t="e">
        <f>VLOOKUP($A41,#REF!,5,FALSE)</f>
        <v>#REF!</v>
      </c>
      <c r="E41" s="104" t="e">
        <f>VLOOKUP($A41,#REF!,6,FALSE)</f>
        <v>#REF!</v>
      </c>
      <c r="F41" s="105" t="e">
        <f>VLOOKUP($A41,#REF!,34,FALSE)</f>
        <v>#REF!</v>
      </c>
      <c r="G41" s="105" t="e">
        <f>VLOOKUP($A41,#REF!,29,FALSE)</f>
        <v>#REF!</v>
      </c>
      <c r="H41" s="105" t="e">
        <f>VLOOKUP($A41,#REF!,35,FALSE)+VLOOKUP($A41,#REF!,97,FALSE)</f>
        <v>#REF!</v>
      </c>
      <c r="I41" s="105" t="e">
        <f t="shared" si="2"/>
        <v>#REF!</v>
      </c>
      <c r="J41" s="105" t="e">
        <f>VLOOKUP($A41,#REF!,42,FALSE)</f>
        <v>#REF!</v>
      </c>
      <c r="K41" s="105" t="e">
        <f t="shared" si="3"/>
        <v>#REF!</v>
      </c>
      <c r="L41" s="164" t="e">
        <f t="shared" si="1"/>
        <v>#REF!</v>
      </c>
      <c r="M41" s="105" t="e">
        <f t="shared" si="4"/>
        <v>#REF!</v>
      </c>
      <c r="N41" s="105" t="e">
        <f>VLOOKUP($A41,#REF!,46,FALSE)</f>
        <v>#REF!</v>
      </c>
      <c r="O41" s="106" t="e">
        <f>VLOOKUP($A41,#REF!,9,FALSE)</f>
        <v>#REF!</v>
      </c>
      <c r="P41" s="114" t="e">
        <f>#REF!</f>
        <v>#REF!</v>
      </c>
      <c r="Q41" s="114" t="e">
        <f>VLOOKUP(A41,#REF!,17,FALSE)</f>
        <v>#REF!</v>
      </c>
      <c r="R41" s="120" t="e">
        <f>#REF!</f>
        <v>#REF!</v>
      </c>
      <c r="S41" s="114" t="e">
        <f>IF(Q41=0,#REF!,ROUND(Q41*R41,4))</f>
        <v>#REF!</v>
      </c>
      <c r="T41" s="105" t="e">
        <f>VLOOKUP($A41,#REF!,15,FALSE)</f>
        <v>#REF!</v>
      </c>
      <c r="U41" s="105" t="e">
        <f>VLOOKUP($A41,#REF!,19,FALSE)</f>
        <v>#REF!</v>
      </c>
      <c r="V41" s="109" t="e">
        <f t="shared" si="5"/>
        <v>#REF!</v>
      </c>
      <c r="W41" s="121" t="e">
        <f t="shared" si="6"/>
        <v>#REF!</v>
      </c>
      <c r="X41" s="105" t="e">
        <f t="shared" si="7"/>
        <v>#REF!</v>
      </c>
      <c r="Y41" s="109" t="e">
        <f t="shared" si="8"/>
        <v>#REF!</v>
      </c>
      <c r="Z41" s="109" t="e">
        <f t="shared" si="9"/>
        <v>#REF!</v>
      </c>
      <c r="AA41" s="113" t="e">
        <f t="shared" si="10"/>
        <v>#REF!</v>
      </c>
      <c r="AB41" s="109" t="e">
        <f t="shared" si="11"/>
        <v>#REF!</v>
      </c>
      <c r="AC41" s="113" t="e">
        <f t="shared" si="12"/>
        <v>#REF!</v>
      </c>
      <c r="AD41" s="105" t="e">
        <f t="shared" si="13"/>
        <v>#REF!</v>
      </c>
      <c r="AE41" s="105" t="e">
        <f t="shared" si="14"/>
        <v>#REF!</v>
      </c>
      <c r="AF41" s="105" t="e">
        <f t="shared" si="15"/>
        <v>#REF!</v>
      </c>
      <c r="AG41" s="105" t="e">
        <f t="shared" si="16"/>
        <v>#REF!</v>
      </c>
      <c r="AH41" s="111" t="e">
        <f>VLOOKUP($A41,#REF!,5,FALSE)</f>
        <v>#REF!</v>
      </c>
      <c r="AI41" s="111" t="e">
        <f>VLOOKUP($A41,#REF!,6,FALSE)</f>
        <v>#REF!</v>
      </c>
      <c r="AJ41" s="109" t="e">
        <f t="shared" si="17"/>
        <v>#REF!</v>
      </c>
      <c r="AK41" s="109" t="e">
        <f t="shared" si="18"/>
        <v>#REF!</v>
      </c>
      <c r="AL41" s="109"/>
      <c r="AM41" s="110"/>
      <c r="AN41" s="110"/>
      <c r="AO41" s="110"/>
      <c r="AP41" s="110"/>
      <c r="AQ41" s="112"/>
      <c r="AR41" s="112"/>
      <c r="AS41" s="110"/>
      <c r="AT41" s="105"/>
      <c r="AU41" s="105"/>
      <c r="AV41" s="105"/>
      <c r="AW41" s="105"/>
      <c r="AX41" s="105"/>
      <c r="AY41" s="105"/>
    </row>
    <row r="42" spans="1:51" x14ac:dyDescent="0.15">
      <c r="A42" s="115">
        <v>324</v>
      </c>
      <c r="B42" s="98" t="e">
        <f>VLOOKUP($A42,#REF!,101,FALSE)</f>
        <v>#REF!</v>
      </c>
      <c r="C42" s="98" t="e">
        <f>VLOOKUP($A42,#REF!,102,FALSE)</f>
        <v>#REF!</v>
      </c>
      <c r="D42" s="104" t="e">
        <f>VLOOKUP($A42,#REF!,5,FALSE)</f>
        <v>#REF!</v>
      </c>
      <c r="E42" s="104" t="e">
        <f>VLOOKUP($A42,#REF!,6,FALSE)</f>
        <v>#REF!</v>
      </c>
      <c r="F42" s="105" t="e">
        <f>VLOOKUP($A42,#REF!,34,FALSE)</f>
        <v>#REF!</v>
      </c>
      <c r="G42" s="105" t="e">
        <f>VLOOKUP($A42,#REF!,29,FALSE)</f>
        <v>#REF!</v>
      </c>
      <c r="H42" s="105" t="e">
        <f>VLOOKUP($A42,#REF!,35,FALSE)+VLOOKUP($A42,#REF!,97,FALSE)</f>
        <v>#REF!</v>
      </c>
      <c r="I42" s="105" t="e">
        <f t="shared" si="2"/>
        <v>#REF!</v>
      </c>
      <c r="J42" s="105" t="e">
        <f>VLOOKUP($A42,#REF!,42,FALSE)</f>
        <v>#REF!</v>
      </c>
      <c r="K42" s="105" t="e">
        <f t="shared" si="3"/>
        <v>#REF!</v>
      </c>
      <c r="L42" s="164" t="e">
        <f t="shared" si="1"/>
        <v>#REF!</v>
      </c>
      <c r="M42" s="105" t="e">
        <f t="shared" si="4"/>
        <v>#REF!</v>
      </c>
      <c r="N42" s="105" t="e">
        <f>VLOOKUP($A42,#REF!,46,FALSE)</f>
        <v>#REF!</v>
      </c>
      <c r="O42" s="106" t="e">
        <f>VLOOKUP($A42,#REF!,9,FALSE)</f>
        <v>#REF!</v>
      </c>
      <c r="P42" s="114" t="e">
        <f>#REF!</f>
        <v>#REF!</v>
      </c>
      <c r="Q42" s="114" t="e">
        <f>VLOOKUP(A42,#REF!,17,FALSE)</f>
        <v>#REF!</v>
      </c>
      <c r="R42" s="120" t="e">
        <f>#REF!</f>
        <v>#REF!</v>
      </c>
      <c r="S42" s="114" t="e">
        <f>IF(Q42=0,#REF!,ROUND(Q42*R42,4))</f>
        <v>#REF!</v>
      </c>
      <c r="T42" s="105" t="e">
        <f>VLOOKUP($A42,#REF!,15,FALSE)</f>
        <v>#REF!</v>
      </c>
      <c r="U42" s="105" t="e">
        <f>VLOOKUP($A42,#REF!,19,FALSE)</f>
        <v>#REF!</v>
      </c>
      <c r="V42" s="109" t="e">
        <f t="shared" si="5"/>
        <v>#REF!</v>
      </c>
      <c r="W42" s="121" t="e">
        <f t="shared" si="6"/>
        <v>#REF!</v>
      </c>
      <c r="X42" s="105" t="e">
        <f t="shared" si="7"/>
        <v>#REF!</v>
      </c>
      <c r="Y42" s="109" t="e">
        <f t="shared" si="8"/>
        <v>#REF!</v>
      </c>
      <c r="Z42" s="109" t="e">
        <f t="shared" si="9"/>
        <v>#REF!</v>
      </c>
      <c r="AA42" s="113" t="e">
        <f t="shared" si="10"/>
        <v>#REF!</v>
      </c>
      <c r="AB42" s="109" t="e">
        <f t="shared" si="11"/>
        <v>#REF!</v>
      </c>
      <c r="AC42" s="113" t="e">
        <f t="shared" si="12"/>
        <v>#REF!</v>
      </c>
      <c r="AD42" s="105" t="e">
        <f t="shared" si="13"/>
        <v>#REF!</v>
      </c>
      <c r="AE42" s="105" t="e">
        <f t="shared" si="14"/>
        <v>#REF!</v>
      </c>
      <c r="AF42" s="105" t="e">
        <f t="shared" si="15"/>
        <v>#REF!</v>
      </c>
      <c r="AG42" s="105" t="e">
        <f t="shared" si="16"/>
        <v>#REF!</v>
      </c>
      <c r="AH42" s="111" t="e">
        <f>VLOOKUP($A42,#REF!,5,FALSE)</f>
        <v>#REF!</v>
      </c>
      <c r="AI42" s="111" t="e">
        <f>VLOOKUP($A42,#REF!,6,FALSE)</f>
        <v>#REF!</v>
      </c>
      <c r="AJ42" s="109" t="e">
        <f t="shared" si="17"/>
        <v>#REF!</v>
      </c>
      <c r="AK42" s="109" t="e">
        <f t="shared" si="18"/>
        <v>#REF!</v>
      </c>
      <c r="AL42" s="109"/>
      <c r="AM42" s="110"/>
      <c r="AN42" s="110"/>
      <c r="AO42" s="110"/>
      <c r="AP42" s="110"/>
      <c r="AQ42" s="112"/>
      <c r="AR42" s="112"/>
      <c r="AS42" s="110"/>
      <c r="AT42" s="105"/>
      <c r="AU42" s="105"/>
      <c r="AV42" s="105"/>
      <c r="AW42" s="105"/>
      <c r="AX42" s="105"/>
      <c r="AY42" s="105"/>
    </row>
    <row r="43" spans="1:51" x14ac:dyDescent="0.15">
      <c r="A43" s="115">
        <v>410</v>
      </c>
      <c r="B43" s="98" t="e">
        <f>VLOOKUP($A43,#REF!,101,FALSE)</f>
        <v>#REF!</v>
      </c>
      <c r="C43" s="98" t="e">
        <f>VLOOKUP($A43,#REF!,102,FALSE)</f>
        <v>#REF!</v>
      </c>
      <c r="D43" s="104" t="e">
        <f>VLOOKUP($A43,#REF!,5,FALSE)</f>
        <v>#REF!</v>
      </c>
      <c r="E43" s="104" t="e">
        <f>VLOOKUP($A43,#REF!,6,FALSE)</f>
        <v>#REF!</v>
      </c>
      <c r="F43" s="105" t="e">
        <f>VLOOKUP($A43,#REF!,34,FALSE)</f>
        <v>#REF!</v>
      </c>
      <c r="G43" s="105" t="e">
        <f>VLOOKUP($A43,#REF!,29,FALSE)</f>
        <v>#REF!</v>
      </c>
      <c r="H43" s="105" t="e">
        <f>VLOOKUP($A43,#REF!,35,FALSE)+VLOOKUP($A43,#REF!,97,FALSE)</f>
        <v>#REF!</v>
      </c>
      <c r="I43" s="105" t="e">
        <f t="shared" si="2"/>
        <v>#REF!</v>
      </c>
      <c r="J43" s="105" t="e">
        <f>VLOOKUP($A43,#REF!,42,FALSE)</f>
        <v>#REF!</v>
      </c>
      <c r="K43" s="105" t="e">
        <f t="shared" si="3"/>
        <v>#REF!</v>
      </c>
      <c r="L43" s="164" t="e">
        <f t="shared" si="1"/>
        <v>#REF!</v>
      </c>
      <c r="M43" s="105" t="e">
        <f t="shared" si="4"/>
        <v>#REF!</v>
      </c>
      <c r="N43" s="105" t="e">
        <f>VLOOKUP($A43,#REF!,46,FALSE)</f>
        <v>#REF!</v>
      </c>
      <c r="O43" s="106" t="e">
        <f>VLOOKUP($A43,#REF!,9,FALSE)</f>
        <v>#REF!</v>
      </c>
      <c r="P43" s="114" t="e">
        <f>#REF!</f>
        <v>#REF!</v>
      </c>
      <c r="Q43" s="114" t="e">
        <f>VLOOKUP(A43,#REF!,17,FALSE)</f>
        <v>#REF!</v>
      </c>
      <c r="R43" s="120" t="e">
        <f>#REF!</f>
        <v>#REF!</v>
      </c>
      <c r="S43" s="114" t="e">
        <f>IF(Q43=0,#REF!,ROUND(Q43*R43,4))</f>
        <v>#REF!</v>
      </c>
      <c r="T43" s="105" t="e">
        <f>VLOOKUP($A43,#REF!,15,FALSE)</f>
        <v>#REF!</v>
      </c>
      <c r="U43" s="105" t="e">
        <f>VLOOKUP($A43,#REF!,19,FALSE)</f>
        <v>#REF!</v>
      </c>
      <c r="V43" s="109" t="e">
        <f t="shared" si="5"/>
        <v>#REF!</v>
      </c>
      <c r="W43" s="121" t="e">
        <f t="shared" si="6"/>
        <v>#REF!</v>
      </c>
      <c r="X43" s="105" t="e">
        <f t="shared" si="7"/>
        <v>#REF!</v>
      </c>
      <c r="Y43" s="109" t="e">
        <f t="shared" si="8"/>
        <v>#REF!</v>
      </c>
      <c r="Z43" s="109" t="e">
        <f t="shared" si="9"/>
        <v>#REF!</v>
      </c>
      <c r="AA43" s="113" t="e">
        <f t="shared" si="10"/>
        <v>#REF!</v>
      </c>
      <c r="AB43" s="109" t="e">
        <f t="shared" si="11"/>
        <v>#REF!</v>
      </c>
      <c r="AC43" s="113" t="e">
        <f t="shared" si="12"/>
        <v>#REF!</v>
      </c>
      <c r="AD43" s="105" t="e">
        <f t="shared" si="13"/>
        <v>#REF!</v>
      </c>
      <c r="AE43" s="105" t="e">
        <f t="shared" si="14"/>
        <v>#REF!</v>
      </c>
      <c r="AF43" s="105" t="e">
        <f t="shared" si="15"/>
        <v>#REF!</v>
      </c>
      <c r="AG43" s="105" t="e">
        <f t="shared" si="16"/>
        <v>#REF!</v>
      </c>
      <c r="AH43" s="111" t="e">
        <f>VLOOKUP($A43,#REF!,5,FALSE)</f>
        <v>#REF!</v>
      </c>
      <c r="AI43" s="111" t="e">
        <f>VLOOKUP($A43,#REF!,6,FALSE)</f>
        <v>#REF!</v>
      </c>
      <c r="AJ43" s="109" t="e">
        <f t="shared" si="17"/>
        <v>#REF!</v>
      </c>
      <c r="AK43" s="109" t="e">
        <f t="shared" si="18"/>
        <v>#REF!</v>
      </c>
      <c r="AL43" s="109"/>
      <c r="AM43" s="110"/>
      <c r="AN43" s="110"/>
      <c r="AO43" s="110"/>
      <c r="AP43" s="110"/>
      <c r="AQ43" s="112"/>
      <c r="AR43" s="112"/>
      <c r="AS43" s="110"/>
      <c r="AT43" s="105"/>
      <c r="AU43" s="105"/>
      <c r="AV43" s="105"/>
      <c r="AW43" s="105"/>
      <c r="AX43" s="105"/>
      <c r="AY43" s="105"/>
    </row>
    <row r="44" spans="1:51" x14ac:dyDescent="0.15">
      <c r="A44" s="115">
        <v>679</v>
      </c>
      <c r="B44" s="98" t="e">
        <f>VLOOKUP($A44,#REF!,101,FALSE)</f>
        <v>#REF!</v>
      </c>
      <c r="C44" s="98" t="e">
        <f>VLOOKUP($A44,#REF!,102,FALSE)</f>
        <v>#REF!</v>
      </c>
      <c r="D44" s="104" t="e">
        <f>VLOOKUP($A44,#REF!,5,FALSE)</f>
        <v>#REF!</v>
      </c>
      <c r="E44" s="104" t="e">
        <f>VLOOKUP($A44,#REF!,6,FALSE)</f>
        <v>#REF!</v>
      </c>
      <c r="F44" s="105" t="e">
        <f>VLOOKUP($A44,#REF!,34,FALSE)</f>
        <v>#REF!</v>
      </c>
      <c r="G44" s="105" t="e">
        <f>VLOOKUP($A44,#REF!,29,FALSE)</f>
        <v>#REF!</v>
      </c>
      <c r="H44" s="105" t="e">
        <f>VLOOKUP($A44,#REF!,35,FALSE)+VLOOKUP($A44,#REF!,97,FALSE)</f>
        <v>#REF!</v>
      </c>
      <c r="I44" s="105" t="e">
        <f t="shared" si="2"/>
        <v>#REF!</v>
      </c>
      <c r="J44" s="105" t="e">
        <f>VLOOKUP($A44,#REF!,42,FALSE)</f>
        <v>#REF!</v>
      </c>
      <c r="K44" s="105" t="e">
        <f t="shared" si="3"/>
        <v>#REF!</v>
      </c>
      <c r="L44" s="164" t="e">
        <f t="shared" si="1"/>
        <v>#REF!</v>
      </c>
      <c r="M44" s="105" t="e">
        <f t="shared" si="4"/>
        <v>#REF!</v>
      </c>
      <c r="N44" s="105" t="e">
        <f>VLOOKUP($A44,#REF!,46,FALSE)</f>
        <v>#REF!</v>
      </c>
      <c r="O44" s="106" t="e">
        <f>VLOOKUP($A44,#REF!,9,FALSE)</f>
        <v>#REF!</v>
      </c>
      <c r="P44" s="114" t="e">
        <f>#REF!</f>
        <v>#REF!</v>
      </c>
      <c r="Q44" s="114" t="e">
        <f>VLOOKUP(A44,#REF!,17,FALSE)</f>
        <v>#REF!</v>
      </c>
      <c r="R44" s="120" t="e">
        <f>#REF!</f>
        <v>#REF!</v>
      </c>
      <c r="S44" s="114" t="e">
        <f>IF(Q44=0,#REF!,ROUND(Q44*R44,4))</f>
        <v>#REF!</v>
      </c>
      <c r="T44" s="105" t="e">
        <f>VLOOKUP($A44,#REF!,15,FALSE)</f>
        <v>#REF!</v>
      </c>
      <c r="U44" s="105" t="e">
        <f>VLOOKUP($A44,#REF!,19,FALSE)</f>
        <v>#REF!</v>
      </c>
      <c r="V44" s="109" t="e">
        <f t="shared" si="5"/>
        <v>#REF!</v>
      </c>
      <c r="W44" s="121" t="e">
        <f t="shared" si="6"/>
        <v>#REF!</v>
      </c>
      <c r="X44" s="105" t="e">
        <f t="shared" si="7"/>
        <v>#REF!</v>
      </c>
      <c r="Y44" s="109" t="e">
        <f t="shared" si="8"/>
        <v>#REF!</v>
      </c>
      <c r="Z44" s="109" t="e">
        <f t="shared" si="9"/>
        <v>#REF!</v>
      </c>
      <c r="AA44" s="113" t="e">
        <f t="shared" si="10"/>
        <v>#REF!</v>
      </c>
      <c r="AB44" s="109" t="e">
        <f t="shared" si="11"/>
        <v>#REF!</v>
      </c>
      <c r="AC44" s="113" t="e">
        <f t="shared" si="12"/>
        <v>#REF!</v>
      </c>
      <c r="AD44" s="105" t="e">
        <f t="shared" si="13"/>
        <v>#REF!</v>
      </c>
      <c r="AE44" s="105" t="e">
        <f t="shared" si="14"/>
        <v>#REF!</v>
      </c>
      <c r="AF44" s="105" t="e">
        <f t="shared" si="15"/>
        <v>#REF!</v>
      </c>
      <c r="AG44" s="105" t="e">
        <f t="shared" si="16"/>
        <v>#REF!</v>
      </c>
      <c r="AH44" s="111" t="e">
        <f>VLOOKUP($A44,#REF!,5,FALSE)</f>
        <v>#REF!</v>
      </c>
      <c r="AI44" s="111" t="e">
        <f>VLOOKUP($A44,#REF!,6,FALSE)</f>
        <v>#REF!</v>
      </c>
      <c r="AJ44" s="109" t="e">
        <f t="shared" si="17"/>
        <v>#REF!</v>
      </c>
      <c r="AK44" s="109" t="e">
        <f t="shared" si="18"/>
        <v>#REF!</v>
      </c>
      <c r="AL44" s="109"/>
      <c r="AM44" s="110"/>
      <c r="AN44" s="110"/>
      <c r="AO44" s="110"/>
      <c r="AP44" s="110"/>
      <c r="AQ44" s="112"/>
      <c r="AR44" s="112"/>
      <c r="AS44" s="110"/>
      <c r="AT44" s="105"/>
      <c r="AU44" s="105"/>
      <c r="AV44" s="105"/>
      <c r="AW44" s="105"/>
      <c r="AX44" s="105"/>
      <c r="AY44" s="105"/>
    </row>
    <row r="45" spans="1:51" x14ac:dyDescent="0.15">
      <c r="A45" s="115">
        <v>260</v>
      </c>
      <c r="B45" s="98" t="e">
        <f>VLOOKUP($A45,#REF!,101,FALSE)</f>
        <v>#REF!</v>
      </c>
      <c r="C45" s="98" t="e">
        <f>VLOOKUP($A45,#REF!,102,FALSE)</f>
        <v>#REF!</v>
      </c>
      <c r="D45" s="104" t="e">
        <f>VLOOKUP($A45,#REF!,5,FALSE)</f>
        <v>#REF!</v>
      </c>
      <c r="E45" s="104" t="e">
        <f>VLOOKUP($A45,#REF!,6,FALSE)</f>
        <v>#REF!</v>
      </c>
      <c r="F45" s="105" t="e">
        <f>VLOOKUP($A45,#REF!,34,FALSE)</f>
        <v>#REF!</v>
      </c>
      <c r="G45" s="105" t="e">
        <f>VLOOKUP($A45,#REF!,29,FALSE)</f>
        <v>#REF!</v>
      </c>
      <c r="H45" s="105" t="e">
        <f>VLOOKUP($A45,#REF!,35,FALSE)+VLOOKUP($A45,#REF!,97,FALSE)</f>
        <v>#REF!</v>
      </c>
      <c r="I45" s="105" t="e">
        <f t="shared" si="2"/>
        <v>#REF!</v>
      </c>
      <c r="J45" s="105" t="e">
        <f>VLOOKUP($A45,#REF!,42,FALSE)</f>
        <v>#REF!</v>
      </c>
      <c r="K45" s="105" t="e">
        <f t="shared" si="3"/>
        <v>#REF!</v>
      </c>
      <c r="L45" s="164" t="e">
        <f t="shared" si="1"/>
        <v>#REF!</v>
      </c>
      <c r="M45" s="105" t="e">
        <f t="shared" si="4"/>
        <v>#REF!</v>
      </c>
      <c r="N45" s="105" t="e">
        <f>VLOOKUP($A45,#REF!,46,FALSE)</f>
        <v>#REF!</v>
      </c>
      <c r="O45" s="106" t="e">
        <f>VLOOKUP($A45,#REF!,9,FALSE)</f>
        <v>#REF!</v>
      </c>
      <c r="P45" s="114" t="e">
        <f>#REF!</f>
        <v>#REF!</v>
      </c>
      <c r="Q45" s="114" t="e">
        <f>VLOOKUP(A45,#REF!,17,FALSE)</f>
        <v>#REF!</v>
      </c>
      <c r="R45" s="120" t="e">
        <f>#REF!</f>
        <v>#REF!</v>
      </c>
      <c r="S45" s="114" t="e">
        <f>IF(Q45=0,#REF!,ROUND(Q45*R45,4))</f>
        <v>#REF!</v>
      </c>
      <c r="T45" s="105" t="e">
        <f>VLOOKUP($A45,#REF!,15,FALSE)</f>
        <v>#REF!</v>
      </c>
      <c r="U45" s="105" t="e">
        <f>VLOOKUP($A45,#REF!,19,FALSE)</f>
        <v>#REF!</v>
      </c>
      <c r="V45" s="109" t="e">
        <f t="shared" si="5"/>
        <v>#REF!</v>
      </c>
      <c r="W45" s="121" t="e">
        <f t="shared" si="6"/>
        <v>#REF!</v>
      </c>
      <c r="X45" s="105" t="e">
        <f t="shared" si="7"/>
        <v>#REF!</v>
      </c>
      <c r="Y45" s="109" t="e">
        <f t="shared" si="8"/>
        <v>#REF!</v>
      </c>
      <c r="Z45" s="109" t="e">
        <f t="shared" si="9"/>
        <v>#REF!</v>
      </c>
      <c r="AA45" s="113" t="e">
        <f t="shared" si="10"/>
        <v>#REF!</v>
      </c>
      <c r="AB45" s="109" t="e">
        <f t="shared" si="11"/>
        <v>#REF!</v>
      </c>
      <c r="AC45" s="113" t="e">
        <f t="shared" si="12"/>
        <v>#REF!</v>
      </c>
      <c r="AD45" s="105" t="e">
        <f t="shared" si="13"/>
        <v>#REF!</v>
      </c>
      <c r="AE45" s="105" t="e">
        <f t="shared" si="14"/>
        <v>#REF!</v>
      </c>
      <c r="AF45" s="105" t="e">
        <f t="shared" si="15"/>
        <v>#REF!</v>
      </c>
      <c r="AG45" s="105" t="e">
        <f t="shared" si="16"/>
        <v>#REF!</v>
      </c>
      <c r="AH45" s="111" t="e">
        <f>VLOOKUP($A45,#REF!,5,FALSE)</f>
        <v>#REF!</v>
      </c>
      <c r="AI45" s="111" t="e">
        <f>VLOOKUP($A45,#REF!,6,FALSE)</f>
        <v>#REF!</v>
      </c>
      <c r="AJ45" s="109" t="e">
        <f t="shared" si="17"/>
        <v>#REF!</v>
      </c>
      <c r="AK45" s="109" t="e">
        <f t="shared" si="18"/>
        <v>#REF!</v>
      </c>
      <c r="AL45" s="109"/>
      <c r="AM45" s="110"/>
      <c r="AN45" s="110"/>
      <c r="AO45" s="110"/>
      <c r="AP45" s="110"/>
      <c r="AQ45" s="112"/>
      <c r="AR45" s="112"/>
      <c r="AS45" s="110"/>
      <c r="AT45" s="105"/>
      <c r="AU45" s="105"/>
      <c r="AV45" s="105"/>
      <c r="AW45" s="105"/>
      <c r="AX45" s="105"/>
      <c r="AY45" s="105"/>
    </row>
    <row r="46" spans="1:51" x14ac:dyDescent="0.15">
      <c r="A46" s="115">
        <v>701</v>
      </c>
      <c r="B46" s="98" t="e">
        <f>VLOOKUP($A46,#REF!,101,FALSE)</f>
        <v>#REF!</v>
      </c>
      <c r="C46" s="98" t="e">
        <f>VLOOKUP($A46,#REF!,102,FALSE)</f>
        <v>#REF!</v>
      </c>
      <c r="D46" s="104" t="e">
        <f>VLOOKUP($A46,#REF!,5,FALSE)</f>
        <v>#REF!</v>
      </c>
      <c r="E46" s="104" t="e">
        <f>VLOOKUP($A46,#REF!,6,FALSE)</f>
        <v>#REF!</v>
      </c>
      <c r="F46" s="105" t="e">
        <f>VLOOKUP($A46,#REF!,34,FALSE)</f>
        <v>#REF!</v>
      </c>
      <c r="G46" s="105" t="e">
        <f>VLOOKUP($A46,#REF!,29,FALSE)</f>
        <v>#REF!</v>
      </c>
      <c r="H46" s="105" t="e">
        <f>VLOOKUP($A46,#REF!,35,FALSE)+VLOOKUP($A46,#REF!,97,FALSE)</f>
        <v>#REF!</v>
      </c>
      <c r="I46" s="105" t="e">
        <f t="shared" si="2"/>
        <v>#REF!</v>
      </c>
      <c r="J46" s="105" t="e">
        <f>VLOOKUP($A46,#REF!,42,FALSE)</f>
        <v>#REF!</v>
      </c>
      <c r="K46" s="105" t="e">
        <f t="shared" si="3"/>
        <v>#REF!</v>
      </c>
      <c r="L46" s="164" t="e">
        <f t="shared" si="1"/>
        <v>#REF!</v>
      </c>
      <c r="M46" s="105" t="e">
        <f t="shared" si="4"/>
        <v>#REF!</v>
      </c>
      <c r="N46" s="105" t="e">
        <f>VLOOKUP($A46,#REF!,46,FALSE)</f>
        <v>#REF!</v>
      </c>
      <c r="O46" s="106" t="e">
        <f>VLOOKUP($A46,#REF!,9,FALSE)</f>
        <v>#REF!</v>
      </c>
      <c r="P46" s="114" t="e">
        <f>#REF!</f>
        <v>#REF!</v>
      </c>
      <c r="Q46" s="114" t="e">
        <f>VLOOKUP(A46,#REF!,17,FALSE)</f>
        <v>#REF!</v>
      </c>
      <c r="R46" s="120" t="e">
        <f>#REF!</f>
        <v>#REF!</v>
      </c>
      <c r="S46" s="114" t="e">
        <f>IF(Q46=0,#REF!,ROUND(Q46*R46,4))</f>
        <v>#REF!</v>
      </c>
      <c r="T46" s="105" t="e">
        <f>VLOOKUP($A46,#REF!,15,FALSE)</f>
        <v>#REF!</v>
      </c>
      <c r="U46" s="105" t="e">
        <f>VLOOKUP($A46,#REF!,19,FALSE)</f>
        <v>#REF!</v>
      </c>
      <c r="V46" s="109" t="e">
        <f t="shared" si="5"/>
        <v>#REF!</v>
      </c>
      <c r="W46" s="121" t="e">
        <f t="shared" si="6"/>
        <v>#REF!</v>
      </c>
      <c r="X46" s="105" t="e">
        <f t="shared" si="7"/>
        <v>#REF!</v>
      </c>
      <c r="Y46" s="109" t="e">
        <f t="shared" si="8"/>
        <v>#REF!</v>
      </c>
      <c r="Z46" s="109" t="e">
        <f t="shared" si="9"/>
        <v>#REF!</v>
      </c>
      <c r="AA46" s="113" t="e">
        <f t="shared" si="10"/>
        <v>#REF!</v>
      </c>
      <c r="AB46" s="109" t="e">
        <f t="shared" si="11"/>
        <v>#REF!</v>
      </c>
      <c r="AC46" s="113" t="e">
        <f t="shared" si="12"/>
        <v>#REF!</v>
      </c>
      <c r="AD46" s="105" t="e">
        <f t="shared" si="13"/>
        <v>#REF!</v>
      </c>
      <c r="AE46" s="105" t="e">
        <f t="shared" si="14"/>
        <v>#REF!</v>
      </c>
      <c r="AF46" s="105" t="e">
        <f t="shared" si="15"/>
        <v>#REF!</v>
      </c>
      <c r="AG46" s="105" t="e">
        <f t="shared" si="16"/>
        <v>#REF!</v>
      </c>
      <c r="AH46" s="111" t="e">
        <f>VLOOKUP($A46,#REF!,5,FALSE)</f>
        <v>#REF!</v>
      </c>
      <c r="AI46" s="111" t="e">
        <f>VLOOKUP($A46,#REF!,6,FALSE)</f>
        <v>#REF!</v>
      </c>
      <c r="AJ46" s="109" t="e">
        <f t="shared" si="17"/>
        <v>#REF!</v>
      </c>
      <c r="AK46" s="109" t="e">
        <f t="shared" si="18"/>
        <v>#REF!</v>
      </c>
      <c r="AL46" s="109"/>
      <c r="AM46" s="110"/>
      <c r="AN46" s="110"/>
      <c r="AO46" s="110"/>
      <c r="AP46" s="110"/>
      <c r="AQ46" s="112"/>
      <c r="AR46" s="112"/>
      <c r="AS46" s="110"/>
      <c r="AT46" s="105"/>
      <c r="AU46" s="105"/>
      <c r="AV46" s="105"/>
      <c r="AW46" s="105"/>
      <c r="AX46" s="105"/>
      <c r="AY46" s="105"/>
    </row>
    <row r="47" spans="1:51" x14ac:dyDescent="0.15">
      <c r="A47" s="115">
        <v>52</v>
      </c>
      <c r="B47" s="98" t="e">
        <f>VLOOKUP($A47,#REF!,101,FALSE)</f>
        <v>#REF!</v>
      </c>
      <c r="C47" s="98" t="e">
        <f>VLOOKUP($A47,#REF!,102,FALSE)</f>
        <v>#REF!</v>
      </c>
      <c r="D47" s="104" t="e">
        <f>VLOOKUP($A47,#REF!,5,FALSE)</f>
        <v>#REF!</v>
      </c>
      <c r="E47" s="104" t="e">
        <f>VLOOKUP($A47,#REF!,6,FALSE)</f>
        <v>#REF!</v>
      </c>
      <c r="F47" s="105" t="e">
        <f>VLOOKUP($A47,#REF!,34,FALSE)</f>
        <v>#REF!</v>
      </c>
      <c r="G47" s="105" t="e">
        <f>VLOOKUP($A47,#REF!,29,FALSE)</f>
        <v>#REF!</v>
      </c>
      <c r="H47" s="105" t="e">
        <f>VLOOKUP($A47,#REF!,35,FALSE)+VLOOKUP($A47,#REF!,97,FALSE)</f>
        <v>#REF!</v>
      </c>
      <c r="I47" s="105" t="e">
        <f t="shared" si="2"/>
        <v>#REF!</v>
      </c>
      <c r="J47" s="105" t="e">
        <f>VLOOKUP($A47,#REF!,42,FALSE)</f>
        <v>#REF!</v>
      </c>
      <c r="K47" s="105" t="e">
        <f t="shared" si="3"/>
        <v>#REF!</v>
      </c>
      <c r="L47" s="164" t="e">
        <f t="shared" si="1"/>
        <v>#REF!</v>
      </c>
      <c r="M47" s="105" t="e">
        <f t="shared" si="4"/>
        <v>#REF!</v>
      </c>
      <c r="N47" s="105" t="e">
        <f>VLOOKUP($A47,#REF!,46,FALSE)</f>
        <v>#REF!</v>
      </c>
      <c r="O47" s="106" t="e">
        <f>VLOOKUP($A47,#REF!,9,FALSE)</f>
        <v>#REF!</v>
      </c>
      <c r="P47" s="114" t="e">
        <f>#REF!</f>
        <v>#REF!</v>
      </c>
      <c r="Q47" s="114" t="e">
        <f>VLOOKUP(A47,#REF!,17,FALSE)</f>
        <v>#REF!</v>
      </c>
      <c r="R47" s="120" t="e">
        <f>#REF!</f>
        <v>#REF!</v>
      </c>
      <c r="S47" s="114" t="e">
        <f>IF(Q47=0,#REF!,ROUND(Q47*R47,4))</f>
        <v>#REF!</v>
      </c>
      <c r="T47" s="105" t="e">
        <f>VLOOKUP($A47,#REF!,15,FALSE)</f>
        <v>#REF!</v>
      </c>
      <c r="U47" s="105" t="e">
        <f>VLOOKUP($A47,#REF!,19,FALSE)</f>
        <v>#REF!</v>
      </c>
      <c r="V47" s="109" t="e">
        <f t="shared" si="5"/>
        <v>#REF!</v>
      </c>
      <c r="W47" s="121" t="e">
        <f t="shared" si="6"/>
        <v>#REF!</v>
      </c>
      <c r="X47" s="105" t="e">
        <f t="shared" si="7"/>
        <v>#REF!</v>
      </c>
      <c r="Y47" s="109" t="e">
        <f t="shared" si="8"/>
        <v>#REF!</v>
      </c>
      <c r="Z47" s="109" t="e">
        <f t="shared" si="9"/>
        <v>#REF!</v>
      </c>
      <c r="AA47" s="113" t="e">
        <f t="shared" si="10"/>
        <v>#REF!</v>
      </c>
      <c r="AB47" s="109" t="e">
        <f t="shared" si="11"/>
        <v>#REF!</v>
      </c>
      <c r="AC47" s="113" t="e">
        <f t="shared" si="12"/>
        <v>#REF!</v>
      </c>
      <c r="AD47" s="105" t="e">
        <f t="shared" si="13"/>
        <v>#REF!</v>
      </c>
      <c r="AE47" s="105" t="e">
        <f t="shared" si="14"/>
        <v>#REF!</v>
      </c>
      <c r="AF47" s="105" t="e">
        <f t="shared" si="15"/>
        <v>#REF!</v>
      </c>
      <c r="AG47" s="105" t="e">
        <f t="shared" si="16"/>
        <v>#REF!</v>
      </c>
      <c r="AH47" s="111" t="e">
        <f>VLOOKUP($A47,#REF!,5,FALSE)</f>
        <v>#REF!</v>
      </c>
      <c r="AI47" s="111" t="e">
        <f>VLOOKUP($A47,#REF!,6,FALSE)</f>
        <v>#REF!</v>
      </c>
      <c r="AJ47" s="109" t="e">
        <f t="shared" si="17"/>
        <v>#REF!</v>
      </c>
      <c r="AK47" s="109" t="e">
        <f t="shared" si="18"/>
        <v>#REF!</v>
      </c>
      <c r="AL47" s="109"/>
      <c r="AM47" s="110"/>
      <c r="AN47" s="110"/>
      <c r="AO47" s="110"/>
      <c r="AP47" s="110"/>
      <c r="AQ47" s="112"/>
      <c r="AR47" s="112"/>
      <c r="AS47" s="110"/>
      <c r="AT47" s="105"/>
      <c r="AU47" s="105"/>
      <c r="AV47" s="105"/>
      <c r="AW47" s="105"/>
      <c r="AX47" s="105"/>
      <c r="AY47" s="105"/>
    </row>
    <row r="48" spans="1:51" x14ac:dyDescent="0.15">
      <c r="A48" s="115">
        <v>743</v>
      </c>
      <c r="B48" s="98" t="e">
        <f>VLOOKUP($A48,#REF!,101,FALSE)</f>
        <v>#REF!</v>
      </c>
      <c r="C48" s="98" t="e">
        <f>VLOOKUP($A48,#REF!,102,FALSE)</f>
        <v>#REF!</v>
      </c>
      <c r="D48" s="104" t="e">
        <f>VLOOKUP($A48,#REF!,5,FALSE)</f>
        <v>#REF!</v>
      </c>
      <c r="E48" s="104" t="e">
        <f>VLOOKUP($A48,#REF!,6,FALSE)</f>
        <v>#REF!</v>
      </c>
      <c r="F48" s="105" t="e">
        <f>VLOOKUP($A48,#REF!,34,FALSE)</f>
        <v>#REF!</v>
      </c>
      <c r="G48" s="105" t="e">
        <f>VLOOKUP($A48,#REF!,29,FALSE)</f>
        <v>#REF!</v>
      </c>
      <c r="H48" s="105" t="e">
        <f>VLOOKUP($A48,#REF!,35,FALSE)+VLOOKUP($A48,#REF!,97,FALSE)</f>
        <v>#REF!</v>
      </c>
      <c r="I48" s="105" t="e">
        <f t="shared" si="2"/>
        <v>#REF!</v>
      </c>
      <c r="J48" s="105" t="e">
        <f>VLOOKUP($A48,#REF!,42,FALSE)</f>
        <v>#REF!</v>
      </c>
      <c r="K48" s="105" t="e">
        <f t="shared" si="3"/>
        <v>#REF!</v>
      </c>
      <c r="L48" s="164" t="e">
        <f t="shared" si="1"/>
        <v>#REF!</v>
      </c>
      <c r="M48" s="105" t="e">
        <f t="shared" si="4"/>
        <v>#REF!</v>
      </c>
      <c r="N48" s="105" t="e">
        <f>VLOOKUP($A48,#REF!,46,FALSE)</f>
        <v>#REF!</v>
      </c>
      <c r="O48" s="106" t="e">
        <f>VLOOKUP($A48,#REF!,9,FALSE)</f>
        <v>#REF!</v>
      </c>
      <c r="P48" s="114" t="e">
        <f>#REF!</f>
        <v>#REF!</v>
      </c>
      <c r="Q48" s="114" t="e">
        <f>VLOOKUP(A48,#REF!,17,FALSE)</f>
        <v>#REF!</v>
      </c>
      <c r="R48" s="120" t="e">
        <f>#REF!</f>
        <v>#REF!</v>
      </c>
      <c r="S48" s="114" t="e">
        <f>IF(Q48=0,#REF!,ROUND(Q48*R48,4))</f>
        <v>#REF!</v>
      </c>
      <c r="T48" s="105" t="e">
        <f>VLOOKUP($A48,#REF!,15,FALSE)</f>
        <v>#REF!</v>
      </c>
      <c r="U48" s="105" t="e">
        <f>VLOOKUP($A48,#REF!,19,FALSE)</f>
        <v>#REF!</v>
      </c>
      <c r="V48" s="109" t="e">
        <f t="shared" si="5"/>
        <v>#REF!</v>
      </c>
      <c r="W48" s="121" t="e">
        <f t="shared" si="6"/>
        <v>#REF!</v>
      </c>
      <c r="X48" s="105" t="e">
        <f t="shared" si="7"/>
        <v>#REF!</v>
      </c>
      <c r="Y48" s="109" t="e">
        <f t="shared" si="8"/>
        <v>#REF!</v>
      </c>
      <c r="Z48" s="109" t="e">
        <f t="shared" si="9"/>
        <v>#REF!</v>
      </c>
      <c r="AA48" s="113" t="e">
        <f t="shared" si="10"/>
        <v>#REF!</v>
      </c>
      <c r="AB48" s="109" t="e">
        <f t="shared" si="11"/>
        <v>#REF!</v>
      </c>
      <c r="AC48" s="113" t="e">
        <f t="shared" si="12"/>
        <v>#REF!</v>
      </c>
      <c r="AD48" s="105" t="e">
        <f t="shared" si="13"/>
        <v>#REF!</v>
      </c>
      <c r="AE48" s="105" t="e">
        <f t="shared" si="14"/>
        <v>#REF!</v>
      </c>
      <c r="AF48" s="105" t="e">
        <f t="shared" si="15"/>
        <v>#REF!</v>
      </c>
      <c r="AG48" s="105" t="e">
        <f t="shared" si="16"/>
        <v>#REF!</v>
      </c>
      <c r="AH48" s="111" t="e">
        <f>VLOOKUP($A48,#REF!,5,FALSE)</f>
        <v>#REF!</v>
      </c>
      <c r="AI48" s="111" t="e">
        <f>VLOOKUP($A48,#REF!,6,FALSE)</f>
        <v>#REF!</v>
      </c>
      <c r="AJ48" s="109" t="e">
        <f t="shared" si="17"/>
        <v>#REF!</v>
      </c>
      <c r="AK48" s="109" t="e">
        <f t="shared" si="18"/>
        <v>#REF!</v>
      </c>
      <c r="AL48" s="109"/>
      <c r="AM48" s="110"/>
      <c r="AN48" s="110"/>
      <c r="AO48" s="110"/>
      <c r="AP48" s="110"/>
      <c r="AQ48" s="112"/>
      <c r="AR48" s="112"/>
      <c r="AS48" s="110"/>
      <c r="AT48" s="105"/>
      <c r="AU48" s="105"/>
      <c r="AV48" s="105"/>
      <c r="AW48" s="105"/>
      <c r="AX48" s="105"/>
      <c r="AY48" s="105"/>
    </row>
    <row r="49" spans="1:51" x14ac:dyDescent="0.15">
      <c r="A49" s="115">
        <v>58</v>
      </c>
      <c r="B49" s="98" t="e">
        <f>VLOOKUP($A49,#REF!,101,FALSE)</f>
        <v>#REF!</v>
      </c>
      <c r="C49" s="98" t="e">
        <f>VLOOKUP($A49,#REF!,102,FALSE)</f>
        <v>#REF!</v>
      </c>
      <c r="D49" s="104" t="e">
        <f>VLOOKUP($A49,#REF!,5,FALSE)</f>
        <v>#REF!</v>
      </c>
      <c r="E49" s="104" t="e">
        <f>VLOOKUP($A49,#REF!,6,FALSE)</f>
        <v>#REF!</v>
      </c>
      <c r="F49" s="105" t="e">
        <f>VLOOKUP($A49,#REF!,34,FALSE)</f>
        <v>#REF!</v>
      </c>
      <c r="G49" s="105" t="e">
        <f>VLOOKUP($A49,#REF!,29,FALSE)</f>
        <v>#REF!</v>
      </c>
      <c r="H49" s="105" t="e">
        <f>VLOOKUP($A49,#REF!,35,FALSE)+VLOOKUP($A49,#REF!,97,FALSE)</f>
        <v>#REF!</v>
      </c>
      <c r="I49" s="105" t="e">
        <f t="shared" si="2"/>
        <v>#REF!</v>
      </c>
      <c r="J49" s="105" t="e">
        <f>VLOOKUP($A49,#REF!,42,FALSE)</f>
        <v>#REF!</v>
      </c>
      <c r="K49" s="105" t="e">
        <f t="shared" si="3"/>
        <v>#REF!</v>
      </c>
      <c r="L49" s="164" t="e">
        <f t="shared" si="1"/>
        <v>#REF!</v>
      </c>
      <c r="M49" s="105" t="e">
        <f t="shared" si="4"/>
        <v>#REF!</v>
      </c>
      <c r="N49" s="105" t="e">
        <f>VLOOKUP($A49,#REF!,46,FALSE)</f>
        <v>#REF!</v>
      </c>
      <c r="O49" s="106" t="e">
        <f>VLOOKUP($A49,#REF!,9,FALSE)</f>
        <v>#REF!</v>
      </c>
      <c r="P49" s="114" t="e">
        <f>#REF!</f>
        <v>#REF!</v>
      </c>
      <c r="Q49" s="114" t="e">
        <f>VLOOKUP(A49,#REF!,17,FALSE)</f>
        <v>#REF!</v>
      </c>
      <c r="R49" s="120" t="e">
        <f>#REF!</f>
        <v>#REF!</v>
      </c>
      <c r="S49" s="114" t="e">
        <f>IF(Q49=0,#REF!,ROUND(Q49*R49,4))</f>
        <v>#REF!</v>
      </c>
      <c r="T49" s="105" t="e">
        <f>VLOOKUP($A49,#REF!,15,FALSE)</f>
        <v>#REF!</v>
      </c>
      <c r="U49" s="105" t="e">
        <f>VLOOKUP($A49,#REF!,19,FALSE)</f>
        <v>#REF!</v>
      </c>
      <c r="V49" s="109" t="e">
        <f t="shared" si="5"/>
        <v>#REF!</v>
      </c>
      <c r="W49" s="121" t="e">
        <f t="shared" si="6"/>
        <v>#REF!</v>
      </c>
      <c r="X49" s="105" t="e">
        <f t="shared" si="7"/>
        <v>#REF!</v>
      </c>
      <c r="Y49" s="109" t="e">
        <f t="shared" si="8"/>
        <v>#REF!</v>
      </c>
      <c r="Z49" s="109" t="e">
        <f t="shared" si="9"/>
        <v>#REF!</v>
      </c>
      <c r="AA49" s="113" t="e">
        <f t="shared" si="10"/>
        <v>#REF!</v>
      </c>
      <c r="AB49" s="109" t="e">
        <f t="shared" si="11"/>
        <v>#REF!</v>
      </c>
      <c r="AC49" s="113" t="e">
        <f t="shared" si="12"/>
        <v>#REF!</v>
      </c>
      <c r="AD49" s="105" t="e">
        <f t="shared" si="13"/>
        <v>#REF!</v>
      </c>
      <c r="AE49" s="105" t="e">
        <f t="shared" si="14"/>
        <v>#REF!</v>
      </c>
      <c r="AF49" s="105" t="e">
        <f t="shared" si="15"/>
        <v>#REF!</v>
      </c>
      <c r="AG49" s="105" t="e">
        <f t="shared" si="16"/>
        <v>#REF!</v>
      </c>
      <c r="AH49" s="111" t="e">
        <f>VLOOKUP($A49,#REF!,5,FALSE)</f>
        <v>#REF!</v>
      </c>
      <c r="AI49" s="111" t="e">
        <f>VLOOKUP($A49,#REF!,6,FALSE)</f>
        <v>#REF!</v>
      </c>
      <c r="AJ49" s="109" t="e">
        <f t="shared" si="17"/>
        <v>#REF!</v>
      </c>
      <c r="AK49" s="109" t="e">
        <f t="shared" si="18"/>
        <v>#REF!</v>
      </c>
      <c r="AL49" s="109"/>
      <c r="AM49" s="110"/>
      <c r="AN49" s="110"/>
      <c r="AO49" s="110"/>
      <c r="AP49" s="110"/>
      <c r="AQ49" s="112"/>
      <c r="AR49" s="112"/>
      <c r="AS49" s="110"/>
      <c r="AT49" s="105"/>
      <c r="AU49" s="105"/>
      <c r="AV49" s="105"/>
      <c r="AW49" s="105"/>
      <c r="AX49" s="105"/>
      <c r="AY49" s="105"/>
    </row>
    <row r="50" spans="1:51" x14ac:dyDescent="0.15">
      <c r="A50" s="115">
        <v>699</v>
      </c>
      <c r="B50" s="98" t="e">
        <f>VLOOKUP($A50,#REF!,101,FALSE)</f>
        <v>#REF!</v>
      </c>
      <c r="C50" s="98" t="e">
        <f>VLOOKUP($A50,#REF!,102,FALSE)</f>
        <v>#REF!</v>
      </c>
      <c r="D50" s="104" t="e">
        <f>VLOOKUP($A50,#REF!,5,FALSE)</f>
        <v>#REF!</v>
      </c>
      <c r="E50" s="104" t="e">
        <f>VLOOKUP($A50,#REF!,6,FALSE)</f>
        <v>#REF!</v>
      </c>
      <c r="F50" s="105" t="e">
        <f>VLOOKUP($A50,#REF!,34,FALSE)</f>
        <v>#REF!</v>
      </c>
      <c r="G50" s="105" t="e">
        <f>VLOOKUP($A50,#REF!,29,FALSE)</f>
        <v>#REF!</v>
      </c>
      <c r="H50" s="105" t="e">
        <f>VLOOKUP($A50,#REF!,35,FALSE)+VLOOKUP($A50,#REF!,97,FALSE)</f>
        <v>#REF!</v>
      </c>
      <c r="I50" s="105" t="e">
        <f t="shared" si="2"/>
        <v>#REF!</v>
      </c>
      <c r="J50" s="105" t="e">
        <f>VLOOKUP($A50,#REF!,42,FALSE)</f>
        <v>#REF!</v>
      </c>
      <c r="K50" s="105" t="e">
        <f t="shared" si="3"/>
        <v>#REF!</v>
      </c>
      <c r="L50" s="164" t="e">
        <f t="shared" si="1"/>
        <v>#REF!</v>
      </c>
      <c r="M50" s="105" t="e">
        <f t="shared" si="4"/>
        <v>#REF!</v>
      </c>
      <c r="N50" s="105" t="e">
        <f>VLOOKUP($A50,#REF!,46,FALSE)</f>
        <v>#REF!</v>
      </c>
      <c r="O50" s="106" t="e">
        <f>VLOOKUP($A50,#REF!,9,FALSE)</f>
        <v>#REF!</v>
      </c>
      <c r="P50" s="114" t="e">
        <f>#REF!</f>
        <v>#REF!</v>
      </c>
      <c r="Q50" s="114" t="e">
        <f>VLOOKUP(A50,#REF!,17,FALSE)</f>
        <v>#REF!</v>
      </c>
      <c r="R50" s="120" t="e">
        <f>#REF!</f>
        <v>#REF!</v>
      </c>
      <c r="S50" s="114" t="e">
        <f>IF(Q50=0,#REF!,ROUND(Q50*R50,4))</f>
        <v>#REF!</v>
      </c>
      <c r="T50" s="105" t="e">
        <f>VLOOKUP($A50,#REF!,15,FALSE)</f>
        <v>#REF!</v>
      </c>
      <c r="U50" s="105" t="e">
        <f>VLOOKUP($A50,#REF!,19,FALSE)</f>
        <v>#REF!</v>
      </c>
      <c r="V50" s="109" t="e">
        <f t="shared" si="5"/>
        <v>#REF!</v>
      </c>
      <c r="W50" s="121" t="e">
        <f t="shared" si="6"/>
        <v>#REF!</v>
      </c>
      <c r="X50" s="105" t="e">
        <f t="shared" si="7"/>
        <v>#REF!</v>
      </c>
      <c r="Y50" s="109" t="e">
        <f t="shared" si="8"/>
        <v>#REF!</v>
      </c>
      <c r="Z50" s="109" t="e">
        <f t="shared" si="9"/>
        <v>#REF!</v>
      </c>
      <c r="AA50" s="113" t="e">
        <f t="shared" si="10"/>
        <v>#REF!</v>
      </c>
      <c r="AB50" s="109" t="e">
        <f t="shared" si="11"/>
        <v>#REF!</v>
      </c>
      <c r="AC50" s="113" t="e">
        <f t="shared" si="12"/>
        <v>#REF!</v>
      </c>
      <c r="AD50" s="105" t="e">
        <f t="shared" si="13"/>
        <v>#REF!</v>
      </c>
      <c r="AE50" s="105" t="e">
        <f t="shared" si="14"/>
        <v>#REF!</v>
      </c>
      <c r="AF50" s="105" t="e">
        <f t="shared" si="15"/>
        <v>#REF!</v>
      </c>
      <c r="AG50" s="105" t="e">
        <f t="shared" si="16"/>
        <v>#REF!</v>
      </c>
      <c r="AH50" s="111" t="e">
        <f>VLOOKUP($A50,#REF!,5,FALSE)</f>
        <v>#REF!</v>
      </c>
      <c r="AI50" s="111" t="e">
        <f>VLOOKUP($A50,#REF!,6,FALSE)</f>
        <v>#REF!</v>
      </c>
      <c r="AJ50" s="109" t="e">
        <f t="shared" si="17"/>
        <v>#REF!</v>
      </c>
      <c r="AK50" s="109" t="e">
        <f t="shared" si="18"/>
        <v>#REF!</v>
      </c>
      <c r="AL50" s="109"/>
      <c r="AM50" s="110"/>
      <c r="AN50" s="110"/>
      <c r="AO50" s="110"/>
      <c r="AP50" s="110"/>
      <c r="AQ50" s="112"/>
      <c r="AR50" s="112"/>
      <c r="AS50" s="110"/>
      <c r="AT50" s="105"/>
      <c r="AU50" s="105"/>
      <c r="AV50" s="105"/>
      <c r="AW50" s="105"/>
      <c r="AX50" s="105"/>
      <c r="AY50" s="105"/>
    </row>
    <row r="51" spans="1:51" x14ac:dyDescent="0.15">
      <c r="A51" s="115">
        <v>74</v>
      </c>
      <c r="B51" s="98" t="e">
        <f>VLOOKUP($A51,#REF!,101,FALSE)</f>
        <v>#REF!</v>
      </c>
      <c r="C51" s="98" t="e">
        <f>VLOOKUP($A51,#REF!,102,FALSE)</f>
        <v>#REF!</v>
      </c>
      <c r="D51" s="104" t="e">
        <f>VLOOKUP($A51,#REF!,5,FALSE)</f>
        <v>#REF!</v>
      </c>
      <c r="E51" s="104" t="e">
        <f>VLOOKUP($A51,#REF!,6,FALSE)</f>
        <v>#REF!</v>
      </c>
      <c r="F51" s="105" t="e">
        <f>VLOOKUP($A51,#REF!,34,FALSE)</f>
        <v>#REF!</v>
      </c>
      <c r="G51" s="105" t="e">
        <f>VLOOKUP($A51,#REF!,29,FALSE)</f>
        <v>#REF!</v>
      </c>
      <c r="H51" s="105" t="e">
        <f>VLOOKUP($A51,#REF!,35,FALSE)+VLOOKUP($A51,#REF!,97,FALSE)</f>
        <v>#REF!</v>
      </c>
      <c r="I51" s="105" t="e">
        <f t="shared" si="2"/>
        <v>#REF!</v>
      </c>
      <c r="J51" s="105" t="e">
        <f>VLOOKUP($A51,#REF!,42,FALSE)</f>
        <v>#REF!</v>
      </c>
      <c r="K51" s="105" t="e">
        <f t="shared" si="3"/>
        <v>#REF!</v>
      </c>
      <c r="L51" s="164" t="e">
        <f t="shared" si="1"/>
        <v>#REF!</v>
      </c>
      <c r="M51" s="105" t="e">
        <f t="shared" si="4"/>
        <v>#REF!</v>
      </c>
      <c r="N51" s="105" t="e">
        <f>VLOOKUP($A51,#REF!,46,FALSE)</f>
        <v>#REF!</v>
      </c>
      <c r="O51" s="106" t="e">
        <f>VLOOKUP($A51,#REF!,9,FALSE)</f>
        <v>#REF!</v>
      </c>
      <c r="P51" s="114" t="e">
        <f>#REF!</f>
        <v>#REF!</v>
      </c>
      <c r="Q51" s="114" t="e">
        <f>VLOOKUP(A51,#REF!,17,FALSE)</f>
        <v>#REF!</v>
      </c>
      <c r="R51" s="120" t="e">
        <f>#REF!</f>
        <v>#REF!</v>
      </c>
      <c r="S51" s="114" t="e">
        <f>IF(Q51=0,#REF!,ROUND(Q51*R51,4))</f>
        <v>#REF!</v>
      </c>
      <c r="T51" s="105" t="e">
        <f>VLOOKUP($A51,#REF!,15,FALSE)</f>
        <v>#REF!</v>
      </c>
      <c r="U51" s="105" t="e">
        <f>VLOOKUP($A51,#REF!,19,FALSE)</f>
        <v>#REF!</v>
      </c>
      <c r="V51" s="109" t="e">
        <f t="shared" si="5"/>
        <v>#REF!</v>
      </c>
      <c r="W51" s="121" t="e">
        <f t="shared" si="6"/>
        <v>#REF!</v>
      </c>
      <c r="X51" s="105" t="e">
        <f t="shared" si="7"/>
        <v>#REF!</v>
      </c>
      <c r="Y51" s="109" t="e">
        <f t="shared" si="8"/>
        <v>#REF!</v>
      </c>
      <c r="Z51" s="109" t="e">
        <f t="shared" si="9"/>
        <v>#REF!</v>
      </c>
      <c r="AA51" s="113" t="e">
        <f t="shared" si="10"/>
        <v>#REF!</v>
      </c>
      <c r="AB51" s="109" t="e">
        <f t="shared" si="11"/>
        <v>#REF!</v>
      </c>
      <c r="AC51" s="113" t="e">
        <f t="shared" si="12"/>
        <v>#REF!</v>
      </c>
      <c r="AD51" s="105" t="e">
        <f t="shared" si="13"/>
        <v>#REF!</v>
      </c>
      <c r="AE51" s="105" t="e">
        <f t="shared" si="14"/>
        <v>#REF!</v>
      </c>
      <c r="AF51" s="105" t="e">
        <f t="shared" si="15"/>
        <v>#REF!</v>
      </c>
      <c r="AG51" s="105" t="e">
        <f t="shared" si="16"/>
        <v>#REF!</v>
      </c>
      <c r="AH51" s="111" t="e">
        <f>VLOOKUP($A51,#REF!,5,FALSE)</f>
        <v>#REF!</v>
      </c>
      <c r="AI51" s="111" t="e">
        <f>VLOOKUP($A51,#REF!,6,FALSE)</f>
        <v>#REF!</v>
      </c>
      <c r="AJ51" s="109" t="e">
        <f t="shared" si="17"/>
        <v>#REF!</v>
      </c>
      <c r="AK51" s="109" t="e">
        <f t="shared" si="18"/>
        <v>#REF!</v>
      </c>
      <c r="AL51" s="109"/>
      <c r="AM51" s="110"/>
      <c r="AN51" s="110"/>
      <c r="AO51" s="110"/>
      <c r="AP51" s="110"/>
      <c r="AQ51" s="112"/>
      <c r="AR51" s="112"/>
      <c r="AS51" s="110"/>
      <c r="AT51" s="105"/>
      <c r="AU51" s="105"/>
      <c r="AV51" s="105"/>
      <c r="AW51" s="105"/>
      <c r="AX51" s="105"/>
      <c r="AY51" s="105"/>
    </row>
    <row r="52" spans="1:51" x14ac:dyDescent="0.15">
      <c r="A52" s="115">
        <v>785</v>
      </c>
      <c r="B52" s="98" t="e">
        <f>VLOOKUP($A52,#REF!,101,FALSE)</f>
        <v>#REF!</v>
      </c>
      <c r="C52" s="98" t="e">
        <f>VLOOKUP($A52,#REF!,102,FALSE)</f>
        <v>#REF!</v>
      </c>
      <c r="D52" s="104" t="e">
        <f>VLOOKUP($A52,#REF!,5,FALSE)</f>
        <v>#REF!</v>
      </c>
      <c r="E52" s="104" t="e">
        <f>VLOOKUP($A52,#REF!,6,FALSE)</f>
        <v>#REF!</v>
      </c>
      <c r="F52" s="105" t="e">
        <f>VLOOKUP($A52,#REF!,34,FALSE)</f>
        <v>#REF!</v>
      </c>
      <c r="G52" s="105" t="e">
        <f>VLOOKUP($A52,#REF!,29,FALSE)</f>
        <v>#REF!</v>
      </c>
      <c r="H52" s="105" t="e">
        <f>VLOOKUP($A52,#REF!,35,FALSE)+VLOOKUP($A52,#REF!,97,FALSE)</f>
        <v>#REF!</v>
      </c>
      <c r="I52" s="105" t="e">
        <f t="shared" si="2"/>
        <v>#REF!</v>
      </c>
      <c r="J52" s="105" t="e">
        <f>VLOOKUP($A52,#REF!,42,FALSE)</f>
        <v>#REF!</v>
      </c>
      <c r="K52" s="105" t="e">
        <f t="shared" si="3"/>
        <v>#REF!</v>
      </c>
      <c r="L52" s="164" t="e">
        <f t="shared" si="1"/>
        <v>#REF!</v>
      </c>
      <c r="M52" s="105" t="e">
        <f t="shared" si="4"/>
        <v>#REF!</v>
      </c>
      <c r="N52" s="105" t="e">
        <f>VLOOKUP($A52,#REF!,46,FALSE)</f>
        <v>#REF!</v>
      </c>
      <c r="O52" s="106" t="e">
        <f>VLOOKUP($A52,#REF!,9,FALSE)</f>
        <v>#REF!</v>
      </c>
      <c r="P52" s="114" t="e">
        <f>#REF!</f>
        <v>#REF!</v>
      </c>
      <c r="Q52" s="114" t="e">
        <f>VLOOKUP(A52,#REF!,17,FALSE)</f>
        <v>#REF!</v>
      </c>
      <c r="R52" s="120" t="e">
        <f>#REF!</f>
        <v>#REF!</v>
      </c>
      <c r="S52" s="114" t="e">
        <f>IF(Q52=0,#REF!,ROUND(Q52*R52,4))</f>
        <v>#REF!</v>
      </c>
      <c r="T52" s="105" t="e">
        <f>VLOOKUP($A52,#REF!,15,FALSE)</f>
        <v>#REF!</v>
      </c>
      <c r="U52" s="105" t="e">
        <f>VLOOKUP($A52,#REF!,19,FALSE)</f>
        <v>#REF!</v>
      </c>
      <c r="V52" s="109" t="e">
        <f t="shared" si="5"/>
        <v>#REF!</v>
      </c>
      <c r="W52" s="121" t="e">
        <f t="shared" si="6"/>
        <v>#REF!</v>
      </c>
      <c r="X52" s="105" t="e">
        <f t="shared" si="7"/>
        <v>#REF!</v>
      </c>
      <c r="Y52" s="109" t="e">
        <f t="shared" si="8"/>
        <v>#REF!</v>
      </c>
      <c r="Z52" s="109" t="e">
        <f t="shared" si="9"/>
        <v>#REF!</v>
      </c>
      <c r="AA52" s="113" t="e">
        <f t="shared" si="10"/>
        <v>#REF!</v>
      </c>
      <c r="AB52" s="109" t="e">
        <f t="shared" si="11"/>
        <v>#REF!</v>
      </c>
      <c r="AC52" s="113" t="e">
        <f t="shared" si="12"/>
        <v>#REF!</v>
      </c>
      <c r="AD52" s="105" t="e">
        <f t="shared" si="13"/>
        <v>#REF!</v>
      </c>
      <c r="AE52" s="105" t="e">
        <f t="shared" si="14"/>
        <v>#REF!</v>
      </c>
      <c r="AF52" s="105" t="e">
        <f t="shared" si="15"/>
        <v>#REF!</v>
      </c>
      <c r="AG52" s="105" t="e">
        <f t="shared" si="16"/>
        <v>#REF!</v>
      </c>
      <c r="AH52" s="111" t="e">
        <f>VLOOKUP($A52,#REF!,5,FALSE)</f>
        <v>#REF!</v>
      </c>
      <c r="AI52" s="111" t="e">
        <f>VLOOKUP($A52,#REF!,6,FALSE)</f>
        <v>#REF!</v>
      </c>
      <c r="AJ52" s="109" t="e">
        <f t="shared" si="17"/>
        <v>#REF!</v>
      </c>
      <c r="AK52" s="109" t="e">
        <f t="shared" si="18"/>
        <v>#REF!</v>
      </c>
      <c r="AL52" s="109"/>
      <c r="AM52" s="110"/>
      <c r="AN52" s="110"/>
      <c r="AO52" s="110"/>
      <c r="AP52" s="110"/>
      <c r="AQ52" s="112"/>
      <c r="AR52" s="112"/>
      <c r="AS52" s="110"/>
      <c r="AT52" s="105"/>
      <c r="AU52" s="105"/>
      <c r="AV52" s="105"/>
      <c r="AW52" s="105"/>
      <c r="AX52" s="105"/>
      <c r="AY52" s="105"/>
    </row>
    <row r="53" spans="1:51" x14ac:dyDescent="0.15">
      <c r="A53" s="115">
        <v>76</v>
      </c>
      <c r="B53" s="98" t="e">
        <f>VLOOKUP($A53,#REF!,101,FALSE)</f>
        <v>#REF!</v>
      </c>
      <c r="C53" s="98" t="e">
        <f>VLOOKUP($A53,#REF!,102,FALSE)</f>
        <v>#REF!</v>
      </c>
      <c r="D53" s="104" t="e">
        <f>VLOOKUP($A53,#REF!,5,FALSE)</f>
        <v>#REF!</v>
      </c>
      <c r="E53" s="104" t="e">
        <f>VLOOKUP($A53,#REF!,6,FALSE)</f>
        <v>#REF!</v>
      </c>
      <c r="F53" s="105" t="e">
        <f>VLOOKUP($A53,#REF!,34,FALSE)</f>
        <v>#REF!</v>
      </c>
      <c r="G53" s="105" t="e">
        <f>VLOOKUP($A53,#REF!,29,FALSE)</f>
        <v>#REF!</v>
      </c>
      <c r="H53" s="105" t="e">
        <f>VLOOKUP($A53,#REF!,35,FALSE)+VLOOKUP($A53,#REF!,97,FALSE)</f>
        <v>#REF!</v>
      </c>
      <c r="I53" s="105" t="e">
        <f t="shared" si="2"/>
        <v>#REF!</v>
      </c>
      <c r="J53" s="105" t="e">
        <f>VLOOKUP($A53,#REF!,42,FALSE)</f>
        <v>#REF!</v>
      </c>
      <c r="K53" s="105" t="e">
        <f t="shared" si="3"/>
        <v>#REF!</v>
      </c>
      <c r="L53" s="164" t="e">
        <f t="shared" si="1"/>
        <v>#REF!</v>
      </c>
      <c r="M53" s="105" t="e">
        <f t="shared" si="4"/>
        <v>#REF!</v>
      </c>
      <c r="N53" s="105" t="e">
        <f>VLOOKUP($A53,#REF!,46,FALSE)</f>
        <v>#REF!</v>
      </c>
      <c r="O53" s="106" t="e">
        <f>VLOOKUP($A53,#REF!,9,FALSE)</f>
        <v>#REF!</v>
      </c>
      <c r="P53" s="114" t="e">
        <f>#REF!</f>
        <v>#REF!</v>
      </c>
      <c r="Q53" s="114" t="e">
        <f>VLOOKUP(A53,#REF!,17,FALSE)</f>
        <v>#REF!</v>
      </c>
      <c r="R53" s="120" t="e">
        <f>#REF!</f>
        <v>#REF!</v>
      </c>
      <c r="S53" s="114" t="e">
        <f>IF(Q53=0,#REF!,ROUND(Q53*R53,4))</f>
        <v>#REF!</v>
      </c>
      <c r="T53" s="105" t="e">
        <f>VLOOKUP($A53,#REF!,15,FALSE)</f>
        <v>#REF!</v>
      </c>
      <c r="U53" s="105" t="e">
        <f>VLOOKUP($A53,#REF!,19,FALSE)</f>
        <v>#REF!</v>
      </c>
      <c r="V53" s="109" t="e">
        <f t="shared" si="5"/>
        <v>#REF!</v>
      </c>
      <c r="W53" s="121" t="e">
        <f t="shared" si="6"/>
        <v>#REF!</v>
      </c>
      <c r="X53" s="105" t="e">
        <f t="shared" si="7"/>
        <v>#REF!</v>
      </c>
      <c r="Y53" s="109" t="e">
        <f t="shared" si="8"/>
        <v>#REF!</v>
      </c>
      <c r="Z53" s="109" t="e">
        <f t="shared" si="9"/>
        <v>#REF!</v>
      </c>
      <c r="AA53" s="113" t="e">
        <f t="shared" si="10"/>
        <v>#REF!</v>
      </c>
      <c r="AB53" s="109" t="e">
        <f t="shared" si="11"/>
        <v>#REF!</v>
      </c>
      <c r="AC53" s="113" t="e">
        <f t="shared" si="12"/>
        <v>#REF!</v>
      </c>
      <c r="AD53" s="105" t="e">
        <f t="shared" si="13"/>
        <v>#REF!</v>
      </c>
      <c r="AE53" s="105" t="e">
        <f t="shared" si="14"/>
        <v>#REF!</v>
      </c>
      <c r="AF53" s="105" t="e">
        <f t="shared" si="15"/>
        <v>#REF!</v>
      </c>
      <c r="AG53" s="105" t="e">
        <f t="shared" si="16"/>
        <v>#REF!</v>
      </c>
      <c r="AH53" s="111" t="e">
        <f>VLOOKUP($A53,#REF!,5,FALSE)</f>
        <v>#REF!</v>
      </c>
      <c r="AI53" s="111" t="e">
        <f>VLOOKUP($A53,#REF!,6,FALSE)</f>
        <v>#REF!</v>
      </c>
      <c r="AJ53" s="109" t="e">
        <f t="shared" si="17"/>
        <v>#REF!</v>
      </c>
      <c r="AK53" s="109" t="e">
        <f t="shared" si="18"/>
        <v>#REF!</v>
      </c>
      <c r="AL53" s="109"/>
      <c r="AM53" s="110"/>
      <c r="AN53" s="110"/>
      <c r="AO53" s="110"/>
      <c r="AP53" s="110"/>
      <c r="AQ53" s="112"/>
      <c r="AR53" s="112"/>
      <c r="AS53" s="110"/>
      <c r="AT53" s="105"/>
      <c r="AU53" s="105"/>
      <c r="AV53" s="105"/>
      <c r="AW53" s="105"/>
      <c r="AX53" s="105"/>
      <c r="AY53" s="105"/>
    </row>
    <row r="54" spans="1:51" x14ac:dyDescent="0.15">
      <c r="A54" s="115">
        <v>82</v>
      </c>
      <c r="B54" s="98" t="e">
        <f>VLOOKUP($A54,#REF!,101,FALSE)</f>
        <v>#REF!</v>
      </c>
      <c r="C54" s="98" t="e">
        <f>VLOOKUP($A54,#REF!,102,FALSE)</f>
        <v>#REF!</v>
      </c>
      <c r="D54" s="104" t="e">
        <f>VLOOKUP($A54,#REF!,5,FALSE)</f>
        <v>#REF!</v>
      </c>
      <c r="E54" s="104" t="e">
        <f>VLOOKUP($A54,#REF!,6,FALSE)</f>
        <v>#REF!</v>
      </c>
      <c r="F54" s="105" t="e">
        <f>VLOOKUP($A54,#REF!,34,FALSE)</f>
        <v>#REF!</v>
      </c>
      <c r="G54" s="105" t="e">
        <f>VLOOKUP($A54,#REF!,29,FALSE)</f>
        <v>#REF!</v>
      </c>
      <c r="H54" s="105" t="e">
        <f>VLOOKUP($A54,#REF!,35,FALSE)+VLOOKUP($A54,#REF!,97,FALSE)</f>
        <v>#REF!</v>
      </c>
      <c r="I54" s="105" t="e">
        <f t="shared" si="2"/>
        <v>#REF!</v>
      </c>
      <c r="J54" s="105" t="e">
        <f>VLOOKUP($A54,#REF!,42,FALSE)</f>
        <v>#REF!</v>
      </c>
      <c r="K54" s="105" t="e">
        <f t="shared" si="3"/>
        <v>#REF!</v>
      </c>
      <c r="L54" s="164" t="e">
        <f t="shared" si="1"/>
        <v>#REF!</v>
      </c>
      <c r="M54" s="105" t="e">
        <f t="shared" si="4"/>
        <v>#REF!</v>
      </c>
      <c r="N54" s="105" t="e">
        <f>VLOOKUP($A54,#REF!,46,FALSE)</f>
        <v>#REF!</v>
      </c>
      <c r="O54" s="106" t="e">
        <f>VLOOKUP($A54,#REF!,9,FALSE)</f>
        <v>#REF!</v>
      </c>
      <c r="P54" s="114" t="e">
        <f>#REF!</f>
        <v>#REF!</v>
      </c>
      <c r="Q54" s="114" t="e">
        <f>VLOOKUP(A54,#REF!,17,FALSE)</f>
        <v>#REF!</v>
      </c>
      <c r="R54" s="120" t="e">
        <f>#REF!</f>
        <v>#REF!</v>
      </c>
      <c r="S54" s="114" t="e">
        <f>IF(Q54=0,#REF!,ROUND(Q54*R54,4))</f>
        <v>#REF!</v>
      </c>
      <c r="T54" s="105" t="e">
        <f>VLOOKUP($A54,#REF!,15,FALSE)</f>
        <v>#REF!</v>
      </c>
      <c r="U54" s="105" t="e">
        <f>VLOOKUP($A54,#REF!,19,FALSE)</f>
        <v>#REF!</v>
      </c>
      <c r="V54" s="109" t="e">
        <f t="shared" si="5"/>
        <v>#REF!</v>
      </c>
      <c r="W54" s="121" t="e">
        <f t="shared" si="6"/>
        <v>#REF!</v>
      </c>
      <c r="X54" s="105" t="e">
        <f t="shared" si="7"/>
        <v>#REF!</v>
      </c>
      <c r="Y54" s="109" t="e">
        <f t="shared" si="8"/>
        <v>#REF!</v>
      </c>
      <c r="Z54" s="109" t="e">
        <f t="shared" si="9"/>
        <v>#REF!</v>
      </c>
      <c r="AA54" s="113" t="e">
        <f t="shared" si="10"/>
        <v>#REF!</v>
      </c>
      <c r="AB54" s="109" t="e">
        <f t="shared" si="11"/>
        <v>#REF!</v>
      </c>
      <c r="AC54" s="113" t="e">
        <f t="shared" si="12"/>
        <v>#REF!</v>
      </c>
      <c r="AD54" s="105" t="e">
        <f t="shared" si="13"/>
        <v>#REF!</v>
      </c>
      <c r="AE54" s="105" t="e">
        <f t="shared" si="14"/>
        <v>#REF!</v>
      </c>
      <c r="AF54" s="105" t="e">
        <f t="shared" si="15"/>
        <v>#REF!</v>
      </c>
      <c r="AG54" s="105" t="e">
        <f t="shared" si="16"/>
        <v>#REF!</v>
      </c>
      <c r="AH54" s="111" t="e">
        <f>VLOOKUP($A54,#REF!,5,FALSE)</f>
        <v>#REF!</v>
      </c>
      <c r="AI54" s="111" t="e">
        <f>VLOOKUP($A54,#REF!,6,FALSE)</f>
        <v>#REF!</v>
      </c>
      <c r="AJ54" s="109" t="e">
        <f t="shared" si="17"/>
        <v>#REF!</v>
      </c>
      <c r="AK54" s="109" t="e">
        <f t="shared" si="18"/>
        <v>#REF!</v>
      </c>
      <c r="AL54" s="109"/>
      <c r="AM54" s="110"/>
      <c r="AN54" s="110"/>
      <c r="AO54" s="110"/>
      <c r="AP54" s="110"/>
      <c r="AQ54" s="112"/>
      <c r="AR54" s="112"/>
      <c r="AS54" s="110"/>
      <c r="AT54" s="105"/>
      <c r="AU54" s="105"/>
      <c r="AV54" s="105"/>
      <c r="AW54" s="105"/>
      <c r="AX54" s="105"/>
      <c r="AY54" s="105"/>
    </row>
    <row r="55" spans="1:51" x14ac:dyDescent="0.15">
      <c r="A55" s="115">
        <v>1421</v>
      </c>
      <c r="B55" s="98" t="e">
        <f>VLOOKUP($A55,#REF!,101,FALSE)</f>
        <v>#REF!</v>
      </c>
      <c r="C55" s="98" t="e">
        <f>VLOOKUP($A55,#REF!,102,FALSE)</f>
        <v>#REF!</v>
      </c>
      <c r="D55" s="104" t="e">
        <f>VLOOKUP($A55,#REF!,5,FALSE)</f>
        <v>#REF!</v>
      </c>
      <c r="E55" s="104" t="e">
        <f>VLOOKUP($A55,#REF!,6,FALSE)</f>
        <v>#REF!</v>
      </c>
      <c r="F55" s="105" t="e">
        <f>VLOOKUP($A55,#REF!,34,FALSE)</f>
        <v>#REF!</v>
      </c>
      <c r="G55" s="105" t="e">
        <f>VLOOKUP($A55,#REF!,29,FALSE)</f>
        <v>#REF!</v>
      </c>
      <c r="H55" s="105" t="e">
        <f>VLOOKUP($A55,#REF!,35,FALSE)+VLOOKUP($A55,#REF!,97,FALSE)</f>
        <v>#REF!</v>
      </c>
      <c r="I55" s="105" t="e">
        <f t="shared" si="2"/>
        <v>#REF!</v>
      </c>
      <c r="J55" s="105" t="e">
        <f>VLOOKUP($A55,#REF!,42,FALSE)</f>
        <v>#REF!</v>
      </c>
      <c r="K55" s="105" t="e">
        <f t="shared" si="3"/>
        <v>#REF!</v>
      </c>
      <c r="L55" s="164" t="e">
        <f t="shared" si="1"/>
        <v>#REF!</v>
      </c>
      <c r="M55" s="105" t="e">
        <f t="shared" si="4"/>
        <v>#REF!</v>
      </c>
      <c r="N55" s="105" t="e">
        <f>VLOOKUP($A55,#REF!,46,FALSE)</f>
        <v>#REF!</v>
      </c>
      <c r="O55" s="106" t="e">
        <f>VLOOKUP($A55,#REF!,9,FALSE)</f>
        <v>#REF!</v>
      </c>
      <c r="P55" s="114" t="e">
        <f>#REF!</f>
        <v>#REF!</v>
      </c>
      <c r="Q55" s="114" t="e">
        <f>VLOOKUP(A55,#REF!,17,FALSE)</f>
        <v>#REF!</v>
      </c>
      <c r="R55" s="120" t="e">
        <f>#REF!</f>
        <v>#REF!</v>
      </c>
      <c r="S55" s="114" t="e">
        <f>IF(Q55=0,#REF!,ROUND(Q55*R55,4))</f>
        <v>#REF!</v>
      </c>
      <c r="T55" s="105" t="e">
        <f>VLOOKUP($A55,#REF!,15,FALSE)</f>
        <v>#REF!</v>
      </c>
      <c r="U55" s="105" t="e">
        <f>VLOOKUP($A55,#REF!,19,FALSE)</f>
        <v>#REF!</v>
      </c>
      <c r="V55" s="109" t="e">
        <f t="shared" si="5"/>
        <v>#REF!</v>
      </c>
      <c r="W55" s="121" t="e">
        <f t="shared" si="6"/>
        <v>#REF!</v>
      </c>
      <c r="X55" s="105" t="e">
        <f t="shared" si="7"/>
        <v>#REF!</v>
      </c>
      <c r="Y55" s="109" t="e">
        <f t="shared" si="8"/>
        <v>#REF!</v>
      </c>
      <c r="Z55" s="109" t="e">
        <f t="shared" si="9"/>
        <v>#REF!</v>
      </c>
      <c r="AA55" s="113" t="e">
        <f t="shared" si="10"/>
        <v>#REF!</v>
      </c>
      <c r="AB55" s="109" t="e">
        <f t="shared" si="11"/>
        <v>#REF!</v>
      </c>
      <c r="AC55" s="113" t="e">
        <f t="shared" si="12"/>
        <v>#REF!</v>
      </c>
      <c r="AD55" s="105" t="e">
        <f t="shared" si="13"/>
        <v>#REF!</v>
      </c>
      <c r="AE55" s="105" t="e">
        <f t="shared" si="14"/>
        <v>#REF!</v>
      </c>
      <c r="AF55" s="105" t="e">
        <f t="shared" si="15"/>
        <v>#REF!</v>
      </c>
      <c r="AG55" s="105" t="e">
        <f t="shared" si="16"/>
        <v>#REF!</v>
      </c>
      <c r="AH55" s="111" t="e">
        <f>VLOOKUP($A55,#REF!,5,FALSE)</f>
        <v>#REF!</v>
      </c>
      <c r="AI55" s="111" t="e">
        <f>VLOOKUP($A55,#REF!,6,FALSE)</f>
        <v>#REF!</v>
      </c>
      <c r="AJ55" s="109" t="e">
        <f t="shared" si="17"/>
        <v>#REF!</v>
      </c>
      <c r="AK55" s="109" t="e">
        <f t="shared" si="18"/>
        <v>#REF!</v>
      </c>
      <c r="AL55" s="109"/>
      <c r="AM55" s="110"/>
      <c r="AN55" s="110"/>
      <c r="AO55" s="110"/>
      <c r="AP55" s="110"/>
      <c r="AQ55" s="112"/>
      <c r="AR55" s="112"/>
      <c r="AS55" s="110"/>
      <c r="AT55" s="105"/>
      <c r="AU55" s="105"/>
      <c r="AV55" s="105"/>
      <c r="AW55" s="105"/>
      <c r="AX55" s="105"/>
      <c r="AY55" s="105"/>
    </row>
    <row r="56" spans="1:51" x14ac:dyDescent="0.15">
      <c r="A56" s="115">
        <v>84</v>
      </c>
      <c r="B56" s="98" t="e">
        <f>VLOOKUP($A56,#REF!,101,FALSE)</f>
        <v>#REF!</v>
      </c>
      <c r="C56" s="98" t="e">
        <f>VLOOKUP($A56,#REF!,102,FALSE)</f>
        <v>#REF!</v>
      </c>
      <c r="D56" s="104" t="e">
        <f>VLOOKUP($A56,#REF!,5,FALSE)</f>
        <v>#REF!</v>
      </c>
      <c r="E56" s="104" t="e">
        <f>VLOOKUP($A56,#REF!,6,FALSE)</f>
        <v>#REF!</v>
      </c>
      <c r="F56" s="105" t="e">
        <f>VLOOKUP($A56,#REF!,34,FALSE)</f>
        <v>#REF!</v>
      </c>
      <c r="G56" s="105" t="e">
        <f>VLOOKUP($A56,#REF!,29,FALSE)</f>
        <v>#REF!</v>
      </c>
      <c r="H56" s="105" t="e">
        <f>VLOOKUP($A56,#REF!,35,FALSE)+VLOOKUP($A56,#REF!,97,FALSE)</f>
        <v>#REF!</v>
      </c>
      <c r="I56" s="105" t="e">
        <f t="shared" si="2"/>
        <v>#REF!</v>
      </c>
      <c r="J56" s="105" t="e">
        <f>VLOOKUP($A56,#REF!,42,FALSE)</f>
        <v>#REF!</v>
      </c>
      <c r="K56" s="105" t="e">
        <f t="shared" si="3"/>
        <v>#REF!</v>
      </c>
      <c r="L56" s="164" t="e">
        <f t="shared" si="1"/>
        <v>#REF!</v>
      </c>
      <c r="M56" s="105" t="e">
        <f t="shared" si="4"/>
        <v>#REF!</v>
      </c>
      <c r="N56" s="105" t="e">
        <f>VLOOKUP($A56,#REF!,46,FALSE)</f>
        <v>#REF!</v>
      </c>
      <c r="O56" s="106" t="e">
        <f>VLOOKUP($A56,#REF!,9,FALSE)</f>
        <v>#REF!</v>
      </c>
      <c r="P56" s="114" t="e">
        <f>#REF!</f>
        <v>#REF!</v>
      </c>
      <c r="Q56" s="114" t="e">
        <f>VLOOKUP(A56,#REF!,17,FALSE)</f>
        <v>#REF!</v>
      </c>
      <c r="R56" s="120" t="e">
        <f>#REF!</f>
        <v>#REF!</v>
      </c>
      <c r="S56" s="114" t="e">
        <f>IF(Q56=0,#REF!,ROUND(Q56*R56,4))</f>
        <v>#REF!</v>
      </c>
      <c r="T56" s="105" t="e">
        <f>VLOOKUP($A56,#REF!,15,FALSE)</f>
        <v>#REF!</v>
      </c>
      <c r="U56" s="105" t="e">
        <f>VLOOKUP($A56,#REF!,19,FALSE)</f>
        <v>#REF!</v>
      </c>
      <c r="V56" s="109" t="e">
        <f t="shared" si="5"/>
        <v>#REF!</v>
      </c>
      <c r="W56" s="121" t="e">
        <f t="shared" si="6"/>
        <v>#REF!</v>
      </c>
      <c r="X56" s="105" t="e">
        <f t="shared" si="7"/>
        <v>#REF!</v>
      </c>
      <c r="Y56" s="109" t="e">
        <f t="shared" si="8"/>
        <v>#REF!</v>
      </c>
      <c r="Z56" s="109" t="e">
        <f t="shared" si="9"/>
        <v>#REF!</v>
      </c>
      <c r="AA56" s="113" t="e">
        <f t="shared" si="10"/>
        <v>#REF!</v>
      </c>
      <c r="AB56" s="109" t="e">
        <f t="shared" si="11"/>
        <v>#REF!</v>
      </c>
      <c r="AC56" s="113" t="e">
        <f t="shared" si="12"/>
        <v>#REF!</v>
      </c>
      <c r="AD56" s="105" t="e">
        <f t="shared" si="13"/>
        <v>#REF!</v>
      </c>
      <c r="AE56" s="105" t="e">
        <f t="shared" si="14"/>
        <v>#REF!</v>
      </c>
      <c r="AF56" s="105" t="e">
        <f t="shared" si="15"/>
        <v>#REF!</v>
      </c>
      <c r="AG56" s="105" t="e">
        <f t="shared" si="16"/>
        <v>#REF!</v>
      </c>
      <c r="AH56" s="111" t="e">
        <f>VLOOKUP($A56,#REF!,5,FALSE)</f>
        <v>#REF!</v>
      </c>
      <c r="AI56" s="111" t="e">
        <f>VLOOKUP($A56,#REF!,6,FALSE)</f>
        <v>#REF!</v>
      </c>
      <c r="AJ56" s="109" t="e">
        <f t="shared" si="17"/>
        <v>#REF!</v>
      </c>
      <c r="AK56" s="109" t="e">
        <f t="shared" si="18"/>
        <v>#REF!</v>
      </c>
      <c r="AL56" s="109"/>
      <c r="AM56" s="110"/>
      <c r="AN56" s="110"/>
      <c r="AO56" s="110"/>
      <c r="AP56" s="110"/>
      <c r="AQ56" s="112"/>
      <c r="AR56" s="112"/>
      <c r="AS56" s="110"/>
      <c r="AT56" s="105"/>
      <c r="AU56" s="105"/>
      <c r="AV56" s="105"/>
      <c r="AW56" s="105"/>
      <c r="AX56" s="105"/>
      <c r="AY56" s="105"/>
    </row>
    <row r="57" spans="1:51" x14ac:dyDescent="0.15">
      <c r="A57" s="115">
        <v>86</v>
      </c>
      <c r="B57" s="98" t="e">
        <f>VLOOKUP($A57,#REF!,101,FALSE)</f>
        <v>#REF!</v>
      </c>
      <c r="C57" s="98" t="e">
        <f>VLOOKUP($A57,#REF!,102,FALSE)</f>
        <v>#REF!</v>
      </c>
      <c r="D57" s="104" t="e">
        <f>VLOOKUP($A57,#REF!,5,FALSE)</f>
        <v>#REF!</v>
      </c>
      <c r="E57" s="104" t="e">
        <f>VLOOKUP($A57,#REF!,6,FALSE)</f>
        <v>#REF!</v>
      </c>
      <c r="F57" s="105" t="e">
        <f>VLOOKUP($A57,#REF!,34,FALSE)</f>
        <v>#REF!</v>
      </c>
      <c r="G57" s="105" t="e">
        <f>VLOOKUP($A57,#REF!,29,FALSE)</f>
        <v>#REF!</v>
      </c>
      <c r="H57" s="105" t="e">
        <f>VLOOKUP($A57,#REF!,35,FALSE)+VLOOKUP($A57,#REF!,97,FALSE)</f>
        <v>#REF!</v>
      </c>
      <c r="I57" s="105" t="e">
        <f t="shared" si="2"/>
        <v>#REF!</v>
      </c>
      <c r="J57" s="105" t="e">
        <f>VLOOKUP($A57,#REF!,42,FALSE)</f>
        <v>#REF!</v>
      </c>
      <c r="K57" s="105" t="e">
        <f t="shared" si="3"/>
        <v>#REF!</v>
      </c>
      <c r="L57" s="164" t="e">
        <f t="shared" si="1"/>
        <v>#REF!</v>
      </c>
      <c r="M57" s="105" t="e">
        <f t="shared" si="4"/>
        <v>#REF!</v>
      </c>
      <c r="N57" s="105" t="e">
        <f>VLOOKUP($A57,#REF!,46,FALSE)</f>
        <v>#REF!</v>
      </c>
      <c r="O57" s="106" t="e">
        <f>VLOOKUP($A57,#REF!,9,FALSE)</f>
        <v>#REF!</v>
      </c>
      <c r="P57" s="114" t="e">
        <f>#REF!</f>
        <v>#REF!</v>
      </c>
      <c r="Q57" s="114" t="e">
        <f>VLOOKUP(A57,#REF!,17,FALSE)</f>
        <v>#REF!</v>
      </c>
      <c r="R57" s="120" t="e">
        <f>#REF!</f>
        <v>#REF!</v>
      </c>
      <c r="S57" s="114" t="e">
        <f>IF(Q57=0,#REF!,ROUND(Q57*R57,4))</f>
        <v>#REF!</v>
      </c>
      <c r="T57" s="105" t="e">
        <f>VLOOKUP($A57,#REF!,15,FALSE)</f>
        <v>#REF!</v>
      </c>
      <c r="U57" s="105" t="e">
        <f>VLOOKUP($A57,#REF!,19,FALSE)</f>
        <v>#REF!</v>
      </c>
      <c r="V57" s="109" t="e">
        <f t="shared" si="5"/>
        <v>#REF!</v>
      </c>
      <c r="W57" s="121" t="e">
        <f t="shared" si="6"/>
        <v>#REF!</v>
      </c>
      <c r="X57" s="105" t="e">
        <f t="shared" si="7"/>
        <v>#REF!</v>
      </c>
      <c r="Y57" s="109" t="e">
        <f t="shared" si="8"/>
        <v>#REF!</v>
      </c>
      <c r="Z57" s="109" t="e">
        <f t="shared" si="9"/>
        <v>#REF!</v>
      </c>
      <c r="AA57" s="113" t="e">
        <f t="shared" si="10"/>
        <v>#REF!</v>
      </c>
      <c r="AB57" s="109" t="e">
        <f t="shared" si="11"/>
        <v>#REF!</v>
      </c>
      <c r="AC57" s="113" t="e">
        <f t="shared" si="12"/>
        <v>#REF!</v>
      </c>
      <c r="AD57" s="105" t="e">
        <f t="shared" si="13"/>
        <v>#REF!</v>
      </c>
      <c r="AE57" s="105" t="e">
        <f t="shared" si="14"/>
        <v>#REF!</v>
      </c>
      <c r="AF57" s="105" t="e">
        <f t="shared" si="15"/>
        <v>#REF!</v>
      </c>
      <c r="AG57" s="105" t="e">
        <f t="shared" si="16"/>
        <v>#REF!</v>
      </c>
      <c r="AH57" s="111" t="e">
        <f>VLOOKUP($A57,#REF!,5,FALSE)</f>
        <v>#REF!</v>
      </c>
      <c r="AI57" s="111" t="e">
        <f>VLOOKUP($A57,#REF!,6,FALSE)</f>
        <v>#REF!</v>
      </c>
      <c r="AJ57" s="109" t="e">
        <f t="shared" si="17"/>
        <v>#REF!</v>
      </c>
      <c r="AK57" s="109" t="e">
        <f t="shared" si="18"/>
        <v>#REF!</v>
      </c>
      <c r="AL57" s="109"/>
      <c r="AM57" s="110"/>
      <c r="AN57" s="110"/>
      <c r="AO57" s="110"/>
      <c r="AP57" s="110"/>
      <c r="AQ57" s="112"/>
      <c r="AR57" s="112"/>
      <c r="AS57" s="110"/>
      <c r="AT57" s="105"/>
      <c r="AU57" s="105"/>
      <c r="AV57" s="105"/>
      <c r="AW57" s="105"/>
      <c r="AX57" s="105"/>
      <c r="AY57" s="105"/>
    </row>
    <row r="58" spans="1:51" x14ac:dyDescent="0.15">
      <c r="A58" s="115">
        <v>90</v>
      </c>
      <c r="B58" s="98" t="e">
        <f>VLOOKUP($A58,#REF!,101,FALSE)</f>
        <v>#REF!</v>
      </c>
      <c r="C58" s="98" t="e">
        <f>VLOOKUP($A58,#REF!,102,FALSE)</f>
        <v>#REF!</v>
      </c>
      <c r="D58" s="104" t="e">
        <f>VLOOKUP($A58,#REF!,5,FALSE)</f>
        <v>#REF!</v>
      </c>
      <c r="E58" s="104" t="e">
        <f>VLOOKUP($A58,#REF!,6,FALSE)</f>
        <v>#REF!</v>
      </c>
      <c r="F58" s="105" t="e">
        <f>VLOOKUP($A58,#REF!,34,FALSE)</f>
        <v>#REF!</v>
      </c>
      <c r="G58" s="105" t="e">
        <f>VLOOKUP($A58,#REF!,29,FALSE)</f>
        <v>#REF!</v>
      </c>
      <c r="H58" s="105" t="e">
        <f>VLOOKUP($A58,#REF!,35,FALSE)+VLOOKUP($A58,#REF!,97,FALSE)</f>
        <v>#REF!</v>
      </c>
      <c r="I58" s="105" t="e">
        <f t="shared" si="2"/>
        <v>#REF!</v>
      </c>
      <c r="J58" s="105" t="e">
        <f>VLOOKUP($A58,#REF!,42,FALSE)</f>
        <v>#REF!</v>
      </c>
      <c r="K58" s="105" t="e">
        <f t="shared" si="3"/>
        <v>#REF!</v>
      </c>
      <c r="L58" s="164" t="e">
        <f t="shared" si="1"/>
        <v>#REF!</v>
      </c>
      <c r="M58" s="105" t="e">
        <f t="shared" si="4"/>
        <v>#REF!</v>
      </c>
      <c r="N58" s="105" t="e">
        <f>VLOOKUP($A58,#REF!,46,FALSE)</f>
        <v>#REF!</v>
      </c>
      <c r="O58" s="106" t="e">
        <f>VLOOKUP($A58,#REF!,9,FALSE)</f>
        <v>#REF!</v>
      </c>
      <c r="P58" s="114" t="e">
        <f>#REF!</f>
        <v>#REF!</v>
      </c>
      <c r="Q58" s="114" t="e">
        <f>VLOOKUP(A58,#REF!,17,FALSE)</f>
        <v>#REF!</v>
      </c>
      <c r="R58" s="120" t="e">
        <f>#REF!</f>
        <v>#REF!</v>
      </c>
      <c r="S58" s="114" t="e">
        <f>IF(Q58=0,#REF!,ROUND(Q58*R58,4))</f>
        <v>#REF!</v>
      </c>
      <c r="T58" s="105" t="e">
        <f>VLOOKUP($A58,#REF!,15,FALSE)</f>
        <v>#REF!</v>
      </c>
      <c r="U58" s="105" t="e">
        <f>VLOOKUP($A58,#REF!,19,FALSE)</f>
        <v>#REF!</v>
      </c>
      <c r="V58" s="109" t="e">
        <f t="shared" si="5"/>
        <v>#REF!</v>
      </c>
      <c r="W58" s="121" t="e">
        <f t="shared" si="6"/>
        <v>#REF!</v>
      </c>
      <c r="X58" s="105" t="e">
        <f t="shared" si="7"/>
        <v>#REF!</v>
      </c>
      <c r="Y58" s="109" t="e">
        <f t="shared" si="8"/>
        <v>#REF!</v>
      </c>
      <c r="Z58" s="109" t="e">
        <f t="shared" si="9"/>
        <v>#REF!</v>
      </c>
      <c r="AA58" s="113" t="e">
        <f t="shared" si="10"/>
        <v>#REF!</v>
      </c>
      <c r="AB58" s="109" t="e">
        <f t="shared" si="11"/>
        <v>#REF!</v>
      </c>
      <c r="AC58" s="113" t="e">
        <f t="shared" si="12"/>
        <v>#REF!</v>
      </c>
      <c r="AD58" s="105" t="e">
        <f t="shared" si="13"/>
        <v>#REF!</v>
      </c>
      <c r="AE58" s="105" t="e">
        <f t="shared" si="14"/>
        <v>#REF!</v>
      </c>
      <c r="AF58" s="105" t="e">
        <f t="shared" si="15"/>
        <v>#REF!</v>
      </c>
      <c r="AG58" s="105" t="e">
        <f t="shared" si="16"/>
        <v>#REF!</v>
      </c>
      <c r="AH58" s="111" t="e">
        <f>VLOOKUP($A58,#REF!,5,FALSE)</f>
        <v>#REF!</v>
      </c>
      <c r="AI58" s="111" t="e">
        <f>VLOOKUP($A58,#REF!,6,FALSE)</f>
        <v>#REF!</v>
      </c>
      <c r="AJ58" s="109" t="e">
        <f t="shared" si="17"/>
        <v>#REF!</v>
      </c>
      <c r="AK58" s="109" t="e">
        <f t="shared" si="18"/>
        <v>#REF!</v>
      </c>
      <c r="AL58" s="109"/>
      <c r="AM58" s="110"/>
      <c r="AN58" s="110"/>
      <c r="AO58" s="110"/>
      <c r="AP58" s="110"/>
      <c r="AQ58" s="112"/>
      <c r="AR58" s="112"/>
      <c r="AS58" s="110"/>
      <c r="AT58" s="105"/>
      <c r="AU58" s="105"/>
      <c r="AV58" s="105"/>
      <c r="AW58" s="105"/>
      <c r="AX58" s="105"/>
      <c r="AY58" s="105"/>
    </row>
    <row r="59" spans="1:51" x14ac:dyDescent="0.15">
      <c r="A59" s="115">
        <v>94</v>
      </c>
      <c r="B59" s="98" t="e">
        <f>VLOOKUP($A59,#REF!,101,FALSE)</f>
        <v>#REF!</v>
      </c>
      <c r="C59" s="98" t="e">
        <f>VLOOKUP($A59,#REF!,102,FALSE)</f>
        <v>#REF!</v>
      </c>
      <c r="D59" s="104" t="e">
        <f>VLOOKUP($A59,#REF!,5,FALSE)</f>
        <v>#REF!</v>
      </c>
      <c r="E59" s="104" t="e">
        <f>VLOOKUP($A59,#REF!,6,FALSE)</f>
        <v>#REF!</v>
      </c>
      <c r="F59" s="105" t="e">
        <f>VLOOKUP($A59,#REF!,34,FALSE)</f>
        <v>#REF!</v>
      </c>
      <c r="G59" s="105" t="e">
        <f>VLOOKUP($A59,#REF!,29,FALSE)</f>
        <v>#REF!</v>
      </c>
      <c r="H59" s="105" t="e">
        <f>VLOOKUP($A59,#REF!,35,FALSE)+VLOOKUP($A59,#REF!,97,FALSE)</f>
        <v>#REF!</v>
      </c>
      <c r="I59" s="105" t="e">
        <f t="shared" si="2"/>
        <v>#REF!</v>
      </c>
      <c r="J59" s="105" t="e">
        <f>VLOOKUP($A59,#REF!,42,FALSE)</f>
        <v>#REF!</v>
      </c>
      <c r="K59" s="105" t="e">
        <f t="shared" si="3"/>
        <v>#REF!</v>
      </c>
      <c r="L59" s="164" t="e">
        <f t="shared" si="1"/>
        <v>#REF!</v>
      </c>
      <c r="M59" s="105" t="e">
        <f t="shared" si="4"/>
        <v>#REF!</v>
      </c>
      <c r="N59" s="105" t="e">
        <f>VLOOKUP($A59,#REF!,46,FALSE)</f>
        <v>#REF!</v>
      </c>
      <c r="O59" s="106" t="e">
        <f>VLOOKUP($A59,#REF!,9,FALSE)</f>
        <v>#REF!</v>
      </c>
      <c r="P59" s="114" t="e">
        <f>#REF!</f>
        <v>#REF!</v>
      </c>
      <c r="Q59" s="114" t="e">
        <f>VLOOKUP(A59,#REF!,17,FALSE)</f>
        <v>#REF!</v>
      </c>
      <c r="R59" s="120" t="e">
        <f>#REF!</f>
        <v>#REF!</v>
      </c>
      <c r="S59" s="114" t="e">
        <f>IF(Q59=0,#REF!,ROUND(Q59*R59,4))</f>
        <v>#REF!</v>
      </c>
      <c r="T59" s="105" t="e">
        <f>VLOOKUP($A59,#REF!,15,FALSE)</f>
        <v>#REF!</v>
      </c>
      <c r="U59" s="105" t="e">
        <f>VLOOKUP($A59,#REF!,19,FALSE)</f>
        <v>#REF!</v>
      </c>
      <c r="V59" s="109" t="e">
        <f t="shared" si="5"/>
        <v>#REF!</v>
      </c>
      <c r="W59" s="121" t="e">
        <f t="shared" si="6"/>
        <v>#REF!</v>
      </c>
      <c r="X59" s="105" t="e">
        <f t="shared" si="7"/>
        <v>#REF!</v>
      </c>
      <c r="Y59" s="109" t="e">
        <f t="shared" si="8"/>
        <v>#REF!</v>
      </c>
      <c r="Z59" s="109" t="e">
        <f t="shared" si="9"/>
        <v>#REF!</v>
      </c>
      <c r="AA59" s="113" t="e">
        <f t="shared" si="10"/>
        <v>#REF!</v>
      </c>
      <c r="AB59" s="109" t="e">
        <f t="shared" si="11"/>
        <v>#REF!</v>
      </c>
      <c r="AC59" s="113" t="e">
        <f t="shared" si="12"/>
        <v>#REF!</v>
      </c>
      <c r="AD59" s="105" t="e">
        <f t="shared" si="13"/>
        <v>#REF!</v>
      </c>
      <c r="AE59" s="105" t="e">
        <f t="shared" si="14"/>
        <v>#REF!</v>
      </c>
      <c r="AF59" s="105" t="e">
        <f t="shared" si="15"/>
        <v>#REF!</v>
      </c>
      <c r="AG59" s="105" t="e">
        <f t="shared" si="16"/>
        <v>#REF!</v>
      </c>
      <c r="AH59" s="111" t="e">
        <f>VLOOKUP($A59,#REF!,5,FALSE)</f>
        <v>#REF!</v>
      </c>
      <c r="AI59" s="111" t="e">
        <f>VLOOKUP($A59,#REF!,6,FALSE)</f>
        <v>#REF!</v>
      </c>
      <c r="AJ59" s="109" t="e">
        <f t="shared" si="17"/>
        <v>#REF!</v>
      </c>
      <c r="AK59" s="109" t="e">
        <f t="shared" si="18"/>
        <v>#REF!</v>
      </c>
      <c r="AL59" s="109"/>
      <c r="AM59" s="110"/>
      <c r="AN59" s="110"/>
      <c r="AO59" s="110"/>
      <c r="AP59" s="110"/>
      <c r="AQ59" s="112"/>
      <c r="AR59" s="112"/>
      <c r="AS59" s="110"/>
      <c r="AT59" s="105"/>
      <c r="AU59" s="105"/>
      <c r="AV59" s="105"/>
      <c r="AW59" s="105"/>
      <c r="AX59" s="105"/>
      <c r="AY59" s="105"/>
    </row>
    <row r="60" spans="1:51" x14ac:dyDescent="0.15">
      <c r="A60" s="115">
        <v>677</v>
      </c>
      <c r="B60" s="98" t="e">
        <f>VLOOKUP($A60,#REF!,101,FALSE)</f>
        <v>#REF!</v>
      </c>
      <c r="C60" s="98" t="e">
        <f>VLOOKUP($A60,#REF!,102,FALSE)</f>
        <v>#REF!</v>
      </c>
      <c r="D60" s="104" t="e">
        <f>VLOOKUP($A60,#REF!,5,FALSE)</f>
        <v>#REF!</v>
      </c>
      <c r="E60" s="104" t="e">
        <f>VLOOKUP($A60,#REF!,6,FALSE)</f>
        <v>#REF!</v>
      </c>
      <c r="F60" s="105" t="e">
        <f>VLOOKUP($A60,#REF!,34,FALSE)</f>
        <v>#REF!</v>
      </c>
      <c r="G60" s="105" t="e">
        <f>VLOOKUP($A60,#REF!,29,FALSE)</f>
        <v>#REF!</v>
      </c>
      <c r="H60" s="105" t="e">
        <f>VLOOKUP($A60,#REF!,35,FALSE)+VLOOKUP($A60,#REF!,97,FALSE)</f>
        <v>#REF!</v>
      </c>
      <c r="I60" s="105" t="e">
        <f t="shared" si="2"/>
        <v>#REF!</v>
      </c>
      <c r="J60" s="105" t="e">
        <f>VLOOKUP($A60,#REF!,42,FALSE)</f>
        <v>#REF!</v>
      </c>
      <c r="K60" s="105" t="e">
        <f t="shared" si="3"/>
        <v>#REF!</v>
      </c>
      <c r="L60" s="164" t="e">
        <f t="shared" si="1"/>
        <v>#REF!</v>
      </c>
      <c r="M60" s="105" t="e">
        <f t="shared" si="4"/>
        <v>#REF!</v>
      </c>
      <c r="N60" s="105" t="e">
        <f>VLOOKUP($A60,#REF!,46,FALSE)</f>
        <v>#REF!</v>
      </c>
      <c r="O60" s="106" t="e">
        <f>VLOOKUP($A60,#REF!,9,FALSE)</f>
        <v>#REF!</v>
      </c>
      <c r="P60" s="114" t="e">
        <f>#REF!</f>
        <v>#REF!</v>
      </c>
      <c r="Q60" s="114" t="e">
        <f>VLOOKUP(A60,#REF!,17,FALSE)</f>
        <v>#REF!</v>
      </c>
      <c r="R60" s="120" t="e">
        <f>#REF!</f>
        <v>#REF!</v>
      </c>
      <c r="S60" s="114" t="e">
        <f>IF(Q60=0,#REF!,ROUND(Q60*R60,4))</f>
        <v>#REF!</v>
      </c>
      <c r="T60" s="105" t="e">
        <f>VLOOKUP($A60,#REF!,15,FALSE)</f>
        <v>#REF!</v>
      </c>
      <c r="U60" s="105" t="e">
        <f>VLOOKUP($A60,#REF!,19,FALSE)</f>
        <v>#REF!</v>
      </c>
      <c r="V60" s="109" t="e">
        <f t="shared" si="5"/>
        <v>#REF!</v>
      </c>
      <c r="W60" s="121" t="e">
        <f t="shared" si="6"/>
        <v>#REF!</v>
      </c>
      <c r="X60" s="105" t="e">
        <f t="shared" si="7"/>
        <v>#REF!</v>
      </c>
      <c r="Y60" s="109" t="e">
        <f t="shared" si="8"/>
        <v>#REF!</v>
      </c>
      <c r="Z60" s="109" t="e">
        <f t="shared" si="9"/>
        <v>#REF!</v>
      </c>
      <c r="AA60" s="113" t="e">
        <f t="shared" si="10"/>
        <v>#REF!</v>
      </c>
      <c r="AB60" s="109" t="e">
        <f t="shared" si="11"/>
        <v>#REF!</v>
      </c>
      <c r="AC60" s="113" t="e">
        <f t="shared" si="12"/>
        <v>#REF!</v>
      </c>
      <c r="AD60" s="105" t="e">
        <f t="shared" si="13"/>
        <v>#REF!</v>
      </c>
      <c r="AE60" s="105" t="e">
        <f t="shared" si="14"/>
        <v>#REF!</v>
      </c>
      <c r="AF60" s="105" t="e">
        <f t="shared" si="15"/>
        <v>#REF!</v>
      </c>
      <c r="AG60" s="105" t="e">
        <f t="shared" si="16"/>
        <v>#REF!</v>
      </c>
      <c r="AH60" s="111" t="e">
        <f>VLOOKUP($A60,#REF!,5,FALSE)</f>
        <v>#REF!</v>
      </c>
      <c r="AI60" s="111" t="e">
        <f>VLOOKUP($A60,#REF!,6,FALSE)</f>
        <v>#REF!</v>
      </c>
      <c r="AJ60" s="109" t="e">
        <f t="shared" si="17"/>
        <v>#REF!</v>
      </c>
      <c r="AK60" s="109" t="e">
        <f t="shared" si="18"/>
        <v>#REF!</v>
      </c>
      <c r="AL60" s="109"/>
      <c r="AM60" s="110"/>
      <c r="AN60" s="110"/>
      <c r="AO60" s="110"/>
      <c r="AP60" s="110"/>
      <c r="AQ60" s="112"/>
      <c r="AR60" s="112"/>
      <c r="AS60" s="110"/>
      <c r="AT60" s="105"/>
      <c r="AU60" s="105"/>
      <c r="AV60" s="105"/>
      <c r="AW60" s="105"/>
      <c r="AX60" s="105"/>
      <c r="AY60" s="105"/>
    </row>
    <row r="61" spans="1:51" x14ac:dyDescent="0.15">
      <c r="A61" s="115">
        <v>104</v>
      </c>
      <c r="B61" s="98" t="e">
        <f>VLOOKUP($A61,#REF!,101,FALSE)</f>
        <v>#REF!</v>
      </c>
      <c r="C61" s="98" t="e">
        <f>VLOOKUP($A61,#REF!,102,FALSE)</f>
        <v>#REF!</v>
      </c>
      <c r="D61" s="104" t="e">
        <f>VLOOKUP($A61,#REF!,5,FALSE)</f>
        <v>#REF!</v>
      </c>
      <c r="E61" s="104" t="e">
        <f>VLOOKUP($A61,#REF!,6,FALSE)</f>
        <v>#REF!</v>
      </c>
      <c r="F61" s="105" t="e">
        <f>VLOOKUP($A61,#REF!,34,FALSE)</f>
        <v>#REF!</v>
      </c>
      <c r="G61" s="105" t="e">
        <f>VLOOKUP($A61,#REF!,29,FALSE)</f>
        <v>#REF!</v>
      </c>
      <c r="H61" s="105" t="e">
        <f>VLOOKUP($A61,#REF!,35,FALSE)+VLOOKUP($A61,#REF!,97,FALSE)</f>
        <v>#REF!</v>
      </c>
      <c r="I61" s="105" t="e">
        <f t="shared" si="2"/>
        <v>#REF!</v>
      </c>
      <c r="J61" s="105" t="e">
        <f>VLOOKUP($A61,#REF!,42,FALSE)</f>
        <v>#REF!</v>
      </c>
      <c r="K61" s="105" t="e">
        <f t="shared" si="3"/>
        <v>#REF!</v>
      </c>
      <c r="L61" s="164" t="e">
        <f t="shared" si="1"/>
        <v>#REF!</v>
      </c>
      <c r="M61" s="105" t="e">
        <f t="shared" si="4"/>
        <v>#REF!</v>
      </c>
      <c r="N61" s="105" t="e">
        <f>VLOOKUP($A61,#REF!,46,FALSE)</f>
        <v>#REF!</v>
      </c>
      <c r="O61" s="106" t="e">
        <f>VLOOKUP($A61,#REF!,9,FALSE)</f>
        <v>#REF!</v>
      </c>
      <c r="P61" s="114" t="e">
        <f>#REF!</f>
        <v>#REF!</v>
      </c>
      <c r="Q61" s="114" t="e">
        <f>VLOOKUP(A61,#REF!,17,FALSE)</f>
        <v>#REF!</v>
      </c>
      <c r="R61" s="120" t="e">
        <f>#REF!</f>
        <v>#REF!</v>
      </c>
      <c r="S61" s="114" t="e">
        <f>IF(Q61=0,#REF!,ROUND(Q61*R61,4))</f>
        <v>#REF!</v>
      </c>
      <c r="T61" s="105" t="e">
        <f>VLOOKUP($A61,#REF!,15,FALSE)</f>
        <v>#REF!</v>
      </c>
      <c r="U61" s="105" t="e">
        <f>VLOOKUP($A61,#REF!,19,FALSE)</f>
        <v>#REF!</v>
      </c>
      <c r="V61" s="109" t="e">
        <f t="shared" si="5"/>
        <v>#REF!</v>
      </c>
      <c r="W61" s="121" t="e">
        <f t="shared" si="6"/>
        <v>#REF!</v>
      </c>
      <c r="X61" s="105" t="e">
        <f t="shared" si="7"/>
        <v>#REF!</v>
      </c>
      <c r="Y61" s="109" t="e">
        <f t="shared" si="8"/>
        <v>#REF!</v>
      </c>
      <c r="Z61" s="109" t="e">
        <f t="shared" si="9"/>
        <v>#REF!</v>
      </c>
      <c r="AA61" s="113" t="e">
        <f t="shared" si="10"/>
        <v>#REF!</v>
      </c>
      <c r="AB61" s="109" t="e">
        <f t="shared" si="11"/>
        <v>#REF!</v>
      </c>
      <c r="AC61" s="113" t="e">
        <f t="shared" si="12"/>
        <v>#REF!</v>
      </c>
      <c r="AD61" s="105" t="e">
        <f t="shared" si="13"/>
        <v>#REF!</v>
      </c>
      <c r="AE61" s="105" t="e">
        <f t="shared" si="14"/>
        <v>#REF!</v>
      </c>
      <c r="AF61" s="105" t="e">
        <f t="shared" si="15"/>
        <v>#REF!</v>
      </c>
      <c r="AG61" s="105" t="e">
        <f t="shared" si="16"/>
        <v>#REF!</v>
      </c>
      <c r="AH61" s="111" t="e">
        <f>VLOOKUP($A61,#REF!,5,FALSE)</f>
        <v>#REF!</v>
      </c>
      <c r="AI61" s="111" t="e">
        <f>VLOOKUP($A61,#REF!,6,FALSE)</f>
        <v>#REF!</v>
      </c>
      <c r="AJ61" s="109" t="e">
        <f t="shared" si="17"/>
        <v>#REF!</v>
      </c>
      <c r="AK61" s="109" t="e">
        <f t="shared" si="18"/>
        <v>#REF!</v>
      </c>
      <c r="AL61" s="109"/>
      <c r="AM61" s="110"/>
      <c r="AN61" s="110"/>
      <c r="AO61" s="110"/>
      <c r="AP61" s="110"/>
      <c r="AQ61" s="112"/>
      <c r="AR61" s="112"/>
      <c r="AS61" s="110"/>
      <c r="AT61" s="105"/>
      <c r="AU61" s="105"/>
      <c r="AV61" s="105"/>
      <c r="AW61" s="105"/>
      <c r="AX61" s="105"/>
      <c r="AY61" s="105"/>
    </row>
    <row r="62" spans="1:51" x14ac:dyDescent="0.15">
      <c r="A62" s="115">
        <v>108</v>
      </c>
      <c r="B62" s="98" t="e">
        <f>VLOOKUP($A62,#REF!,101,FALSE)</f>
        <v>#REF!</v>
      </c>
      <c r="C62" s="98" t="e">
        <f>VLOOKUP($A62,#REF!,102,FALSE)</f>
        <v>#REF!</v>
      </c>
      <c r="D62" s="104" t="e">
        <f>VLOOKUP($A62,#REF!,5,FALSE)</f>
        <v>#REF!</v>
      </c>
      <c r="E62" s="104" t="e">
        <f>VLOOKUP($A62,#REF!,6,FALSE)</f>
        <v>#REF!</v>
      </c>
      <c r="F62" s="105" t="e">
        <f>VLOOKUP($A62,#REF!,34,FALSE)</f>
        <v>#REF!</v>
      </c>
      <c r="G62" s="105" t="e">
        <f>VLOOKUP($A62,#REF!,29,FALSE)</f>
        <v>#REF!</v>
      </c>
      <c r="H62" s="105" t="e">
        <f>VLOOKUP($A62,#REF!,35,FALSE)+VLOOKUP($A62,#REF!,97,FALSE)</f>
        <v>#REF!</v>
      </c>
      <c r="I62" s="105" t="e">
        <f t="shared" si="2"/>
        <v>#REF!</v>
      </c>
      <c r="J62" s="105" t="e">
        <f>VLOOKUP($A62,#REF!,42,FALSE)</f>
        <v>#REF!</v>
      </c>
      <c r="K62" s="105" t="e">
        <f t="shared" si="3"/>
        <v>#REF!</v>
      </c>
      <c r="L62" s="164" t="e">
        <f t="shared" si="1"/>
        <v>#REF!</v>
      </c>
      <c r="M62" s="105" t="e">
        <f t="shared" si="4"/>
        <v>#REF!</v>
      </c>
      <c r="N62" s="105" t="e">
        <f>VLOOKUP($A62,#REF!,46,FALSE)</f>
        <v>#REF!</v>
      </c>
      <c r="O62" s="106" t="e">
        <f>VLOOKUP($A62,#REF!,9,FALSE)</f>
        <v>#REF!</v>
      </c>
      <c r="P62" s="114" t="e">
        <f>#REF!</f>
        <v>#REF!</v>
      </c>
      <c r="Q62" s="114" t="e">
        <f>VLOOKUP(A62,#REF!,17,FALSE)</f>
        <v>#REF!</v>
      </c>
      <c r="R62" s="120" t="e">
        <f>#REF!</f>
        <v>#REF!</v>
      </c>
      <c r="S62" s="114" t="e">
        <f>IF(Q62=0,#REF!,ROUND(Q62*R62,4))</f>
        <v>#REF!</v>
      </c>
      <c r="T62" s="105" t="e">
        <f>VLOOKUP($A62,#REF!,15,FALSE)</f>
        <v>#REF!</v>
      </c>
      <c r="U62" s="105" t="e">
        <f>VLOOKUP($A62,#REF!,19,FALSE)</f>
        <v>#REF!</v>
      </c>
      <c r="V62" s="109" t="e">
        <f t="shared" si="5"/>
        <v>#REF!</v>
      </c>
      <c r="W62" s="121" t="e">
        <f t="shared" si="6"/>
        <v>#REF!</v>
      </c>
      <c r="X62" s="105" t="e">
        <f t="shared" si="7"/>
        <v>#REF!</v>
      </c>
      <c r="Y62" s="109" t="e">
        <f t="shared" si="8"/>
        <v>#REF!</v>
      </c>
      <c r="Z62" s="109" t="e">
        <f t="shared" si="9"/>
        <v>#REF!</v>
      </c>
      <c r="AA62" s="113" t="e">
        <f t="shared" si="10"/>
        <v>#REF!</v>
      </c>
      <c r="AB62" s="109" t="e">
        <f t="shared" si="11"/>
        <v>#REF!</v>
      </c>
      <c r="AC62" s="113" t="e">
        <f t="shared" si="12"/>
        <v>#REF!</v>
      </c>
      <c r="AD62" s="105" t="e">
        <f t="shared" si="13"/>
        <v>#REF!</v>
      </c>
      <c r="AE62" s="105" t="e">
        <f t="shared" si="14"/>
        <v>#REF!</v>
      </c>
      <c r="AF62" s="105" t="e">
        <f t="shared" si="15"/>
        <v>#REF!</v>
      </c>
      <c r="AG62" s="105" t="e">
        <f t="shared" si="16"/>
        <v>#REF!</v>
      </c>
      <c r="AH62" s="111" t="e">
        <f>VLOOKUP($A62,#REF!,5,FALSE)</f>
        <v>#REF!</v>
      </c>
      <c r="AI62" s="111" t="e">
        <f>VLOOKUP($A62,#REF!,6,FALSE)</f>
        <v>#REF!</v>
      </c>
      <c r="AJ62" s="109" t="e">
        <f t="shared" si="17"/>
        <v>#REF!</v>
      </c>
      <c r="AK62" s="109" t="e">
        <f t="shared" si="18"/>
        <v>#REF!</v>
      </c>
      <c r="AL62" s="109"/>
      <c r="AM62" s="110"/>
      <c r="AN62" s="110"/>
      <c r="AO62" s="110"/>
      <c r="AP62" s="110"/>
      <c r="AQ62" s="112"/>
      <c r="AR62" s="112"/>
      <c r="AS62" s="110"/>
      <c r="AT62" s="105"/>
      <c r="AU62" s="105"/>
      <c r="AV62" s="105"/>
      <c r="AW62" s="105"/>
      <c r="AX62" s="105"/>
      <c r="AY62" s="105"/>
    </row>
    <row r="63" spans="1:51" x14ac:dyDescent="0.15">
      <c r="A63" s="115">
        <v>106</v>
      </c>
      <c r="B63" s="98" t="e">
        <f>VLOOKUP($A63,#REF!,101,FALSE)</f>
        <v>#REF!</v>
      </c>
      <c r="C63" s="98" t="e">
        <f>VLOOKUP($A63,#REF!,102,FALSE)</f>
        <v>#REF!</v>
      </c>
      <c r="D63" s="104" t="e">
        <f>VLOOKUP($A63,#REF!,5,FALSE)</f>
        <v>#REF!</v>
      </c>
      <c r="E63" s="104" t="e">
        <f>VLOOKUP($A63,#REF!,6,FALSE)</f>
        <v>#REF!</v>
      </c>
      <c r="F63" s="105" t="e">
        <f>VLOOKUP($A63,#REF!,34,FALSE)</f>
        <v>#REF!</v>
      </c>
      <c r="G63" s="105" t="e">
        <f>VLOOKUP($A63,#REF!,29,FALSE)</f>
        <v>#REF!</v>
      </c>
      <c r="H63" s="105" t="e">
        <f>VLOOKUP($A63,#REF!,35,FALSE)+VLOOKUP($A63,#REF!,97,FALSE)</f>
        <v>#REF!</v>
      </c>
      <c r="I63" s="105" t="e">
        <f t="shared" si="2"/>
        <v>#REF!</v>
      </c>
      <c r="J63" s="105" t="e">
        <f>VLOOKUP($A63,#REF!,42,FALSE)</f>
        <v>#REF!</v>
      </c>
      <c r="K63" s="105" t="e">
        <f t="shared" si="3"/>
        <v>#REF!</v>
      </c>
      <c r="L63" s="164" t="e">
        <f t="shared" si="1"/>
        <v>#REF!</v>
      </c>
      <c r="M63" s="105" t="e">
        <f t="shared" si="4"/>
        <v>#REF!</v>
      </c>
      <c r="N63" s="105" t="e">
        <f>VLOOKUP($A63,#REF!,46,FALSE)</f>
        <v>#REF!</v>
      </c>
      <c r="O63" s="106" t="e">
        <f>VLOOKUP($A63,#REF!,9,FALSE)</f>
        <v>#REF!</v>
      </c>
      <c r="P63" s="114" t="e">
        <f>#REF!</f>
        <v>#REF!</v>
      </c>
      <c r="Q63" s="114" t="e">
        <f>VLOOKUP(A63,#REF!,17,FALSE)</f>
        <v>#REF!</v>
      </c>
      <c r="R63" s="120" t="e">
        <f>#REF!</f>
        <v>#REF!</v>
      </c>
      <c r="S63" s="114" t="e">
        <f>IF(Q63=0,#REF!,ROUND(Q63*R63,4))</f>
        <v>#REF!</v>
      </c>
      <c r="T63" s="105" t="e">
        <f>VLOOKUP($A63,#REF!,15,FALSE)</f>
        <v>#REF!</v>
      </c>
      <c r="U63" s="105" t="e">
        <f>VLOOKUP($A63,#REF!,19,FALSE)</f>
        <v>#REF!</v>
      </c>
      <c r="V63" s="109" t="e">
        <f t="shared" si="5"/>
        <v>#REF!</v>
      </c>
      <c r="W63" s="121" t="e">
        <f t="shared" si="6"/>
        <v>#REF!</v>
      </c>
      <c r="X63" s="105" t="e">
        <f t="shared" si="7"/>
        <v>#REF!</v>
      </c>
      <c r="Y63" s="109" t="e">
        <f t="shared" si="8"/>
        <v>#REF!</v>
      </c>
      <c r="Z63" s="109" t="e">
        <f t="shared" si="9"/>
        <v>#REF!</v>
      </c>
      <c r="AA63" s="113" t="e">
        <f t="shared" si="10"/>
        <v>#REF!</v>
      </c>
      <c r="AB63" s="109" t="e">
        <f t="shared" si="11"/>
        <v>#REF!</v>
      </c>
      <c r="AC63" s="113" t="e">
        <f t="shared" si="12"/>
        <v>#REF!</v>
      </c>
      <c r="AD63" s="105" t="e">
        <f t="shared" si="13"/>
        <v>#REF!</v>
      </c>
      <c r="AE63" s="105" t="e">
        <f t="shared" si="14"/>
        <v>#REF!</v>
      </c>
      <c r="AF63" s="105" t="e">
        <f t="shared" si="15"/>
        <v>#REF!</v>
      </c>
      <c r="AG63" s="105" t="e">
        <f t="shared" si="16"/>
        <v>#REF!</v>
      </c>
      <c r="AH63" s="111" t="e">
        <f>VLOOKUP($A63,#REF!,5,FALSE)</f>
        <v>#REF!</v>
      </c>
      <c r="AI63" s="111" t="e">
        <f>VLOOKUP($A63,#REF!,6,FALSE)</f>
        <v>#REF!</v>
      </c>
      <c r="AJ63" s="109" t="e">
        <f t="shared" si="17"/>
        <v>#REF!</v>
      </c>
      <c r="AK63" s="109" t="e">
        <f t="shared" si="18"/>
        <v>#REF!</v>
      </c>
      <c r="AL63" s="109"/>
      <c r="AM63" s="110"/>
      <c r="AN63" s="110"/>
      <c r="AO63" s="110"/>
      <c r="AP63" s="110"/>
      <c r="AQ63" s="112"/>
      <c r="AR63" s="112"/>
      <c r="AS63" s="110"/>
      <c r="AT63" s="105"/>
      <c r="AU63" s="105"/>
      <c r="AV63" s="105"/>
      <c r="AW63" s="105"/>
      <c r="AX63" s="105"/>
      <c r="AY63" s="105"/>
    </row>
    <row r="64" spans="1:51" x14ac:dyDescent="0.15">
      <c r="A64" s="115">
        <v>112</v>
      </c>
      <c r="B64" s="98" t="e">
        <f>VLOOKUP($A64,#REF!,101,FALSE)</f>
        <v>#REF!</v>
      </c>
      <c r="C64" s="98" t="e">
        <f>VLOOKUP($A64,#REF!,102,FALSE)</f>
        <v>#REF!</v>
      </c>
      <c r="D64" s="104" t="e">
        <f>VLOOKUP($A64,#REF!,5,FALSE)</f>
        <v>#REF!</v>
      </c>
      <c r="E64" s="104" t="e">
        <f>VLOOKUP($A64,#REF!,6,FALSE)</f>
        <v>#REF!</v>
      </c>
      <c r="F64" s="105" t="e">
        <f>VLOOKUP($A64,#REF!,34,FALSE)</f>
        <v>#REF!</v>
      </c>
      <c r="G64" s="105" t="e">
        <f>VLOOKUP($A64,#REF!,29,FALSE)</f>
        <v>#REF!</v>
      </c>
      <c r="H64" s="105" t="e">
        <f>VLOOKUP($A64,#REF!,35,FALSE)+VLOOKUP($A64,#REF!,97,FALSE)</f>
        <v>#REF!</v>
      </c>
      <c r="I64" s="105" t="e">
        <f t="shared" si="2"/>
        <v>#REF!</v>
      </c>
      <c r="J64" s="105" t="e">
        <f>VLOOKUP($A64,#REF!,42,FALSE)</f>
        <v>#REF!</v>
      </c>
      <c r="K64" s="105" t="e">
        <f t="shared" si="3"/>
        <v>#REF!</v>
      </c>
      <c r="L64" s="164" t="e">
        <f t="shared" si="1"/>
        <v>#REF!</v>
      </c>
      <c r="M64" s="105" t="e">
        <f t="shared" si="4"/>
        <v>#REF!</v>
      </c>
      <c r="N64" s="105" t="e">
        <f>VLOOKUP($A64,#REF!,46,FALSE)</f>
        <v>#REF!</v>
      </c>
      <c r="O64" s="106" t="e">
        <f>VLOOKUP($A64,#REF!,9,FALSE)</f>
        <v>#REF!</v>
      </c>
      <c r="P64" s="114" t="e">
        <f>#REF!</f>
        <v>#REF!</v>
      </c>
      <c r="Q64" s="114" t="e">
        <f>VLOOKUP(A64,#REF!,17,FALSE)</f>
        <v>#REF!</v>
      </c>
      <c r="R64" s="120" t="e">
        <f>#REF!</f>
        <v>#REF!</v>
      </c>
      <c r="S64" s="114" t="e">
        <f>IF(Q64=0,#REF!,ROUND(Q64*R64,4))</f>
        <v>#REF!</v>
      </c>
      <c r="T64" s="105" t="e">
        <f>VLOOKUP($A64,#REF!,15,FALSE)</f>
        <v>#REF!</v>
      </c>
      <c r="U64" s="105" t="e">
        <f>VLOOKUP($A64,#REF!,19,FALSE)</f>
        <v>#REF!</v>
      </c>
      <c r="V64" s="109" t="e">
        <f t="shared" si="5"/>
        <v>#REF!</v>
      </c>
      <c r="W64" s="121" t="e">
        <f t="shared" si="6"/>
        <v>#REF!</v>
      </c>
      <c r="X64" s="105" t="e">
        <f t="shared" si="7"/>
        <v>#REF!</v>
      </c>
      <c r="Y64" s="109" t="e">
        <f t="shared" si="8"/>
        <v>#REF!</v>
      </c>
      <c r="Z64" s="109" t="e">
        <f t="shared" si="9"/>
        <v>#REF!</v>
      </c>
      <c r="AA64" s="113" t="e">
        <f t="shared" si="10"/>
        <v>#REF!</v>
      </c>
      <c r="AB64" s="109" t="e">
        <f t="shared" si="11"/>
        <v>#REF!</v>
      </c>
      <c r="AC64" s="113" t="e">
        <f t="shared" si="12"/>
        <v>#REF!</v>
      </c>
      <c r="AD64" s="105" t="e">
        <f t="shared" si="13"/>
        <v>#REF!</v>
      </c>
      <c r="AE64" s="105" t="e">
        <f t="shared" si="14"/>
        <v>#REF!</v>
      </c>
      <c r="AF64" s="105" t="e">
        <f t="shared" si="15"/>
        <v>#REF!</v>
      </c>
      <c r="AG64" s="105" t="e">
        <f t="shared" si="16"/>
        <v>#REF!</v>
      </c>
      <c r="AH64" s="111" t="e">
        <f>VLOOKUP($A64,#REF!,5,FALSE)</f>
        <v>#REF!</v>
      </c>
      <c r="AI64" s="111" t="e">
        <f>VLOOKUP($A64,#REF!,6,FALSE)</f>
        <v>#REF!</v>
      </c>
      <c r="AJ64" s="109" t="e">
        <f t="shared" si="17"/>
        <v>#REF!</v>
      </c>
      <c r="AK64" s="109" t="e">
        <f t="shared" si="18"/>
        <v>#REF!</v>
      </c>
      <c r="AL64" s="109"/>
      <c r="AM64" s="110"/>
      <c r="AN64" s="110"/>
      <c r="AO64" s="110"/>
      <c r="AP64" s="110"/>
      <c r="AQ64" s="112"/>
      <c r="AR64" s="112"/>
      <c r="AS64" s="110"/>
      <c r="AT64" s="105"/>
      <c r="AU64" s="105"/>
      <c r="AV64" s="105"/>
      <c r="AW64" s="105"/>
      <c r="AX64" s="105"/>
      <c r="AY64" s="105"/>
    </row>
    <row r="65" spans="1:51" x14ac:dyDescent="0.15">
      <c r="A65" s="115">
        <v>114</v>
      </c>
      <c r="B65" s="98" t="e">
        <f>VLOOKUP($A65,#REF!,101,FALSE)</f>
        <v>#REF!</v>
      </c>
      <c r="C65" s="98" t="e">
        <f>VLOOKUP($A65,#REF!,102,FALSE)</f>
        <v>#REF!</v>
      </c>
      <c r="D65" s="104" t="e">
        <f>VLOOKUP($A65,#REF!,5,FALSE)</f>
        <v>#REF!</v>
      </c>
      <c r="E65" s="104" t="e">
        <f>VLOOKUP($A65,#REF!,6,FALSE)</f>
        <v>#REF!</v>
      </c>
      <c r="F65" s="105" t="e">
        <f>VLOOKUP($A65,#REF!,34,FALSE)</f>
        <v>#REF!</v>
      </c>
      <c r="G65" s="105" t="e">
        <f>VLOOKUP($A65,#REF!,29,FALSE)</f>
        <v>#REF!</v>
      </c>
      <c r="H65" s="105" t="e">
        <f>VLOOKUP($A65,#REF!,35,FALSE)+VLOOKUP($A65,#REF!,97,FALSE)</f>
        <v>#REF!</v>
      </c>
      <c r="I65" s="105" t="e">
        <f t="shared" si="2"/>
        <v>#REF!</v>
      </c>
      <c r="J65" s="105" t="e">
        <f>VLOOKUP($A65,#REF!,42,FALSE)</f>
        <v>#REF!</v>
      </c>
      <c r="K65" s="105" t="e">
        <f t="shared" si="3"/>
        <v>#REF!</v>
      </c>
      <c r="L65" s="164" t="e">
        <f t="shared" si="1"/>
        <v>#REF!</v>
      </c>
      <c r="M65" s="105" t="e">
        <f t="shared" si="4"/>
        <v>#REF!</v>
      </c>
      <c r="N65" s="105" t="e">
        <f>VLOOKUP($A65,#REF!,46,FALSE)</f>
        <v>#REF!</v>
      </c>
      <c r="O65" s="106" t="e">
        <f>VLOOKUP($A65,#REF!,9,FALSE)</f>
        <v>#REF!</v>
      </c>
      <c r="P65" s="114" t="e">
        <f>#REF!</f>
        <v>#REF!</v>
      </c>
      <c r="Q65" s="114" t="e">
        <f>VLOOKUP(A65,#REF!,17,FALSE)</f>
        <v>#REF!</v>
      </c>
      <c r="R65" s="120" t="e">
        <f>#REF!</f>
        <v>#REF!</v>
      </c>
      <c r="S65" s="114" t="e">
        <f>IF(Q65=0,#REF!,ROUND(Q65*R65,4))</f>
        <v>#REF!</v>
      </c>
      <c r="T65" s="105" t="e">
        <f>VLOOKUP($A65,#REF!,15,FALSE)</f>
        <v>#REF!</v>
      </c>
      <c r="U65" s="105" t="e">
        <f>VLOOKUP($A65,#REF!,19,FALSE)</f>
        <v>#REF!</v>
      </c>
      <c r="V65" s="109" t="e">
        <f t="shared" si="5"/>
        <v>#REF!</v>
      </c>
      <c r="W65" s="121" t="e">
        <f t="shared" si="6"/>
        <v>#REF!</v>
      </c>
      <c r="X65" s="105" t="e">
        <f t="shared" si="7"/>
        <v>#REF!</v>
      </c>
      <c r="Y65" s="109" t="e">
        <f t="shared" si="8"/>
        <v>#REF!</v>
      </c>
      <c r="Z65" s="109" t="e">
        <f t="shared" si="9"/>
        <v>#REF!</v>
      </c>
      <c r="AA65" s="113" t="e">
        <f t="shared" si="10"/>
        <v>#REF!</v>
      </c>
      <c r="AB65" s="109" t="e">
        <f t="shared" si="11"/>
        <v>#REF!</v>
      </c>
      <c r="AC65" s="113" t="e">
        <f t="shared" si="12"/>
        <v>#REF!</v>
      </c>
      <c r="AD65" s="105" t="e">
        <f t="shared" si="13"/>
        <v>#REF!</v>
      </c>
      <c r="AE65" s="105" t="e">
        <f t="shared" si="14"/>
        <v>#REF!</v>
      </c>
      <c r="AF65" s="105" t="e">
        <f t="shared" si="15"/>
        <v>#REF!</v>
      </c>
      <c r="AG65" s="105" t="e">
        <f t="shared" si="16"/>
        <v>#REF!</v>
      </c>
      <c r="AH65" s="111" t="e">
        <f>VLOOKUP($A65,#REF!,5,FALSE)</f>
        <v>#REF!</v>
      </c>
      <c r="AI65" s="111" t="e">
        <f>VLOOKUP($A65,#REF!,6,FALSE)</f>
        <v>#REF!</v>
      </c>
      <c r="AJ65" s="109" t="e">
        <f t="shared" si="17"/>
        <v>#REF!</v>
      </c>
      <c r="AK65" s="109" t="e">
        <f t="shared" si="18"/>
        <v>#REF!</v>
      </c>
      <c r="AL65" s="109"/>
      <c r="AM65" s="110"/>
      <c r="AN65" s="110"/>
      <c r="AO65" s="110"/>
      <c r="AP65" s="110"/>
      <c r="AQ65" s="112"/>
      <c r="AR65" s="112"/>
      <c r="AS65" s="110"/>
      <c r="AT65" s="105"/>
      <c r="AU65" s="105"/>
      <c r="AV65" s="105"/>
      <c r="AW65" s="105"/>
      <c r="AX65" s="105"/>
      <c r="AY65" s="105"/>
    </row>
    <row r="66" spans="1:51" x14ac:dyDescent="0.15">
      <c r="A66" s="115">
        <v>118</v>
      </c>
      <c r="B66" s="98" t="e">
        <f>VLOOKUP($A66,#REF!,101,FALSE)</f>
        <v>#REF!</v>
      </c>
      <c r="C66" s="98" t="e">
        <f>VLOOKUP($A66,#REF!,102,FALSE)</f>
        <v>#REF!</v>
      </c>
      <c r="D66" s="104" t="e">
        <f>VLOOKUP($A66,#REF!,5,FALSE)</f>
        <v>#REF!</v>
      </c>
      <c r="E66" s="104" t="e">
        <f>VLOOKUP($A66,#REF!,6,FALSE)</f>
        <v>#REF!</v>
      </c>
      <c r="F66" s="105" t="e">
        <f>VLOOKUP($A66,#REF!,34,FALSE)</f>
        <v>#REF!</v>
      </c>
      <c r="G66" s="105" t="e">
        <f>VLOOKUP($A66,#REF!,29,FALSE)</f>
        <v>#REF!</v>
      </c>
      <c r="H66" s="105" t="e">
        <f>VLOOKUP($A66,#REF!,35,FALSE)+VLOOKUP($A66,#REF!,97,FALSE)</f>
        <v>#REF!</v>
      </c>
      <c r="I66" s="105" t="e">
        <f t="shared" si="2"/>
        <v>#REF!</v>
      </c>
      <c r="J66" s="105" t="e">
        <f>VLOOKUP($A66,#REF!,42,FALSE)</f>
        <v>#REF!</v>
      </c>
      <c r="K66" s="105" t="e">
        <f t="shared" si="3"/>
        <v>#REF!</v>
      </c>
      <c r="L66" s="164" t="e">
        <f t="shared" si="1"/>
        <v>#REF!</v>
      </c>
      <c r="M66" s="105" t="e">
        <f t="shared" si="4"/>
        <v>#REF!</v>
      </c>
      <c r="N66" s="105" t="e">
        <f>VLOOKUP($A66,#REF!,46,FALSE)</f>
        <v>#REF!</v>
      </c>
      <c r="O66" s="106" t="e">
        <f>VLOOKUP($A66,#REF!,9,FALSE)</f>
        <v>#REF!</v>
      </c>
      <c r="P66" s="114" t="e">
        <f>#REF!</f>
        <v>#REF!</v>
      </c>
      <c r="Q66" s="114" t="e">
        <f>VLOOKUP(A66,#REF!,17,FALSE)</f>
        <v>#REF!</v>
      </c>
      <c r="R66" s="120" t="e">
        <f>#REF!</f>
        <v>#REF!</v>
      </c>
      <c r="S66" s="114" t="e">
        <f>IF(Q66=0,#REF!,ROUND(Q66*R66,4))</f>
        <v>#REF!</v>
      </c>
      <c r="T66" s="105" t="e">
        <f>VLOOKUP($A66,#REF!,15,FALSE)</f>
        <v>#REF!</v>
      </c>
      <c r="U66" s="105" t="e">
        <f>VLOOKUP($A66,#REF!,19,FALSE)</f>
        <v>#REF!</v>
      </c>
      <c r="V66" s="109" t="e">
        <f t="shared" si="5"/>
        <v>#REF!</v>
      </c>
      <c r="W66" s="121" t="e">
        <f t="shared" si="6"/>
        <v>#REF!</v>
      </c>
      <c r="X66" s="105" t="e">
        <f t="shared" si="7"/>
        <v>#REF!</v>
      </c>
      <c r="Y66" s="109" t="e">
        <f t="shared" si="8"/>
        <v>#REF!</v>
      </c>
      <c r="Z66" s="109" t="e">
        <f t="shared" si="9"/>
        <v>#REF!</v>
      </c>
      <c r="AA66" s="113" t="e">
        <f t="shared" si="10"/>
        <v>#REF!</v>
      </c>
      <c r="AB66" s="109" t="e">
        <f t="shared" si="11"/>
        <v>#REF!</v>
      </c>
      <c r="AC66" s="113" t="e">
        <f t="shared" si="12"/>
        <v>#REF!</v>
      </c>
      <c r="AD66" s="105" t="e">
        <f t="shared" si="13"/>
        <v>#REF!</v>
      </c>
      <c r="AE66" s="105" t="e">
        <f t="shared" si="14"/>
        <v>#REF!</v>
      </c>
      <c r="AF66" s="105" t="e">
        <f t="shared" si="15"/>
        <v>#REF!</v>
      </c>
      <c r="AG66" s="105" t="e">
        <f t="shared" si="16"/>
        <v>#REF!</v>
      </c>
      <c r="AH66" s="111" t="e">
        <f>VLOOKUP($A66,#REF!,5,FALSE)</f>
        <v>#REF!</v>
      </c>
      <c r="AI66" s="111" t="e">
        <f>VLOOKUP($A66,#REF!,6,FALSE)</f>
        <v>#REF!</v>
      </c>
      <c r="AJ66" s="109" t="e">
        <f t="shared" si="17"/>
        <v>#REF!</v>
      </c>
      <c r="AK66" s="109" t="e">
        <f t="shared" si="18"/>
        <v>#REF!</v>
      </c>
      <c r="AL66" s="109"/>
      <c r="AM66" s="110"/>
      <c r="AN66" s="110"/>
      <c r="AO66" s="110"/>
      <c r="AP66" s="110"/>
      <c r="AQ66" s="112"/>
      <c r="AR66" s="112"/>
      <c r="AS66" s="110"/>
      <c r="AT66" s="105"/>
      <c r="AU66" s="105"/>
      <c r="AV66" s="105"/>
      <c r="AW66" s="105"/>
      <c r="AX66" s="105"/>
      <c r="AY66" s="105"/>
    </row>
    <row r="67" spans="1:51" x14ac:dyDescent="0.15">
      <c r="A67" s="115">
        <v>665</v>
      </c>
      <c r="B67" s="98" t="e">
        <f>VLOOKUP($A67,#REF!,101,FALSE)</f>
        <v>#REF!</v>
      </c>
      <c r="C67" s="98" t="e">
        <f>VLOOKUP($A67,#REF!,102,FALSE)</f>
        <v>#REF!</v>
      </c>
      <c r="D67" s="104" t="e">
        <f>VLOOKUP($A67,#REF!,5,FALSE)</f>
        <v>#REF!</v>
      </c>
      <c r="E67" s="104" t="e">
        <f>VLOOKUP($A67,#REF!,6,FALSE)</f>
        <v>#REF!</v>
      </c>
      <c r="F67" s="105" t="e">
        <f>VLOOKUP($A67,#REF!,34,FALSE)</f>
        <v>#REF!</v>
      </c>
      <c r="G67" s="105" t="e">
        <f>VLOOKUP($A67,#REF!,29,FALSE)</f>
        <v>#REF!</v>
      </c>
      <c r="H67" s="105" t="e">
        <f>VLOOKUP($A67,#REF!,35,FALSE)+VLOOKUP($A67,#REF!,97,FALSE)</f>
        <v>#REF!</v>
      </c>
      <c r="I67" s="105" t="e">
        <f t="shared" si="2"/>
        <v>#REF!</v>
      </c>
      <c r="J67" s="105" t="e">
        <f>VLOOKUP($A67,#REF!,42,FALSE)</f>
        <v>#REF!</v>
      </c>
      <c r="K67" s="105" t="e">
        <f t="shared" si="3"/>
        <v>#REF!</v>
      </c>
      <c r="L67" s="164" t="e">
        <f t="shared" ref="L67:L130" si="19">+BAF</f>
        <v>#REF!</v>
      </c>
      <c r="M67" s="105" t="e">
        <f t="shared" si="4"/>
        <v>#REF!</v>
      </c>
      <c r="N67" s="105" t="e">
        <f>VLOOKUP($A67,#REF!,46,FALSE)</f>
        <v>#REF!</v>
      </c>
      <c r="O67" s="106" t="e">
        <f>VLOOKUP($A67,#REF!,9,FALSE)</f>
        <v>#REF!</v>
      </c>
      <c r="P67" s="114" t="e">
        <f>#REF!</f>
        <v>#REF!</v>
      </c>
      <c r="Q67" s="114" t="e">
        <f>VLOOKUP(A67,#REF!,17,FALSE)</f>
        <v>#REF!</v>
      </c>
      <c r="R67" s="120" t="e">
        <f>#REF!</f>
        <v>#REF!</v>
      </c>
      <c r="S67" s="114" t="e">
        <f>IF(Q67=0,#REF!,ROUND(Q67*R67,4))</f>
        <v>#REF!</v>
      </c>
      <c r="T67" s="105" t="e">
        <f>VLOOKUP($A67,#REF!,15,FALSE)</f>
        <v>#REF!</v>
      </c>
      <c r="U67" s="105" t="e">
        <f>VLOOKUP($A67,#REF!,19,FALSE)</f>
        <v>#REF!</v>
      </c>
      <c r="V67" s="109" t="e">
        <f t="shared" si="5"/>
        <v>#REF!</v>
      </c>
      <c r="W67" s="121" t="e">
        <f t="shared" si="6"/>
        <v>#REF!</v>
      </c>
      <c r="X67" s="105" t="e">
        <f t="shared" si="7"/>
        <v>#REF!</v>
      </c>
      <c r="Y67" s="109" t="e">
        <f t="shared" si="8"/>
        <v>#REF!</v>
      </c>
      <c r="Z67" s="109" t="e">
        <f t="shared" si="9"/>
        <v>#REF!</v>
      </c>
      <c r="AA67" s="113" t="e">
        <f t="shared" si="10"/>
        <v>#REF!</v>
      </c>
      <c r="AB67" s="109" t="e">
        <f t="shared" si="11"/>
        <v>#REF!</v>
      </c>
      <c r="AC67" s="113" t="e">
        <f t="shared" si="12"/>
        <v>#REF!</v>
      </c>
      <c r="AD67" s="105" t="e">
        <f t="shared" si="13"/>
        <v>#REF!</v>
      </c>
      <c r="AE67" s="105" t="e">
        <f t="shared" si="14"/>
        <v>#REF!</v>
      </c>
      <c r="AF67" s="105" t="e">
        <f t="shared" si="15"/>
        <v>#REF!</v>
      </c>
      <c r="AG67" s="105" t="e">
        <f t="shared" si="16"/>
        <v>#REF!</v>
      </c>
      <c r="AH67" s="111" t="e">
        <f>VLOOKUP($A67,#REF!,5,FALSE)</f>
        <v>#REF!</v>
      </c>
      <c r="AI67" s="111" t="e">
        <f>VLOOKUP($A67,#REF!,6,FALSE)</f>
        <v>#REF!</v>
      </c>
      <c r="AJ67" s="109" t="e">
        <f t="shared" si="17"/>
        <v>#REF!</v>
      </c>
      <c r="AK67" s="109" t="e">
        <f t="shared" si="18"/>
        <v>#REF!</v>
      </c>
      <c r="AL67" s="109"/>
      <c r="AM67" s="110"/>
      <c r="AN67" s="110"/>
      <c r="AO67" s="110"/>
      <c r="AP67" s="110"/>
      <c r="AQ67" s="112"/>
      <c r="AR67" s="112"/>
      <c r="AS67" s="110"/>
      <c r="AT67" s="105"/>
      <c r="AU67" s="105"/>
      <c r="AV67" s="105"/>
      <c r="AW67" s="105"/>
      <c r="AX67" s="105"/>
      <c r="AY67" s="105"/>
    </row>
    <row r="68" spans="1:51" x14ac:dyDescent="0.15">
      <c r="A68" s="115">
        <v>126</v>
      </c>
      <c r="B68" s="98" t="e">
        <f>VLOOKUP($A68,#REF!,101,FALSE)</f>
        <v>#REF!</v>
      </c>
      <c r="C68" s="98" t="e">
        <f>VLOOKUP($A68,#REF!,102,FALSE)</f>
        <v>#REF!</v>
      </c>
      <c r="D68" s="104" t="e">
        <f>VLOOKUP($A68,#REF!,5,FALSE)</f>
        <v>#REF!</v>
      </c>
      <c r="E68" s="104" t="e">
        <f>VLOOKUP($A68,#REF!,6,FALSE)</f>
        <v>#REF!</v>
      </c>
      <c r="F68" s="105" t="e">
        <f>VLOOKUP($A68,#REF!,34,FALSE)</f>
        <v>#REF!</v>
      </c>
      <c r="G68" s="105" t="e">
        <f>VLOOKUP($A68,#REF!,29,FALSE)</f>
        <v>#REF!</v>
      </c>
      <c r="H68" s="105" t="e">
        <f>VLOOKUP($A68,#REF!,35,FALSE)+VLOOKUP($A68,#REF!,97,FALSE)</f>
        <v>#REF!</v>
      </c>
      <c r="I68" s="105" t="e">
        <f t="shared" ref="I68:I131" si="20">+Y68</f>
        <v>#REF!</v>
      </c>
      <c r="J68" s="105" t="e">
        <f>VLOOKUP($A68,#REF!,42,FALSE)</f>
        <v>#REF!</v>
      </c>
      <c r="K68" s="105" t="e">
        <f t="shared" ref="K68:K131" si="21">SUM(F68:J68)</f>
        <v>#REF!</v>
      </c>
      <c r="L68" s="164" t="e">
        <f t="shared" si="19"/>
        <v>#REF!</v>
      </c>
      <c r="M68" s="105" t="e">
        <f t="shared" ref="M68:M131" si="22">ROUND(K68*L68,2)</f>
        <v>#REF!</v>
      </c>
      <c r="N68" s="105" t="e">
        <f>VLOOKUP($A68,#REF!,46,FALSE)</f>
        <v>#REF!</v>
      </c>
      <c r="O68" s="106" t="e">
        <f>VLOOKUP($A68,#REF!,9,FALSE)</f>
        <v>#REF!</v>
      </c>
      <c r="P68" s="114" t="e">
        <f>#REF!</f>
        <v>#REF!</v>
      </c>
      <c r="Q68" s="114" t="e">
        <f>VLOOKUP(A68,#REF!,17,FALSE)</f>
        <v>#REF!</v>
      </c>
      <c r="R68" s="120" t="e">
        <f>#REF!</f>
        <v>#REF!</v>
      </c>
      <c r="S68" s="114" t="e">
        <f>IF(Q68=0,#REF!,ROUND(Q68*R68,4))</f>
        <v>#REF!</v>
      </c>
      <c r="T68" s="105" t="e">
        <f>VLOOKUP($A68,#REF!,15,FALSE)</f>
        <v>#REF!</v>
      </c>
      <c r="U68" s="105" t="e">
        <f>VLOOKUP($A68,#REF!,19,FALSE)</f>
        <v>#REF!</v>
      </c>
      <c r="V68" s="109" t="e">
        <f t="shared" ref="V68:V131" si="23">IF($O68="NA","NA",ROUND(U68*(O68/P68),2))</f>
        <v>#REF!</v>
      </c>
      <c r="W68" s="121" t="e">
        <f t="shared" ref="W68:W131" si="24">IF($O68="NA",ROUND(U68*S68,2),ROUND(V68*(S68/O68),2))</f>
        <v>#REF!</v>
      </c>
      <c r="X68" s="105" t="e">
        <f t="shared" ref="X68:X131" si="25">IF(O68="NA","NA",ROUND(MAX(0,AB68)*-1,2))</f>
        <v>#REF!</v>
      </c>
      <c r="Y68" s="109" t="e">
        <f t="shared" ref="Y68:Y131" si="26">IF($O68="NA",W68,W68+X68)</f>
        <v>#REF!</v>
      </c>
      <c r="Z68" s="109" t="e">
        <f t="shared" ref="Z68:Z131" si="27">IF(O68="NA","NA",ROUND(T68*(S68/O68),2))</f>
        <v>#REF!</v>
      </c>
      <c r="AA68" s="113" t="e">
        <f t="shared" ref="AA68:AA131" si="28">IF(O68="NA","NA",ROUND(W68*0.95,2))</f>
        <v>#REF!</v>
      </c>
      <c r="AB68" s="109" t="e">
        <f t="shared" ref="AB68:AB131" si="29">IF(O68="NA","NA",AA68-Z68)</f>
        <v>#REF!</v>
      </c>
      <c r="AC68" s="113" t="e">
        <f t="shared" ref="AC68:AC131" si="30">+F68+G68+H68+ROUND((I68*0.5),2)+J68</f>
        <v>#REF!</v>
      </c>
      <c r="AD68" s="105" t="e">
        <f t="shared" ref="AD68:AD131" si="31">+F68+G68+H68+J68</f>
        <v>#REF!</v>
      </c>
      <c r="AE68" s="105" t="e">
        <f t="shared" ref="AE68:AE131" si="32">+M68+N68</f>
        <v>#REF!</v>
      </c>
      <c r="AF68" s="105" t="e">
        <f t="shared" ref="AF68:AF131" si="33">+AC68+N68</f>
        <v>#REF!</v>
      </c>
      <c r="AG68" s="105" t="e">
        <f t="shared" ref="AG68:AG131" si="34">+AD68+N68</f>
        <v>#REF!</v>
      </c>
      <c r="AH68" s="111" t="e">
        <f>VLOOKUP($A68,#REF!,5,FALSE)</f>
        <v>#REF!</v>
      </c>
      <c r="AI68" s="111" t="e">
        <f>VLOOKUP($A68,#REF!,6,FALSE)</f>
        <v>#REF!</v>
      </c>
      <c r="AJ68" s="109" t="e">
        <f t="shared" ref="AJ68:AJ131" si="35">ROUND((AH68*0.5)+(AE68*0.5),2)</f>
        <v>#REF!</v>
      </c>
      <c r="AK68" s="109" t="e">
        <f t="shared" ref="AK68:AK131" si="36">ROUND((AI68*0.5)+(AF68*0.5),2)</f>
        <v>#REF!</v>
      </c>
      <c r="AL68" s="109"/>
      <c r="AM68" s="110"/>
      <c r="AN68" s="110"/>
      <c r="AO68" s="110"/>
      <c r="AP68" s="110"/>
      <c r="AQ68" s="112"/>
      <c r="AR68" s="112"/>
      <c r="AS68" s="110"/>
      <c r="AT68" s="105"/>
      <c r="AU68" s="105"/>
      <c r="AV68" s="105"/>
      <c r="AW68" s="105"/>
      <c r="AX68" s="105"/>
      <c r="AY68" s="105"/>
    </row>
    <row r="69" spans="1:51" x14ac:dyDescent="0.15">
      <c r="A69" s="115">
        <v>48</v>
      </c>
      <c r="B69" s="98" t="e">
        <f>VLOOKUP($A69,#REF!,101,FALSE)</f>
        <v>#REF!</v>
      </c>
      <c r="C69" s="98" t="e">
        <f>VLOOKUP($A69,#REF!,102,FALSE)</f>
        <v>#REF!</v>
      </c>
      <c r="D69" s="104" t="e">
        <f>VLOOKUP($A69,#REF!,5,FALSE)</f>
        <v>#REF!</v>
      </c>
      <c r="E69" s="104" t="e">
        <f>VLOOKUP($A69,#REF!,6,FALSE)</f>
        <v>#REF!</v>
      </c>
      <c r="F69" s="105" t="e">
        <f>VLOOKUP($A69,#REF!,34,FALSE)</f>
        <v>#REF!</v>
      </c>
      <c r="G69" s="105" t="e">
        <f>VLOOKUP($A69,#REF!,29,FALSE)</f>
        <v>#REF!</v>
      </c>
      <c r="H69" s="105" t="e">
        <f>VLOOKUP($A69,#REF!,35,FALSE)+VLOOKUP($A69,#REF!,97,FALSE)</f>
        <v>#REF!</v>
      </c>
      <c r="I69" s="105" t="e">
        <f t="shared" si="20"/>
        <v>#REF!</v>
      </c>
      <c r="J69" s="105" t="e">
        <f>VLOOKUP($A69,#REF!,42,FALSE)</f>
        <v>#REF!</v>
      </c>
      <c r="K69" s="105" t="e">
        <f t="shared" si="21"/>
        <v>#REF!</v>
      </c>
      <c r="L69" s="164" t="e">
        <f t="shared" si="19"/>
        <v>#REF!</v>
      </c>
      <c r="M69" s="105" t="e">
        <f t="shared" si="22"/>
        <v>#REF!</v>
      </c>
      <c r="N69" s="105" t="e">
        <f>VLOOKUP($A69,#REF!,46,FALSE)</f>
        <v>#REF!</v>
      </c>
      <c r="O69" s="106" t="e">
        <f>VLOOKUP($A69,#REF!,9,FALSE)</f>
        <v>#REF!</v>
      </c>
      <c r="P69" s="114" t="e">
        <f>#REF!</f>
        <v>#REF!</v>
      </c>
      <c r="Q69" s="114" t="e">
        <f>VLOOKUP(A69,#REF!,17,FALSE)</f>
        <v>#REF!</v>
      </c>
      <c r="R69" s="120" t="e">
        <f>#REF!</f>
        <v>#REF!</v>
      </c>
      <c r="S69" s="114" t="e">
        <f>IF(Q69=0,#REF!,ROUND(Q69*R69,4))</f>
        <v>#REF!</v>
      </c>
      <c r="T69" s="105" t="e">
        <f>VLOOKUP($A69,#REF!,15,FALSE)</f>
        <v>#REF!</v>
      </c>
      <c r="U69" s="105" t="e">
        <f>VLOOKUP($A69,#REF!,19,FALSE)</f>
        <v>#REF!</v>
      </c>
      <c r="V69" s="109" t="e">
        <f t="shared" si="23"/>
        <v>#REF!</v>
      </c>
      <c r="W69" s="121" t="e">
        <f t="shared" si="24"/>
        <v>#REF!</v>
      </c>
      <c r="X69" s="105" t="e">
        <f t="shared" si="25"/>
        <v>#REF!</v>
      </c>
      <c r="Y69" s="109" t="e">
        <f t="shared" si="26"/>
        <v>#REF!</v>
      </c>
      <c r="Z69" s="109" t="e">
        <f t="shared" si="27"/>
        <v>#REF!</v>
      </c>
      <c r="AA69" s="113" t="e">
        <f t="shared" si="28"/>
        <v>#REF!</v>
      </c>
      <c r="AB69" s="109" t="e">
        <f t="shared" si="29"/>
        <v>#REF!</v>
      </c>
      <c r="AC69" s="113" t="e">
        <f t="shared" si="30"/>
        <v>#REF!</v>
      </c>
      <c r="AD69" s="105" t="e">
        <f t="shared" si="31"/>
        <v>#REF!</v>
      </c>
      <c r="AE69" s="105" t="e">
        <f t="shared" si="32"/>
        <v>#REF!</v>
      </c>
      <c r="AF69" s="105" t="e">
        <f t="shared" si="33"/>
        <v>#REF!</v>
      </c>
      <c r="AG69" s="105" t="e">
        <f t="shared" si="34"/>
        <v>#REF!</v>
      </c>
      <c r="AH69" s="111" t="e">
        <f>VLOOKUP($A69,#REF!,5,FALSE)</f>
        <v>#REF!</v>
      </c>
      <c r="AI69" s="111" t="e">
        <f>VLOOKUP($A69,#REF!,6,FALSE)</f>
        <v>#REF!</v>
      </c>
      <c r="AJ69" s="109" t="e">
        <f t="shared" si="35"/>
        <v>#REF!</v>
      </c>
      <c r="AK69" s="109" t="e">
        <f t="shared" si="36"/>
        <v>#REF!</v>
      </c>
      <c r="AL69" s="109"/>
      <c r="AM69" s="110"/>
      <c r="AN69" s="110"/>
      <c r="AO69" s="110"/>
      <c r="AP69" s="110"/>
      <c r="AQ69" s="112"/>
      <c r="AR69" s="112"/>
      <c r="AS69" s="110"/>
      <c r="AT69" s="105"/>
      <c r="AU69" s="105"/>
      <c r="AV69" s="105"/>
      <c r="AW69" s="105"/>
      <c r="AX69" s="105"/>
      <c r="AY69" s="105"/>
    </row>
    <row r="70" spans="1:51" x14ac:dyDescent="0.15">
      <c r="A70" s="115">
        <v>232</v>
      </c>
      <c r="B70" s="98" t="e">
        <f>VLOOKUP($A70,#REF!,101,FALSE)</f>
        <v>#REF!</v>
      </c>
      <c r="C70" s="98" t="e">
        <f>VLOOKUP($A70,#REF!,102,FALSE)</f>
        <v>#REF!</v>
      </c>
      <c r="D70" s="104" t="e">
        <f>VLOOKUP($A70,#REF!,5,FALSE)</f>
        <v>#REF!</v>
      </c>
      <c r="E70" s="104" t="e">
        <f>VLOOKUP($A70,#REF!,6,FALSE)</f>
        <v>#REF!</v>
      </c>
      <c r="F70" s="105" t="e">
        <f>VLOOKUP($A70,#REF!,34,FALSE)</f>
        <v>#REF!</v>
      </c>
      <c r="G70" s="105" t="e">
        <f>VLOOKUP($A70,#REF!,29,FALSE)</f>
        <v>#REF!</v>
      </c>
      <c r="H70" s="105" t="e">
        <f>VLOOKUP($A70,#REF!,35,FALSE)+VLOOKUP($A70,#REF!,97,FALSE)</f>
        <v>#REF!</v>
      </c>
      <c r="I70" s="105" t="e">
        <f t="shared" si="20"/>
        <v>#REF!</v>
      </c>
      <c r="J70" s="105" t="e">
        <f>VLOOKUP($A70,#REF!,42,FALSE)</f>
        <v>#REF!</v>
      </c>
      <c r="K70" s="105" t="e">
        <f t="shared" si="21"/>
        <v>#REF!</v>
      </c>
      <c r="L70" s="164" t="e">
        <f t="shared" si="19"/>
        <v>#REF!</v>
      </c>
      <c r="M70" s="105" t="e">
        <f t="shared" si="22"/>
        <v>#REF!</v>
      </c>
      <c r="N70" s="105" t="e">
        <f>VLOOKUP($A70,#REF!,46,FALSE)</f>
        <v>#REF!</v>
      </c>
      <c r="O70" s="106" t="e">
        <f>VLOOKUP($A70,#REF!,9,FALSE)</f>
        <v>#REF!</v>
      </c>
      <c r="P70" s="114" t="e">
        <f>#REF!</f>
        <v>#REF!</v>
      </c>
      <c r="Q70" s="114" t="e">
        <f>VLOOKUP(A70,#REF!,17,FALSE)</f>
        <v>#REF!</v>
      </c>
      <c r="R70" s="120" t="e">
        <f>#REF!</f>
        <v>#REF!</v>
      </c>
      <c r="S70" s="114" t="e">
        <f>IF(Q70=0,#REF!,ROUND(Q70*R70,4))</f>
        <v>#REF!</v>
      </c>
      <c r="T70" s="105" t="e">
        <f>VLOOKUP($A70,#REF!,15,FALSE)</f>
        <v>#REF!</v>
      </c>
      <c r="U70" s="105" t="e">
        <f>VLOOKUP($A70,#REF!,19,FALSE)</f>
        <v>#REF!</v>
      </c>
      <c r="V70" s="109" t="e">
        <f t="shared" si="23"/>
        <v>#REF!</v>
      </c>
      <c r="W70" s="121" t="e">
        <f t="shared" si="24"/>
        <v>#REF!</v>
      </c>
      <c r="X70" s="105" t="e">
        <f t="shared" si="25"/>
        <v>#REF!</v>
      </c>
      <c r="Y70" s="109" t="e">
        <f t="shared" si="26"/>
        <v>#REF!</v>
      </c>
      <c r="Z70" s="109" t="e">
        <f t="shared" si="27"/>
        <v>#REF!</v>
      </c>
      <c r="AA70" s="113" t="e">
        <f t="shared" si="28"/>
        <v>#REF!</v>
      </c>
      <c r="AB70" s="109" t="e">
        <f t="shared" si="29"/>
        <v>#REF!</v>
      </c>
      <c r="AC70" s="113" t="e">
        <f t="shared" si="30"/>
        <v>#REF!</v>
      </c>
      <c r="AD70" s="105" t="e">
        <f t="shared" si="31"/>
        <v>#REF!</v>
      </c>
      <c r="AE70" s="105" t="e">
        <f t="shared" si="32"/>
        <v>#REF!</v>
      </c>
      <c r="AF70" s="105" t="e">
        <f t="shared" si="33"/>
        <v>#REF!</v>
      </c>
      <c r="AG70" s="105" t="e">
        <f t="shared" si="34"/>
        <v>#REF!</v>
      </c>
      <c r="AH70" s="111" t="e">
        <f>VLOOKUP($A70,#REF!,5,FALSE)</f>
        <v>#REF!</v>
      </c>
      <c r="AI70" s="111" t="e">
        <f>VLOOKUP($A70,#REF!,6,FALSE)</f>
        <v>#REF!</v>
      </c>
      <c r="AJ70" s="109" t="e">
        <f t="shared" si="35"/>
        <v>#REF!</v>
      </c>
      <c r="AK70" s="109" t="e">
        <f t="shared" si="36"/>
        <v>#REF!</v>
      </c>
      <c r="AL70" s="109"/>
      <c r="AM70" s="110"/>
      <c r="AN70" s="110"/>
      <c r="AO70" s="110"/>
      <c r="AP70" s="110"/>
      <c r="AQ70" s="112"/>
      <c r="AR70" s="112"/>
      <c r="AS70" s="110"/>
      <c r="AT70" s="105"/>
      <c r="AU70" s="105"/>
      <c r="AV70" s="105"/>
      <c r="AW70" s="105"/>
      <c r="AX70" s="105"/>
      <c r="AY70" s="105"/>
    </row>
    <row r="71" spans="1:51" x14ac:dyDescent="0.15">
      <c r="A71" s="115">
        <v>735</v>
      </c>
      <c r="B71" s="98" t="e">
        <f>VLOOKUP($A71,#REF!,101,FALSE)</f>
        <v>#REF!</v>
      </c>
      <c r="C71" s="98" t="e">
        <f>VLOOKUP($A71,#REF!,102,FALSE)</f>
        <v>#REF!</v>
      </c>
      <c r="D71" s="104" t="e">
        <f>VLOOKUP($A71,#REF!,5,FALSE)</f>
        <v>#REF!</v>
      </c>
      <c r="E71" s="104" t="e">
        <f>VLOOKUP($A71,#REF!,6,FALSE)</f>
        <v>#REF!</v>
      </c>
      <c r="F71" s="105" t="e">
        <f>VLOOKUP($A71,#REF!,34,FALSE)</f>
        <v>#REF!</v>
      </c>
      <c r="G71" s="105" t="e">
        <f>VLOOKUP($A71,#REF!,29,FALSE)</f>
        <v>#REF!</v>
      </c>
      <c r="H71" s="105" t="e">
        <f>VLOOKUP($A71,#REF!,35,FALSE)+VLOOKUP($A71,#REF!,97,FALSE)</f>
        <v>#REF!</v>
      </c>
      <c r="I71" s="105" t="e">
        <f t="shared" si="20"/>
        <v>#REF!</v>
      </c>
      <c r="J71" s="105" t="e">
        <f>VLOOKUP($A71,#REF!,42,FALSE)</f>
        <v>#REF!</v>
      </c>
      <c r="K71" s="105" t="e">
        <f t="shared" si="21"/>
        <v>#REF!</v>
      </c>
      <c r="L71" s="164" t="e">
        <f t="shared" si="19"/>
        <v>#REF!</v>
      </c>
      <c r="M71" s="105" t="e">
        <f t="shared" si="22"/>
        <v>#REF!</v>
      </c>
      <c r="N71" s="105" t="e">
        <f>VLOOKUP($A71,#REF!,46,FALSE)</f>
        <v>#REF!</v>
      </c>
      <c r="O71" s="106" t="e">
        <f>VLOOKUP($A71,#REF!,9,FALSE)</f>
        <v>#REF!</v>
      </c>
      <c r="P71" s="114" t="e">
        <f>#REF!</f>
        <v>#REF!</v>
      </c>
      <c r="Q71" s="114" t="e">
        <f>VLOOKUP(A71,#REF!,17,FALSE)</f>
        <v>#REF!</v>
      </c>
      <c r="R71" s="120" t="e">
        <f>#REF!</f>
        <v>#REF!</v>
      </c>
      <c r="S71" s="114" t="e">
        <f>IF(Q71=0,#REF!,ROUND(Q71*R71,4))</f>
        <v>#REF!</v>
      </c>
      <c r="T71" s="105" t="e">
        <f>VLOOKUP($A71,#REF!,15,FALSE)</f>
        <v>#REF!</v>
      </c>
      <c r="U71" s="105" t="e">
        <f>VLOOKUP($A71,#REF!,19,FALSE)</f>
        <v>#REF!</v>
      </c>
      <c r="V71" s="109" t="e">
        <f t="shared" si="23"/>
        <v>#REF!</v>
      </c>
      <c r="W71" s="121" t="e">
        <f t="shared" si="24"/>
        <v>#REF!</v>
      </c>
      <c r="X71" s="105" t="e">
        <f t="shared" si="25"/>
        <v>#REF!</v>
      </c>
      <c r="Y71" s="109" t="e">
        <f t="shared" si="26"/>
        <v>#REF!</v>
      </c>
      <c r="Z71" s="109" t="e">
        <f t="shared" si="27"/>
        <v>#REF!</v>
      </c>
      <c r="AA71" s="113" t="e">
        <f t="shared" si="28"/>
        <v>#REF!</v>
      </c>
      <c r="AB71" s="109" t="e">
        <f t="shared" si="29"/>
        <v>#REF!</v>
      </c>
      <c r="AC71" s="113" t="e">
        <f t="shared" si="30"/>
        <v>#REF!</v>
      </c>
      <c r="AD71" s="105" t="e">
        <f t="shared" si="31"/>
        <v>#REF!</v>
      </c>
      <c r="AE71" s="105" t="e">
        <f t="shared" si="32"/>
        <v>#REF!</v>
      </c>
      <c r="AF71" s="105" t="e">
        <f t="shared" si="33"/>
        <v>#REF!</v>
      </c>
      <c r="AG71" s="105" t="e">
        <f t="shared" si="34"/>
        <v>#REF!</v>
      </c>
      <c r="AH71" s="111" t="e">
        <f>VLOOKUP($A71,#REF!,5,FALSE)</f>
        <v>#REF!</v>
      </c>
      <c r="AI71" s="111" t="e">
        <f>VLOOKUP($A71,#REF!,6,FALSE)</f>
        <v>#REF!</v>
      </c>
      <c r="AJ71" s="109" t="e">
        <f t="shared" si="35"/>
        <v>#REF!</v>
      </c>
      <c r="AK71" s="109" t="e">
        <f t="shared" si="36"/>
        <v>#REF!</v>
      </c>
      <c r="AL71" s="109"/>
      <c r="AM71" s="110"/>
      <c r="AN71" s="110"/>
      <c r="AO71" s="110"/>
      <c r="AP71" s="110"/>
      <c r="AQ71" s="112"/>
      <c r="AR71" s="112"/>
      <c r="AS71" s="110"/>
      <c r="AT71" s="105"/>
      <c r="AU71" s="105"/>
      <c r="AV71" s="105"/>
      <c r="AW71" s="105"/>
      <c r="AX71" s="105"/>
      <c r="AY71" s="105"/>
    </row>
    <row r="72" spans="1:51" x14ac:dyDescent="0.15">
      <c r="A72" s="115">
        <v>262</v>
      </c>
      <c r="B72" s="98" t="e">
        <f>VLOOKUP($A72,#REF!,101,FALSE)</f>
        <v>#REF!</v>
      </c>
      <c r="C72" s="98" t="e">
        <f>VLOOKUP($A72,#REF!,102,FALSE)</f>
        <v>#REF!</v>
      </c>
      <c r="D72" s="104" t="e">
        <f>VLOOKUP($A72,#REF!,5,FALSE)</f>
        <v>#REF!</v>
      </c>
      <c r="E72" s="104" t="e">
        <f>VLOOKUP($A72,#REF!,6,FALSE)</f>
        <v>#REF!</v>
      </c>
      <c r="F72" s="105" t="e">
        <f>VLOOKUP($A72,#REF!,34,FALSE)</f>
        <v>#REF!</v>
      </c>
      <c r="G72" s="105" t="e">
        <f>VLOOKUP($A72,#REF!,29,FALSE)</f>
        <v>#REF!</v>
      </c>
      <c r="H72" s="105" t="e">
        <f>VLOOKUP($A72,#REF!,35,FALSE)+VLOOKUP($A72,#REF!,97,FALSE)</f>
        <v>#REF!</v>
      </c>
      <c r="I72" s="105" t="e">
        <f t="shared" si="20"/>
        <v>#REF!</v>
      </c>
      <c r="J72" s="105" t="e">
        <f>VLOOKUP($A72,#REF!,42,FALSE)</f>
        <v>#REF!</v>
      </c>
      <c r="K72" s="105" t="e">
        <f t="shared" si="21"/>
        <v>#REF!</v>
      </c>
      <c r="L72" s="164" t="e">
        <f t="shared" si="19"/>
        <v>#REF!</v>
      </c>
      <c r="M72" s="105" t="e">
        <f t="shared" si="22"/>
        <v>#REF!</v>
      </c>
      <c r="N72" s="105" t="e">
        <f>VLOOKUP($A72,#REF!,46,FALSE)</f>
        <v>#REF!</v>
      </c>
      <c r="O72" s="106" t="e">
        <f>VLOOKUP($A72,#REF!,9,FALSE)</f>
        <v>#REF!</v>
      </c>
      <c r="P72" s="114" t="e">
        <f>#REF!</f>
        <v>#REF!</v>
      </c>
      <c r="Q72" s="114" t="e">
        <f>VLOOKUP(A72,#REF!,17,FALSE)</f>
        <v>#REF!</v>
      </c>
      <c r="R72" s="120" t="e">
        <f>#REF!</f>
        <v>#REF!</v>
      </c>
      <c r="S72" s="114" t="e">
        <f>IF(Q72=0,#REF!,ROUND(Q72*R72,4))</f>
        <v>#REF!</v>
      </c>
      <c r="T72" s="105" t="e">
        <f>VLOOKUP($A72,#REF!,15,FALSE)</f>
        <v>#REF!</v>
      </c>
      <c r="U72" s="105" t="e">
        <f>VLOOKUP($A72,#REF!,19,FALSE)</f>
        <v>#REF!</v>
      </c>
      <c r="V72" s="109" t="e">
        <f t="shared" si="23"/>
        <v>#REF!</v>
      </c>
      <c r="W72" s="121" t="e">
        <f t="shared" si="24"/>
        <v>#REF!</v>
      </c>
      <c r="X72" s="105" t="e">
        <f t="shared" si="25"/>
        <v>#REF!</v>
      </c>
      <c r="Y72" s="109" t="e">
        <f t="shared" si="26"/>
        <v>#REF!</v>
      </c>
      <c r="Z72" s="109" t="e">
        <f t="shared" si="27"/>
        <v>#REF!</v>
      </c>
      <c r="AA72" s="113" t="e">
        <f t="shared" si="28"/>
        <v>#REF!</v>
      </c>
      <c r="AB72" s="109" t="e">
        <f t="shared" si="29"/>
        <v>#REF!</v>
      </c>
      <c r="AC72" s="113" t="e">
        <f t="shared" si="30"/>
        <v>#REF!</v>
      </c>
      <c r="AD72" s="105" t="e">
        <f t="shared" si="31"/>
        <v>#REF!</v>
      </c>
      <c r="AE72" s="105" t="e">
        <f t="shared" si="32"/>
        <v>#REF!</v>
      </c>
      <c r="AF72" s="105" t="e">
        <f t="shared" si="33"/>
        <v>#REF!</v>
      </c>
      <c r="AG72" s="105" t="e">
        <f t="shared" si="34"/>
        <v>#REF!</v>
      </c>
      <c r="AH72" s="111" t="e">
        <f>VLOOKUP($A72,#REF!,5,FALSE)</f>
        <v>#REF!</v>
      </c>
      <c r="AI72" s="111" t="e">
        <f>VLOOKUP($A72,#REF!,6,FALSE)</f>
        <v>#REF!</v>
      </c>
      <c r="AJ72" s="109" t="e">
        <f t="shared" si="35"/>
        <v>#REF!</v>
      </c>
      <c r="AK72" s="109" t="e">
        <f t="shared" si="36"/>
        <v>#REF!</v>
      </c>
      <c r="AL72" s="109"/>
      <c r="AM72" s="110"/>
      <c r="AN72" s="110"/>
      <c r="AO72" s="110"/>
      <c r="AP72" s="110"/>
      <c r="AQ72" s="112"/>
      <c r="AR72" s="112"/>
      <c r="AS72" s="110"/>
      <c r="AT72" s="105"/>
      <c r="AU72" s="105"/>
      <c r="AV72" s="105"/>
      <c r="AW72" s="105"/>
      <c r="AX72" s="105"/>
      <c r="AY72" s="105"/>
    </row>
    <row r="73" spans="1:51" x14ac:dyDescent="0.15">
      <c r="A73" s="115">
        <v>342</v>
      </c>
      <c r="B73" s="98" t="e">
        <f>VLOOKUP($A73,#REF!,101,FALSE)</f>
        <v>#REF!</v>
      </c>
      <c r="C73" s="98" t="e">
        <f>VLOOKUP($A73,#REF!,102,FALSE)</f>
        <v>#REF!</v>
      </c>
      <c r="D73" s="104" t="e">
        <f>VLOOKUP($A73,#REF!,5,FALSE)</f>
        <v>#REF!</v>
      </c>
      <c r="E73" s="104" t="e">
        <f>VLOOKUP($A73,#REF!,6,FALSE)</f>
        <v>#REF!</v>
      </c>
      <c r="F73" s="105" t="e">
        <f>VLOOKUP($A73,#REF!,34,FALSE)</f>
        <v>#REF!</v>
      </c>
      <c r="G73" s="105" t="e">
        <f>VLOOKUP($A73,#REF!,29,FALSE)</f>
        <v>#REF!</v>
      </c>
      <c r="H73" s="105" t="e">
        <f>VLOOKUP($A73,#REF!,35,FALSE)+VLOOKUP($A73,#REF!,97,FALSE)</f>
        <v>#REF!</v>
      </c>
      <c r="I73" s="105" t="e">
        <f t="shared" si="20"/>
        <v>#REF!</v>
      </c>
      <c r="J73" s="105" t="e">
        <f>VLOOKUP($A73,#REF!,42,FALSE)</f>
        <v>#REF!</v>
      </c>
      <c r="K73" s="105" t="e">
        <f t="shared" si="21"/>
        <v>#REF!</v>
      </c>
      <c r="L73" s="164" t="e">
        <f t="shared" si="19"/>
        <v>#REF!</v>
      </c>
      <c r="M73" s="105" t="e">
        <f t="shared" si="22"/>
        <v>#REF!</v>
      </c>
      <c r="N73" s="105" t="e">
        <f>VLOOKUP($A73,#REF!,46,FALSE)</f>
        <v>#REF!</v>
      </c>
      <c r="O73" s="106" t="e">
        <f>VLOOKUP($A73,#REF!,9,FALSE)</f>
        <v>#REF!</v>
      </c>
      <c r="P73" s="114" t="e">
        <f>#REF!</f>
        <v>#REF!</v>
      </c>
      <c r="Q73" s="114" t="e">
        <f>VLOOKUP(A73,#REF!,17,FALSE)</f>
        <v>#REF!</v>
      </c>
      <c r="R73" s="120" t="e">
        <f>#REF!</f>
        <v>#REF!</v>
      </c>
      <c r="S73" s="114" t="e">
        <f>IF(Q73=0,#REF!,ROUND(Q73*R73,4))</f>
        <v>#REF!</v>
      </c>
      <c r="T73" s="105" t="e">
        <f>VLOOKUP($A73,#REF!,15,FALSE)</f>
        <v>#REF!</v>
      </c>
      <c r="U73" s="105" t="e">
        <f>VLOOKUP($A73,#REF!,19,FALSE)</f>
        <v>#REF!</v>
      </c>
      <c r="V73" s="109" t="e">
        <f t="shared" si="23"/>
        <v>#REF!</v>
      </c>
      <c r="W73" s="121" t="e">
        <f t="shared" si="24"/>
        <v>#REF!</v>
      </c>
      <c r="X73" s="105" t="e">
        <f t="shared" si="25"/>
        <v>#REF!</v>
      </c>
      <c r="Y73" s="109" t="e">
        <f t="shared" si="26"/>
        <v>#REF!</v>
      </c>
      <c r="Z73" s="109" t="e">
        <f t="shared" si="27"/>
        <v>#REF!</v>
      </c>
      <c r="AA73" s="113" t="e">
        <f t="shared" si="28"/>
        <v>#REF!</v>
      </c>
      <c r="AB73" s="109" t="e">
        <f t="shared" si="29"/>
        <v>#REF!</v>
      </c>
      <c r="AC73" s="113" t="e">
        <f t="shared" si="30"/>
        <v>#REF!</v>
      </c>
      <c r="AD73" s="105" t="e">
        <f t="shared" si="31"/>
        <v>#REF!</v>
      </c>
      <c r="AE73" s="105" t="e">
        <f t="shared" si="32"/>
        <v>#REF!</v>
      </c>
      <c r="AF73" s="105" t="e">
        <f t="shared" si="33"/>
        <v>#REF!</v>
      </c>
      <c r="AG73" s="105" t="e">
        <f t="shared" si="34"/>
        <v>#REF!</v>
      </c>
      <c r="AH73" s="111" t="e">
        <f>VLOOKUP($A73,#REF!,5,FALSE)</f>
        <v>#REF!</v>
      </c>
      <c r="AI73" s="111" t="e">
        <f>VLOOKUP($A73,#REF!,6,FALSE)</f>
        <v>#REF!</v>
      </c>
      <c r="AJ73" s="109" t="e">
        <f t="shared" si="35"/>
        <v>#REF!</v>
      </c>
      <c r="AK73" s="109" t="e">
        <f t="shared" si="36"/>
        <v>#REF!</v>
      </c>
      <c r="AL73" s="109"/>
      <c r="AM73" s="110"/>
      <c r="AN73" s="110"/>
      <c r="AO73" s="110"/>
      <c r="AP73" s="110"/>
      <c r="AQ73" s="112"/>
      <c r="AR73" s="112"/>
      <c r="AS73" s="110"/>
      <c r="AT73" s="105"/>
      <c r="AU73" s="105"/>
      <c r="AV73" s="105"/>
      <c r="AW73" s="105"/>
      <c r="AX73" s="105"/>
      <c r="AY73" s="105"/>
    </row>
    <row r="74" spans="1:51" x14ac:dyDescent="0.15">
      <c r="A74" s="115">
        <v>400</v>
      </c>
      <c r="B74" s="98" t="e">
        <f>VLOOKUP($A74,#REF!,101,FALSE)</f>
        <v>#REF!</v>
      </c>
      <c r="C74" s="98" t="e">
        <f>VLOOKUP($A74,#REF!,102,FALSE)</f>
        <v>#REF!</v>
      </c>
      <c r="D74" s="104" t="e">
        <f>VLOOKUP($A74,#REF!,5,FALSE)</f>
        <v>#REF!</v>
      </c>
      <c r="E74" s="104" t="e">
        <f>VLOOKUP($A74,#REF!,6,FALSE)</f>
        <v>#REF!</v>
      </c>
      <c r="F74" s="105" t="e">
        <f>VLOOKUP($A74,#REF!,34,FALSE)</f>
        <v>#REF!</v>
      </c>
      <c r="G74" s="105" t="e">
        <f>VLOOKUP($A74,#REF!,29,FALSE)</f>
        <v>#REF!</v>
      </c>
      <c r="H74" s="105" t="e">
        <f>VLOOKUP($A74,#REF!,35,FALSE)+VLOOKUP($A74,#REF!,97,FALSE)</f>
        <v>#REF!</v>
      </c>
      <c r="I74" s="105" t="e">
        <f t="shared" si="20"/>
        <v>#REF!</v>
      </c>
      <c r="J74" s="105" t="e">
        <f>VLOOKUP($A74,#REF!,42,FALSE)</f>
        <v>#REF!</v>
      </c>
      <c r="K74" s="105" t="e">
        <f t="shared" si="21"/>
        <v>#REF!</v>
      </c>
      <c r="L74" s="164" t="e">
        <f t="shared" si="19"/>
        <v>#REF!</v>
      </c>
      <c r="M74" s="105" t="e">
        <f t="shared" si="22"/>
        <v>#REF!</v>
      </c>
      <c r="N74" s="105" t="e">
        <f>VLOOKUP($A74,#REF!,46,FALSE)</f>
        <v>#REF!</v>
      </c>
      <c r="O74" s="106" t="e">
        <f>VLOOKUP($A74,#REF!,9,FALSE)</f>
        <v>#REF!</v>
      </c>
      <c r="P74" s="114" t="e">
        <f>#REF!</f>
        <v>#REF!</v>
      </c>
      <c r="Q74" s="114" t="e">
        <f>VLOOKUP(A74,#REF!,17,FALSE)</f>
        <v>#REF!</v>
      </c>
      <c r="R74" s="120" t="e">
        <f>#REF!</f>
        <v>#REF!</v>
      </c>
      <c r="S74" s="114" t="e">
        <f>IF(Q74=0,#REF!,ROUND(Q74*R74,4))</f>
        <v>#REF!</v>
      </c>
      <c r="T74" s="105" t="e">
        <f>VLOOKUP($A74,#REF!,15,FALSE)</f>
        <v>#REF!</v>
      </c>
      <c r="U74" s="105" t="e">
        <f>VLOOKUP($A74,#REF!,19,FALSE)</f>
        <v>#REF!</v>
      </c>
      <c r="V74" s="109" t="e">
        <f t="shared" si="23"/>
        <v>#REF!</v>
      </c>
      <c r="W74" s="121" t="e">
        <f t="shared" si="24"/>
        <v>#REF!</v>
      </c>
      <c r="X74" s="105" t="e">
        <f t="shared" si="25"/>
        <v>#REF!</v>
      </c>
      <c r="Y74" s="109" t="e">
        <f t="shared" si="26"/>
        <v>#REF!</v>
      </c>
      <c r="Z74" s="109" t="e">
        <f t="shared" si="27"/>
        <v>#REF!</v>
      </c>
      <c r="AA74" s="113" t="e">
        <f t="shared" si="28"/>
        <v>#REF!</v>
      </c>
      <c r="AB74" s="109" t="e">
        <f t="shared" si="29"/>
        <v>#REF!</v>
      </c>
      <c r="AC74" s="113" t="e">
        <f t="shared" si="30"/>
        <v>#REF!</v>
      </c>
      <c r="AD74" s="105" t="e">
        <f t="shared" si="31"/>
        <v>#REF!</v>
      </c>
      <c r="AE74" s="105" t="e">
        <f t="shared" si="32"/>
        <v>#REF!</v>
      </c>
      <c r="AF74" s="105" t="e">
        <f t="shared" si="33"/>
        <v>#REF!</v>
      </c>
      <c r="AG74" s="105" t="e">
        <f t="shared" si="34"/>
        <v>#REF!</v>
      </c>
      <c r="AH74" s="111" t="e">
        <f>VLOOKUP($A74,#REF!,5,FALSE)</f>
        <v>#REF!</v>
      </c>
      <c r="AI74" s="111" t="e">
        <f>VLOOKUP($A74,#REF!,6,FALSE)</f>
        <v>#REF!</v>
      </c>
      <c r="AJ74" s="109" t="e">
        <f t="shared" si="35"/>
        <v>#REF!</v>
      </c>
      <c r="AK74" s="109" t="e">
        <f t="shared" si="36"/>
        <v>#REF!</v>
      </c>
      <c r="AL74" s="109"/>
      <c r="AM74" s="110"/>
      <c r="AN74" s="110"/>
      <c r="AO74" s="110"/>
      <c r="AP74" s="110"/>
      <c r="AQ74" s="112"/>
      <c r="AR74" s="112"/>
      <c r="AS74" s="110"/>
      <c r="AT74" s="105"/>
      <c r="AU74" s="105"/>
      <c r="AV74" s="105"/>
      <c r="AW74" s="105"/>
      <c r="AX74" s="105"/>
      <c r="AY74" s="105"/>
    </row>
    <row r="75" spans="1:51" x14ac:dyDescent="0.15">
      <c r="A75" s="115">
        <v>412</v>
      </c>
      <c r="B75" s="98" t="e">
        <f>VLOOKUP($A75,#REF!,101,FALSE)</f>
        <v>#REF!</v>
      </c>
      <c r="C75" s="98" t="e">
        <f>VLOOKUP($A75,#REF!,102,FALSE)</f>
        <v>#REF!</v>
      </c>
      <c r="D75" s="104" t="e">
        <f>VLOOKUP($A75,#REF!,5,FALSE)</f>
        <v>#REF!</v>
      </c>
      <c r="E75" s="104" t="e">
        <f>VLOOKUP($A75,#REF!,6,FALSE)</f>
        <v>#REF!</v>
      </c>
      <c r="F75" s="105" t="e">
        <f>VLOOKUP($A75,#REF!,34,FALSE)</f>
        <v>#REF!</v>
      </c>
      <c r="G75" s="105" t="e">
        <f>VLOOKUP($A75,#REF!,29,FALSE)</f>
        <v>#REF!</v>
      </c>
      <c r="H75" s="105" t="e">
        <f>VLOOKUP($A75,#REF!,35,FALSE)+VLOOKUP($A75,#REF!,97,FALSE)</f>
        <v>#REF!</v>
      </c>
      <c r="I75" s="105" t="e">
        <f t="shared" si="20"/>
        <v>#REF!</v>
      </c>
      <c r="J75" s="105" t="e">
        <f>VLOOKUP($A75,#REF!,42,FALSE)</f>
        <v>#REF!</v>
      </c>
      <c r="K75" s="105" t="e">
        <f t="shared" si="21"/>
        <v>#REF!</v>
      </c>
      <c r="L75" s="164" t="e">
        <f t="shared" si="19"/>
        <v>#REF!</v>
      </c>
      <c r="M75" s="105" t="e">
        <f t="shared" si="22"/>
        <v>#REF!</v>
      </c>
      <c r="N75" s="105" t="e">
        <f>VLOOKUP($A75,#REF!,46,FALSE)</f>
        <v>#REF!</v>
      </c>
      <c r="O75" s="106" t="e">
        <f>VLOOKUP($A75,#REF!,9,FALSE)</f>
        <v>#REF!</v>
      </c>
      <c r="P75" s="114" t="e">
        <f>#REF!</f>
        <v>#REF!</v>
      </c>
      <c r="Q75" s="114" t="e">
        <f>VLOOKUP(A75,#REF!,17,FALSE)</f>
        <v>#REF!</v>
      </c>
      <c r="R75" s="120" t="e">
        <f>#REF!</f>
        <v>#REF!</v>
      </c>
      <c r="S75" s="114" t="e">
        <f>IF(Q75=0,#REF!,ROUND(Q75*R75,4))</f>
        <v>#REF!</v>
      </c>
      <c r="T75" s="105" t="e">
        <f>VLOOKUP($A75,#REF!,15,FALSE)</f>
        <v>#REF!</v>
      </c>
      <c r="U75" s="105" t="e">
        <f>VLOOKUP($A75,#REF!,19,FALSE)</f>
        <v>#REF!</v>
      </c>
      <c r="V75" s="109" t="e">
        <f t="shared" si="23"/>
        <v>#REF!</v>
      </c>
      <c r="W75" s="121" t="e">
        <f t="shared" si="24"/>
        <v>#REF!</v>
      </c>
      <c r="X75" s="105" t="e">
        <f t="shared" si="25"/>
        <v>#REF!</v>
      </c>
      <c r="Y75" s="109" t="e">
        <f t="shared" si="26"/>
        <v>#REF!</v>
      </c>
      <c r="Z75" s="109" t="e">
        <f t="shared" si="27"/>
        <v>#REF!</v>
      </c>
      <c r="AA75" s="113" t="e">
        <f t="shared" si="28"/>
        <v>#REF!</v>
      </c>
      <c r="AB75" s="109" t="e">
        <f t="shared" si="29"/>
        <v>#REF!</v>
      </c>
      <c r="AC75" s="113" t="e">
        <f t="shared" si="30"/>
        <v>#REF!</v>
      </c>
      <c r="AD75" s="105" t="e">
        <f t="shared" si="31"/>
        <v>#REF!</v>
      </c>
      <c r="AE75" s="105" t="e">
        <f t="shared" si="32"/>
        <v>#REF!</v>
      </c>
      <c r="AF75" s="105" t="e">
        <f t="shared" si="33"/>
        <v>#REF!</v>
      </c>
      <c r="AG75" s="105" t="e">
        <f t="shared" si="34"/>
        <v>#REF!</v>
      </c>
      <c r="AH75" s="111" t="e">
        <f>VLOOKUP($A75,#REF!,5,FALSE)</f>
        <v>#REF!</v>
      </c>
      <c r="AI75" s="111" t="e">
        <f>VLOOKUP($A75,#REF!,6,FALSE)</f>
        <v>#REF!</v>
      </c>
      <c r="AJ75" s="109" t="e">
        <f t="shared" si="35"/>
        <v>#REF!</v>
      </c>
      <c r="AK75" s="109" t="e">
        <f t="shared" si="36"/>
        <v>#REF!</v>
      </c>
      <c r="AL75" s="109"/>
      <c r="AM75" s="110"/>
      <c r="AN75" s="110"/>
      <c r="AO75" s="110"/>
      <c r="AP75" s="110"/>
      <c r="AQ75" s="112"/>
      <c r="AR75" s="112"/>
      <c r="AS75" s="110"/>
      <c r="AT75" s="105"/>
      <c r="AU75" s="105"/>
      <c r="AV75" s="105"/>
      <c r="AW75" s="105"/>
      <c r="AX75" s="105"/>
      <c r="AY75" s="105"/>
    </row>
    <row r="76" spans="1:51" x14ac:dyDescent="0.15">
      <c r="A76" s="115">
        <v>372</v>
      </c>
      <c r="B76" s="98" t="e">
        <f>VLOOKUP($A76,#REF!,101,FALSE)</f>
        <v>#REF!</v>
      </c>
      <c r="C76" s="98" t="e">
        <f>VLOOKUP($A76,#REF!,102,FALSE)</f>
        <v>#REF!</v>
      </c>
      <c r="D76" s="104" t="e">
        <f>VLOOKUP($A76,#REF!,5,FALSE)</f>
        <v>#REF!</v>
      </c>
      <c r="E76" s="104" t="e">
        <f>VLOOKUP($A76,#REF!,6,FALSE)</f>
        <v>#REF!</v>
      </c>
      <c r="F76" s="105" t="e">
        <f>VLOOKUP($A76,#REF!,34,FALSE)</f>
        <v>#REF!</v>
      </c>
      <c r="G76" s="105" t="e">
        <f>VLOOKUP($A76,#REF!,29,FALSE)</f>
        <v>#REF!</v>
      </c>
      <c r="H76" s="105" t="e">
        <f>VLOOKUP($A76,#REF!,35,FALSE)+VLOOKUP($A76,#REF!,97,FALSE)</f>
        <v>#REF!</v>
      </c>
      <c r="I76" s="105" t="e">
        <f t="shared" si="20"/>
        <v>#REF!</v>
      </c>
      <c r="J76" s="105" t="e">
        <f>VLOOKUP($A76,#REF!,42,FALSE)</f>
        <v>#REF!</v>
      </c>
      <c r="K76" s="105" t="e">
        <f t="shared" si="21"/>
        <v>#REF!</v>
      </c>
      <c r="L76" s="164" t="e">
        <f t="shared" si="19"/>
        <v>#REF!</v>
      </c>
      <c r="M76" s="105" t="e">
        <f t="shared" si="22"/>
        <v>#REF!</v>
      </c>
      <c r="N76" s="105" t="e">
        <f>VLOOKUP($A76,#REF!,46,FALSE)</f>
        <v>#REF!</v>
      </c>
      <c r="O76" s="106" t="e">
        <f>VLOOKUP($A76,#REF!,9,FALSE)</f>
        <v>#REF!</v>
      </c>
      <c r="P76" s="114" t="e">
        <f>#REF!</f>
        <v>#REF!</v>
      </c>
      <c r="Q76" s="114" t="e">
        <f>VLOOKUP(A76,#REF!,17,FALSE)</f>
        <v>#REF!</v>
      </c>
      <c r="R76" s="120" t="e">
        <f>#REF!</f>
        <v>#REF!</v>
      </c>
      <c r="S76" s="114" t="e">
        <f>IF(Q76=0,#REF!,ROUND(Q76*R76,4))</f>
        <v>#REF!</v>
      </c>
      <c r="T76" s="105" t="e">
        <f>VLOOKUP($A76,#REF!,15,FALSE)</f>
        <v>#REF!</v>
      </c>
      <c r="U76" s="105" t="e">
        <f>VLOOKUP($A76,#REF!,19,FALSE)</f>
        <v>#REF!</v>
      </c>
      <c r="V76" s="109" t="e">
        <f t="shared" si="23"/>
        <v>#REF!</v>
      </c>
      <c r="W76" s="121" t="e">
        <f t="shared" si="24"/>
        <v>#REF!</v>
      </c>
      <c r="X76" s="105" t="e">
        <f t="shared" si="25"/>
        <v>#REF!</v>
      </c>
      <c r="Y76" s="109" t="e">
        <f t="shared" si="26"/>
        <v>#REF!</v>
      </c>
      <c r="Z76" s="109" t="e">
        <f t="shared" si="27"/>
        <v>#REF!</v>
      </c>
      <c r="AA76" s="113" t="e">
        <f t="shared" si="28"/>
        <v>#REF!</v>
      </c>
      <c r="AB76" s="109" t="e">
        <f t="shared" si="29"/>
        <v>#REF!</v>
      </c>
      <c r="AC76" s="113" t="e">
        <f t="shared" si="30"/>
        <v>#REF!</v>
      </c>
      <c r="AD76" s="105" t="e">
        <f t="shared" si="31"/>
        <v>#REF!</v>
      </c>
      <c r="AE76" s="105" t="e">
        <f t="shared" si="32"/>
        <v>#REF!</v>
      </c>
      <c r="AF76" s="105" t="e">
        <f t="shared" si="33"/>
        <v>#REF!</v>
      </c>
      <c r="AG76" s="105" t="e">
        <f t="shared" si="34"/>
        <v>#REF!</v>
      </c>
      <c r="AH76" s="111" t="e">
        <f>VLOOKUP($A76,#REF!,5,FALSE)</f>
        <v>#REF!</v>
      </c>
      <c r="AI76" s="111" t="e">
        <f>VLOOKUP($A76,#REF!,6,FALSE)</f>
        <v>#REF!</v>
      </c>
      <c r="AJ76" s="109" t="e">
        <f t="shared" si="35"/>
        <v>#REF!</v>
      </c>
      <c r="AK76" s="109" t="e">
        <f t="shared" si="36"/>
        <v>#REF!</v>
      </c>
      <c r="AL76" s="109"/>
      <c r="AM76" s="110"/>
      <c r="AN76" s="110"/>
      <c r="AO76" s="110"/>
      <c r="AP76" s="110"/>
      <c r="AQ76" s="112"/>
      <c r="AR76" s="112"/>
      <c r="AS76" s="110"/>
      <c r="AT76" s="105"/>
      <c r="AU76" s="105"/>
      <c r="AV76" s="105"/>
      <c r="AW76" s="105"/>
      <c r="AX76" s="105"/>
      <c r="AY76" s="105"/>
    </row>
    <row r="77" spans="1:51" x14ac:dyDescent="0.15">
      <c r="A77" s="115">
        <v>374</v>
      </c>
      <c r="B77" s="98" t="e">
        <f>VLOOKUP($A77,#REF!,101,FALSE)</f>
        <v>#REF!</v>
      </c>
      <c r="C77" s="98" t="e">
        <f>VLOOKUP($A77,#REF!,102,FALSE)</f>
        <v>#REF!</v>
      </c>
      <c r="D77" s="104" t="e">
        <f>VLOOKUP($A77,#REF!,5,FALSE)</f>
        <v>#REF!</v>
      </c>
      <c r="E77" s="104" t="e">
        <f>VLOOKUP($A77,#REF!,6,FALSE)</f>
        <v>#REF!</v>
      </c>
      <c r="F77" s="105" t="e">
        <f>VLOOKUP($A77,#REF!,34,FALSE)</f>
        <v>#REF!</v>
      </c>
      <c r="G77" s="105" t="e">
        <f>VLOOKUP($A77,#REF!,29,FALSE)</f>
        <v>#REF!</v>
      </c>
      <c r="H77" s="105" t="e">
        <f>VLOOKUP($A77,#REF!,35,FALSE)+VLOOKUP($A77,#REF!,97,FALSE)</f>
        <v>#REF!</v>
      </c>
      <c r="I77" s="105" t="e">
        <f t="shared" si="20"/>
        <v>#REF!</v>
      </c>
      <c r="J77" s="105" t="e">
        <f>VLOOKUP($A77,#REF!,42,FALSE)</f>
        <v>#REF!</v>
      </c>
      <c r="K77" s="105" t="e">
        <f t="shared" si="21"/>
        <v>#REF!</v>
      </c>
      <c r="L77" s="164" t="e">
        <f t="shared" si="19"/>
        <v>#REF!</v>
      </c>
      <c r="M77" s="105" t="e">
        <f t="shared" si="22"/>
        <v>#REF!</v>
      </c>
      <c r="N77" s="105" t="e">
        <f>VLOOKUP($A77,#REF!,46,FALSE)</f>
        <v>#REF!</v>
      </c>
      <c r="O77" s="106" t="e">
        <f>VLOOKUP($A77,#REF!,9,FALSE)</f>
        <v>#REF!</v>
      </c>
      <c r="P77" s="114" t="e">
        <f>#REF!</f>
        <v>#REF!</v>
      </c>
      <c r="Q77" s="114" t="e">
        <f>VLOOKUP(A77,#REF!,17,FALSE)</f>
        <v>#REF!</v>
      </c>
      <c r="R77" s="120" t="e">
        <f>#REF!</f>
        <v>#REF!</v>
      </c>
      <c r="S77" s="114" t="e">
        <f>IF(Q77=0,#REF!,ROUND(Q77*R77,4))</f>
        <v>#REF!</v>
      </c>
      <c r="T77" s="105" t="e">
        <f>VLOOKUP($A77,#REF!,15,FALSE)</f>
        <v>#REF!</v>
      </c>
      <c r="U77" s="105" t="e">
        <f>VLOOKUP($A77,#REF!,19,FALSE)</f>
        <v>#REF!</v>
      </c>
      <c r="V77" s="109" t="e">
        <f t="shared" si="23"/>
        <v>#REF!</v>
      </c>
      <c r="W77" s="121" t="e">
        <f t="shared" si="24"/>
        <v>#REF!</v>
      </c>
      <c r="X77" s="105" t="e">
        <f t="shared" si="25"/>
        <v>#REF!</v>
      </c>
      <c r="Y77" s="109" t="e">
        <f t="shared" si="26"/>
        <v>#REF!</v>
      </c>
      <c r="Z77" s="109" t="e">
        <f t="shared" si="27"/>
        <v>#REF!</v>
      </c>
      <c r="AA77" s="113" t="e">
        <f t="shared" si="28"/>
        <v>#REF!</v>
      </c>
      <c r="AB77" s="109" t="e">
        <f t="shared" si="29"/>
        <v>#REF!</v>
      </c>
      <c r="AC77" s="113" t="e">
        <f t="shared" si="30"/>
        <v>#REF!</v>
      </c>
      <c r="AD77" s="105" t="e">
        <f t="shared" si="31"/>
        <v>#REF!</v>
      </c>
      <c r="AE77" s="105" t="e">
        <f t="shared" si="32"/>
        <v>#REF!</v>
      </c>
      <c r="AF77" s="105" t="e">
        <f t="shared" si="33"/>
        <v>#REF!</v>
      </c>
      <c r="AG77" s="105" t="e">
        <f t="shared" si="34"/>
        <v>#REF!</v>
      </c>
      <c r="AH77" s="111" t="e">
        <f>VLOOKUP($A77,#REF!,5,FALSE)</f>
        <v>#REF!</v>
      </c>
      <c r="AI77" s="111" t="e">
        <f>VLOOKUP($A77,#REF!,6,FALSE)</f>
        <v>#REF!</v>
      </c>
      <c r="AJ77" s="109" t="e">
        <f t="shared" si="35"/>
        <v>#REF!</v>
      </c>
      <c r="AK77" s="109" t="e">
        <f t="shared" si="36"/>
        <v>#REF!</v>
      </c>
      <c r="AL77" s="109"/>
      <c r="AM77" s="110"/>
      <c r="AN77" s="110"/>
      <c r="AO77" s="110"/>
      <c r="AP77" s="110"/>
      <c r="AQ77" s="112"/>
      <c r="AR77" s="112"/>
      <c r="AS77" s="110"/>
      <c r="AT77" s="105"/>
      <c r="AU77" s="105"/>
      <c r="AV77" s="105"/>
      <c r="AW77" s="105"/>
      <c r="AX77" s="105"/>
      <c r="AY77" s="105"/>
    </row>
    <row r="78" spans="1:51" x14ac:dyDescent="0.15">
      <c r="A78" s="115">
        <v>130</v>
      </c>
      <c r="B78" s="98" t="e">
        <f>VLOOKUP($A78,#REF!,101,FALSE)</f>
        <v>#REF!</v>
      </c>
      <c r="C78" s="98" t="e">
        <f>VLOOKUP($A78,#REF!,102,FALSE)</f>
        <v>#REF!</v>
      </c>
      <c r="D78" s="104" t="e">
        <f>VLOOKUP($A78,#REF!,5,FALSE)</f>
        <v>#REF!</v>
      </c>
      <c r="E78" s="104" t="e">
        <f>VLOOKUP($A78,#REF!,6,FALSE)</f>
        <v>#REF!</v>
      </c>
      <c r="F78" s="105" t="e">
        <f>VLOOKUP($A78,#REF!,34,FALSE)</f>
        <v>#REF!</v>
      </c>
      <c r="G78" s="105" t="e">
        <f>VLOOKUP($A78,#REF!,29,FALSE)</f>
        <v>#REF!</v>
      </c>
      <c r="H78" s="105" t="e">
        <f>VLOOKUP($A78,#REF!,35,FALSE)+VLOOKUP($A78,#REF!,97,FALSE)</f>
        <v>#REF!</v>
      </c>
      <c r="I78" s="105" t="e">
        <f t="shared" si="20"/>
        <v>#REF!</v>
      </c>
      <c r="J78" s="105" t="e">
        <f>VLOOKUP($A78,#REF!,42,FALSE)</f>
        <v>#REF!</v>
      </c>
      <c r="K78" s="105" t="e">
        <f t="shared" si="21"/>
        <v>#REF!</v>
      </c>
      <c r="L78" s="164" t="e">
        <f t="shared" si="19"/>
        <v>#REF!</v>
      </c>
      <c r="M78" s="105" t="e">
        <f t="shared" si="22"/>
        <v>#REF!</v>
      </c>
      <c r="N78" s="105" t="e">
        <f>VLOOKUP($A78,#REF!,46,FALSE)</f>
        <v>#REF!</v>
      </c>
      <c r="O78" s="106" t="e">
        <f>VLOOKUP($A78,#REF!,9,FALSE)</f>
        <v>#REF!</v>
      </c>
      <c r="P78" s="114" t="e">
        <f>#REF!</f>
        <v>#REF!</v>
      </c>
      <c r="Q78" s="114" t="e">
        <f>VLOOKUP(A78,#REF!,17,FALSE)</f>
        <v>#REF!</v>
      </c>
      <c r="R78" s="120" t="e">
        <f>#REF!</f>
        <v>#REF!</v>
      </c>
      <c r="S78" s="114" t="e">
        <f>IF(Q78=0,#REF!,ROUND(Q78*R78,4))</f>
        <v>#REF!</v>
      </c>
      <c r="T78" s="105" t="e">
        <f>VLOOKUP($A78,#REF!,15,FALSE)</f>
        <v>#REF!</v>
      </c>
      <c r="U78" s="105" t="e">
        <f>VLOOKUP($A78,#REF!,19,FALSE)</f>
        <v>#REF!</v>
      </c>
      <c r="V78" s="109" t="e">
        <f t="shared" si="23"/>
        <v>#REF!</v>
      </c>
      <c r="W78" s="121" t="e">
        <f t="shared" si="24"/>
        <v>#REF!</v>
      </c>
      <c r="X78" s="105" t="e">
        <f t="shared" si="25"/>
        <v>#REF!</v>
      </c>
      <c r="Y78" s="109" t="e">
        <f t="shared" si="26"/>
        <v>#REF!</v>
      </c>
      <c r="Z78" s="109" t="e">
        <f t="shared" si="27"/>
        <v>#REF!</v>
      </c>
      <c r="AA78" s="113" t="e">
        <f t="shared" si="28"/>
        <v>#REF!</v>
      </c>
      <c r="AB78" s="109" t="e">
        <f t="shared" si="29"/>
        <v>#REF!</v>
      </c>
      <c r="AC78" s="113" t="e">
        <f t="shared" si="30"/>
        <v>#REF!</v>
      </c>
      <c r="AD78" s="105" t="e">
        <f t="shared" si="31"/>
        <v>#REF!</v>
      </c>
      <c r="AE78" s="105" t="e">
        <f t="shared" si="32"/>
        <v>#REF!</v>
      </c>
      <c r="AF78" s="105" t="e">
        <f t="shared" si="33"/>
        <v>#REF!</v>
      </c>
      <c r="AG78" s="105" t="e">
        <f t="shared" si="34"/>
        <v>#REF!</v>
      </c>
      <c r="AH78" s="111" t="e">
        <f>VLOOKUP($A78,#REF!,5,FALSE)</f>
        <v>#REF!</v>
      </c>
      <c r="AI78" s="111" t="e">
        <f>VLOOKUP($A78,#REF!,6,FALSE)</f>
        <v>#REF!</v>
      </c>
      <c r="AJ78" s="109" t="e">
        <f t="shared" si="35"/>
        <v>#REF!</v>
      </c>
      <c r="AK78" s="109" t="e">
        <f t="shared" si="36"/>
        <v>#REF!</v>
      </c>
      <c r="AL78" s="109"/>
      <c r="AM78" s="110"/>
      <c r="AN78" s="110"/>
      <c r="AO78" s="110"/>
      <c r="AP78" s="110"/>
      <c r="AQ78" s="112"/>
      <c r="AR78" s="112"/>
      <c r="AS78" s="110"/>
      <c r="AT78" s="105"/>
      <c r="AU78" s="105"/>
      <c r="AV78" s="105"/>
      <c r="AW78" s="105"/>
      <c r="AX78" s="105"/>
      <c r="AY78" s="105"/>
    </row>
    <row r="79" spans="1:51" x14ac:dyDescent="0.15">
      <c r="A79" s="115">
        <v>136</v>
      </c>
      <c r="B79" s="98" t="e">
        <f>VLOOKUP($A79,#REF!,101,FALSE)</f>
        <v>#REF!</v>
      </c>
      <c r="C79" s="98" t="e">
        <f>VLOOKUP($A79,#REF!,102,FALSE)</f>
        <v>#REF!</v>
      </c>
      <c r="D79" s="104" t="e">
        <f>VLOOKUP($A79,#REF!,5,FALSE)</f>
        <v>#REF!</v>
      </c>
      <c r="E79" s="104" t="e">
        <f>VLOOKUP($A79,#REF!,6,FALSE)</f>
        <v>#REF!</v>
      </c>
      <c r="F79" s="105" t="e">
        <f>VLOOKUP($A79,#REF!,34,FALSE)</f>
        <v>#REF!</v>
      </c>
      <c r="G79" s="105" t="e">
        <f>VLOOKUP($A79,#REF!,29,FALSE)</f>
        <v>#REF!</v>
      </c>
      <c r="H79" s="105" t="e">
        <f>VLOOKUP($A79,#REF!,35,FALSE)+VLOOKUP($A79,#REF!,97,FALSE)</f>
        <v>#REF!</v>
      </c>
      <c r="I79" s="105" t="e">
        <f t="shared" si="20"/>
        <v>#REF!</v>
      </c>
      <c r="J79" s="105" t="e">
        <f>VLOOKUP($A79,#REF!,42,FALSE)</f>
        <v>#REF!</v>
      </c>
      <c r="K79" s="105" t="e">
        <f t="shared" si="21"/>
        <v>#REF!</v>
      </c>
      <c r="L79" s="164" t="e">
        <f t="shared" si="19"/>
        <v>#REF!</v>
      </c>
      <c r="M79" s="105" t="e">
        <f t="shared" si="22"/>
        <v>#REF!</v>
      </c>
      <c r="N79" s="105" t="e">
        <f>VLOOKUP($A79,#REF!,46,FALSE)</f>
        <v>#REF!</v>
      </c>
      <c r="O79" s="106" t="e">
        <f>VLOOKUP($A79,#REF!,9,FALSE)</f>
        <v>#REF!</v>
      </c>
      <c r="P79" s="114" t="e">
        <f>#REF!</f>
        <v>#REF!</v>
      </c>
      <c r="Q79" s="114" t="e">
        <f>VLOOKUP(A79,#REF!,17,FALSE)</f>
        <v>#REF!</v>
      </c>
      <c r="R79" s="120" t="e">
        <f>#REF!</f>
        <v>#REF!</v>
      </c>
      <c r="S79" s="114" t="e">
        <f>IF(Q79=0,#REF!,ROUND(Q79*R79,4))</f>
        <v>#REF!</v>
      </c>
      <c r="T79" s="105" t="e">
        <f>VLOOKUP($A79,#REF!,15,FALSE)</f>
        <v>#REF!</v>
      </c>
      <c r="U79" s="105" t="e">
        <f>VLOOKUP($A79,#REF!,19,FALSE)</f>
        <v>#REF!</v>
      </c>
      <c r="V79" s="109" t="e">
        <f t="shared" si="23"/>
        <v>#REF!</v>
      </c>
      <c r="W79" s="121" t="e">
        <f t="shared" si="24"/>
        <v>#REF!</v>
      </c>
      <c r="X79" s="105" t="e">
        <f t="shared" si="25"/>
        <v>#REF!</v>
      </c>
      <c r="Y79" s="109" t="e">
        <f t="shared" si="26"/>
        <v>#REF!</v>
      </c>
      <c r="Z79" s="109" t="e">
        <f t="shared" si="27"/>
        <v>#REF!</v>
      </c>
      <c r="AA79" s="113" t="e">
        <f t="shared" si="28"/>
        <v>#REF!</v>
      </c>
      <c r="AB79" s="109" t="e">
        <f t="shared" si="29"/>
        <v>#REF!</v>
      </c>
      <c r="AC79" s="113" t="e">
        <f t="shared" si="30"/>
        <v>#REF!</v>
      </c>
      <c r="AD79" s="105" t="e">
        <f t="shared" si="31"/>
        <v>#REF!</v>
      </c>
      <c r="AE79" s="105" t="e">
        <f t="shared" si="32"/>
        <v>#REF!</v>
      </c>
      <c r="AF79" s="105" t="e">
        <f t="shared" si="33"/>
        <v>#REF!</v>
      </c>
      <c r="AG79" s="105" t="e">
        <f t="shared" si="34"/>
        <v>#REF!</v>
      </c>
      <c r="AH79" s="111" t="e">
        <f>VLOOKUP($A79,#REF!,5,FALSE)</f>
        <v>#REF!</v>
      </c>
      <c r="AI79" s="111" t="e">
        <f>VLOOKUP($A79,#REF!,6,FALSE)</f>
        <v>#REF!</v>
      </c>
      <c r="AJ79" s="109" t="e">
        <f t="shared" si="35"/>
        <v>#REF!</v>
      </c>
      <c r="AK79" s="109" t="e">
        <f t="shared" si="36"/>
        <v>#REF!</v>
      </c>
      <c r="AL79" s="109"/>
      <c r="AM79" s="110"/>
      <c r="AN79" s="110"/>
      <c r="AO79" s="110"/>
      <c r="AP79" s="110"/>
      <c r="AQ79" s="112"/>
      <c r="AR79" s="112"/>
      <c r="AS79" s="110"/>
      <c r="AT79" s="105"/>
      <c r="AU79" s="105"/>
      <c r="AV79" s="105"/>
      <c r="AW79" s="105"/>
      <c r="AX79" s="105"/>
      <c r="AY79" s="105"/>
    </row>
    <row r="80" spans="1:51" x14ac:dyDescent="0.15">
      <c r="A80" s="115">
        <v>669</v>
      </c>
      <c r="B80" s="98" t="e">
        <f>VLOOKUP($A80,#REF!,101,FALSE)</f>
        <v>#REF!</v>
      </c>
      <c r="C80" s="98" t="e">
        <f>VLOOKUP($A80,#REF!,102,FALSE)</f>
        <v>#REF!</v>
      </c>
      <c r="D80" s="104" t="e">
        <f>VLOOKUP($A80,#REF!,5,FALSE)</f>
        <v>#REF!</v>
      </c>
      <c r="E80" s="104" t="e">
        <f>VLOOKUP($A80,#REF!,6,FALSE)</f>
        <v>#REF!</v>
      </c>
      <c r="F80" s="105" t="e">
        <f>VLOOKUP($A80,#REF!,34,FALSE)</f>
        <v>#REF!</v>
      </c>
      <c r="G80" s="105" t="e">
        <f>VLOOKUP($A80,#REF!,29,FALSE)</f>
        <v>#REF!</v>
      </c>
      <c r="H80" s="105" t="e">
        <f>VLOOKUP($A80,#REF!,35,FALSE)+VLOOKUP($A80,#REF!,97,FALSE)</f>
        <v>#REF!</v>
      </c>
      <c r="I80" s="105" t="e">
        <f t="shared" si="20"/>
        <v>#REF!</v>
      </c>
      <c r="J80" s="105" t="e">
        <f>VLOOKUP($A80,#REF!,42,FALSE)</f>
        <v>#REF!</v>
      </c>
      <c r="K80" s="105" t="e">
        <f t="shared" si="21"/>
        <v>#REF!</v>
      </c>
      <c r="L80" s="164" t="e">
        <f t="shared" si="19"/>
        <v>#REF!</v>
      </c>
      <c r="M80" s="105" t="e">
        <f t="shared" si="22"/>
        <v>#REF!</v>
      </c>
      <c r="N80" s="105" t="e">
        <f>VLOOKUP($A80,#REF!,46,FALSE)</f>
        <v>#REF!</v>
      </c>
      <c r="O80" s="106" t="e">
        <f>VLOOKUP($A80,#REF!,9,FALSE)</f>
        <v>#REF!</v>
      </c>
      <c r="P80" s="114" t="e">
        <f>#REF!</f>
        <v>#REF!</v>
      </c>
      <c r="Q80" s="114" t="e">
        <f>VLOOKUP(A80,#REF!,17,FALSE)</f>
        <v>#REF!</v>
      </c>
      <c r="R80" s="120" t="e">
        <f>#REF!</f>
        <v>#REF!</v>
      </c>
      <c r="S80" s="114" t="e">
        <f>IF(Q80=0,#REF!,ROUND(Q80*R80,4))</f>
        <v>#REF!</v>
      </c>
      <c r="T80" s="105" t="e">
        <f>VLOOKUP($A80,#REF!,15,FALSE)</f>
        <v>#REF!</v>
      </c>
      <c r="U80" s="105" t="e">
        <f>VLOOKUP($A80,#REF!,19,FALSE)</f>
        <v>#REF!</v>
      </c>
      <c r="V80" s="109" t="e">
        <f t="shared" si="23"/>
        <v>#REF!</v>
      </c>
      <c r="W80" s="121" t="e">
        <f t="shared" si="24"/>
        <v>#REF!</v>
      </c>
      <c r="X80" s="105" t="e">
        <f t="shared" si="25"/>
        <v>#REF!</v>
      </c>
      <c r="Y80" s="109" t="e">
        <f t="shared" si="26"/>
        <v>#REF!</v>
      </c>
      <c r="Z80" s="109" t="e">
        <f t="shared" si="27"/>
        <v>#REF!</v>
      </c>
      <c r="AA80" s="113" t="e">
        <f t="shared" si="28"/>
        <v>#REF!</v>
      </c>
      <c r="AB80" s="109" t="e">
        <f t="shared" si="29"/>
        <v>#REF!</v>
      </c>
      <c r="AC80" s="113" t="e">
        <f t="shared" si="30"/>
        <v>#REF!</v>
      </c>
      <c r="AD80" s="105" t="e">
        <f t="shared" si="31"/>
        <v>#REF!</v>
      </c>
      <c r="AE80" s="105" t="e">
        <f t="shared" si="32"/>
        <v>#REF!</v>
      </c>
      <c r="AF80" s="105" t="e">
        <f t="shared" si="33"/>
        <v>#REF!</v>
      </c>
      <c r="AG80" s="105" t="e">
        <f t="shared" si="34"/>
        <v>#REF!</v>
      </c>
      <c r="AH80" s="111" t="e">
        <f>VLOOKUP($A80,#REF!,5,FALSE)</f>
        <v>#REF!</v>
      </c>
      <c r="AI80" s="111" t="e">
        <f>VLOOKUP($A80,#REF!,6,FALSE)</f>
        <v>#REF!</v>
      </c>
      <c r="AJ80" s="109" t="e">
        <f t="shared" si="35"/>
        <v>#REF!</v>
      </c>
      <c r="AK80" s="109" t="e">
        <f t="shared" si="36"/>
        <v>#REF!</v>
      </c>
      <c r="AL80" s="109"/>
      <c r="AM80" s="110"/>
      <c r="AN80" s="110"/>
      <c r="AO80" s="110"/>
      <c r="AP80" s="110"/>
      <c r="AQ80" s="112"/>
      <c r="AR80" s="112"/>
      <c r="AS80" s="110"/>
      <c r="AT80" s="105"/>
      <c r="AU80" s="105"/>
      <c r="AV80" s="105"/>
      <c r="AW80" s="105"/>
      <c r="AX80" s="105"/>
      <c r="AY80" s="105"/>
    </row>
    <row r="81" spans="1:51" x14ac:dyDescent="0.15">
      <c r="A81" s="115">
        <v>142</v>
      </c>
      <c r="B81" s="98" t="e">
        <f>VLOOKUP($A81,#REF!,101,FALSE)</f>
        <v>#REF!</v>
      </c>
      <c r="C81" s="98" t="e">
        <f>VLOOKUP($A81,#REF!,102,FALSE)</f>
        <v>#REF!</v>
      </c>
      <c r="D81" s="104" t="e">
        <f>VLOOKUP($A81,#REF!,5,FALSE)</f>
        <v>#REF!</v>
      </c>
      <c r="E81" s="104" t="e">
        <f>VLOOKUP($A81,#REF!,6,FALSE)</f>
        <v>#REF!</v>
      </c>
      <c r="F81" s="105" t="e">
        <f>VLOOKUP($A81,#REF!,34,FALSE)</f>
        <v>#REF!</v>
      </c>
      <c r="G81" s="105" t="e">
        <f>VLOOKUP($A81,#REF!,29,FALSE)</f>
        <v>#REF!</v>
      </c>
      <c r="H81" s="105" t="e">
        <f>VLOOKUP($A81,#REF!,35,FALSE)+VLOOKUP($A81,#REF!,97,FALSE)</f>
        <v>#REF!</v>
      </c>
      <c r="I81" s="105" t="e">
        <f t="shared" si="20"/>
        <v>#REF!</v>
      </c>
      <c r="J81" s="105" t="e">
        <f>VLOOKUP($A81,#REF!,42,FALSE)</f>
        <v>#REF!</v>
      </c>
      <c r="K81" s="105" t="e">
        <f t="shared" si="21"/>
        <v>#REF!</v>
      </c>
      <c r="L81" s="164" t="e">
        <f t="shared" si="19"/>
        <v>#REF!</v>
      </c>
      <c r="M81" s="105" t="e">
        <f t="shared" si="22"/>
        <v>#REF!</v>
      </c>
      <c r="N81" s="105" t="e">
        <f>VLOOKUP($A81,#REF!,46,FALSE)</f>
        <v>#REF!</v>
      </c>
      <c r="O81" s="106" t="e">
        <f>VLOOKUP($A81,#REF!,9,FALSE)</f>
        <v>#REF!</v>
      </c>
      <c r="P81" s="114" t="e">
        <f>#REF!</f>
        <v>#REF!</v>
      </c>
      <c r="Q81" s="114" t="e">
        <f>VLOOKUP(A81,#REF!,17,FALSE)</f>
        <v>#REF!</v>
      </c>
      <c r="R81" s="120" t="e">
        <f>#REF!</f>
        <v>#REF!</v>
      </c>
      <c r="S81" s="114" t="e">
        <f>IF(Q81=0,#REF!,ROUND(Q81*R81,4))</f>
        <v>#REF!</v>
      </c>
      <c r="T81" s="105" t="e">
        <f>VLOOKUP($A81,#REF!,15,FALSE)</f>
        <v>#REF!</v>
      </c>
      <c r="U81" s="105" t="e">
        <f>VLOOKUP($A81,#REF!,19,FALSE)</f>
        <v>#REF!</v>
      </c>
      <c r="V81" s="109" t="e">
        <f t="shared" si="23"/>
        <v>#REF!</v>
      </c>
      <c r="W81" s="121" t="e">
        <f t="shared" si="24"/>
        <v>#REF!</v>
      </c>
      <c r="X81" s="105" t="e">
        <f t="shared" si="25"/>
        <v>#REF!</v>
      </c>
      <c r="Y81" s="109" t="e">
        <f t="shared" si="26"/>
        <v>#REF!</v>
      </c>
      <c r="Z81" s="109" t="e">
        <f t="shared" si="27"/>
        <v>#REF!</v>
      </c>
      <c r="AA81" s="113" t="e">
        <f t="shared" si="28"/>
        <v>#REF!</v>
      </c>
      <c r="AB81" s="109" t="e">
        <f t="shared" si="29"/>
        <v>#REF!</v>
      </c>
      <c r="AC81" s="113" t="e">
        <f t="shared" si="30"/>
        <v>#REF!</v>
      </c>
      <c r="AD81" s="105" t="e">
        <f t="shared" si="31"/>
        <v>#REF!</v>
      </c>
      <c r="AE81" s="105" t="e">
        <f t="shared" si="32"/>
        <v>#REF!</v>
      </c>
      <c r="AF81" s="105" t="e">
        <f t="shared" si="33"/>
        <v>#REF!</v>
      </c>
      <c r="AG81" s="105" t="e">
        <f t="shared" si="34"/>
        <v>#REF!</v>
      </c>
      <c r="AH81" s="111" t="e">
        <f>VLOOKUP($A81,#REF!,5,FALSE)</f>
        <v>#REF!</v>
      </c>
      <c r="AI81" s="111" t="e">
        <f>VLOOKUP($A81,#REF!,6,FALSE)</f>
        <v>#REF!</v>
      </c>
      <c r="AJ81" s="109" t="e">
        <f t="shared" si="35"/>
        <v>#REF!</v>
      </c>
      <c r="AK81" s="109" t="e">
        <f t="shared" si="36"/>
        <v>#REF!</v>
      </c>
      <c r="AL81" s="109"/>
      <c r="AM81" s="110"/>
      <c r="AN81" s="110"/>
      <c r="AO81" s="110"/>
      <c r="AP81" s="110"/>
      <c r="AQ81" s="112"/>
      <c r="AR81" s="112"/>
      <c r="AS81" s="110"/>
      <c r="AT81" s="105"/>
      <c r="AU81" s="105"/>
      <c r="AV81" s="105"/>
      <c r="AW81" s="105"/>
      <c r="AX81" s="105"/>
      <c r="AY81" s="105"/>
    </row>
    <row r="82" spans="1:51" x14ac:dyDescent="0.15">
      <c r="A82" s="115">
        <v>298</v>
      </c>
      <c r="B82" s="98" t="e">
        <f>VLOOKUP($A82,#REF!,101,FALSE)</f>
        <v>#REF!</v>
      </c>
      <c r="C82" s="98" t="e">
        <f>VLOOKUP($A82,#REF!,102,FALSE)</f>
        <v>#REF!</v>
      </c>
      <c r="D82" s="104" t="e">
        <f>VLOOKUP($A82,#REF!,5,FALSE)</f>
        <v>#REF!</v>
      </c>
      <c r="E82" s="104" t="e">
        <f>VLOOKUP($A82,#REF!,6,FALSE)</f>
        <v>#REF!</v>
      </c>
      <c r="F82" s="105" t="e">
        <f>VLOOKUP($A82,#REF!,34,FALSE)</f>
        <v>#REF!</v>
      </c>
      <c r="G82" s="105" t="e">
        <f>VLOOKUP($A82,#REF!,29,FALSE)</f>
        <v>#REF!</v>
      </c>
      <c r="H82" s="105" t="e">
        <f>VLOOKUP($A82,#REF!,35,FALSE)+VLOOKUP($A82,#REF!,97,FALSE)</f>
        <v>#REF!</v>
      </c>
      <c r="I82" s="105" t="e">
        <f t="shared" si="20"/>
        <v>#REF!</v>
      </c>
      <c r="J82" s="105" t="e">
        <f>VLOOKUP($A82,#REF!,42,FALSE)</f>
        <v>#REF!</v>
      </c>
      <c r="K82" s="105" t="e">
        <f t="shared" si="21"/>
        <v>#REF!</v>
      </c>
      <c r="L82" s="164" t="e">
        <f t="shared" si="19"/>
        <v>#REF!</v>
      </c>
      <c r="M82" s="105" t="e">
        <f t="shared" si="22"/>
        <v>#REF!</v>
      </c>
      <c r="N82" s="105" t="e">
        <f>VLOOKUP($A82,#REF!,46,FALSE)</f>
        <v>#REF!</v>
      </c>
      <c r="O82" s="106" t="e">
        <f>VLOOKUP($A82,#REF!,9,FALSE)</f>
        <v>#REF!</v>
      </c>
      <c r="P82" s="114" t="e">
        <f>#REF!</f>
        <v>#REF!</v>
      </c>
      <c r="Q82" s="114" t="e">
        <f>VLOOKUP(A82,#REF!,17,FALSE)</f>
        <v>#REF!</v>
      </c>
      <c r="R82" s="120" t="e">
        <f>#REF!</f>
        <v>#REF!</v>
      </c>
      <c r="S82" s="114" t="e">
        <f>IF(Q82=0,#REF!,ROUND(Q82*R82,4))</f>
        <v>#REF!</v>
      </c>
      <c r="T82" s="105" t="e">
        <f>VLOOKUP($A82,#REF!,15,FALSE)</f>
        <v>#REF!</v>
      </c>
      <c r="U82" s="105" t="e">
        <f>VLOOKUP($A82,#REF!,19,FALSE)</f>
        <v>#REF!</v>
      </c>
      <c r="V82" s="109" t="e">
        <f t="shared" si="23"/>
        <v>#REF!</v>
      </c>
      <c r="W82" s="121" t="e">
        <f t="shared" si="24"/>
        <v>#REF!</v>
      </c>
      <c r="X82" s="105" t="e">
        <f t="shared" si="25"/>
        <v>#REF!</v>
      </c>
      <c r="Y82" s="109" t="e">
        <f t="shared" si="26"/>
        <v>#REF!</v>
      </c>
      <c r="Z82" s="109" t="e">
        <f t="shared" si="27"/>
        <v>#REF!</v>
      </c>
      <c r="AA82" s="113" t="e">
        <f t="shared" si="28"/>
        <v>#REF!</v>
      </c>
      <c r="AB82" s="109" t="e">
        <f t="shared" si="29"/>
        <v>#REF!</v>
      </c>
      <c r="AC82" s="113" t="e">
        <f t="shared" si="30"/>
        <v>#REF!</v>
      </c>
      <c r="AD82" s="105" t="e">
        <f t="shared" si="31"/>
        <v>#REF!</v>
      </c>
      <c r="AE82" s="105" t="e">
        <f t="shared" si="32"/>
        <v>#REF!</v>
      </c>
      <c r="AF82" s="105" t="e">
        <f t="shared" si="33"/>
        <v>#REF!</v>
      </c>
      <c r="AG82" s="105" t="e">
        <f t="shared" si="34"/>
        <v>#REF!</v>
      </c>
      <c r="AH82" s="111" t="e">
        <f>VLOOKUP($A82,#REF!,5,FALSE)</f>
        <v>#REF!</v>
      </c>
      <c r="AI82" s="111" t="e">
        <f>VLOOKUP($A82,#REF!,6,FALSE)</f>
        <v>#REF!</v>
      </c>
      <c r="AJ82" s="109" t="e">
        <f t="shared" si="35"/>
        <v>#REF!</v>
      </c>
      <c r="AK82" s="109" t="e">
        <f t="shared" si="36"/>
        <v>#REF!</v>
      </c>
      <c r="AL82" s="109"/>
      <c r="AM82" s="110"/>
      <c r="AN82" s="110"/>
      <c r="AO82" s="110"/>
      <c r="AP82" s="110"/>
      <c r="AQ82" s="112"/>
      <c r="AR82" s="112"/>
      <c r="AS82" s="110"/>
      <c r="AT82" s="105"/>
      <c r="AU82" s="105"/>
      <c r="AV82" s="105"/>
      <c r="AW82" s="105"/>
      <c r="AX82" s="105"/>
      <c r="AY82" s="105"/>
    </row>
    <row r="83" spans="1:51" x14ac:dyDescent="0.15">
      <c r="A83" s="115">
        <v>146</v>
      </c>
      <c r="B83" s="98" t="e">
        <f>VLOOKUP($A83,#REF!,101,FALSE)</f>
        <v>#REF!</v>
      </c>
      <c r="C83" s="98" t="e">
        <f>VLOOKUP($A83,#REF!,102,FALSE)</f>
        <v>#REF!</v>
      </c>
      <c r="D83" s="104" t="e">
        <f>VLOOKUP($A83,#REF!,5,FALSE)</f>
        <v>#REF!</v>
      </c>
      <c r="E83" s="104" t="e">
        <f>VLOOKUP($A83,#REF!,6,FALSE)</f>
        <v>#REF!</v>
      </c>
      <c r="F83" s="105" t="e">
        <f>VLOOKUP($A83,#REF!,34,FALSE)</f>
        <v>#REF!</v>
      </c>
      <c r="G83" s="105" t="e">
        <f>VLOOKUP($A83,#REF!,29,FALSE)</f>
        <v>#REF!</v>
      </c>
      <c r="H83" s="105" t="e">
        <f>VLOOKUP($A83,#REF!,35,FALSE)+VLOOKUP($A83,#REF!,97,FALSE)</f>
        <v>#REF!</v>
      </c>
      <c r="I83" s="105" t="e">
        <f t="shared" si="20"/>
        <v>#REF!</v>
      </c>
      <c r="J83" s="105" t="e">
        <f>VLOOKUP($A83,#REF!,42,FALSE)</f>
        <v>#REF!</v>
      </c>
      <c r="K83" s="105" t="e">
        <f t="shared" si="21"/>
        <v>#REF!</v>
      </c>
      <c r="L83" s="164" t="e">
        <f t="shared" si="19"/>
        <v>#REF!</v>
      </c>
      <c r="M83" s="105" t="e">
        <f t="shared" si="22"/>
        <v>#REF!</v>
      </c>
      <c r="N83" s="105" t="e">
        <f>VLOOKUP($A83,#REF!,46,FALSE)</f>
        <v>#REF!</v>
      </c>
      <c r="O83" s="106" t="e">
        <f>VLOOKUP($A83,#REF!,9,FALSE)</f>
        <v>#REF!</v>
      </c>
      <c r="P83" s="114" t="e">
        <f>#REF!</f>
        <v>#REF!</v>
      </c>
      <c r="Q83" s="114" t="e">
        <f>VLOOKUP(A83,#REF!,17,FALSE)</f>
        <v>#REF!</v>
      </c>
      <c r="R83" s="120" t="e">
        <f>#REF!</f>
        <v>#REF!</v>
      </c>
      <c r="S83" s="114" t="e">
        <f>IF(Q83=0,#REF!,ROUND(Q83*R83,4))</f>
        <v>#REF!</v>
      </c>
      <c r="T83" s="105" t="e">
        <f>VLOOKUP($A83,#REF!,15,FALSE)</f>
        <v>#REF!</v>
      </c>
      <c r="U83" s="105" t="e">
        <f>VLOOKUP($A83,#REF!,19,FALSE)</f>
        <v>#REF!</v>
      </c>
      <c r="V83" s="109" t="e">
        <f t="shared" si="23"/>
        <v>#REF!</v>
      </c>
      <c r="W83" s="121" t="e">
        <f t="shared" si="24"/>
        <v>#REF!</v>
      </c>
      <c r="X83" s="105" t="e">
        <f t="shared" si="25"/>
        <v>#REF!</v>
      </c>
      <c r="Y83" s="109" t="e">
        <f t="shared" si="26"/>
        <v>#REF!</v>
      </c>
      <c r="Z83" s="109" t="e">
        <f t="shared" si="27"/>
        <v>#REF!</v>
      </c>
      <c r="AA83" s="113" t="e">
        <f t="shared" si="28"/>
        <v>#REF!</v>
      </c>
      <c r="AB83" s="109" t="e">
        <f t="shared" si="29"/>
        <v>#REF!</v>
      </c>
      <c r="AC83" s="113" t="e">
        <f t="shared" si="30"/>
        <v>#REF!</v>
      </c>
      <c r="AD83" s="105" t="e">
        <f t="shared" si="31"/>
        <v>#REF!</v>
      </c>
      <c r="AE83" s="105" t="e">
        <f t="shared" si="32"/>
        <v>#REF!</v>
      </c>
      <c r="AF83" s="105" t="e">
        <f t="shared" si="33"/>
        <v>#REF!</v>
      </c>
      <c r="AG83" s="105" t="e">
        <f t="shared" si="34"/>
        <v>#REF!</v>
      </c>
      <c r="AH83" s="111" t="e">
        <f>VLOOKUP($A83,#REF!,5,FALSE)</f>
        <v>#REF!</v>
      </c>
      <c r="AI83" s="111" t="e">
        <f>VLOOKUP($A83,#REF!,6,FALSE)</f>
        <v>#REF!</v>
      </c>
      <c r="AJ83" s="109" t="e">
        <f t="shared" si="35"/>
        <v>#REF!</v>
      </c>
      <c r="AK83" s="109" t="e">
        <f t="shared" si="36"/>
        <v>#REF!</v>
      </c>
      <c r="AL83" s="109"/>
      <c r="AM83" s="110"/>
      <c r="AN83" s="110"/>
      <c r="AO83" s="110"/>
      <c r="AP83" s="110"/>
      <c r="AQ83" s="112"/>
      <c r="AR83" s="112"/>
      <c r="AS83" s="110"/>
      <c r="AT83" s="105"/>
      <c r="AU83" s="105"/>
      <c r="AV83" s="105"/>
      <c r="AW83" s="105"/>
      <c r="AX83" s="105"/>
      <c r="AY83" s="105"/>
    </row>
    <row r="84" spans="1:51" x14ac:dyDescent="0.15">
      <c r="A84" s="115">
        <v>434</v>
      </c>
      <c r="B84" s="98" t="e">
        <f>VLOOKUP($A84,#REF!,101,FALSE)</f>
        <v>#REF!</v>
      </c>
      <c r="C84" s="98" t="e">
        <f>VLOOKUP($A84,#REF!,102,FALSE)</f>
        <v>#REF!</v>
      </c>
      <c r="D84" s="104" t="e">
        <f>VLOOKUP($A84,#REF!,5,FALSE)</f>
        <v>#REF!</v>
      </c>
      <c r="E84" s="104" t="e">
        <f>VLOOKUP($A84,#REF!,6,FALSE)</f>
        <v>#REF!</v>
      </c>
      <c r="F84" s="105" t="e">
        <f>VLOOKUP($A84,#REF!,34,FALSE)</f>
        <v>#REF!</v>
      </c>
      <c r="G84" s="105" t="e">
        <f>VLOOKUP($A84,#REF!,29,FALSE)</f>
        <v>#REF!</v>
      </c>
      <c r="H84" s="105" t="e">
        <f>VLOOKUP($A84,#REF!,35,FALSE)+VLOOKUP($A84,#REF!,97,FALSE)</f>
        <v>#REF!</v>
      </c>
      <c r="I84" s="105" t="e">
        <f t="shared" si="20"/>
        <v>#REF!</v>
      </c>
      <c r="J84" s="105" t="e">
        <f>VLOOKUP($A84,#REF!,42,FALSE)</f>
        <v>#REF!</v>
      </c>
      <c r="K84" s="105" t="e">
        <f t="shared" si="21"/>
        <v>#REF!</v>
      </c>
      <c r="L84" s="164" t="e">
        <f t="shared" si="19"/>
        <v>#REF!</v>
      </c>
      <c r="M84" s="105" t="e">
        <f t="shared" si="22"/>
        <v>#REF!</v>
      </c>
      <c r="N84" s="105" t="e">
        <f>VLOOKUP($A84,#REF!,46,FALSE)</f>
        <v>#REF!</v>
      </c>
      <c r="O84" s="106" t="e">
        <f>VLOOKUP($A84,#REF!,9,FALSE)</f>
        <v>#REF!</v>
      </c>
      <c r="P84" s="114" t="e">
        <f>#REF!</f>
        <v>#REF!</v>
      </c>
      <c r="Q84" s="114" t="e">
        <f>VLOOKUP(A84,#REF!,17,FALSE)</f>
        <v>#REF!</v>
      </c>
      <c r="R84" s="120" t="e">
        <f>#REF!</f>
        <v>#REF!</v>
      </c>
      <c r="S84" s="114" t="e">
        <f>IF(Q84=0,#REF!,ROUND(Q84*R84,4))</f>
        <v>#REF!</v>
      </c>
      <c r="T84" s="105" t="e">
        <f>VLOOKUP($A84,#REF!,15,FALSE)</f>
        <v>#REF!</v>
      </c>
      <c r="U84" s="105" t="e">
        <f>VLOOKUP($A84,#REF!,19,FALSE)</f>
        <v>#REF!</v>
      </c>
      <c r="V84" s="109" t="e">
        <f t="shared" si="23"/>
        <v>#REF!</v>
      </c>
      <c r="W84" s="121" t="e">
        <f t="shared" si="24"/>
        <v>#REF!</v>
      </c>
      <c r="X84" s="105" t="e">
        <f t="shared" si="25"/>
        <v>#REF!</v>
      </c>
      <c r="Y84" s="109" t="e">
        <f t="shared" si="26"/>
        <v>#REF!</v>
      </c>
      <c r="Z84" s="109" t="e">
        <f t="shared" si="27"/>
        <v>#REF!</v>
      </c>
      <c r="AA84" s="113" t="e">
        <f t="shared" si="28"/>
        <v>#REF!</v>
      </c>
      <c r="AB84" s="109" t="e">
        <f t="shared" si="29"/>
        <v>#REF!</v>
      </c>
      <c r="AC84" s="113" t="e">
        <f t="shared" si="30"/>
        <v>#REF!</v>
      </c>
      <c r="AD84" s="105" t="e">
        <f t="shared" si="31"/>
        <v>#REF!</v>
      </c>
      <c r="AE84" s="105" t="e">
        <f t="shared" si="32"/>
        <v>#REF!</v>
      </c>
      <c r="AF84" s="105" t="e">
        <f t="shared" si="33"/>
        <v>#REF!</v>
      </c>
      <c r="AG84" s="105" t="e">
        <f t="shared" si="34"/>
        <v>#REF!</v>
      </c>
      <c r="AH84" s="111" t="e">
        <f>VLOOKUP($A84,#REF!,5,FALSE)</f>
        <v>#REF!</v>
      </c>
      <c r="AI84" s="111" t="e">
        <f>VLOOKUP($A84,#REF!,6,FALSE)</f>
        <v>#REF!</v>
      </c>
      <c r="AJ84" s="109" t="e">
        <f t="shared" si="35"/>
        <v>#REF!</v>
      </c>
      <c r="AK84" s="109" t="e">
        <f t="shared" si="36"/>
        <v>#REF!</v>
      </c>
      <c r="AL84" s="109"/>
      <c r="AM84" s="110"/>
      <c r="AN84" s="110"/>
      <c r="AO84" s="110"/>
      <c r="AP84" s="110"/>
      <c r="AQ84" s="112"/>
      <c r="AR84" s="112"/>
      <c r="AS84" s="110"/>
      <c r="AT84" s="105"/>
      <c r="AU84" s="105"/>
      <c r="AV84" s="105"/>
      <c r="AW84" s="105"/>
      <c r="AX84" s="105"/>
      <c r="AY84" s="105"/>
    </row>
    <row r="85" spans="1:51" x14ac:dyDescent="0.15">
      <c r="A85" s="115">
        <v>733</v>
      </c>
      <c r="B85" s="98" t="e">
        <f>VLOOKUP($A85,#REF!,101,FALSE)</f>
        <v>#REF!</v>
      </c>
      <c r="C85" s="98" t="e">
        <f>VLOOKUP($A85,#REF!,102,FALSE)</f>
        <v>#REF!</v>
      </c>
      <c r="D85" s="104" t="e">
        <f>VLOOKUP($A85,#REF!,5,FALSE)</f>
        <v>#REF!</v>
      </c>
      <c r="E85" s="104" t="e">
        <f>VLOOKUP($A85,#REF!,6,FALSE)</f>
        <v>#REF!</v>
      </c>
      <c r="F85" s="105" t="e">
        <f>VLOOKUP($A85,#REF!,34,FALSE)</f>
        <v>#REF!</v>
      </c>
      <c r="G85" s="105" t="e">
        <f>VLOOKUP($A85,#REF!,29,FALSE)</f>
        <v>#REF!</v>
      </c>
      <c r="H85" s="105" t="e">
        <f>VLOOKUP($A85,#REF!,35,FALSE)+VLOOKUP($A85,#REF!,97,FALSE)</f>
        <v>#REF!</v>
      </c>
      <c r="I85" s="105" t="e">
        <f t="shared" si="20"/>
        <v>#REF!</v>
      </c>
      <c r="J85" s="105" t="e">
        <f>VLOOKUP($A85,#REF!,42,FALSE)</f>
        <v>#REF!</v>
      </c>
      <c r="K85" s="105" t="e">
        <f t="shared" si="21"/>
        <v>#REF!</v>
      </c>
      <c r="L85" s="164" t="e">
        <f t="shared" si="19"/>
        <v>#REF!</v>
      </c>
      <c r="M85" s="105" t="e">
        <f t="shared" si="22"/>
        <v>#REF!</v>
      </c>
      <c r="N85" s="105" t="e">
        <f>VLOOKUP($A85,#REF!,46,FALSE)</f>
        <v>#REF!</v>
      </c>
      <c r="O85" s="106" t="e">
        <f>VLOOKUP($A85,#REF!,9,FALSE)</f>
        <v>#REF!</v>
      </c>
      <c r="P85" s="114" t="e">
        <f>#REF!</f>
        <v>#REF!</v>
      </c>
      <c r="Q85" s="114" t="e">
        <f>VLOOKUP(A85,#REF!,17,FALSE)</f>
        <v>#REF!</v>
      </c>
      <c r="R85" s="120" t="e">
        <f>#REF!</f>
        <v>#REF!</v>
      </c>
      <c r="S85" s="114" t="e">
        <f>IF(Q85=0,#REF!,ROUND(Q85*R85,4))</f>
        <v>#REF!</v>
      </c>
      <c r="T85" s="105" t="e">
        <f>VLOOKUP($A85,#REF!,15,FALSE)</f>
        <v>#REF!</v>
      </c>
      <c r="U85" s="105" t="e">
        <f>VLOOKUP($A85,#REF!,19,FALSE)</f>
        <v>#REF!</v>
      </c>
      <c r="V85" s="109" t="e">
        <f t="shared" si="23"/>
        <v>#REF!</v>
      </c>
      <c r="W85" s="121" t="e">
        <f t="shared" si="24"/>
        <v>#REF!</v>
      </c>
      <c r="X85" s="105" t="e">
        <f t="shared" si="25"/>
        <v>#REF!</v>
      </c>
      <c r="Y85" s="109" t="e">
        <f t="shared" si="26"/>
        <v>#REF!</v>
      </c>
      <c r="Z85" s="109" t="e">
        <f t="shared" si="27"/>
        <v>#REF!</v>
      </c>
      <c r="AA85" s="113" t="e">
        <f t="shared" si="28"/>
        <v>#REF!</v>
      </c>
      <c r="AB85" s="109" t="e">
        <f t="shared" si="29"/>
        <v>#REF!</v>
      </c>
      <c r="AC85" s="113" t="e">
        <f t="shared" si="30"/>
        <v>#REF!</v>
      </c>
      <c r="AD85" s="105" t="e">
        <f t="shared" si="31"/>
        <v>#REF!</v>
      </c>
      <c r="AE85" s="105" t="e">
        <f t="shared" si="32"/>
        <v>#REF!</v>
      </c>
      <c r="AF85" s="105" t="e">
        <f t="shared" si="33"/>
        <v>#REF!</v>
      </c>
      <c r="AG85" s="105" t="e">
        <f t="shared" si="34"/>
        <v>#REF!</v>
      </c>
      <c r="AH85" s="111" t="e">
        <f>VLOOKUP($A85,#REF!,5,FALSE)</f>
        <v>#REF!</v>
      </c>
      <c r="AI85" s="111" t="e">
        <f>VLOOKUP($A85,#REF!,6,FALSE)</f>
        <v>#REF!</v>
      </c>
      <c r="AJ85" s="109" t="e">
        <f t="shared" si="35"/>
        <v>#REF!</v>
      </c>
      <c r="AK85" s="109" t="e">
        <f t="shared" si="36"/>
        <v>#REF!</v>
      </c>
      <c r="AL85" s="109"/>
      <c r="AM85" s="110"/>
      <c r="AN85" s="110"/>
      <c r="AO85" s="110"/>
      <c r="AP85" s="110"/>
      <c r="AQ85" s="112"/>
      <c r="AR85" s="112"/>
      <c r="AS85" s="110"/>
      <c r="AT85" s="105"/>
      <c r="AU85" s="105"/>
      <c r="AV85" s="105"/>
      <c r="AW85" s="105"/>
      <c r="AX85" s="105"/>
      <c r="AY85" s="105"/>
    </row>
    <row r="86" spans="1:51" x14ac:dyDescent="0.15">
      <c r="A86" s="115">
        <v>1132</v>
      </c>
      <c r="B86" s="98" t="e">
        <f>VLOOKUP($A86,#REF!,101,FALSE)</f>
        <v>#REF!</v>
      </c>
      <c r="C86" s="98" t="e">
        <f>VLOOKUP($A86,#REF!,102,FALSE)</f>
        <v>#REF!</v>
      </c>
      <c r="D86" s="104" t="e">
        <f>VLOOKUP($A86,#REF!,5,FALSE)</f>
        <v>#REF!</v>
      </c>
      <c r="E86" s="104" t="e">
        <f>VLOOKUP($A86,#REF!,6,FALSE)</f>
        <v>#REF!</v>
      </c>
      <c r="F86" s="105" t="e">
        <f>VLOOKUP($A86,#REF!,34,FALSE)</f>
        <v>#REF!</v>
      </c>
      <c r="G86" s="105" t="e">
        <f>VLOOKUP($A86,#REF!,29,FALSE)</f>
        <v>#REF!</v>
      </c>
      <c r="H86" s="105" t="e">
        <f>VLOOKUP($A86,#REF!,35,FALSE)+VLOOKUP($A86,#REF!,97,FALSE)</f>
        <v>#REF!</v>
      </c>
      <c r="I86" s="105" t="e">
        <f t="shared" si="20"/>
        <v>#REF!</v>
      </c>
      <c r="J86" s="105" t="e">
        <f>VLOOKUP($A86,#REF!,42,FALSE)</f>
        <v>#REF!</v>
      </c>
      <c r="K86" s="105" t="e">
        <f t="shared" si="21"/>
        <v>#REF!</v>
      </c>
      <c r="L86" s="164" t="e">
        <f t="shared" si="19"/>
        <v>#REF!</v>
      </c>
      <c r="M86" s="105" t="e">
        <f t="shared" si="22"/>
        <v>#REF!</v>
      </c>
      <c r="N86" s="105" t="e">
        <f>VLOOKUP($A86,#REF!,46,FALSE)</f>
        <v>#REF!</v>
      </c>
      <c r="O86" s="106" t="e">
        <f>VLOOKUP($A86,#REF!,9,FALSE)</f>
        <v>#REF!</v>
      </c>
      <c r="P86" s="114" t="e">
        <f>#REF!</f>
        <v>#REF!</v>
      </c>
      <c r="Q86" s="114" t="e">
        <f>VLOOKUP(A86,#REF!,17,FALSE)</f>
        <v>#REF!</v>
      </c>
      <c r="R86" s="120" t="e">
        <f>#REF!</f>
        <v>#REF!</v>
      </c>
      <c r="S86" s="114" t="e">
        <f>IF(Q86=0,#REF!,ROUND(Q86*R86,4))</f>
        <v>#REF!</v>
      </c>
      <c r="T86" s="105" t="e">
        <f>VLOOKUP($A86,#REF!,15,FALSE)</f>
        <v>#REF!</v>
      </c>
      <c r="U86" s="105" t="e">
        <f>VLOOKUP($A86,#REF!,19,FALSE)</f>
        <v>#REF!</v>
      </c>
      <c r="V86" s="109" t="e">
        <f t="shared" si="23"/>
        <v>#REF!</v>
      </c>
      <c r="W86" s="121" t="e">
        <f t="shared" si="24"/>
        <v>#REF!</v>
      </c>
      <c r="X86" s="105" t="e">
        <f t="shared" si="25"/>
        <v>#REF!</v>
      </c>
      <c r="Y86" s="109" t="e">
        <f t="shared" si="26"/>
        <v>#REF!</v>
      </c>
      <c r="Z86" s="109" t="e">
        <f t="shared" si="27"/>
        <v>#REF!</v>
      </c>
      <c r="AA86" s="113" t="e">
        <f t="shared" si="28"/>
        <v>#REF!</v>
      </c>
      <c r="AB86" s="109" t="e">
        <f t="shared" si="29"/>
        <v>#REF!</v>
      </c>
      <c r="AC86" s="113" t="e">
        <f t="shared" si="30"/>
        <v>#REF!</v>
      </c>
      <c r="AD86" s="105" t="e">
        <f t="shared" si="31"/>
        <v>#REF!</v>
      </c>
      <c r="AE86" s="105" t="e">
        <f t="shared" si="32"/>
        <v>#REF!</v>
      </c>
      <c r="AF86" s="105" t="e">
        <f t="shared" si="33"/>
        <v>#REF!</v>
      </c>
      <c r="AG86" s="105" t="e">
        <f t="shared" si="34"/>
        <v>#REF!</v>
      </c>
      <c r="AH86" s="111" t="e">
        <f>VLOOKUP($A86,#REF!,5,FALSE)</f>
        <v>#REF!</v>
      </c>
      <c r="AI86" s="111" t="e">
        <f>VLOOKUP($A86,#REF!,6,FALSE)</f>
        <v>#REF!</v>
      </c>
      <c r="AJ86" s="109" t="e">
        <f t="shared" si="35"/>
        <v>#REF!</v>
      </c>
      <c r="AK86" s="109" t="e">
        <f t="shared" si="36"/>
        <v>#REF!</v>
      </c>
      <c r="AL86" s="109"/>
      <c r="AM86" s="110"/>
      <c r="AN86" s="110"/>
      <c r="AO86" s="110"/>
      <c r="AP86" s="110"/>
      <c r="AQ86" s="112"/>
      <c r="AR86" s="112"/>
      <c r="AS86" s="110"/>
      <c r="AT86" s="105"/>
      <c r="AU86" s="105"/>
      <c r="AV86" s="105"/>
      <c r="AW86" s="105"/>
      <c r="AX86" s="105"/>
      <c r="AY86" s="105"/>
    </row>
    <row r="87" spans="1:51" x14ac:dyDescent="0.15">
      <c r="A87" s="115">
        <v>150</v>
      </c>
      <c r="B87" s="98" t="e">
        <f>VLOOKUP($A87,#REF!,101,FALSE)</f>
        <v>#REF!</v>
      </c>
      <c r="C87" s="98" t="e">
        <f>VLOOKUP($A87,#REF!,102,FALSE)</f>
        <v>#REF!</v>
      </c>
      <c r="D87" s="104" t="e">
        <f>VLOOKUP($A87,#REF!,5,FALSE)</f>
        <v>#REF!</v>
      </c>
      <c r="E87" s="104" t="e">
        <f>VLOOKUP($A87,#REF!,6,FALSE)</f>
        <v>#REF!</v>
      </c>
      <c r="F87" s="105" t="e">
        <f>VLOOKUP($A87,#REF!,34,FALSE)</f>
        <v>#REF!</v>
      </c>
      <c r="G87" s="105" t="e">
        <f>VLOOKUP($A87,#REF!,29,FALSE)</f>
        <v>#REF!</v>
      </c>
      <c r="H87" s="105" t="e">
        <f>VLOOKUP($A87,#REF!,35,FALSE)+VLOOKUP($A87,#REF!,97,FALSE)</f>
        <v>#REF!</v>
      </c>
      <c r="I87" s="105" t="e">
        <f t="shared" si="20"/>
        <v>#REF!</v>
      </c>
      <c r="J87" s="105" t="e">
        <f>VLOOKUP($A87,#REF!,42,FALSE)</f>
        <v>#REF!</v>
      </c>
      <c r="K87" s="105" t="e">
        <f t="shared" si="21"/>
        <v>#REF!</v>
      </c>
      <c r="L87" s="164" t="e">
        <f t="shared" si="19"/>
        <v>#REF!</v>
      </c>
      <c r="M87" s="105" t="e">
        <f t="shared" si="22"/>
        <v>#REF!</v>
      </c>
      <c r="N87" s="105" t="e">
        <f>VLOOKUP($A87,#REF!,46,FALSE)</f>
        <v>#REF!</v>
      </c>
      <c r="O87" s="106" t="e">
        <f>VLOOKUP($A87,#REF!,9,FALSE)</f>
        <v>#REF!</v>
      </c>
      <c r="P87" s="114" t="e">
        <f>#REF!</f>
        <v>#REF!</v>
      </c>
      <c r="Q87" s="114" t="e">
        <f>VLOOKUP(A87,#REF!,17,FALSE)</f>
        <v>#REF!</v>
      </c>
      <c r="R87" s="120" t="e">
        <f>#REF!</f>
        <v>#REF!</v>
      </c>
      <c r="S87" s="114" t="e">
        <f>IF(Q87=0,#REF!,ROUND(Q87*R87,4))</f>
        <v>#REF!</v>
      </c>
      <c r="T87" s="105" t="e">
        <f>VLOOKUP($A87,#REF!,15,FALSE)</f>
        <v>#REF!</v>
      </c>
      <c r="U87" s="105" t="e">
        <f>VLOOKUP($A87,#REF!,19,FALSE)</f>
        <v>#REF!</v>
      </c>
      <c r="V87" s="109" t="e">
        <f t="shared" si="23"/>
        <v>#REF!</v>
      </c>
      <c r="W87" s="121" t="e">
        <f t="shared" si="24"/>
        <v>#REF!</v>
      </c>
      <c r="X87" s="105" t="e">
        <f t="shared" si="25"/>
        <v>#REF!</v>
      </c>
      <c r="Y87" s="109" t="e">
        <f t="shared" si="26"/>
        <v>#REF!</v>
      </c>
      <c r="Z87" s="109" t="e">
        <f t="shared" si="27"/>
        <v>#REF!</v>
      </c>
      <c r="AA87" s="113" t="e">
        <f t="shared" si="28"/>
        <v>#REF!</v>
      </c>
      <c r="AB87" s="109" t="e">
        <f t="shared" si="29"/>
        <v>#REF!</v>
      </c>
      <c r="AC87" s="113" t="e">
        <f t="shared" si="30"/>
        <v>#REF!</v>
      </c>
      <c r="AD87" s="105" t="e">
        <f t="shared" si="31"/>
        <v>#REF!</v>
      </c>
      <c r="AE87" s="105" t="e">
        <f t="shared" si="32"/>
        <v>#REF!</v>
      </c>
      <c r="AF87" s="105" t="e">
        <f t="shared" si="33"/>
        <v>#REF!</v>
      </c>
      <c r="AG87" s="105" t="e">
        <f t="shared" si="34"/>
        <v>#REF!</v>
      </c>
      <c r="AH87" s="111" t="e">
        <f>VLOOKUP($A87,#REF!,5,FALSE)</f>
        <v>#REF!</v>
      </c>
      <c r="AI87" s="111" t="e">
        <f>VLOOKUP($A87,#REF!,6,FALSE)</f>
        <v>#REF!</v>
      </c>
      <c r="AJ87" s="109" t="e">
        <f t="shared" si="35"/>
        <v>#REF!</v>
      </c>
      <c r="AK87" s="109" t="e">
        <f t="shared" si="36"/>
        <v>#REF!</v>
      </c>
      <c r="AL87" s="109"/>
      <c r="AM87" s="110"/>
      <c r="AN87" s="110"/>
      <c r="AO87" s="110"/>
      <c r="AP87" s="110"/>
      <c r="AQ87" s="112"/>
      <c r="AR87" s="112"/>
      <c r="AS87" s="110"/>
      <c r="AT87" s="105"/>
      <c r="AU87" s="105"/>
      <c r="AV87" s="105"/>
      <c r="AW87" s="105"/>
      <c r="AX87" s="105"/>
      <c r="AY87" s="105"/>
    </row>
    <row r="88" spans="1:51" x14ac:dyDescent="0.15">
      <c r="A88" s="115">
        <v>152</v>
      </c>
      <c r="B88" s="98" t="e">
        <f>VLOOKUP($A88,#REF!,101,FALSE)</f>
        <v>#REF!</v>
      </c>
      <c r="C88" s="98" t="e">
        <f>VLOOKUP($A88,#REF!,102,FALSE)</f>
        <v>#REF!</v>
      </c>
      <c r="D88" s="104" t="e">
        <f>VLOOKUP($A88,#REF!,5,FALSE)</f>
        <v>#REF!</v>
      </c>
      <c r="E88" s="104" t="e">
        <f>VLOOKUP($A88,#REF!,6,FALSE)</f>
        <v>#REF!</v>
      </c>
      <c r="F88" s="105" t="e">
        <f>VLOOKUP($A88,#REF!,34,FALSE)</f>
        <v>#REF!</v>
      </c>
      <c r="G88" s="105" t="e">
        <f>VLOOKUP($A88,#REF!,29,FALSE)</f>
        <v>#REF!</v>
      </c>
      <c r="H88" s="105" t="e">
        <f>VLOOKUP($A88,#REF!,35,FALSE)+VLOOKUP($A88,#REF!,97,FALSE)</f>
        <v>#REF!</v>
      </c>
      <c r="I88" s="105" t="e">
        <f t="shared" si="20"/>
        <v>#REF!</v>
      </c>
      <c r="J88" s="105" t="e">
        <f>VLOOKUP($A88,#REF!,42,FALSE)</f>
        <v>#REF!</v>
      </c>
      <c r="K88" s="105" t="e">
        <f t="shared" si="21"/>
        <v>#REF!</v>
      </c>
      <c r="L88" s="164" t="e">
        <f t="shared" si="19"/>
        <v>#REF!</v>
      </c>
      <c r="M88" s="105" t="e">
        <f t="shared" si="22"/>
        <v>#REF!</v>
      </c>
      <c r="N88" s="105" t="e">
        <f>VLOOKUP($A88,#REF!,46,FALSE)</f>
        <v>#REF!</v>
      </c>
      <c r="O88" s="106" t="e">
        <f>VLOOKUP($A88,#REF!,9,FALSE)</f>
        <v>#REF!</v>
      </c>
      <c r="P88" s="114" t="e">
        <f>#REF!</f>
        <v>#REF!</v>
      </c>
      <c r="Q88" s="114" t="e">
        <f>VLOOKUP(A88,#REF!,17,FALSE)</f>
        <v>#REF!</v>
      </c>
      <c r="R88" s="120" t="e">
        <f>#REF!</f>
        <v>#REF!</v>
      </c>
      <c r="S88" s="114" t="e">
        <f>IF(Q88=0,#REF!,ROUND(Q88*R88,4))</f>
        <v>#REF!</v>
      </c>
      <c r="T88" s="105" t="e">
        <f>VLOOKUP($A88,#REF!,15,FALSE)</f>
        <v>#REF!</v>
      </c>
      <c r="U88" s="105" t="e">
        <f>VLOOKUP($A88,#REF!,19,FALSE)</f>
        <v>#REF!</v>
      </c>
      <c r="V88" s="109" t="e">
        <f t="shared" si="23"/>
        <v>#REF!</v>
      </c>
      <c r="W88" s="121" t="e">
        <f t="shared" si="24"/>
        <v>#REF!</v>
      </c>
      <c r="X88" s="105" t="e">
        <f t="shared" si="25"/>
        <v>#REF!</v>
      </c>
      <c r="Y88" s="109" t="e">
        <f t="shared" si="26"/>
        <v>#REF!</v>
      </c>
      <c r="Z88" s="109" t="e">
        <f t="shared" si="27"/>
        <v>#REF!</v>
      </c>
      <c r="AA88" s="113" t="e">
        <f t="shared" si="28"/>
        <v>#REF!</v>
      </c>
      <c r="AB88" s="109" t="e">
        <f t="shared" si="29"/>
        <v>#REF!</v>
      </c>
      <c r="AC88" s="113" t="e">
        <f t="shared" si="30"/>
        <v>#REF!</v>
      </c>
      <c r="AD88" s="105" t="e">
        <f t="shared" si="31"/>
        <v>#REF!</v>
      </c>
      <c r="AE88" s="105" t="e">
        <f t="shared" si="32"/>
        <v>#REF!</v>
      </c>
      <c r="AF88" s="105" t="e">
        <f t="shared" si="33"/>
        <v>#REF!</v>
      </c>
      <c r="AG88" s="105" t="e">
        <f t="shared" si="34"/>
        <v>#REF!</v>
      </c>
      <c r="AH88" s="111" t="e">
        <f>VLOOKUP($A88,#REF!,5,FALSE)</f>
        <v>#REF!</v>
      </c>
      <c r="AI88" s="111" t="e">
        <f>VLOOKUP($A88,#REF!,6,FALSE)</f>
        <v>#REF!</v>
      </c>
      <c r="AJ88" s="109" t="e">
        <f t="shared" si="35"/>
        <v>#REF!</v>
      </c>
      <c r="AK88" s="109" t="e">
        <f t="shared" si="36"/>
        <v>#REF!</v>
      </c>
      <c r="AL88" s="109"/>
      <c r="AM88" s="110"/>
      <c r="AN88" s="110"/>
      <c r="AO88" s="110"/>
      <c r="AP88" s="110"/>
      <c r="AQ88" s="112"/>
      <c r="AR88" s="112"/>
      <c r="AS88" s="110"/>
      <c r="AT88" s="105"/>
      <c r="AU88" s="105"/>
      <c r="AV88" s="105"/>
      <c r="AW88" s="105"/>
      <c r="AX88" s="105"/>
      <c r="AY88" s="105"/>
    </row>
    <row r="89" spans="1:51" x14ac:dyDescent="0.15">
      <c r="A89" s="115">
        <v>1324</v>
      </c>
      <c r="B89" s="98" t="e">
        <f>VLOOKUP($A89,#REF!,101,FALSE)</f>
        <v>#REF!</v>
      </c>
      <c r="C89" s="98" t="e">
        <f>VLOOKUP($A89,#REF!,102,FALSE)</f>
        <v>#REF!</v>
      </c>
      <c r="D89" s="104" t="e">
        <f>VLOOKUP($A89,#REF!,5,FALSE)</f>
        <v>#REF!</v>
      </c>
      <c r="E89" s="104" t="e">
        <f>VLOOKUP($A89,#REF!,6,FALSE)</f>
        <v>#REF!</v>
      </c>
      <c r="F89" s="105" t="e">
        <f>VLOOKUP($A89,#REF!,34,FALSE)</f>
        <v>#REF!</v>
      </c>
      <c r="G89" s="105" t="e">
        <f>VLOOKUP($A89,#REF!,29,FALSE)</f>
        <v>#REF!</v>
      </c>
      <c r="H89" s="105" t="e">
        <f>VLOOKUP($A89,#REF!,35,FALSE)+VLOOKUP($A89,#REF!,97,FALSE)</f>
        <v>#REF!</v>
      </c>
      <c r="I89" s="105" t="e">
        <f t="shared" si="20"/>
        <v>#REF!</v>
      </c>
      <c r="J89" s="105" t="e">
        <f>VLOOKUP($A89,#REF!,42,FALSE)</f>
        <v>#REF!</v>
      </c>
      <c r="K89" s="105" t="e">
        <f t="shared" si="21"/>
        <v>#REF!</v>
      </c>
      <c r="L89" s="164" t="e">
        <f t="shared" si="19"/>
        <v>#REF!</v>
      </c>
      <c r="M89" s="105" t="e">
        <f t="shared" si="22"/>
        <v>#REF!</v>
      </c>
      <c r="N89" s="105" t="e">
        <f>VLOOKUP($A89,#REF!,46,FALSE)</f>
        <v>#REF!</v>
      </c>
      <c r="O89" s="106" t="e">
        <f>VLOOKUP($A89,#REF!,9,FALSE)</f>
        <v>#REF!</v>
      </c>
      <c r="P89" s="114" t="e">
        <f>#REF!</f>
        <v>#REF!</v>
      </c>
      <c r="Q89" s="114" t="e">
        <f>VLOOKUP(A89,#REF!,17,FALSE)</f>
        <v>#REF!</v>
      </c>
      <c r="R89" s="120" t="e">
        <f>#REF!</f>
        <v>#REF!</v>
      </c>
      <c r="S89" s="114" t="e">
        <f>IF(Q89=0,#REF!,ROUND(Q89*R89,4))</f>
        <v>#REF!</v>
      </c>
      <c r="T89" s="105" t="e">
        <f>VLOOKUP($A89,#REF!,15,FALSE)</f>
        <v>#REF!</v>
      </c>
      <c r="U89" s="105" t="e">
        <f>VLOOKUP($A89,#REF!,19,FALSE)</f>
        <v>#REF!</v>
      </c>
      <c r="V89" s="109" t="e">
        <f t="shared" si="23"/>
        <v>#REF!</v>
      </c>
      <c r="W89" s="121" t="e">
        <f t="shared" si="24"/>
        <v>#REF!</v>
      </c>
      <c r="X89" s="105" t="e">
        <f t="shared" si="25"/>
        <v>#REF!</v>
      </c>
      <c r="Y89" s="109" t="e">
        <f t="shared" si="26"/>
        <v>#REF!</v>
      </c>
      <c r="Z89" s="109" t="e">
        <f t="shared" si="27"/>
        <v>#REF!</v>
      </c>
      <c r="AA89" s="113" t="e">
        <f t="shared" si="28"/>
        <v>#REF!</v>
      </c>
      <c r="AB89" s="109" t="e">
        <f t="shared" si="29"/>
        <v>#REF!</v>
      </c>
      <c r="AC89" s="113" t="e">
        <f t="shared" si="30"/>
        <v>#REF!</v>
      </c>
      <c r="AD89" s="105" t="e">
        <f t="shared" si="31"/>
        <v>#REF!</v>
      </c>
      <c r="AE89" s="105" t="e">
        <f t="shared" si="32"/>
        <v>#REF!</v>
      </c>
      <c r="AF89" s="105" t="e">
        <f t="shared" si="33"/>
        <v>#REF!</v>
      </c>
      <c r="AG89" s="105" t="e">
        <f t="shared" si="34"/>
        <v>#REF!</v>
      </c>
      <c r="AH89" s="111" t="e">
        <f>VLOOKUP($A89,#REF!,5,FALSE)</f>
        <v>#REF!</v>
      </c>
      <c r="AI89" s="111" t="e">
        <f>VLOOKUP($A89,#REF!,6,FALSE)</f>
        <v>#REF!</v>
      </c>
      <c r="AJ89" s="109" t="e">
        <f t="shared" si="35"/>
        <v>#REF!</v>
      </c>
      <c r="AK89" s="109" t="e">
        <f t="shared" si="36"/>
        <v>#REF!</v>
      </c>
      <c r="AL89" s="109"/>
      <c r="AM89" s="110"/>
      <c r="AN89" s="110"/>
      <c r="AO89" s="110"/>
      <c r="AP89" s="110"/>
      <c r="AQ89" s="112"/>
      <c r="AR89" s="112"/>
      <c r="AS89" s="110"/>
      <c r="AT89" s="105"/>
      <c r="AU89" s="105"/>
      <c r="AV89" s="105"/>
      <c r="AW89" s="105"/>
      <c r="AX89" s="105"/>
      <c r="AY89" s="105"/>
    </row>
    <row r="90" spans="1:51" x14ac:dyDescent="0.15">
      <c r="A90" s="115">
        <v>26</v>
      </c>
      <c r="B90" s="98" t="e">
        <f>VLOOKUP($A90,#REF!,101,FALSE)</f>
        <v>#REF!</v>
      </c>
      <c r="C90" s="98" t="e">
        <f>VLOOKUP($A90,#REF!,102,FALSE)</f>
        <v>#REF!</v>
      </c>
      <c r="D90" s="104" t="e">
        <f>VLOOKUP($A90,#REF!,5,FALSE)</f>
        <v>#REF!</v>
      </c>
      <c r="E90" s="104" t="e">
        <f>VLOOKUP($A90,#REF!,6,FALSE)</f>
        <v>#REF!</v>
      </c>
      <c r="F90" s="105" t="e">
        <f>VLOOKUP($A90,#REF!,34,FALSE)</f>
        <v>#REF!</v>
      </c>
      <c r="G90" s="105" t="e">
        <f>VLOOKUP($A90,#REF!,29,FALSE)</f>
        <v>#REF!</v>
      </c>
      <c r="H90" s="105" t="e">
        <f>VLOOKUP($A90,#REF!,35,FALSE)+VLOOKUP($A90,#REF!,97,FALSE)</f>
        <v>#REF!</v>
      </c>
      <c r="I90" s="105" t="e">
        <f t="shared" si="20"/>
        <v>#REF!</v>
      </c>
      <c r="J90" s="105" t="e">
        <f>VLOOKUP($A90,#REF!,42,FALSE)</f>
        <v>#REF!</v>
      </c>
      <c r="K90" s="105" t="e">
        <f t="shared" si="21"/>
        <v>#REF!</v>
      </c>
      <c r="L90" s="164" t="e">
        <f t="shared" si="19"/>
        <v>#REF!</v>
      </c>
      <c r="M90" s="105" t="e">
        <f t="shared" si="22"/>
        <v>#REF!</v>
      </c>
      <c r="N90" s="105" t="e">
        <f>VLOOKUP($A90,#REF!,46,FALSE)</f>
        <v>#REF!</v>
      </c>
      <c r="O90" s="106" t="e">
        <f>VLOOKUP($A90,#REF!,9,FALSE)</f>
        <v>#REF!</v>
      </c>
      <c r="P90" s="114" t="e">
        <f>#REF!</f>
        <v>#REF!</v>
      </c>
      <c r="Q90" s="114" t="e">
        <f>VLOOKUP(A90,#REF!,17,FALSE)</f>
        <v>#REF!</v>
      </c>
      <c r="R90" s="120" t="e">
        <f>#REF!</f>
        <v>#REF!</v>
      </c>
      <c r="S90" s="114" t="e">
        <f>IF(Q90=0,#REF!,ROUND(Q90*R90,4))</f>
        <v>#REF!</v>
      </c>
      <c r="T90" s="105" t="e">
        <f>VLOOKUP($A90,#REF!,15,FALSE)</f>
        <v>#REF!</v>
      </c>
      <c r="U90" s="105" t="e">
        <f>VLOOKUP($A90,#REF!,19,FALSE)</f>
        <v>#REF!</v>
      </c>
      <c r="V90" s="109" t="e">
        <f t="shared" si="23"/>
        <v>#REF!</v>
      </c>
      <c r="W90" s="121" t="e">
        <f t="shared" si="24"/>
        <v>#REF!</v>
      </c>
      <c r="X90" s="105" t="e">
        <f t="shared" si="25"/>
        <v>#REF!</v>
      </c>
      <c r="Y90" s="109" t="e">
        <f t="shared" si="26"/>
        <v>#REF!</v>
      </c>
      <c r="Z90" s="109" t="e">
        <f t="shared" si="27"/>
        <v>#REF!</v>
      </c>
      <c r="AA90" s="113" t="e">
        <f t="shared" si="28"/>
        <v>#REF!</v>
      </c>
      <c r="AB90" s="109" t="e">
        <f t="shared" si="29"/>
        <v>#REF!</v>
      </c>
      <c r="AC90" s="113" t="e">
        <f t="shared" si="30"/>
        <v>#REF!</v>
      </c>
      <c r="AD90" s="105" t="e">
        <f t="shared" si="31"/>
        <v>#REF!</v>
      </c>
      <c r="AE90" s="105" t="e">
        <f t="shared" si="32"/>
        <v>#REF!</v>
      </c>
      <c r="AF90" s="105" t="e">
        <f t="shared" si="33"/>
        <v>#REF!</v>
      </c>
      <c r="AG90" s="105" t="e">
        <f t="shared" si="34"/>
        <v>#REF!</v>
      </c>
      <c r="AH90" s="111" t="e">
        <f>VLOOKUP($A90,#REF!,5,FALSE)</f>
        <v>#REF!</v>
      </c>
      <c r="AI90" s="111" t="e">
        <f>VLOOKUP($A90,#REF!,6,FALSE)</f>
        <v>#REF!</v>
      </c>
      <c r="AJ90" s="109" t="e">
        <f t="shared" si="35"/>
        <v>#REF!</v>
      </c>
      <c r="AK90" s="109" t="e">
        <f t="shared" si="36"/>
        <v>#REF!</v>
      </c>
      <c r="AL90" s="109"/>
      <c r="AM90" s="110"/>
      <c r="AN90" s="110"/>
      <c r="AO90" s="110"/>
      <c r="AP90" s="110"/>
      <c r="AQ90" s="112"/>
      <c r="AR90" s="112"/>
      <c r="AS90" s="110"/>
      <c r="AT90" s="105"/>
      <c r="AU90" s="105"/>
      <c r="AV90" s="105"/>
      <c r="AW90" s="105"/>
      <c r="AX90" s="105"/>
      <c r="AY90" s="105"/>
    </row>
    <row r="91" spans="1:51" x14ac:dyDescent="0.15">
      <c r="A91" s="115">
        <v>729</v>
      </c>
      <c r="B91" s="98" t="e">
        <f>VLOOKUP($A91,#REF!,101,FALSE)</f>
        <v>#REF!</v>
      </c>
      <c r="C91" s="98" t="e">
        <f>VLOOKUP($A91,#REF!,102,FALSE)</f>
        <v>#REF!</v>
      </c>
      <c r="D91" s="104" t="e">
        <f>VLOOKUP($A91,#REF!,5,FALSE)</f>
        <v>#REF!</v>
      </c>
      <c r="E91" s="104" t="e">
        <f>VLOOKUP($A91,#REF!,6,FALSE)</f>
        <v>#REF!</v>
      </c>
      <c r="F91" s="105" t="e">
        <f>VLOOKUP($A91,#REF!,34,FALSE)</f>
        <v>#REF!</v>
      </c>
      <c r="G91" s="105" t="e">
        <f>VLOOKUP($A91,#REF!,29,FALSE)</f>
        <v>#REF!</v>
      </c>
      <c r="H91" s="105" t="e">
        <f>VLOOKUP($A91,#REF!,35,FALSE)+VLOOKUP($A91,#REF!,97,FALSE)</f>
        <v>#REF!</v>
      </c>
      <c r="I91" s="105" t="e">
        <f t="shared" si="20"/>
        <v>#REF!</v>
      </c>
      <c r="J91" s="105" t="e">
        <f>VLOOKUP($A91,#REF!,42,FALSE)</f>
        <v>#REF!</v>
      </c>
      <c r="K91" s="105" t="e">
        <f t="shared" si="21"/>
        <v>#REF!</v>
      </c>
      <c r="L91" s="164" t="e">
        <f t="shared" si="19"/>
        <v>#REF!</v>
      </c>
      <c r="M91" s="105" t="e">
        <f t="shared" si="22"/>
        <v>#REF!</v>
      </c>
      <c r="N91" s="105" t="e">
        <f>VLOOKUP($A91,#REF!,46,FALSE)</f>
        <v>#REF!</v>
      </c>
      <c r="O91" s="106" t="e">
        <f>VLOOKUP($A91,#REF!,9,FALSE)</f>
        <v>#REF!</v>
      </c>
      <c r="P91" s="114" t="e">
        <f>#REF!</f>
        <v>#REF!</v>
      </c>
      <c r="Q91" s="114" t="e">
        <f>VLOOKUP(A91,#REF!,17,FALSE)</f>
        <v>#REF!</v>
      </c>
      <c r="R91" s="120" t="e">
        <f>#REF!</f>
        <v>#REF!</v>
      </c>
      <c r="S91" s="114" t="e">
        <f>IF(Q91=0,#REF!,ROUND(Q91*R91,4))</f>
        <v>#REF!</v>
      </c>
      <c r="T91" s="105" t="e">
        <f>VLOOKUP($A91,#REF!,15,FALSE)</f>
        <v>#REF!</v>
      </c>
      <c r="U91" s="105" t="e">
        <f>VLOOKUP($A91,#REF!,19,FALSE)</f>
        <v>#REF!</v>
      </c>
      <c r="V91" s="109" t="e">
        <f t="shared" si="23"/>
        <v>#REF!</v>
      </c>
      <c r="W91" s="121" t="e">
        <f t="shared" si="24"/>
        <v>#REF!</v>
      </c>
      <c r="X91" s="105" t="e">
        <f t="shared" si="25"/>
        <v>#REF!</v>
      </c>
      <c r="Y91" s="109" t="e">
        <f t="shared" si="26"/>
        <v>#REF!</v>
      </c>
      <c r="Z91" s="109" t="e">
        <f t="shared" si="27"/>
        <v>#REF!</v>
      </c>
      <c r="AA91" s="113" t="e">
        <f t="shared" si="28"/>
        <v>#REF!</v>
      </c>
      <c r="AB91" s="109" t="e">
        <f t="shared" si="29"/>
        <v>#REF!</v>
      </c>
      <c r="AC91" s="113" t="e">
        <f t="shared" si="30"/>
        <v>#REF!</v>
      </c>
      <c r="AD91" s="105" t="e">
        <f t="shared" si="31"/>
        <v>#REF!</v>
      </c>
      <c r="AE91" s="105" t="e">
        <f t="shared" si="32"/>
        <v>#REF!</v>
      </c>
      <c r="AF91" s="105" t="e">
        <f t="shared" si="33"/>
        <v>#REF!</v>
      </c>
      <c r="AG91" s="105" t="e">
        <f t="shared" si="34"/>
        <v>#REF!</v>
      </c>
      <c r="AH91" s="111" t="e">
        <f>VLOOKUP($A91,#REF!,5,FALSE)</f>
        <v>#REF!</v>
      </c>
      <c r="AI91" s="111" t="e">
        <f>VLOOKUP($A91,#REF!,6,FALSE)</f>
        <v>#REF!</v>
      </c>
      <c r="AJ91" s="109" t="e">
        <f t="shared" si="35"/>
        <v>#REF!</v>
      </c>
      <c r="AK91" s="109" t="e">
        <f t="shared" si="36"/>
        <v>#REF!</v>
      </c>
      <c r="AL91" s="109"/>
      <c r="AM91" s="110"/>
      <c r="AN91" s="110"/>
      <c r="AO91" s="110"/>
      <c r="AP91" s="110"/>
      <c r="AQ91" s="112"/>
      <c r="AR91" s="112"/>
      <c r="AS91" s="110"/>
      <c r="AT91" s="105"/>
      <c r="AU91" s="105"/>
      <c r="AV91" s="105"/>
      <c r="AW91" s="105"/>
      <c r="AX91" s="105"/>
      <c r="AY91" s="105"/>
    </row>
    <row r="92" spans="1:51" x14ac:dyDescent="0.15">
      <c r="A92" s="115">
        <v>156</v>
      </c>
      <c r="B92" s="98" t="e">
        <f>VLOOKUP($A92,#REF!,101,FALSE)</f>
        <v>#REF!</v>
      </c>
      <c r="C92" s="98" t="e">
        <f>VLOOKUP($A92,#REF!,102,FALSE)</f>
        <v>#REF!</v>
      </c>
      <c r="D92" s="104" t="e">
        <f>VLOOKUP($A92,#REF!,5,FALSE)</f>
        <v>#REF!</v>
      </c>
      <c r="E92" s="104" t="e">
        <f>VLOOKUP($A92,#REF!,6,FALSE)</f>
        <v>#REF!</v>
      </c>
      <c r="F92" s="105" t="e">
        <f>VLOOKUP($A92,#REF!,34,FALSE)</f>
        <v>#REF!</v>
      </c>
      <c r="G92" s="105" t="e">
        <f>VLOOKUP($A92,#REF!,29,FALSE)</f>
        <v>#REF!</v>
      </c>
      <c r="H92" s="105" t="e">
        <f>VLOOKUP($A92,#REF!,35,FALSE)+VLOOKUP($A92,#REF!,97,FALSE)</f>
        <v>#REF!</v>
      </c>
      <c r="I92" s="105" t="e">
        <f t="shared" si="20"/>
        <v>#REF!</v>
      </c>
      <c r="J92" s="105" t="e">
        <f>VLOOKUP($A92,#REF!,42,FALSE)</f>
        <v>#REF!</v>
      </c>
      <c r="K92" s="105" t="e">
        <f t="shared" si="21"/>
        <v>#REF!</v>
      </c>
      <c r="L92" s="164" t="e">
        <f t="shared" si="19"/>
        <v>#REF!</v>
      </c>
      <c r="M92" s="105" t="e">
        <f t="shared" si="22"/>
        <v>#REF!</v>
      </c>
      <c r="N92" s="105" t="e">
        <f>VLOOKUP($A92,#REF!,46,FALSE)</f>
        <v>#REF!</v>
      </c>
      <c r="O92" s="106" t="e">
        <f>VLOOKUP($A92,#REF!,9,FALSE)</f>
        <v>#REF!</v>
      </c>
      <c r="P92" s="114" t="e">
        <f>#REF!</f>
        <v>#REF!</v>
      </c>
      <c r="Q92" s="114" t="e">
        <f>VLOOKUP(A92,#REF!,17,FALSE)</f>
        <v>#REF!</v>
      </c>
      <c r="R92" s="120" t="e">
        <f>#REF!</f>
        <v>#REF!</v>
      </c>
      <c r="S92" s="114" t="e">
        <f>IF(Q92=0,#REF!,ROUND(Q92*R92,4))</f>
        <v>#REF!</v>
      </c>
      <c r="T92" s="105" t="e">
        <f>VLOOKUP($A92,#REF!,15,FALSE)</f>
        <v>#REF!</v>
      </c>
      <c r="U92" s="105" t="e">
        <f>VLOOKUP($A92,#REF!,19,FALSE)</f>
        <v>#REF!</v>
      </c>
      <c r="V92" s="109" t="e">
        <f t="shared" si="23"/>
        <v>#REF!</v>
      </c>
      <c r="W92" s="121" t="e">
        <f t="shared" si="24"/>
        <v>#REF!</v>
      </c>
      <c r="X92" s="105" t="e">
        <f t="shared" si="25"/>
        <v>#REF!</v>
      </c>
      <c r="Y92" s="109" t="e">
        <f t="shared" si="26"/>
        <v>#REF!</v>
      </c>
      <c r="Z92" s="109" t="e">
        <f t="shared" si="27"/>
        <v>#REF!</v>
      </c>
      <c r="AA92" s="113" t="e">
        <f t="shared" si="28"/>
        <v>#REF!</v>
      </c>
      <c r="AB92" s="109" t="e">
        <f t="shared" si="29"/>
        <v>#REF!</v>
      </c>
      <c r="AC92" s="113" t="e">
        <f t="shared" si="30"/>
        <v>#REF!</v>
      </c>
      <c r="AD92" s="105" t="e">
        <f t="shared" si="31"/>
        <v>#REF!</v>
      </c>
      <c r="AE92" s="105" t="e">
        <f t="shared" si="32"/>
        <v>#REF!</v>
      </c>
      <c r="AF92" s="105" t="e">
        <f t="shared" si="33"/>
        <v>#REF!</v>
      </c>
      <c r="AG92" s="105" t="e">
        <f t="shared" si="34"/>
        <v>#REF!</v>
      </c>
      <c r="AH92" s="111" t="e">
        <f>VLOOKUP($A92,#REF!,5,FALSE)</f>
        <v>#REF!</v>
      </c>
      <c r="AI92" s="111" t="e">
        <f>VLOOKUP($A92,#REF!,6,FALSE)</f>
        <v>#REF!</v>
      </c>
      <c r="AJ92" s="109" t="e">
        <f t="shared" si="35"/>
        <v>#REF!</v>
      </c>
      <c r="AK92" s="109" t="e">
        <f t="shared" si="36"/>
        <v>#REF!</v>
      </c>
      <c r="AL92" s="109"/>
      <c r="AM92" s="110"/>
      <c r="AN92" s="110"/>
      <c r="AO92" s="110"/>
      <c r="AP92" s="110"/>
      <c r="AQ92" s="112"/>
      <c r="AR92" s="112"/>
      <c r="AS92" s="110"/>
      <c r="AT92" s="105"/>
      <c r="AU92" s="105"/>
      <c r="AV92" s="105"/>
      <c r="AW92" s="105"/>
      <c r="AX92" s="105"/>
      <c r="AY92" s="105"/>
    </row>
    <row r="93" spans="1:51" x14ac:dyDescent="0.15">
      <c r="A93" s="115">
        <v>697</v>
      </c>
      <c r="B93" s="98" t="e">
        <f>VLOOKUP($A93,#REF!,101,FALSE)</f>
        <v>#REF!</v>
      </c>
      <c r="C93" s="98" t="e">
        <f>VLOOKUP($A93,#REF!,102,FALSE)</f>
        <v>#REF!</v>
      </c>
      <c r="D93" s="104" t="e">
        <f>VLOOKUP($A93,#REF!,5,FALSE)</f>
        <v>#REF!</v>
      </c>
      <c r="E93" s="104" t="e">
        <f>VLOOKUP($A93,#REF!,6,FALSE)</f>
        <v>#REF!</v>
      </c>
      <c r="F93" s="105" t="e">
        <f>VLOOKUP($A93,#REF!,34,FALSE)</f>
        <v>#REF!</v>
      </c>
      <c r="G93" s="105" t="e">
        <f>VLOOKUP($A93,#REF!,29,FALSE)</f>
        <v>#REF!</v>
      </c>
      <c r="H93" s="105" t="e">
        <f>VLOOKUP($A93,#REF!,35,FALSE)+VLOOKUP($A93,#REF!,97,FALSE)</f>
        <v>#REF!</v>
      </c>
      <c r="I93" s="105" t="e">
        <f t="shared" si="20"/>
        <v>#REF!</v>
      </c>
      <c r="J93" s="105" t="e">
        <f>VLOOKUP($A93,#REF!,42,FALSE)</f>
        <v>#REF!</v>
      </c>
      <c r="K93" s="105" t="e">
        <f t="shared" si="21"/>
        <v>#REF!</v>
      </c>
      <c r="L93" s="164" t="e">
        <f t="shared" si="19"/>
        <v>#REF!</v>
      </c>
      <c r="M93" s="105" t="e">
        <f t="shared" si="22"/>
        <v>#REF!</v>
      </c>
      <c r="N93" s="105" t="e">
        <f>VLOOKUP($A93,#REF!,46,FALSE)</f>
        <v>#REF!</v>
      </c>
      <c r="O93" s="106" t="e">
        <f>VLOOKUP($A93,#REF!,9,FALSE)</f>
        <v>#REF!</v>
      </c>
      <c r="P93" s="114" t="e">
        <f>#REF!</f>
        <v>#REF!</v>
      </c>
      <c r="Q93" s="114" t="e">
        <f>VLOOKUP(A93,#REF!,17,FALSE)</f>
        <v>#REF!</v>
      </c>
      <c r="R93" s="120" t="e">
        <f>#REF!</f>
        <v>#REF!</v>
      </c>
      <c r="S93" s="114" t="e">
        <f>IF(Q93=0,#REF!,ROUND(Q93*R93,4))</f>
        <v>#REF!</v>
      </c>
      <c r="T93" s="105" t="e">
        <f>VLOOKUP($A93,#REF!,15,FALSE)</f>
        <v>#REF!</v>
      </c>
      <c r="U93" s="105" t="e">
        <f>VLOOKUP($A93,#REF!,19,FALSE)</f>
        <v>#REF!</v>
      </c>
      <c r="V93" s="109" t="e">
        <f t="shared" si="23"/>
        <v>#REF!</v>
      </c>
      <c r="W93" s="121" t="e">
        <f t="shared" si="24"/>
        <v>#REF!</v>
      </c>
      <c r="X93" s="105" t="e">
        <f t="shared" si="25"/>
        <v>#REF!</v>
      </c>
      <c r="Y93" s="109" t="e">
        <f t="shared" si="26"/>
        <v>#REF!</v>
      </c>
      <c r="Z93" s="109" t="e">
        <f t="shared" si="27"/>
        <v>#REF!</v>
      </c>
      <c r="AA93" s="113" t="e">
        <f t="shared" si="28"/>
        <v>#REF!</v>
      </c>
      <c r="AB93" s="109" t="e">
        <f t="shared" si="29"/>
        <v>#REF!</v>
      </c>
      <c r="AC93" s="113" t="e">
        <f t="shared" si="30"/>
        <v>#REF!</v>
      </c>
      <c r="AD93" s="105" t="e">
        <f t="shared" si="31"/>
        <v>#REF!</v>
      </c>
      <c r="AE93" s="105" t="e">
        <f t="shared" si="32"/>
        <v>#REF!</v>
      </c>
      <c r="AF93" s="105" t="e">
        <f t="shared" si="33"/>
        <v>#REF!</v>
      </c>
      <c r="AG93" s="105" t="e">
        <f t="shared" si="34"/>
        <v>#REF!</v>
      </c>
      <c r="AH93" s="111" t="e">
        <f>VLOOKUP($A93,#REF!,5,FALSE)</f>
        <v>#REF!</v>
      </c>
      <c r="AI93" s="111" t="e">
        <f>VLOOKUP($A93,#REF!,6,FALSE)</f>
        <v>#REF!</v>
      </c>
      <c r="AJ93" s="109" t="e">
        <f t="shared" si="35"/>
        <v>#REF!</v>
      </c>
      <c r="AK93" s="109" t="e">
        <f t="shared" si="36"/>
        <v>#REF!</v>
      </c>
      <c r="AL93" s="109"/>
      <c r="AM93" s="110"/>
      <c r="AN93" s="110"/>
      <c r="AO93" s="110"/>
      <c r="AP93" s="110"/>
      <c r="AQ93" s="112"/>
      <c r="AR93" s="112"/>
      <c r="AS93" s="110"/>
      <c r="AT93" s="105"/>
      <c r="AU93" s="105"/>
      <c r="AV93" s="105"/>
      <c r="AW93" s="105"/>
      <c r="AX93" s="105"/>
      <c r="AY93" s="105"/>
    </row>
    <row r="94" spans="1:51" x14ac:dyDescent="0.15">
      <c r="A94" s="115">
        <v>727</v>
      </c>
      <c r="B94" s="98" t="e">
        <f>VLOOKUP($A94,#REF!,101,FALSE)</f>
        <v>#REF!</v>
      </c>
      <c r="C94" s="98" t="e">
        <f>VLOOKUP($A94,#REF!,102,FALSE)</f>
        <v>#REF!</v>
      </c>
      <c r="D94" s="104" t="e">
        <f>VLOOKUP($A94,#REF!,5,FALSE)</f>
        <v>#REF!</v>
      </c>
      <c r="E94" s="104" t="e">
        <f>VLOOKUP($A94,#REF!,6,FALSE)</f>
        <v>#REF!</v>
      </c>
      <c r="F94" s="105" t="e">
        <f>VLOOKUP($A94,#REF!,34,FALSE)</f>
        <v>#REF!</v>
      </c>
      <c r="G94" s="105" t="e">
        <f>VLOOKUP($A94,#REF!,29,FALSE)</f>
        <v>#REF!</v>
      </c>
      <c r="H94" s="105" t="e">
        <f>VLOOKUP($A94,#REF!,35,FALSE)+VLOOKUP($A94,#REF!,97,FALSE)</f>
        <v>#REF!</v>
      </c>
      <c r="I94" s="105" t="e">
        <f t="shared" si="20"/>
        <v>#REF!</v>
      </c>
      <c r="J94" s="105" t="e">
        <f>VLOOKUP($A94,#REF!,42,FALSE)</f>
        <v>#REF!</v>
      </c>
      <c r="K94" s="105" t="e">
        <f t="shared" si="21"/>
        <v>#REF!</v>
      </c>
      <c r="L94" s="164" t="e">
        <f t="shared" si="19"/>
        <v>#REF!</v>
      </c>
      <c r="M94" s="105" t="e">
        <f t="shared" si="22"/>
        <v>#REF!</v>
      </c>
      <c r="N94" s="105" t="e">
        <f>VLOOKUP($A94,#REF!,46,FALSE)</f>
        <v>#REF!</v>
      </c>
      <c r="O94" s="106" t="e">
        <f>VLOOKUP($A94,#REF!,9,FALSE)</f>
        <v>#REF!</v>
      </c>
      <c r="P94" s="114" t="e">
        <f>#REF!</f>
        <v>#REF!</v>
      </c>
      <c r="Q94" s="114" t="e">
        <f>VLOOKUP(A94,#REF!,17,FALSE)</f>
        <v>#REF!</v>
      </c>
      <c r="R94" s="120" t="e">
        <f>#REF!</f>
        <v>#REF!</v>
      </c>
      <c r="S94" s="114" t="e">
        <f>IF(Q94=0,#REF!,ROUND(Q94*R94,4))</f>
        <v>#REF!</v>
      </c>
      <c r="T94" s="105" t="e">
        <f>VLOOKUP($A94,#REF!,15,FALSE)</f>
        <v>#REF!</v>
      </c>
      <c r="U94" s="105" t="e">
        <f>VLOOKUP($A94,#REF!,19,FALSE)</f>
        <v>#REF!</v>
      </c>
      <c r="V94" s="109" t="e">
        <f t="shared" si="23"/>
        <v>#REF!</v>
      </c>
      <c r="W94" s="121" t="e">
        <f t="shared" si="24"/>
        <v>#REF!</v>
      </c>
      <c r="X94" s="105" t="e">
        <f t="shared" si="25"/>
        <v>#REF!</v>
      </c>
      <c r="Y94" s="109" t="e">
        <f t="shared" si="26"/>
        <v>#REF!</v>
      </c>
      <c r="Z94" s="109" t="e">
        <f t="shared" si="27"/>
        <v>#REF!</v>
      </c>
      <c r="AA94" s="113" t="e">
        <f t="shared" si="28"/>
        <v>#REF!</v>
      </c>
      <c r="AB94" s="109" t="e">
        <f t="shared" si="29"/>
        <v>#REF!</v>
      </c>
      <c r="AC94" s="113" t="e">
        <f t="shared" si="30"/>
        <v>#REF!</v>
      </c>
      <c r="AD94" s="105" t="e">
        <f t="shared" si="31"/>
        <v>#REF!</v>
      </c>
      <c r="AE94" s="105" t="e">
        <f t="shared" si="32"/>
        <v>#REF!</v>
      </c>
      <c r="AF94" s="105" t="e">
        <f t="shared" si="33"/>
        <v>#REF!</v>
      </c>
      <c r="AG94" s="105" t="e">
        <f t="shared" si="34"/>
        <v>#REF!</v>
      </c>
      <c r="AH94" s="111" t="e">
        <f>VLOOKUP($A94,#REF!,5,FALSE)</f>
        <v>#REF!</v>
      </c>
      <c r="AI94" s="111" t="e">
        <f>VLOOKUP($A94,#REF!,6,FALSE)</f>
        <v>#REF!</v>
      </c>
      <c r="AJ94" s="109" t="e">
        <f t="shared" si="35"/>
        <v>#REF!</v>
      </c>
      <c r="AK94" s="109" t="e">
        <f t="shared" si="36"/>
        <v>#REF!</v>
      </c>
      <c r="AL94" s="109"/>
      <c r="AM94" s="110"/>
      <c r="AN94" s="110"/>
      <c r="AO94" s="110"/>
      <c r="AP94" s="110"/>
      <c r="AQ94" s="112"/>
      <c r="AR94" s="112"/>
      <c r="AS94" s="110"/>
      <c r="AT94" s="105"/>
      <c r="AU94" s="105"/>
      <c r="AV94" s="105"/>
      <c r="AW94" s="105"/>
      <c r="AX94" s="105"/>
      <c r="AY94" s="105"/>
    </row>
    <row r="95" spans="1:51" x14ac:dyDescent="0.15">
      <c r="A95" s="115">
        <v>164</v>
      </c>
      <c r="B95" s="98" t="e">
        <f>VLOOKUP($A95,#REF!,101,FALSE)</f>
        <v>#REF!</v>
      </c>
      <c r="C95" s="98" t="e">
        <f>VLOOKUP($A95,#REF!,102,FALSE)</f>
        <v>#REF!</v>
      </c>
      <c r="D95" s="104" t="e">
        <f>VLOOKUP($A95,#REF!,5,FALSE)</f>
        <v>#REF!</v>
      </c>
      <c r="E95" s="104" t="e">
        <f>VLOOKUP($A95,#REF!,6,FALSE)</f>
        <v>#REF!</v>
      </c>
      <c r="F95" s="105" t="e">
        <f>VLOOKUP($A95,#REF!,34,FALSE)</f>
        <v>#REF!</v>
      </c>
      <c r="G95" s="105" t="e">
        <f>VLOOKUP($A95,#REF!,29,FALSE)</f>
        <v>#REF!</v>
      </c>
      <c r="H95" s="105" t="e">
        <f>VLOOKUP($A95,#REF!,35,FALSE)+VLOOKUP($A95,#REF!,97,FALSE)</f>
        <v>#REF!</v>
      </c>
      <c r="I95" s="105" t="e">
        <f t="shared" si="20"/>
        <v>#REF!</v>
      </c>
      <c r="J95" s="105" t="e">
        <f>VLOOKUP($A95,#REF!,42,FALSE)</f>
        <v>#REF!</v>
      </c>
      <c r="K95" s="105" t="e">
        <f t="shared" si="21"/>
        <v>#REF!</v>
      </c>
      <c r="L95" s="164" t="e">
        <f t="shared" si="19"/>
        <v>#REF!</v>
      </c>
      <c r="M95" s="105" t="e">
        <f t="shared" si="22"/>
        <v>#REF!</v>
      </c>
      <c r="N95" s="105" t="e">
        <f>VLOOKUP($A95,#REF!,46,FALSE)</f>
        <v>#REF!</v>
      </c>
      <c r="O95" s="106" t="e">
        <f>VLOOKUP($A95,#REF!,9,FALSE)</f>
        <v>#REF!</v>
      </c>
      <c r="P95" s="114" t="e">
        <f>#REF!</f>
        <v>#REF!</v>
      </c>
      <c r="Q95" s="114" t="e">
        <f>VLOOKUP(A95,#REF!,17,FALSE)</f>
        <v>#REF!</v>
      </c>
      <c r="R95" s="120" t="e">
        <f>#REF!</f>
        <v>#REF!</v>
      </c>
      <c r="S95" s="114" t="e">
        <f>IF(Q95=0,#REF!,ROUND(Q95*R95,4))</f>
        <v>#REF!</v>
      </c>
      <c r="T95" s="105" t="e">
        <f>VLOOKUP($A95,#REF!,15,FALSE)</f>
        <v>#REF!</v>
      </c>
      <c r="U95" s="105" t="e">
        <f>VLOOKUP($A95,#REF!,19,FALSE)</f>
        <v>#REF!</v>
      </c>
      <c r="V95" s="109" t="e">
        <f t="shared" si="23"/>
        <v>#REF!</v>
      </c>
      <c r="W95" s="121" t="e">
        <f t="shared" si="24"/>
        <v>#REF!</v>
      </c>
      <c r="X95" s="105" t="e">
        <f t="shared" si="25"/>
        <v>#REF!</v>
      </c>
      <c r="Y95" s="109" t="e">
        <f t="shared" si="26"/>
        <v>#REF!</v>
      </c>
      <c r="Z95" s="109" t="e">
        <f t="shared" si="27"/>
        <v>#REF!</v>
      </c>
      <c r="AA95" s="113" t="e">
        <f t="shared" si="28"/>
        <v>#REF!</v>
      </c>
      <c r="AB95" s="109" t="e">
        <f t="shared" si="29"/>
        <v>#REF!</v>
      </c>
      <c r="AC95" s="113" t="e">
        <f t="shared" si="30"/>
        <v>#REF!</v>
      </c>
      <c r="AD95" s="105" t="e">
        <f t="shared" si="31"/>
        <v>#REF!</v>
      </c>
      <c r="AE95" s="105" t="e">
        <f t="shared" si="32"/>
        <v>#REF!</v>
      </c>
      <c r="AF95" s="105" t="e">
        <f t="shared" si="33"/>
        <v>#REF!</v>
      </c>
      <c r="AG95" s="105" t="e">
        <f t="shared" si="34"/>
        <v>#REF!</v>
      </c>
      <c r="AH95" s="111" t="e">
        <f>VLOOKUP($A95,#REF!,5,FALSE)</f>
        <v>#REF!</v>
      </c>
      <c r="AI95" s="111" t="e">
        <f>VLOOKUP($A95,#REF!,6,FALSE)</f>
        <v>#REF!</v>
      </c>
      <c r="AJ95" s="109" t="e">
        <f t="shared" si="35"/>
        <v>#REF!</v>
      </c>
      <c r="AK95" s="109" t="e">
        <f t="shared" si="36"/>
        <v>#REF!</v>
      </c>
      <c r="AL95" s="109"/>
      <c r="AM95" s="110"/>
      <c r="AN95" s="110"/>
      <c r="AO95" s="110"/>
      <c r="AP95" s="110"/>
      <c r="AQ95" s="112"/>
      <c r="AR95" s="112"/>
      <c r="AS95" s="110"/>
      <c r="AT95" s="105"/>
      <c r="AU95" s="105"/>
      <c r="AV95" s="105"/>
      <c r="AW95" s="105"/>
      <c r="AX95" s="105"/>
      <c r="AY95" s="105"/>
    </row>
    <row r="96" spans="1:51" x14ac:dyDescent="0.15">
      <c r="A96" s="115">
        <v>168</v>
      </c>
      <c r="B96" s="98" t="e">
        <f>VLOOKUP($A96,#REF!,101,FALSE)</f>
        <v>#REF!</v>
      </c>
      <c r="C96" s="98" t="e">
        <f>VLOOKUP($A96,#REF!,102,FALSE)</f>
        <v>#REF!</v>
      </c>
      <c r="D96" s="104" t="e">
        <f>VLOOKUP($A96,#REF!,5,FALSE)</f>
        <v>#REF!</v>
      </c>
      <c r="E96" s="104" t="e">
        <f>VLOOKUP($A96,#REF!,6,FALSE)</f>
        <v>#REF!</v>
      </c>
      <c r="F96" s="105" t="e">
        <f>VLOOKUP($A96,#REF!,34,FALSE)</f>
        <v>#REF!</v>
      </c>
      <c r="G96" s="105" t="e">
        <f>VLOOKUP($A96,#REF!,29,FALSE)</f>
        <v>#REF!</v>
      </c>
      <c r="H96" s="105" t="e">
        <f>VLOOKUP($A96,#REF!,35,FALSE)+VLOOKUP($A96,#REF!,97,FALSE)</f>
        <v>#REF!</v>
      </c>
      <c r="I96" s="105" t="e">
        <f t="shared" si="20"/>
        <v>#REF!</v>
      </c>
      <c r="J96" s="105" t="e">
        <f>VLOOKUP($A96,#REF!,42,FALSE)</f>
        <v>#REF!</v>
      </c>
      <c r="K96" s="105" t="e">
        <f t="shared" si="21"/>
        <v>#REF!</v>
      </c>
      <c r="L96" s="164" t="e">
        <f t="shared" si="19"/>
        <v>#REF!</v>
      </c>
      <c r="M96" s="105" t="e">
        <f t="shared" si="22"/>
        <v>#REF!</v>
      </c>
      <c r="N96" s="105" t="e">
        <f>VLOOKUP($A96,#REF!,46,FALSE)</f>
        <v>#REF!</v>
      </c>
      <c r="O96" s="106" t="e">
        <f>VLOOKUP($A96,#REF!,9,FALSE)</f>
        <v>#REF!</v>
      </c>
      <c r="P96" s="114" t="e">
        <f>#REF!</f>
        <v>#REF!</v>
      </c>
      <c r="Q96" s="114" t="e">
        <f>VLOOKUP(A96,#REF!,17,FALSE)</f>
        <v>#REF!</v>
      </c>
      <c r="R96" s="120" t="e">
        <f>#REF!</f>
        <v>#REF!</v>
      </c>
      <c r="S96" s="114" t="e">
        <f>IF(Q96=0,#REF!,ROUND(Q96*R96,4))</f>
        <v>#REF!</v>
      </c>
      <c r="T96" s="105" t="e">
        <f>VLOOKUP($A96,#REF!,15,FALSE)</f>
        <v>#REF!</v>
      </c>
      <c r="U96" s="105" t="e">
        <f>VLOOKUP($A96,#REF!,19,FALSE)</f>
        <v>#REF!</v>
      </c>
      <c r="V96" s="109" t="e">
        <f t="shared" si="23"/>
        <v>#REF!</v>
      </c>
      <c r="W96" s="121" t="e">
        <f t="shared" si="24"/>
        <v>#REF!</v>
      </c>
      <c r="X96" s="105" t="e">
        <f t="shared" si="25"/>
        <v>#REF!</v>
      </c>
      <c r="Y96" s="109" t="e">
        <f t="shared" si="26"/>
        <v>#REF!</v>
      </c>
      <c r="Z96" s="109" t="e">
        <f t="shared" si="27"/>
        <v>#REF!</v>
      </c>
      <c r="AA96" s="113" t="e">
        <f t="shared" si="28"/>
        <v>#REF!</v>
      </c>
      <c r="AB96" s="109" t="e">
        <f t="shared" si="29"/>
        <v>#REF!</v>
      </c>
      <c r="AC96" s="113" t="e">
        <f t="shared" si="30"/>
        <v>#REF!</v>
      </c>
      <c r="AD96" s="105" t="e">
        <f t="shared" si="31"/>
        <v>#REF!</v>
      </c>
      <c r="AE96" s="105" t="e">
        <f t="shared" si="32"/>
        <v>#REF!</v>
      </c>
      <c r="AF96" s="105" t="e">
        <f t="shared" si="33"/>
        <v>#REF!</v>
      </c>
      <c r="AG96" s="105" t="e">
        <f t="shared" si="34"/>
        <v>#REF!</v>
      </c>
      <c r="AH96" s="111" t="e">
        <f>VLOOKUP($A96,#REF!,5,FALSE)</f>
        <v>#REF!</v>
      </c>
      <c r="AI96" s="111" t="e">
        <f>VLOOKUP($A96,#REF!,6,FALSE)</f>
        <v>#REF!</v>
      </c>
      <c r="AJ96" s="109" t="e">
        <f t="shared" si="35"/>
        <v>#REF!</v>
      </c>
      <c r="AK96" s="109" t="e">
        <f t="shared" si="36"/>
        <v>#REF!</v>
      </c>
      <c r="AL96" s="109"/>
      <c r="AM96" s="110"/>
      <c r="AN96" s="110"/>
      <c r="AO96" s="110"/>
      <c r="AP96" s="110"/>
      <c r="AQ96" s="112"/>
      <c r="AR96" s="112"/>
      <c r="AS96" s="110"/>
      <c r="AT96" s="105"/>
      <c r="AU96" s="105"/>
      <c r="AV96" s="105"/>
      <c r="AW96" s="105"/>
      <c r="AX96" s="105"/>
      <c r="AY96" s="105"/>
    </row>
    <row r="97" spans="1:51" x14ac:dyDescent="0.15">
      <c r="A97" s="115">
        <v>62</v>
      </c>
      <c r="B97" s="98" t="e">
        <f>VLOOKUP($A97,#REF!,101,FALSE)</f>
        <v>#REF!</v>
      </c>
      <c r="C97" s="98" t="e">
        <f>VLOOKUP($A97,#REF!,102,FALSE)</f>
        <v>#REF!</v>
      </c>
      <c r="D97" s="104" t="e">
        <f>VLOOKUP($A97,#REF!,5,FALSE)</f>
        <v>#REF!</v>
      </c>
      <c r="E97" s="104" t="e">
        <f>VLOOKUP($A97,#REF!,6,FALSE)</f>
        <v>#REF!</v>
      </c>
      <c r="F97" s="105" t="e">
        <f>VLOOKUP($A97,#REF!,34,FALSE)</f>
        <v>#REF!</v>
      </c>
      <c r="G97" s="105" t="e">
        <f>VLOOKUP($A97,#REF!,29,FALSE)</f>
        <v>#REF!</v>
      </c>
      <c r="H97" s="105" t="e">
        <f>VLOOKUP($A97,#REF!,35,FALSE)+VLOOKUP($A97,#REF!,97,FALSE)</f>
        <v>#REF!</v>
      </c>
      <c r="I97" s="105" t="e">
        <f t="shared" si="20"/>
        <v>#REF!</v>
      </c>
      <c r="J97" s="105" t="e">
        <f>VLOOKUP($A97,#REF!,42,FALSE)</f>
        <v>#REF!</v>
      </c>
      <c r="K97" s="105" t="e">
        <f t="shared" si="21"/>
        <v>#REF!</v>
      </c>
      <c r="L97" s="164" t="e">
        <f t="shared" si="19"/>
        <v>#REF!</v>
      </c>
      <c r="M97" s="105" t="e">
        <f t="shared" si="22"/>
        <v>#REF!</v>
      </c>
      <c r="N97" s="105" t="e">
        <f>VLOOKUP($A97,#REF!,46,FALSE)</f>
        <v>#REF!</v>
      </c>
      <c r="O97" s="106" t="e">
        <f>VLOOKUP($A97,#REF!,9,FALSE)</f>
        <v>#REF!</v>
      </c>
      <c r="P97" s="114" t="e">
        <f>#REF!</f>
        <v>#REF!</v>
      </c>
      <c r="Q97" s="114" t="e">
        <f>VLOOKUP(A97,#REF!,17,FALSE)</f>
        <v>#REF!</v>
      </c>
      <c r="R97" s="120" t="e">
        <f>#REF!</f>
        <v>#REF!</v>
      </c>
      <c r="S97" s="114" t="e">
        <f>IF(Q97=0,#REF!,ROUND(Q97*R97,4))</f>
        <v>#REF!</v>
      </c>
      <c r="T97" s="105" t="e">
        <f>VLOOKUP($A97,#REF!,15,FALSE)</f>
        <v>#REF!</v>
      </c>
      <c r="U97" s="105" t="e">
        <f>VLOOKUP($A97,#REF!,19,FALSE)</f>
        <v>#REF!</v>
      </c>
      <c r="V97" s="109" t="e">
        <f t="shared" si="23"/>
        <v>#REF!</v>
      </c>
      <c r="W97" s="121" t="e">
        <f t="shared" si="24"/>
        <v>#REF!</v>
      </c>
      <c r="X97" s="105" t="e">
        <f t="shared" si="25"/>
        <v>#REF!</v>
      </c>
      <c r="Y97" s="109" t="e">
        <f t="shared" si="26"/>
        <v>#REF!</v>
      </c>
      <c r="Z97" s="109" t="e">
        <f t="shared" si="27"/>
        <v>#REF!</v>
      </c>
      <c r="AA97" s="113" t="e">
        <f t="shared" si="28"/>
        <v>#REF!</v>
      </c>
      <c r="AB97" s="109" t="e">
        <f t="shared" si="29"/>
        <v>#REF!</v>
      </c>
      <c r="AC97" s="113" t="e">
        <f t="shared" si="30"/>
        <v>#REF!</v>
      </c>
      <c r="AD97" s="105" t="e">
        <f t="shared" si="31"/>
        <v>#REF!</v>
      </c>
      <c r="AE97" s="105" t="e">
        <f t="shared" si="32"/>
        <v>#REF!</v>
      </c>
      <c r="AF97" s="105" t="e">
        <f t="shared" si="33"/>
        <v>#REF!</v>
      </c>
      <c r="AG97" s="105" t="e">
        <f t="shared" si="34"/>
        <v>#REF!</v>
      </c>
      <c r="AH97" s="111" t="e">
        <f>VLOOKUP($A97,#REF!,5,FALSE)</f>
        <v>#REF!</v>
      </c>
      <c r="AI97" s="111" t="e">
        <f>VLOOKUP($A97,#REF!,6,FALSE)</f>
        <v>#REF!</v>
      </c>
      <c r="AJ97" s="109" t="e">
        <f t="shared" si="35"/>
        <v>#REF!</v>
      </c>
      <c r="AK97" s="109" t="e">
        <f t="shared" si="36"/>
        <v>#REF!</v>
      </c>
      <c r="AL97" s="109"/>
      <c r="AM97" s="110"/>
      <c r="AN97" s="110"/>
      <c r="AO97" s="110"/>
      <c r="AP97" s="110"/>
      <c r="AQ97" s="112"/>
      <c r="AR97" s="112"/>
      <c r="AS97" s="110"/>
      <c r="AT97" s="105"/>
      <c r="AU97" s="105"/>
      <c r="AV97" s="105"/>
      <c r="AW97" s="105"/>
      <c r="AX97" s="105"/>
      <c r="AY97" s="105"/>
    </row>
    <row r="98" spans="1:51" x14ac:dyDescent="0.15">
      <c r="A98" s="115">
        <v>172</v>
      </c>
      <c r="B98" s="98" t="e">
        <f>VLOOKUP($A98,#REF!,101,FALSE)</f>
        <v>#REF!</v>
      </c>
      <c r="C98" s="98" t="e">
        <f>VLOOKUP($A98,#REF!,102,FALSE)</f>
        <v>#REF!</v>
      </c>
      <c r="D98" s="104" t="e">
        <f>VLOOKUP($A98,#REF!,5,FALSE)</f>
        <v>#REF!</v>
      </c>
      <c r="E98" s="104" t="e">
        <f>VLOOKUP($A98,#REF!,6,FALSE)</f>
        <v>#REF!</v>
      </c>
      <c r="F98" s="105" t="e">
        <f>VLOOKUP($A98,#REF!,34,FALSE)</f>
        <v>#REF!</v>
      </c>
      <c r="G98" s="105" t="e">
        <f>VLOOKUP($A98,#REF!,29,FALSE)</f>
        <v>#REF!</v>
      </c>
      <c r="H98" s="105" t="e">
        <f>VLOOKUP($A98,#REF!,35,FALSE)+VLOOKUP($A98,#REF!,97,FALSE)</f>
        <v>#REF!</v>
      </c>
      <c r="I98" s="105" t="e">
        <f t="shared" si="20"/>
        <v>#REF!</v>
      </c>
      <c r="J98" s="105" t="e">
        <f>VLOOKUP($A98,#REF!,42,FALSE)</f>
        <v>#REF!</v>
      </c>
      <c r="K98" s="105" t="e">
        <f t="shared" si="21"/>
        <v>#REF!</v>
      </c>
      <c r="L98" s="164" t="e">
        <f t="shared" si="19"/>
        <v>#REF!</v>
      </c>
      <c r="M98" s="105" t="e">
        <f t="shared" si="22"/>
        <v>#REF!</v>
      </c>
      <c r="N98" s="105" t="e">
        <f>VLOOKUP($A98,#REF!,46,FALSE)</f>
        <v>#REF!</v>
      </c>
      <c r="O98" s="106" t="e">
        <f>VLOOKUP($A98,#REF!,9,FALSE)</f>
        <v>#REF!</v>
      </c>
      <c r="P98" s="114" t="e">
        <f>#REF!</f>
        <v>#REF!</v>
      </c>
      <c r="Q98" s="114" t="e">
        <f>VLOOKUP(A98,#REF!,17,FALSE)</f>
        <v>#REF!</v>
      </c>
      <c r="R98" s="120" t="e">
        <f>#REF!</f>
        <v>#REF!</v>
      </c>
      <c r="S98" s="114" t="e">
        <f>IF(Q98=0,#REF!,ROUND(Q98*R98,4))</f>
        <v>#REF!</v>
      </c>
      <c r="T98" s="105" t="e">
        <f>VLOOKUP($A98,#REF!,15,FALSE)</f>
        <v>#REF!</v>
      </c>
      <c r="U98" s="105" t="e">
        <f>VLOOKUP($A98,#REF!,19,FALSE)</f>
        <v>#REF!</v>
      </c>
      <c r="V98" s="109" t="e">
        <f t="shared" si="23"/>
        <v>#REF!</v>
      </c>
      <c r="W98" s="121" t="e">
        <f t="shared" si="24"/>
        <v>#REF!</v>
      </c>
      <c r="X98" s="105" t="e">
        <f t="shared" si="25"/>
        <v>#REF!</v>
      </c>
      <c r="Y98" s="109" t="e">
        <f t="shared" si="26"/>
        <v>#REF!</v>
      </c>
      <c r="Z98" s="109" t="e">
        <f t="shared" si="27"/>
        <v>#REF!</v>
      </c>
      <c r="AA98" s="113" t="e">
        <f t="shared" si="28"/>
        <v>#REF!</v>
      </c>
      <c r="AB98" s="109" t="e">
        <f t="shared" si="29"/>
        <v>#REF!</v>
      </c>
      <c r="AC98" s="113" t="e">
        <f t="shared" si="30"/>
        <v>#REF!</v>
      </c>
      <c r="AD98" s="105" t="e">
        <f t="shared" si="31"/>
        <v>#REF!</v>
      </c>
      <c r="AE98" s="105" t="e">
        <f t="shared" si="32"/>
        <v>#REF!</v>
      </c>
      <c r="AF98" s="105" t="e">
        <f t="shared" si="33"/>
        <v>#REF!</v>
      </c>
      <c r="AG98" s="105" t="e">
        <f t="shared" si="34"/>
        <v>#REF!</v>
      </c>
      <c r="AH98" s="111" t="e">
        <f>VLOOKUP($A98,#REF!,5,FALSE)</f>
        <v>#REF!</v>
      </c>
      <c r="AI98" s="111" t="e">
        <f>VLOOKUP($A98,#REF!,6,FALSE)</f>
        <v>#REF!</v>
      </c>
      <c r="AJ98" s="109" t="e">
        <f t="shared" si="35"/>
        <v>#REF!</v>
      </c>
      <c r="AK98" s="109" t="e">
        <f t="shared" si="36"/>
        <v>#REF!</v>
      </c>
      <c r="AL98" s="109"/>
      <c r="AM98" s="110"/>
      <c r="AN98" s="110"/>
      <c r="AO98" s="110"/>
      <c r="AP98" s="110"/>
      <c r="AQ98" s="112"/>
      <c r="AR98" s="112"/>
      <c r="AS98" s="110"/>
      <c r="AT98" s="105"/>
      <c r="AU98" s="105"/>
      <c r="AV98" s="105"/>
      <c r="AW98" s="105"/>
      <c r="AX98" s="105"/>
      <c r="AY98" s="105"/>
    </row>
    <row r="99" spans="1:51" x14ac:dyDescent="0.15">
      <c r="A99" s="115">
        <v>174</v>
      </c>
      <c r="B99" s="98" t="e">
        <f>VLOOKUP($A99,#REF!,101,FALSE)</f>
        <v>#REF!</v>
      </c>
      <c r="C99" s="98" t="e">
        <f>VLOOKUP($A99,#REF!,102,FALSE)</f>
        <v>#REF!</v>
      </c>
      <c r="D99" s="104" t="e">
        <f>VLOOKUP($A99,#REF!,5,FALSE)</f>
        <v>#REF!</v>
      </c>
      <c r="E99" s="104" t="e">
        <f>VLOOKUP($A99,#REF!,6,FALSE)</f>
        <v>#REF!</v>
      </c>
      <c r="F99" s="105" t="e">
        <f>VLOOKUP($A99,#REF!,34,FALSE)</f>
        <v>#REF!</v>
      </c>
      <c r="G99" s="105" t="e">
        <f>VLOOKUP($A99,#REF!,29,FALSE)</f>
        <v>#REF!</v>
      </c>
      <c r="H99" s="105" t="e">
        <f>VLOOKUP($A99,#REF!,35,FALSE)+VLOOKUP($A99,#REF!,97,FALSE)</f>
        <v>#REF!</v>
      </c>
      <c r="I99" s="105" t="e">
        <f t="shared" si="20"/>
        <v>#REF!</v>
      </c>
      <c r="J99" s="105" t="e">
        <f>VLOOKUP($A99,#REF!,42,FALSE)</f>
        <v>#REF!</v>
      </c>
      <c r="K99" s="105" t="e">
        <f t="shared" si="21"/>
        <v>#REF!</v>
      </c>
      <c r="L99" s="164" t="e">
        <f t="shared" si="19"/>
        <v>#REF!</v>
      </c>
      <c r="M99" s="105" t="e">
        <f t="shared" si="22"/>
        <v>#REF!</v>
      </c>
      <c r="N99" s="105" t="e">
        <f>VLOOKUP($A99,#REF!,46,FALSE)</f>
        <v>#REF!</v>
      </c>
      <c r="O99" s="106" t="e">
        <f>VLOOKUP($A99,#REF!,9,FALSE)</f>
        <v>#REF!</v>
      </c>
      <c r="P99" s="114" t="e">
        <f>#REF!</f>
        <v>#REF!</v>
      </c>
      <c r="Q99" s="114" t="e">
        <f>VLOOKUP(A99,#REF!,17,FALSE)</f>
        <v>#REF!</v>
      </c>
      <c r="R99" s="120" t="e">
        <f>#REF!</f>
        <v>#REF!</v>
      </c>
      <c r="S99" s="114" t="e">
        <f>IF(Q99=0,#REF!,ROUND(Q99*R99,4))</f>
        <v>#REF!</v>
      </c>
      <c r="T99" s="105" t="e">
        <f>VLOOKUP($A99,#REF!,15,FALSE)</f>
        <v>#REF!</v>
      </c>
      <c r="U99" s="105" t="e">
        <f>VLOOKUP($A99,#REF!,19,FALSE)</f>
        <v>#REF!</v>
      </c>
      <c r="V99" s="109" t="e">
        <f t="shared" si="23"/>
        <v>#REF!</v>
      </c>
      <c r="W99" s="121" t="e">
        <f t="shared" si="24"/>
        <v>#REF!</v>
      </c>
      <c r="X99" s="105" t="e">
        <f t="shared" si="25"/>
        <v>#REF!</v>
      </c>
      <c r="Y99" s="109" t="e">
        <f t="shared" si="26"/>
        <v>#REF!</v>
      </c>
      <c r="Z99" s="109" t="e">
        <f t="shared" si="27"/>
        <v>#REF!</v>
      </c>
      <c r="AA99" s="113" t="e">
        <f t="shared" si="28"/>
        <v>#REF!</v>
      </c>
      <c r="AB99" s="109" t="e">
        <f t="shared" si="29"/>
        <v>#REF!</v>
      </c>
      <c r="AC99" s="113" t="e">
        <f t="shared" si="30"/>
        <v>#REF!</v>
      </c>
      <c r="AD99" s="105" t="e">
        <f t="shared" si="31"/>
        <v>#REF!</v>
      </c>
      <c r="AE99" s="105" t="e">
        <f t="shared" si="32"/>
        <v>#REF!</v>
      </c>
      <c r="AF99" s="105" t="e">
        <f t="shared" si="33"/>
        <v>#REF!</v>
      </c>
      <c r="AG99" s="105" t="e">
        <f t="shared" si="34"/>
        <v>#REF!</v>
      </c>
      <c r="AH99" s="111" t="e">
        <f>VLOOKUP($A99,#REF!,5,FALSE)</f>
        <v>#REF!</v>
      </c>
      <c r="AI99" s="111" t="e">
        <f>VLOOKUP($A99,#REF!,6,FALSE)</f>
        <v>#REF!</v>
      </c>
      <c r="AJ99" s="109" t="e">
        <f t="shared" si="35"/>
        <v>#REF!</v>
      </c>
      <c r="AK99" s="109" t="e">
        <f t="shared" si="36"/>
        <v>#REF!</v>
      </c>
      <c r="AL99" s="109"/>
      <c r="AM99" s="110"/>
      <c r="AN99" s="110"/>
      <c r="AO99" s="110"/>
      <c r="AP99" s="110"/>
      <c r="AQ99" s="112"/>
      <c r="AR99" s="112"/>
      <c r="AS99" s="110"/>
      <c r="AT99" s="105"/>
      <c r="AU99" s="105"/>
      <c r="AV99" s="105"/>
      <c r="AW99" s="105"/>
      <c r="AX99" s="105"/>
      <c r="AY99" s="105"/>
    </row>
    <row r="100" spans="1:51" x14ac:dyDescent="0.15">
      <c r="A100" s="115">
        <v>178</v>
      </c>
      <c r="B100" s="98" t="e">
        <f>VLOOKUP($A100,#REF!,101,FALSE)</f>
        <v>#REF!</v>
      </c>
      <c r="C100" s="98" t="e">
        <f>VLOOKUP($A100,#REF!,102,FALSE)</f>
        <v>#REF!</v>
      </c>
      <c r="D100" s="104" t="e">
        <f>VLOOKUP($A100,#REF!,5,FALSE)</f>
        <v>#REF!</v>
      </c>
      <c r="E100" s="104" t="e">
        <f>VLOOKUP($A100,#REF!,6,FALSE)</f>
        <v>#REF!</v>
      </c>
      <c r="F100" s="105" t="e">
        <f>VLOOKUP($A100,#REF!,34,FALSE)</f>
        <v>#REF!</v>
      </c>
      <c r="G100" s="105" t="e">
        <f>VLOOKUP($A100,#REF!,29,FALSE)</f>
        <v>#REF!</v>
      </c>
      <c r="H100" s="105" t="e">
        <f>VLOOKUP($A100,#REF!,35,FALSE)+VLOOKUP($A100,#REF!,97,FALSE)</f>
        <v>#REF!</v>
      </c>
      <c r="I100" s="105" t="e">
        <f t="shared" si="20"/>
        <v>#REF!</v>
      </c>
      <c r="J100" s="105" t="e">
        <f>VLOOKUP($A100,#REF!,42,FALSE)</f>
        <v>#REF!</v>
      </c>
      <c r="K100" s="105" t="e">
        <f t="shared" si="21"/>
        <v>#REF!</v>
      </c>
      <c r="L100" s="164" t="e">
        <f t="shared" si="19"/>
        <v>#REF!</v>
      </c>
      <c r="M100" s="105" t="e">
        <f t="shared" si="22"/>
        <v>#REF!</v>
      </c>
      <c r="N100" s="105" t="e">
        <f>VLOOKUP($A100,#REF!,46,FALSE)</f>
        <v>#REF!</v>
      </c>
      <c r="O100" s="106" t="e">
        <f>VLOOKUP($A100,#REF!,9,FALSE)</f>
        <v>#REF!</v>
      </c>
      <c r="P100" s="114" t="e">
        <f>#REF!</f>
        <v>#REF!</v>
      </c>
      <c r="Q100" s="114" t="e">
        <f>VLOOKUP(A100,#REF!,17,FALSE)</f>
        <v>#REF!</v>
      </c>
      <c r="R100" s="120" t="e">
        <f>#REF!</f>
        <v>#REF!</v>
      </c>
      <c r="S100" s="114" t="e">
        <f>IF(Q100=0,#REF!,ROUND(Q100*R100,4))</f>
        <v>#REF!</v>
      </c>
      <c r="T100" s="105" t="e">
        <f>VLOOKUP($A100,#REF!,15,FALSE)</f>
        <v>#REF!</v>
      </c>
      <c r="U100" s="105" t="e">
        <f>VLOOKUP($A100,#REF!,19,FALSE)</f>
        <v>#REF!</v>
      </c>
      <c r="V100" s="109" t="e">
        <f t="shared" si="23"/>
        <v>#REF!</v>
      </c>
      <c r="W100" s="121" t="e">
        <f t="shared" si="24"/>
        <v>#REF!</v>
      </c>
      <c r="X100" s="105" t="e">
        <f t="shared" si="25"/>
        <v>#REF!</v>
      </c>
      <c r="Y100" s="109" t="e">
        <f t="shared" si="26"/>
        <v>#REF!</v>
      </c>
      <c r="Z100" s="109" t="e">
        <f t="shared" si="27"/>
        <v>#REF!</v>
      </c>
      <c r="AA100" s="113" t="e">
        <f t="shared" si="28"/>
        <v>#REF!</v>
      </c>
      <c r="AB100" s="109" t="e">
        <f t="shared" si="29"/>
        <v>#REF!</v>
      </c>
      <c r="AC100" s="113" t="e">
        <f t="shared" si="30"/>
        <v>#REF!</v>
      </c>
      <c r="AD100" s="105" t="e">
        <f t="shared" si="31"/>
        <v>#REF!</v>
      </c>
      <c r="AE100" s="105" t="e">
        <f t="shared" si="32"/>
        <v>#REF!</v>
      </c>
      <c r="AF100" s="105" t="e">
        <f t="shared" si="33"/>
        <v>#REF!</v>
      </c>
      <c r="AG100" s="105" t="e">
        <f t="shared" si="34"/>
        <v>#REF!</v>
      </c>
      <c r="AH100" s="111" t="e">
        <f>VLOOKUP($A100,#REF!,5,FALSE)</f>
        <v>#REF!</v>
      </c>
      <c r="AI100" s="111" t="e">
        <f>VLOOKUP($A100,#REF!,6,FALSE)</f>
        <v>#REF!</v>
      </c>
      <c r="AJ100" s="109" t="e">
        <f t="shared" si="35"/>
        <v>#REF!</v>
      </c>
      <c r="AK100" s="109" t="e">
        <f t="shared" si="36"/>
        <v>#REF!</v>
      </c>
      <c r="AL100" s="109"/>
      <c r="AM100" s="110"/>
      <c r="AN100" s="110"/>
      <c r="AO100" s="110"/>
      <c r="AP100" s="110"/>
      <c r="AQ100" s="112"/>
      <c r="AR100" s="112"/>
      <c r="AS100" s="110"/>
      <c r="AT100" s="105"/>
      <c r="AU100" s="105"/>
      <c r="AV100" s="105"/>
      <c r="AW100" s="105"/>
      <c r="AX100" s="105"/>
      <c r="AY100" s="105"/>
    </row>
    <row r="101" spans="1:51" x14ac:dyDescent="0.15">
      <c r="A101" s="115">
        <v>1366</v>
      </c>
      <c r="B101" s="98" t="e">
        <f>VLOOKUP($A101,#REF!,101,FALSE)</f>
        <v>#REF!</v>
      </c>
      <c r="C101" s="98" t="e">
        <f>VLOOKUP($A101,#REF!,102,FALSE)</f>
        <v>#REF!</v>
      </c>
      <c r="D101" s="104" t="e">
        <f>VLOOKUP($A101,#REF!,5,FALSE)</f>
        <v>#REF!</v>
      </c>
      <c r="E101" s="104" t="e">
        <f>VLOOKUP($A101,#REF!,6,FALSE)</f>
        <v>#REF!</v>
      </c>
      <c r="F101" s="105" t="e">
        <f>VLOOKUP($A101,#REF!,34,FALSE)</f>
        <v>#REF!</v>
      </c>
      <c r="G101" s="105" t="e">
        <f>VLOOKUP($A101,#REF!,29,FALSE)</f>
        <v>#REF!</v>
      </c>
      <c r="H101" s="105" t="e">
        <f>VLOOKUP($A101,#REF!,35,FALSE)+VLOOKUP($A101,#REF!,97,FALSE)</f>
        <v>#REF!</v>
      </c>
      <c r="I101" s="105" t="e">
        <f t="shared" si="20"/>
        <v>#REF!</v>
      </c>
      <c r="J101" s="105" t="e">
        <f>VLOOKUP($A101,#REF!,42,FALSE)</f>
        <v>#REF!</v>
      </c>
      <c r="K101" s="105" t="e">
        <f t="shared" si="21"/>
        <v>#REF!</v>
      </c>
      <c r="L101" s="164" t="e">
        <f t="shared" si="19"/>
        <v>#REF!</v>
      </c>
      <c r="M101" s="105" t="e">
        <f t="shared" si="22"/>
        <v>#REF!</v>
      </c>
      <c r="N101" s="105" t="e">
        <f>VLOOKUP($A101,#REF!,46,FALSE)</f>
        <v>#REF!</v>
      </c>
      <c r="O101" s="106" t="e">
        <f>VLOOKUP($A101,#REF!,9,FALSE)</f>
        <v>#REF!</v>
      </c>
      <c r="P101" s="114" t="e">
        <f>#REF!</f>
        <v>#REF!</v>
      </c>
      <c r="Q101" s="114" t="e">
        <f>VLOOKUP(A101,#REF!,17,FALSE)</f>
        <v>#REF!</v>
      </c>
      <c r="R101" s="120" t="e">
        <f>#REF!</f>
        <v>#REF!</v>
      </c>
      <c r="S101" s="114" t="e">
        <f>IF(Q101=0,#REF!,ROUND(Q101*R101,4))</f>
        <v>#REF!</v>
      </c>
      <c r="T101" s="105" t="e">
        <f>VLOOKUP($A101,#REF!,15,FALSE)</f>
        <v>#REF!</v>
      </c>
      <c r="U101" s="105" t="e">
        <f>VLOOKUP($A101,#REF!,19,FALSE)</f>
        <v>#REF!</v>
      </c>
      <c r="V101" s="109" t="e">
        <f t="shared" si="23"/>
        <v>#REF!</v>
      </c>
      <c r="W101" s="121" t="e">
        <f t="shared" si="24"/>
        <v>#REF!</v>
      </c>
      <c r="X101" s="105" t="e">
        <f t="shared" si="25"/>
        <v>#REF!</v>
      </c>
      <c r="Y101" s="109" t="e">
        <f t="shared" si="26"/>
        <v>#REF!</v>
      </c>
      <c r="Z101" s="109" t="e">
        <f t="shared" si="27"/>
        <v>#REF!</v>
      </c>
      <c r="AA101" s="113" t="e">
        <f t="shared" si="28"/>
        <v>#REF!</v>
      </c>
      <c r="AB101" s="109" t="e">
        <f t="shared" si="29"/>
        <v>#REF!</v>
      </c>
      <c r="AC101" s="113" t="e">
        <f t="shared" si="30"/>
        <v>#REF!</v>
      </c>
      <c r="AD101" s="105" t="e">
        <f t="shared" si="31"/>
        <v>#REF!</v>
      </c>
      <c r="AE101" s="105" t="e">
        <f t="shared" si="32"/>
        <v>#REF!</v>
      </c>
      <c r="AF101" s="105" t="e">
        <f t="shared" si="33"/>
        <v>#REF!</v>
      </c>
      <c r="AG101" s="105" t="e">
        <f t="shared" si="34"/>
        <v>#REF!</v>
      </c>
      <c r="AH101" s="111" t="e">
        <f>VLOOKUP($A101,#REF!,5,FALSE)</f>
        <v>#REF!</v>
      </c>
      <c r="AI101" s="111" t="e">
        <f>VLOOKUP($A101,#REF!,6,FALSE)</f>
        <v>#REF!</v>
      </c>
      <c r="AJ101" s="109" t="e">
        <f t="shared" si="35"/>
        <v>#REF!</v>
      </c>
      <c r="AK101" s="109" t="e">
        <f t="shared" si="36"/>
        <v>#REF!</v>
      </c>
      <c r="AL101" s="109"/>
      <c r="AM101" s="110"/>
      <c r="AN101" s="110"/>
      <c r="AO101" s="110"/>
      <c r="AP101" s="110"/>
      <c r="AQ101" s="112"/>
      <c r="AR101" s="112"/>
      <c r="AS101" s="110"/>
      <c r="AT101" s="105"/>
      <c r="AU101" s="105"/>
      <c r="AV101" s="105"/>
      <c r="AW101" s="105"/>
      <c r="AX101" s="105"/>
      <c r="AY101" s="105"/>
    </row>
    <row r="102" spans="1:51" x14ac:dyDescent="0.15">
      <c r="A102" s="115">
        <v>723</v>
      </c>
      <c r="B102" s="98" t="e">
        <f>VLOOKUP($A102,#REF!,101,FALSE)</f>
        <v>#REF!</v>
      </c>
      <c r="C102" s="98" t="e">
        <f>VLOOKUP($A102,#REF!,102,FALSE)</f>
        <v>#REF!</v>
      </c>
      <c r="D102" s="104" t="e">
        <f>VLOOKUP($A102,#REF!,5,FALSE)</f>
        <v>#REF!</v>
      </c>
      <c r="E102" s="104" t="e">
        <f>VLOOKUP($A102,#REF!,6,FALSE)</f>
        <v>#REF!</v>
      </c>
      <c r="F102" s="105" t="e">
        <f>VLOOKUP($A102,#REF!,34,FALSE)</f>
        <v>#REF!</v>
      </c>
      <c r="G102" s="105" t="e">
        <f>VLOOKUP($A102,#REF!,29,FALSE)</f>
        <v>#REF!</v>
      </c>
      <c r="H102" s="105" t="e">
        <f>VLOOKUP($A102,#REF!,35,FALSE)+VLOOKUP($A102,#REF!,97,FALSE)</f>
        <v>#REF!</v>
      </c>
      <c r="I102" s="105" t="e">
        <f t="shared" si="20"/>
        <v>#REF!</v>
      </c>
      <c r="J102" s="105" t="e">
        <f>VLOOKUP($A102,#REF!,42,FALSE)</f>
        <v>#REF!</v>
      </c>
      <c r="K102" s="105" t="e">
        <f t="shared" si="21"/>
        <v>#REF!</v>
      </c>
      <c r="L102" s="164" t="e">
        <f t="shared" si="19"/>
        <v>#REF!</v>
      </c>
      <c r="M102" s="105" t="e">
        <f t="shared" si="22"/>
        <v>#REF!</v>
      </c>
      <c r="N102" s="105" t="e">
        <f>VLOOKUP($A102,#REF!,46,FALSE)</f>
        <v>#REF!</v>
      </c>
      <c r="O102" s="106" t="e">
        <f>VLOOKUP($A102,#REF!,9,FALSE)</f>
        <v>#REF!</v>
      </c>
      <c r="P102" s="114" t="e">
        <f>#REF!</f>
        <v>#REF!</v>
      </c>
      <c r="Q102" s="114" t="e">
        <f>VLOOKUP(A102,#REF!,17,FALSE)</f>
        <v>#REF!</v>
      </c>
      <c r="R102" s="120" t="e">
        <f>#REF!</f>
        <v>#REF!</v>
      </c>
      <c r="S102" s="114" t="e">
        <f>IF(Q102=0,#REF!,ROUND(Q102*R102,4))</f>
        <v>#REF!</v>
      </c>
      <c r="T102" s="105" t="e">
        <f>VLOOKUP($A102,#REF!,15,FALSE)</f>
        <v>#REF!</v>
      </c>
      <c r="U102" s="105" t="e">
        <f>VLOOKUP($A102,#REF!,19,FALSE)</f>
        <v>#REF!</v>
      </c>
      <c r="V102" s="109" t="e">
        <f t="shared" si="23"/>
        <v>#REF!</v>
      </c>
      <c r="W102" s="121" t="e">
        <f t="shared" si="24"/>
        <v>#REF!</v>
      </c>
      <c r="X102" s="105" t="e">
        <f t="shared" si="25"/>
        <v>#REF!</v>
      </c>
      <c r="Y102" s="109" t="e">
        <f t="shared" si="26"/>
        <v>#REF!</v>
      </c>
      <c r="Z102" s="109" t="e">
        <f t="shared" si="27"/>
        <v>#REF!</v>
      </c>
      <c r="AA102" s="113" t="e">
        <f t="shared" si="28"/>
        <v>#REF!</v>
      </c>
      <c r="AB102" s="109" t="e">
        <f t="shared" si="29"/>
        <v>#REF!</v>
      </c>
      <c r="AC102" s="113" t="e">
        <f t="shared" si="30"/>
        <v>#REF!</v>
      </c>
      <c r="AD102" s="105" t="e">
        <f t="shared" si="31"/>
        <v>#REF!</v>
      </c>
      <c r="AE102" s="105" t="e">
        <f t="shared" si="32"/>
        <v>#REF!</v>
      </c>
      <c r="AF102" s="105" t="e">
        <f t="shared" si="33"/>
        <v>#REF!</v>
      </c>
      <c r="AG102" s="105" t="e">
        <f t="shared" si="34"/>
        <v>#REF!</v>
      </c>
      <c r="AH102" s="111" t="e">
        <f>VLOOKUP($A102,#REF!,5,FALSE)</f>
        <v>#REF!</v>
      </c>
      <c r="AI102" s="111" t="e">
        <f>VLOOKUP($A102,#REF!,6,FALSE)</f>
        <v>#REF!</v>
      </c>
      <c r="AJ102" s="109" t="e">
        <f t="shared" si="35"/>
        <v>#REF!</v>
      </c>
      <c r="AK102" s="109" t="e">
        <f t="shared" si="36"/>
        <v>#REF!</v>
      </c>
      <c r="AL102" s="109"/>
      <c r="AM102" s="110"/>
      <c r="AN102" s="110"/>
      <c r="AO102" s="110"/>
      <c r="AP102" s="110"/>
      <c r="AQ102" s="112"/>
      <c r="AR102" s="112"/>
      <c r="AS102" s="110"/>
      <c r="AT102" s="105"/>
      <c r="AU102" s="105"/>
      <c r="AV102" s="105"/>
      <c r="AW102" s="105"/>
      <c r="AX102" s="105"/>
      <c r="AY102" s="105"/>
    </row>
    <row r="103" spans="1:51" x14ac:dyDescent="0.15">
      <c r="A103" s="115">
        <v>182</v>
      </c>
      <c r="B103" s="98" t="e">
        <f>VLOOKUP($A103,#REF!,101,FALSE)</f>
        <v>#REF!</v>
      </c>
      <c r="C103" s="98" t="e">
        <f>VLOOKUP($A103,#REF!,102,FALSE)</f>
        <v>#REF!</v>
      </c>
      <c r="D103" s="104" t="e">
        <f>VLOOKUP($A103,#REF!,5,FALSE)</f>
        <v>#REF!</v>
      </c>
      <c r="E103" s="104" t="e">
        <f>VLOOKUP($A103,#REF!,6,FALSE)</f>
        <v>#REF!</v>
      </c>
      <c r="F103" s="105" t="e">
        <f>VLOOKUP($A103,#REF!,34,FALSE)</f>
        <v>#REF!</v>
      </c>
      <c r="G103" s="105" t="e">
        <f>VLOOKUP($A103,#REF!,29,FALSE)</f>
        <v>#REF!</v>
      </c>
      <c r="H103" s="105" t="e">
        <f>VLOOKUP($A103,#REF!,35,FALSE)+VLOOKUP($A103,#REF!,97,FALSE)</f>
        <v>#REF!</v>
      </c>
      <c r="I103" s="105" t="e">
        <f t="shared" si="20"/>
        <v>#REF!</v>
      </c>
      <c r="J103" s="105" t="e">
        <f>VLOOKUP($A103,#REF!,42,FALSE)</f>
        <v>#REF!</v>
      </c>
      <c r="K103" s="105" t="e">
        <f t="shared" si="21"/>
        <v>#REF!</v>
      </c>
      <c r="L103" s="164" t="e">
        <f t="shared" si="19"/>
        <v>#REF!</v>
      </c>
      <c r="M103" s="105" t="e">
        <f t="shared" si="22"/>
        <v>#REF!</v>
      </c>
      <c r="N103" s="105" t="e">
        <f>VLOOKUP($A103,#REF!,46,FALSE)</f>
        <v>#REF!</v>
      </c>
      <c r="O103" s="106" t="e">
        <f>VLOOKUP($A103,#REF!,9,FALSE)</f>
        <v>#REF!</v>
      </c>
      <c r="P103" s="114" t="e">
        <f>#REF!</f>
        <v>#REF!</v>
      </c>
      <c r="Q103" s="114" t="e">
        <f>VLOOKUP(A103,#REF!,17,FALSE)</f>
        <v>#REF!</v>
      </c>
      <c r="R103" s="120" t="e">
        <f>#REF!</f>
        <v>#REF!</v>
      </c>
      <c r="S103" s="114" t="e">
        <f>IF(Q103=0,#REF!,ROUND(Q103*R103,4))</f>
        <v>#REF!</v>
      </c>
      <c r="T103" s="105" t="e">
        <f>VLOOKUP($A103,#REF!,15,FALSE)</f>
        <v>#REF!</v>
      </c>
      <c r="U103" s="105" t="e">
        <f>VLOOKUP($A103,#REF!,19,FALSE)</f>
        <v>#REF!</v>
      </c>
      <c r="V103" s="109" t="e">
        <f t="shared" si="23"/>
        <v>#REF!</v>
      </c>
      <c r="W103" s="121" t="e">
        <f t="shared" si="24"/>
        <v>#REF!</v>
      </c>
      <c r="X103" s="105" t="e">
        <f t="shared" si="25"/>
        <v>#REF!</v>
      </c>
      <c r="Y103" s="109" t="e">
        <f t="shared" si="26"/>
        <v>#REF!</v>
      </c>
      <c r="Z103" s="109" t="e">
        <f t="shared" si="27"/>
        <v>#REF!</v>
      </c>
      <c r="AA103" s="113" t="e">
        <f t="shared" si="28"/>
        <v>#REF!</v>
      </c>
      <c r="AB103" s="109" t="e">
        <f t="shared" si="29"/>
        <v>#REF!</v>
      </c>
      <c r="AC103" s="113" t="e">
        <f t="shared" si="30"/>
        <v>#REF!</v>
      </c>
      <c r="AD103" s="105" t="e">
        <f t="shared" si="31"/>
        <v>#REF!</v>
      </c>
      <c r="AE103" s="105" t="e">
        <f t="shared" si="32"/>
        <v>#REF!</v>
      </c>
      <c r="AF103" s="105" t="e">
        <f t="shared" si="33"/>
        <v>#REF!</v>
      </c>
      <c r="AG103" s="105" t="e">
        <f t="shared" si="34"/>
        <v>#REF!</v>
      </c>
      <c r="AH103" s="111" t="e">
        <f>VLOOKUP($A103,#REF!,5,FALSE)</f>
        <v>#REF!</v>
      </c>
      <c r="AI103" s="111" t="e">
        <f>VLOOKUP($A103,#REF!,6,FALSE)</f>
        <v>#REF!</v>
      </c>
      <c r="AJ103" s="109" t="e">
        <f t="shared" si="35"/>
        <v>#REF!</v>
      </c>
      <c r="AK103" s="109" t="e">
        <f t="shared" si="36"/>
        <v>#REF!</v>
      </c>
      <c r="AL103" s="109"/>
      <c r="AM103" s="110"/>
      <c r="AN103" s="110"/>
      <c r="AO103" s="110"/>
      <c r="AP103" s="110"/>
      <c r="AQ103" s="112"/>
      <c r="AR103" s="112"/>
      <c r="AS103" s="110"/>
      <c r="AT103" s="105"/>
      <c r="AU103" s="105"/>
      <c r="AV103" s="105"/>
      <c r="AW103" s="105"/>
      <c r="AX103" s="105"/>
      <c r="AY103" s="105"/>
    </row>
    <row r="104" spans="1:51" x14ac:dyDescent="0.15">
      <c r="A104" s="115">
        <v>184</v>
      </c>
      <c r="B104" s="98" t="e">
        <f>VLOOKUP($A104,#REF!,101,FALSE)</f>
        <v>#REF!</v>
      </c>
      <c r="C104" s="98" t="e">
        <f>VLOOKUP($A104,#REF!,102,FALSE)</f>
        <v>#REF!</v>
      </c>
      <c r="D104" s="104" t="e">
        <f>VLOOKUP($A104,#REF!,5,FALSE)</f>
        <v>#REF!</v>
      </c>
      <c r="E104" s="104" t="e">
        <f>VLOOKUP($A104,#REF!,6,FALSE)</f>
        <v>#REF!</v>
      </c>
      <c r="F104" s="105" t="e">
        <f>VLOOKUP($A104,#REF!,34,FALSE)</f>
        <v>#REF!</v>
      </c>
      <c r="G104" s="105" t="e">
        <f>VLOOKUP($A104,#REF!,29,FALSE)</f>
        <v>#REF!</v>
      </c>
      <c r="H104" s="105" t="e">
        <f>VLOOKUP($A104,#REF!,35,FALSE)+VLOOKUP($A104,#REF!,97,FALSE)</f>
        <v>#REF!</v>
      </c>
      <c r="I104" s="105" t="e">
        <f t="shared" si="20"/>
        <v>#REF!</v>
      </c>
      <c r="J104" s="105" t="e">
        <f>VLOOKUP($A104,#REF!,42,FALSE)</f>
        <v>#REF!</v>
      </c>
      <c r="K104" s="105" t="e">
        <f t="shared" si="21"/>
        <v>#REF!</v>
      </c>
      <c r="L104" s="164" t="e">
        <f t="shared" si="19"/>
        <v>#REF!</v>
      </c>
      <c r="M104" s="105" t="e">
        <f t="shared" si="22"/>
        <v>#REF!</v>
      </c>
      <c r="N104" s="105" t="e">
        <f>VLOOKUP($A104,#REF!,46,FALSE)</f>
        <v>#REF!</v>
      </c>
      <c r="O104" s="106" t="e">
        <f>VLOOKUP($A104,#REF!,9,FALSE)</f>
        <v>#REF!</v>
      </c>
      <c r="P104" s="114" t="e">
        <f>#REF!</f>
        <v>#REF!</v>
      </c>
      <c r="Q104" s="114" t="e">
        <f>VLOOKUP(A104,#REF!,17,FALSE)</f>
        <v>#REF!</v>
      </c>
      <c r="R104" s="120" t="e">
        <f>#REF!</f>
        <v>#REF!</v>
      </c>
      <c r="S104" s="114" t="e">
        <f>IF(Q104=0,#REF!,ROUND(Q104*R104,4))</f>
        <v>#REF!</v>
      </c>
      <c r="T104" s="105" t="e">
        <f>VLOOKUP($A104,#REF!,15,FALSE)</f>
        <v>#REF!</v>
      </c>
      <c r="U104" s="105" t="e">
        <f>VLOOKUP($A104,#REF!,19,FALSE)</f>
        <v>#REF!</v>
      </c>
      <c r="V104" s="109" t="e">
        <f t="shared" si="23"/>
        <v>#REF!</v>
      </c>
      <c r="W104" s="121" t="e">
        <f t="shared" si="24"/>
        <v>#REF!</v>
      </c>
      <c r="X104" s="105" t="e">
        <f t="shared" si="25"/>
        <v>#REF!</v>
      </c>
      <c r="Y104" s="109" t="e">
        <f t="shared" si="26"/>
        <v>#REF!</v>
      </c>
      <c r="Z104" s="109" t="e">
        <f t="shared" si="27"/>
        <v>#REF!</v>
      </c>
      <c r="AA104" s="113" t="e">
        <f t="shared" si="28"/>
        <v>#REF!</v>
      </c>
      <c r="AB104" s="109" t="e">
        <f t="shared" si="29"/>
        <v>#REF!</v>
      </c>
      <c r="AC104" s="113" t="e">
        <f t="shared" si="30"/>
        <v>#REF!</v>
      </c>
      <c r="AD104" s="105" t="e">
        <f t="shared" si="31"/>
        <v>#REF!</v>
      </c>
      <c r="AE104" s="105" t="e">
        <f t="shared" si="32"/>
        <v>#REF!</v>
      </c>
      <c r="AF104" s="105" t="e">
        <f t="shared" si="33"/>
        <v>#REF!</v>
      </c>
      <c r="AG104" s="105" t="e">
        <f t="shared" si="34"/>
        <v>#REF!</v>
      </c>
      <c r="AH104" s="111" t="e">
        <f>VLOOKUP($A104,#REF!,5,FALSE)</f>
        <v>#REF!</v>
      </c>
      <c r="AI104" s="111" t="e">
        <f>VLOOKUP($A104,#REF!,6,FALSE)</f>
        <v>#REF!</v>
      </c>
      <c r="AJ104" s="109" t="e">
        <f t="shared" si="35"/>
        <v>#REF!</v>
      </c>
      <c r="AK104" s="109" t="e">
        <f t="shared" si="36"/>
        <v>#REF!</v>
      </c>
      <c r="AL104" s="109"/>
      <c r="AM104" s="110"/>
      <c r="AN104" s="110"/>
      <c r="AO104" s="110"/>
      <c r="AP104" s="110"/>
      <c r="AQ104" s="112"/>
      <c r="AR104" s="112"/>
      <c r="AS104" s="110"/>
      <c r="AT104" s="105"/>
      <c r="AU104" s="105"/>
      <c r="AV104" s="105"/>
      <c r="AW104" s="105"/>
      <c r="AX104" s="105"/>
      <c r="AY104" s="105"/>
    </row>
    <row r="105" spans="1:51" x14ac:dyDescent="0.15">
      <c r="A105" s="115">
        <v>220</v>
      </c>
      <c r="B105" s="98" t="e">
        <f>VLOOKUP($A105,#REF!,101,FALSE)</f>
        <v>#REF!</v>
      </c>
      <c r="C105" s="98" t="e">
        <f>VLOOKUP($A105,#REF!,102,FALSE)</f>
        <v>#REF!</v>
      </c>
      <c r="D105" s="104" t="e">
        <f>VLOOKUP($A105,#REF!,5,FALSE)</f>
        <v>#REF!</v>
      </c>
      <c r="E105" s="104" t="e">
        <f>VLOOKUP($A105,#REF!,6,FALSE)</f>
        <v>#REF!</v>
      </c>
      <c r="F105" s="105" t="e">
        <f>VLOOKUP($A105,#REF!,34,FALSE)</f>
        <v>#REF!</v>
      </c>
      <c r="G105" s="105" t="e">
        <f>VLOOKUP($A105,#REF!,29,FALSE)</f>
        <v>#REF!</v>
      </c>
      <c r="H105" s="105" t="e">
        <f>VLOOKUP($A105,#REF!,35,FALSE)+VLOOKUP($A105,#REF!,97,FALSE)</f>
        <v>#REF!</v>
      </c>
      <c r="I105" s="105" t="e">
        <f t="shared" si="20"/>
        <v>#REF!</v>
      </c>
      <c r="J105" s="105" t="e">
        <f>VLOOKUP($A105,#REF!,42,FALSE)</f>
        <v>#REF!</v>
      </c>
      <c r="K105" s="105" t="e">
        <f t="shared" si="21"/>
        <v>#REF!</v>
      </c>
      <c r="L105" s="164" t="e">
        <f t="shared" si="19"/>
        <v>#REF!</v>
      </c>
      <c r="M105" s="105" t="e">
        <f t="shared" si="22"/>
        <v>#REF!</v>
      </c>
      <c r="N105" s="105" t="e">
        <f>VLOOKUP($A105,#REF!,46,FALSE)</f>
        <v>#REF!</v>
      </c>
      <c r="O105" s="106" t="e">
        <f>VLOOKUP($A105,#REF!,9,FALSE)</f>
        <v>#REF!</v>
      </c>
      <c r="P105" s="114" t="e">
        <f>#REF!</f>
        <v>#REF!</v>
      </c>
      <c r="Q105" s="114" t="e">
        <f>VLOOKUP(A105,#REF!,17,FALSE)</f>
        <v>#REF!</v>
      </c>
      <c r="R105" s="120" t="e">
        <f>#REF!</f>
        <v>#REF!</v>
      </c>
      <c r="S105" s="114" t="e">
        <f>IF(Q105=0,#REF!,ROUND(Q105*R105,4))</f>
        <v>#REF!</v>
      </c>
      <c r="T105" s="105" t="e">
        <f>VLOOKUP($A105,#REF!,15,FALSE)</f>
        <v>#REF!</v>
      </c>
      <c r="U105" s="105" t="e">
        <f>VLOOKUP($A105,#REF!,19,FALSE)</f>
        <v>#REF!</v>
      </c>
      <c r="V105" s="109" t="e">
        <f t="shared" si="23"/>
        <v>#REF!</v>
      </c>
      <c r="W105" s="121" t="e">
        <f t="shared" si="24"/>
        <v>#REF!</v>
      </c>
      <c r="X105" s="105" t="e">
        <f t="shared" si="25"/>
        <v>#REF!</v>
      </c>
      <c r="Y105" s="109" t="e">
        <f t="shared" si="26"/>
        <v>#REF!</v>
      </c>
      <c r="Z105" s="109" t="e">
        <f t="shared" si="27"/>
        <v>#REF!</v>
      </c>
      <c r="AA105" s="113" t="e">
        <f t="shared" si="28"/>
        <v>#REF!</v>
      </c>
      <c r="AB105" s="109" t="e">
        <f t="shared" si="29"/>
        <v>#REF!</v>
      </c>
      <c r="AC105" s="113" t="e">
        <f t="shared" si="30"/>
        <v>#REF!</v>
      </c>
      <c r="AD105" s="105" t="e">
        <f t="shared" si="31"/>
        <v>#REF!</v>
      </c>
      <c r="AE105" s="105" t="e">
        <f t="shared" si="32"/>
        <v>#REF!</v>
      </c>
      <c r="AF105" s="105" t="e">
        <f t="shared" si="33"/>
        <v>#REF!</v>
      </c>
      <c r="AG105" s="105" t="e">
        <f t="shared" si="34"/>
        <v>#REF!</v>
      </c>
      <c r="AH105" s="111" t="e">
        <f>VLOOKUP($A105,#REF!,5,FALSE)</f>
        <v>#REF!</v>
      </c>
      <c r="AI105" s="111" t="e">
        <f>VLOOKUP($A105,#REF!,6,FALSE)</f>
        <v>#REF!</v>
      </c>
      <c r="AJ105" s="109" t="e">
        <f t="shared" si="35"/>
        <v>#REF!</v>
      </c>
      <c r="AK105" s="109" t="e">
        <f t="shared" si="36"/>
        <v>#REF!</v>
      </c>
      <c r="AL105" s="109"/>
      <c r="AM105" s="110"/>
      <c r="AN105" s="110"/>
      <c r="AO105" s="110"/>
      <c r="AP105" s="110"/>
      <c r="AQ105" s="112"/>
      <c r="AR105" s="112"/>
      <c r="AS105" s="110"/>
      <c r="AT105" s="105"/>
      <c r="AU105" s="105"/>
      <c r="AV105" s="105"/>
      <c r="AW105" s="105"/>
      <c r="AX105" s="105"/>
      <c r="AY105" s="105"/>
    </row>
    <row r="106" spans="1:51" x14ac:dyDescent="0.15">
      <c r="A106" s="115">
        <v>250</v>
      </c>
      <c r="B106" s="98" t="e">
        <f>VLOOKUP($A106,#REF!,101,FALSE)</f>
        <v>#REF!</v>
      </c>
      <c r="C106" s="98" t="e">
        <f>VLOOKUP($A106,#REF!,102,FALSE)</f>
        <v>#REF!</v>
      </c>
      <c r="D106" s="104" t="e">
        <f>VLOOKUP($A106,#REF!,5,FALSE)</f>
        <v>#REF!</v>
      </c>
      <c r="E106" s="104" t="e">
        <f>VLOOKUP($A106,#REF!,6,FALSE)</f>
        <v>#REF!</v>
      </c>
      <c r="F106" s="105" t="e">
        <f>VLOOKUP($A106,#REF!,34,FALSE)</f>
        <v>#REF!</v>
      </c>
      <c r="G106" s="105" t="e">
        <f>VLOOKUP($A106,#REF!,29,FALSE)</f>
        <v>#REF!</v>
      </c>
      <c r="H106" s="105" t="e">
        <f>VLOOKUP($A106,#REF!,35,FALSE)+VLOOKUP($A106,#REF!,97,FALSE)</f>
        <v>#REF!</v>
      </c>
      <c r="I106" s="105" t="e">
        <f t="shared" si="20"/>
        <v>#REF!</v>
      </c>
      <c r="J106" s="105" t="e">
        <f>VLOOKUP($A106,#REF!,42,FALSE)</f>
        <v>#REF!</v>
      </c>
      <c r="K106" s="105" t="e">
        <f t="shared" si="21"/>
        <v>#REF!</v>
      </c>
      <c r="L106" s="164" t="e">
        <f t="shared" si="19"/>
        <v>#REF!</v>
      </c>
      <c r="M106" s="105" t="e">
        <f t="shared" si="22"/>
        <v>#REF!</v>
      </c>
      <c r="N106" s="105" t="e">
        <f>VLOOKUP($A106,#REF!,46,FALSE)</f>
        <v>#REF!</v>
      </c>
      <c r="O106" s="106" t="e">
        <f>VLOOKUP($A106,#REF!,9,FALSE)</f>
        <v>#REF!</v>
      </c>
      <c r="P106" s="114" t="e">
        <f>#REF!</f>
        <v>#REF!</v>
      </c>
      <c r="Q106" s="114" t="e">
        <f>VLOOKUP(A106,#REF!,17,FALSE)</f>
        <v>#REF!</v>
      </c>
      <c r="R106" s="120" t="e">
        <f>#REF!</f>
        <v>#REF!</v>
      </c>
      <c r="S106" s="114" t="e">
        <f>IF(Q106=0,#REF!,ROUND(Q106*R106,4))</f>
        <v>#REF!</v>
      </c>
      <c r="T106" s="105" t="e">
        <f>VLOOKUP($A106,#REF!,15,FALSE)</f>
        <v>#REF!</v>
      </c>
      <c r="U106" s="105" t="e">
        <f>VLOOKUP($A106,#REF!,19,FALSE)</f>
        <v>#REF!</v>
      </c>
      <c r="V106" s="109" t="e">
        <f t="shared" si="23"/>
        <v>#REF!</v>
      </c>
      <c r="W106" s="121" t="e">
        <f t="shared" si="24"/>
        <v>#REF!</v>
      </c>
      <c r="X106" s="105" t="e">
        <f t="shared" si="25"/>
        <v>#REF!</v>
      </c>
      <c r="Y106" s="109" t="e">
        <f t="shared" si="26"/>
        <v>#REF!</v>
      </c>
      <c r="Z106" s="109" t="e">
        <f t="shared" si="27"/>
        <v>#REF!</v>
      </c>
      <c r="AA106" s="113" t="e">
        <f t="shared" si="28"/>
        <v>#REF!</v>
      </c>
      <c r="AB106" s="109" t="e">
        <f t="shared" si="29"/>
        <v>#REF!</v>
      </c>
      <c r="AC106" s="113" t="e">
        <f t="shared" si="30"/>
        <v>#REF!</v>
      </c>
      <c r="AD106" s="105" t="e">
        <f t="shared" si="31"/>
        <v>#REF!</v>
      </c>
      <c r="AE106" s="105" t="e">
        <f t="shared" si="32"/>
        <v>#REF!</v>
      </c>
      <c r="AF106" s="105" t="e">
        <f t="shared" si="33"/>
        <v>#REF!</v>
      </c>
      <c r="AG106" s="105" t="e">
        <f t="shared" si="34"/>
        <v>#REF!</v>
      </c>
      <c r="AH106" s="111" t="e">
        <f>VLOOKUP($A106,#REF!,5,FALSE)</f>
        <v>#REF!</v>
      </c>
      <c r="AI106" s="111" t="e">
        <f>VLOOKUP($A106,#REF!,6,FALSE)</f>
        <v>#REF!</v>
      </c>
      <c r="AJ106" s="109" t="e">
        <f t="shared" si="35"/>
        <v>#REF!</v>
      </c>
      <c r="AK106" s="109" t="e">
        <f t="shared" si="36"/>
        <v>#REF!</v>
      </c>
      <c r="AL106" s="109"/>
      <c r="AM106" s="110"/>
      <c r="AN106" s="110"/>
      <c r="AO106" s="110"/>
      <c r="AP106" s="110"/>
      <c r="AQ106" s="112"/>
      <c r="AR106" s="112"/>
      <c r="AS106" s="110"/>
      <c r="AT106" s="105"/>
      <c r="AU106" s="105"/>
      <c r="AV106" s="105"/>
      <c r="AW106" s="105"/>
      <c r="AX106" s="105"/>
      <c r="AY106" s="105"/>
    </row>
    <row r="107" spans="1:51" x14ac:dyDescent="0.15">
      <c r="A107" s="115">
        <v>186</v>
      </c>
      <c r="B107" s="98" t="e">
        <f>VLOOKUP($A107,#REF!,101,FALSE)</f>
        <v>#REF!</v>
      </c>
      <c r="C107" s="98" t="e">
        <f>VLOOKUP($A107,#REF!,102,FALSE)</f>
        <v>#REF!</v>
      </c>
      <c r="D107" s="104" t="e">
        <f>VLOOKUP($A107,#REF!,5,FALSE)</f>
        <v>#REF!</v>
      </c>
      <c r="E107" s="104" t="e">
        <f>VLOOKUP($A107,#REF!,6,FALSE)</f>
        <v>#REF!</v>
      </c>
      <c r="F107" s="105" t="e">
        <f>VLOOKUP($A107,#REF!,34,FALSE)</f>
        <v>#REF!</v>
      </c>
      <c r="G107" s="105" t="e">
        <f>VLOOKUP($A107,#REF!,29,FALSE)</f>
        <v>#REF!</v>
      </c>
      <c r="H107" s="105" t="e">
        <f>VLOOKUP($A107,#REF!,35,FALSE)+VLOOKUP($A107,#REF!,97,FALSE)</f>
        <v>#REF!</v>
      </c>
      <c r="I107" s="105" t="e">
        <f t="shared" si="20"/>
        <v>#REF!</v>
      </c>
      <c r="J107" s="105" t="e">
        <f>VLOOKUP($A107,#REF!,42,FALSE)</f>
        <v>#REF!</v>
      </c>
      <c r="K107" s="105" t="e">
        <f t="shared" si="21"/>
        <v>#REF!</v>
      </c>
      <c r="L107" s="164" t="e">
        <f t="shared" si="19"/>
        <v>#REF!</v>
      </c>
      <c r="M107" s="105" t="e">
        <f t="shared" si="22"/>
        <v>#REF!</v>
      </c>
      <c r="N107" s="105" t="e">
        <f>VLOOKUP($A107,#REF!,46,FALSE)</f>
        <v>#REF!</v>
      </c>
      <c r="O107" s="106" t="e">
        <f>VLOOKUP($A107,#REF!,9,FALSE)</f>
        <v>#REF!</v>
      </c>
      <c r="P107" s="114" t="e">
        <f>#REF!</f>
        <v>#REF!</v>
      </c>
      <c r="Q107" s="114" t="e">
        <f>VLOOKUP(A107,#REF!,17,FALSE)</f>
        <v>#REF!</v>
      </c>
      <c r="R107" s="120" t="e">
        <f>#REF!</f>
        <v>#REF!</v>
      </c>
      <c r="S107" s="114" t="e">
        <f>IF(Q107=0,#REF!,ROUND(Q107*R107,4))</f>
        <v>#REF!</v>
      </c>
      <c r="T107" s="105" t="e">
        <f>VLOOKUP($A107,#REF!,15,FALSE)</f>
        <v>#REF!</v>
      </c>
      <c r="U107" s="105" t="e">
        <f>VLOOKUP($A107,#REF!,19,FALSE)</f>
        <v>#REF!</v>
      </c>
      <c r="V107" s="109" t="e">
        <f t="shared" si="23"/>
        <v>#REF!</v>
      </c>
      <c r="W107" s="121" t="e">
        <f t="shared" si="24"/>
        <v>#REF!</v>
      </c>
      <c r="X107" s="105" t="e">
        <f t="shared" si="25"/>
        <v>#REF!</v>
      </c>
      <c r="Y107" s="109" t="e">
        <f t="shared" si="26"/>
        <v>#REF!</v>
      </c>
      <c r="Z107" s="109" t="e">
        <f t="shared" si="27"/>
        <v>#REF!</v>
      </c>
      <c r="AA107" s="113" t="e">
        <f t="shared" si="28"/>
        <v>#REF!</v>
      </c>
      <c r="AB107" s="109" t="e">
        <f t="shared" si="29"/>
        <v>#REF!</v>
      </c>
      <c r="AC107" s="113" t="e">
        <f t="shared" si="30"/>
        <v>#REF!</v>
      </c>
      <c r="AD107" s="105" t="e">
        <f t="shared" si="31"/>
        <v>#REF!</v>
      </c>
      <c r="AE107" s="105" t="e">
        <f t="shared" si="32"/>
        <v>#REF!</v>
      </c>
      <c r="AF107" s="105" t="e">
        <f t="shared" si="33"/>
        <v>#REF!</v>
      </c>
      <c r="AG107" s="105" t="e">
        <f t="shared" si="34"/>
        <v>#REF!</v>
      </c>
      <c r="AH107" s="111" t="e">
        <f>VLOOKUP($A107,#REF!,5,FALSE)</f>
        <v>#REF!</v>
      </c>
      <c r="AI107" s="111" t="e">
        <f>VLOOKUP($A107,#REF!,6,FALSE)</f>
        <v>#REF!</v>
      </c>
      <c r="AJ107" s="109" t="e">
        <f t="shared" si="35"/>
        <v>#REF!</v>
      </c>
      <c r="AK107" s="109" t="e">
        <f t="shared" si="36"/>
        <v>#REF!</v>
      </c>
      <c r="AL107" s="109"/>
      <c r="AM107" s="110"/>
      <c r="AN107" s="110"/>
      <c r="AO107" s="110"/>
      <c r="AP107" s="110"/>
      <c r="AQ107" s="112"/>
      <c r="AR107" s="112"/>
      <c r="AS107" s="110"/>
      <c r="AT107" s="105"/>
      <c r="AU107" s="105"/>
      <c r="AV107" s="105"/>
      <c r="AW107" s="105"/>
      <c r="AX107" s="105"/>
      <c r="AY107" s="105"/>
    </row>
    <row r="108" spans="1:51" x14ac:dyDescent="0.15">
      <c r="A108" s="115">
        <v>713</v>
      </c>
      <c r="B108" s="98" t="e">
        <f>VLOOKUP($A108,#REF!,101,FALSE)</f>
        <v>#REF!</v>
      </c>
      <c r="C108" s="98" t="e">
        <f>VLOOKUP($A108,#REF!,102,FALSE)</f>
        <v>#REF!</v>
      </c>
      <c r="D108" s="104" t="e">
        <f>VLOOKUP($A108,#REF!,5,FALSE)</f>
        <v>#REF!</v>
      </c>
      <c r="E108" s="104" t="e">
        <f>VLOOKUP($A108,#REF!,6,FALSE)</f>
        <v>#REF!</v>
      </c>
      <c r="F108" s="105" t="e">
        <f>VLOOKUP($A108,#REF!,34,FALSE)</f>
        <v>#REF!</v>
      </c>
      <c r="G108" s="105" t="e">
        <f>VLOOKUP($A108,#REF!,29,FALSE)</f>
        <v>#REF!</v>
      </c>
      <c r="H108" s="105" t="e">
        <f>VLOOKUP($A108,#REF!,35,FALSE)+VLOOKUP($A108,#REF!,97,FALSE)</f>
        <v>#REF!</v>
      </c>
      <c r="I108" s="105" t="e">
        <f t="shared" si="20"/>
        <v>#REF!</v>
      </c>
      <c r="J108" s="105" t="e">
        <f>VLOOKUP($A108,#REF!,42,FALSE)</f>
        <v>#REF!</v>
      </c>
      <c r="K108" s="105" t="e">
        <f t="shared" si="21"/>
        <v>#REF!</v>
      </c>
      <c r="L108" s="164" t="e">
        <f t="shared" si="19"/>
        <v>#REF!</v>
      </c>
      <c r="M108" s="105" t="e">
        <f t="shared" si="22"/>
        <v>#REF!</v>
      </c>
      <c r="N108" s="105" t="e">
        <f>VLOOKUP($A108,#REF!,46,FALSE)</f>
        <v>#REF!</v>
      </c>
      <c r="O108" s="106" t="e">
        <f>VLOOKUP($A108,#REF!,9,FALSE)</f>
        <v>#REF!</v>
      </c>
      <c r="P108" s="114" t="e">
        <f>#REF!</f>
        <v>#REF!</v>
      </c>
      <c r="Q108" s="114" t="e">
        <f>VLOOKUP(A108,#REF!,17,FALSE)</f>
        <v>#REF!</v>
      </c>
      <c r="R108" s="120" t="e">
        <f>#REF!</f>
        <v>#REF!</v>
      </c>
      <c r="S108" s="114" t="e">
        <f>IF(Q108=0,#REF!,ROUND(Q108*R108,4))</f>
        <v>#REF!</v>
      </c>
      <c r="T108" s="105" t="e">
        <f>VLOOKUP($A108,#REF!,15,FALSE)</f>
        <v>#REF!</v>
      </c>
      <c r="U108" s="105" t="e">
        <f>VLOOKUP($A108,#REF!,19,FALSE)</f>
        <v>#REF!</v>
      </c>
      <c r="V108" s="109" t="e">
        <f t="shared" si="23"/>
        <v>#REF!</v>
      </c>
      <c r="W108" s="121" t="e">
        <f t="shared" si="24"/>
        <v>#REF!</v>
      </c>
      <c r="X108" s="105" t="e">
        <f t="shared" si="25"/>
        <v>#REF!</v>
      </c>
      <c r="Y108" s="109" t="e">
        <f t="shared" si="26"/>
        <v>#REF!</v>
      </c>
      <c r="Z108" s="109" t="e">
        <f t="shared" si="27"/>
        <v>#REF!</v>
      </c>
      <c r="AA108" s="113" t="e">
        <f t="shared" si="28"/>
        <v>#REF!</v>
      </c>
      <c r="AB108" s="109" t="e">
        <f t="shared" si="29"/>
        <v>#REF!</v>
      </c>
      <c r="AC108" s="113" t="e">
        <f t="shared" si="30"/>
        <v>#REF!</v>
      </c>
      <c r="AD108" s="105" t="e">
        <f t="shared" si="31"/>
        <v>#REF!</v>
      </c>
      <c r="AE108" s="105" t="e">
        <f t="shared" si="32"/>
        <v>#REF!</v>
      </c>
      <c r="AF108" s="105" t="e">
        <f t="shared" si="33"/>
        <v>#REF!</v>
      </c>
      <c r="AG108" s="105" t="e">
        <f t="shared" si="34"/>
        <v>#REF!</v>
      </c>
      <c r="AH108" s="111" t="e">
        <f>VLOOKUP($A108,#REF!,5,FALSE)</f>
        <v>#REF!</v>
      </c>
      <c r="AI108" s="111" t="e">
        <f>VLOOKUP($A108,#REF!,6,FALSE)</f>
        <v>#REF!</v>
      </c>
      <c r="AJ108" s="109" t="e">
        <f t="shared" si="35"/>
        <v>#REF!</v>
      </c>
      <c r="AK108" s="109" t="e">
        <f t="shared" si="36"/>
        <v>#REF!</v>
      </c>
      <c r="AL108" s="109"/>
      <c r="AM108" s="110"/>
      <c r="AN108" s="110"/>
      <c r="AO108" s="110"/>
      <c r="AP108" s="110"/>
      <c r="AQ108" s="112"/>
      <c r="AR108" s="112"/>
      <c r="AS108" s="110"/>
      <c r="AT108" s="105"/>
      <c r="AU108" s="105"/>
      <c r="AV108" s="105"/>
      <c r="AW108" s="105"/>
      <c r="AX108" s="105"/>
      <c r="AY108" s="105"/>
    </row>
    <row r="109" spans="1:51" x14ac:dyDescent="0.15">
      <c r="A109" s="115">
        <v>717</v>
      </c>
      <c r="B109" s="98" t="e">
        <f>VLOOKUP($A109,#REF!,101,FALSE)</f>
        <v>#REF!</v>
      </c>
      <c r="C109" s="98" t="e">
        <f>VLOOKUP($A109,#REF!,102,FALSE)</f>
        <v>#REF!</v>
      </c>
      <c r="D109" s="104" t="e">
        <f>VLOOKUP($A109,#REF!,5,FALSE)</f>
        <v>#REF!</v>
      </c>
      <c r="E109" s="104" t="e">
        <f>VLOOKUP($A109,#REF!,6,FALSE)</f>
        <v>#REF!</v>
      </c>
      <c r="F109" s="105" t="e">
        <f>VLOOKUP($A109,#REF!,34,FALSE)</f>
        <v>#REF!</v>
      </c>
      <c r="G109" s="105" t="e">
        <f>VLOOKUP($A109,#REF!,29,FALSE)</f>
        <v>#REF!</v>
      </c>
      <c r="H109" s="105" t="e">
        <f>VLOOKUP($A109,#REF!,35,FALSE)+VLOOKUP($A109,#REF!,97,FALSE)</f>
        <v>#REF!</v>
      </c>
      <c r="I109" s="105" t="e">
        <f t="shared" si="20"/>
        <v>#REF!</v>
      </c>
      <c r="J109" s="105" t="e">
        <f>VLOOKUP($A109,#REF!,42,FALSE)</f>
        <v>#REF!</v>
      </c>
      <c r="K109" s="105" t="e">
        <f t="shared" si="21"/>
        <v>#REF!</v>
      </c>
      <c r="L109" s="164" t="e">
        <f t="shared" si="19"/>
        <v>#REF!</v>
      </c>
      <c r="M109" s="105" t="e">
        <f t="shared" si="22"/>
        <v>#REF!</v>
      </c>
      <c r="N109" s="105" t="e">
        <f>VLOOKUP($A109,#REF!,46,FALSE)</f>
        <v>#REF!</v>
      </c>
      <c r="O109" s="106" t="e">
        <f>VLOOKUP($A109,#REF!,9,FALSE)</f>
        <v>#REF!</v>
      </c>
      <c r="P109" s="114" t="e">
        <f>#REF!</f>
        <v>#REF!</v>
      </c>
      <c r="Q109" s="114" t="e">
        <f>VLOOKUP(A109,#REF!,17,FALSE)</f>
        <v>#REF!</v>
      </c>
      <c r="R109" s="120" t="e">
        <f>#REF!</f>
        <v>#REF!</v>
      </c>
      <c r="S109" s="114" t="e">
        <f>IF(Q109=0,#REF!,ROUND(Q109*R109,4))</f>
        <v>#REF!</v>
      </c>
      <c r="T109" s="105" t="e">
        <f>VLOOKUP($A109,#REF!,15,FALSE)</f>
        <v>#REF!</v>
      </c>
      <c r="U109" s="105" t="e">
        <f>VLOOKUP($A109,#REF!,19,FALSE)</f>
        <v>#REF!</v>
      </c>
      <c r="V109" s="109" t="e">
        <f t="shared" si="23"/>
        <v>#REF!</v>
      </c>
      <c r="W109" s="121" t="e">
        <f t="shared" si="24"/>
        <v>#REF!</v>
      </c>
      <c r="X109" s="105" t="e">
        <f t="shared" si="25"/>
        <v>#REF!</v>
      </c>
      <c r="Y109" s="109" t="e">
        <f t="shared" si="26"/>
        <v>#REF!</v>
      </c>
      <c r="Z109" s="109" t="e">
        <f t="shared" si="27"/>
        <v>#REF!</v>
      </c>
      <c r="AA109" s="113" t="e">
        <f t="shared" si="28"/>
        <v>#REF!</v>
      </c>
      <c r="AB109" s="109" t="e">
        <f t="shared" si="29"/>
        <v>#REF!</v>
      </c>
      <c r="AC109" s="113" t="e">
        <f t="shared" si="30"/>
        <v>#REF!</v>
      </c>
      <c r="AD109" s="105" t="e">
        <f t="shared" si="31"/>
        <v>#REF!</v>
      </c>
      <c r="AE109" s="105" t="e">
        <f t="shared" si="32"/>
        <v>#REF!</v>
      </c>
      <c r="AF109" s="105" t="e">
        <f t="shared" si="33"/>
        <v>#REF!</v>
      </c>
      <c r="AG109" s="105" t="e">
        <f t="shared" si="34"/>
        <v>#REF!</v>
      </c>
      <c r="AH109" s="111" t="e">
        <f>VLOOKUP($A109,#REF!,5,FALSE)</f>
        <v>#REF!</v>
      </c>
      <c r="AI109" s="111" t="e">
        <f>VLOOKUP($A109,#REF!,6,FALSE)</f>
        <v>#REF!</v>
      </c>
      <c r="AJ109" s="109" t="e">
        <f t="shared" si="35"/>
        <v>#REF!</v>
      </c>
      <c r="AK109" s="109" t="e">
        <f t="shared" si="36"/>
        <v>#REF!</v>
      </c>
      <c r="AL109" s="109"/>
      <c r="AM109" s="110"/>
      <c r="AN109" s="110"/>
      <c r="AO109" s="110"/>
      <c r="AP109" s="110"/>
      <c r="AQ109" s="112"/>
      <c r="AR109" s="112"/>
      <c r="AS109" s="110"/>
      <c r="AT109" s="105"/>
      <c r="AU109" s="105"/>
      <c r="AV109" s="105"/>
      <c r="AW109" s="105"/>
      <c r="AX109" s="105"/>
      <c r="AY109" s="105"/>
    </row>
    <row r="110" spans="1:51" x14ac:dyDescent="0.15">
      <c r="A110" s="115">
        <v>144</v>
      </c>
      <c r="B110" s="98" t="e">
        <f>VLOOKUP($A110,#REF!,101,FALSE)</f>
        <v>#REF!</v>
      </c>
      <c r="C110" s="98" t="e">
        <f>VLOOKUP($A110,#REF!,102,FALSE)</f>
        <v>#REF!</v>
      </c>
      <c r="D110" s="104" t="e">
        <f>VLOOKUP($A110,#REF!,5,FALSE)</f>
        <v>#REF!</v>
      </c>
      <c r="E110" s="104" t="e">
        <f>VLOOKUP($A110,#REF!,6,FALSE)</f>
        <v>#REF!</v>
      </c>
      <c r="F110" s="105" t="e">
        <f>VLOOKUP($A110,#REF!,34,FALSE)</f>
        <v>#REF!</v>
      </c>
      <c r="G110" s="105" t="e">
        <f>VLOOKUP($A110,#REF!,29,FALSE)</f>
        <v>#REF!</v>
      </c>
      <c r="H110" s="105" t="e">
        <f>VLOOKUP($A110,#REF!,35,FALSE)+VLOOKUP($A110,#REF!,97,FALSE)</f>
        <v>#REF!</v>
      </c>
      <c r="I110" s="105" t="e">
        <f t="shared" si="20"/>
        <v>#REF!</v>
      </c>
      <c r="J110" s="105" t="e">
        <f>VLOOKUP($A110,#REF!,42,FALSE)</f>
        <v>#REF!</v>
      </c>
      <c r="K110" s="105" t="e">
        <f t="shared" si="21"/>
        <v>#REF!</v>
      </c>
      <c r="L110" s="164" t="e">
        <f t="shared" si="19"/>
        <v>#REF!</v>
      </c>
      <c r="M110" s="105" t="e">
        <f t="shared" si="22"/>
        <v>#REF!</v>
      </c>
      <c r="N110" s="105" t="e">
        <f>VLOOKUP($A110,#REF!,46,FALSE)</f>
        <v>#REF!</v>
      </c>
      <c r="O110" s="106" t="e">
        <f>VLOOKUP($A110,#REF!,9,FALSE)</f>
        <v>#REF!</v>
      </c>
      <c r="P110" s="114" t="e">
        <f>#REF!</f>
        <v>#REF!</v>
      </c>
      <c r="Q110" s="114" t="e">
        <f>VLOOKUP(A110,#REF!,17,FALSE)</f>
        <v>#REF!</v>
      </c>
      <c r="R110" s="120" t="e">
        <f>#REF!</f>
        <v>#REF!</v>
      </c>
      <c r="S110" s="114" t="e">
        <f>IF(Q110=0,#REF!,ROUND(Q110*R110,4))</f>
        <v>#REF!</v>
      </c>
      <c r="T110" s="105" t="e">
        <f>VLOOKUP($A110,#REF!,15,FALSE)</f>
        <v>#REF!</v>
      </c>
      <c r="U110" s="105" t="e">
        <f>VLOOKUP($A110,#REF!,19,FALSE)</f>
        <v>#REF!</v>
      </c>
      <c r="V110" s="109" t="e">
        <f t="shared" si="23"/>
        <v>#REF!</v>
      </c>
      <c r="W110" s="121" t="e">
        <f t="shared" si="24"/>
        <v>#REF!</v>
      </c>
      <c r="X110" s="105" t="e">
        <f t="shared" si="25"/>
        <v>#REF!</v>
      </c>
      <c r="Y110" s="109" t="e">
        <f t="shared" si="26"/>
        <v>#REF!</v>
      </c>
      <c r="Z110" s="109" t="e">
        <f t="shared" si="27"/>
        <v>#REF!</v>
      </c>
      <c r="AA110" s="113" t="e">
        <f t="shared" si="28"/>
        <v>#REF!</v>
      </c>
      <c r="AB110" s="109" t="e">
        <f t="shared" si="29"/>
        <v>#REF!</v>
      </c>
      <c r="AC110" s="113" t="e">
        <f t="shared" si="30"/>
        <v>#REF!</v>
      </c>
      <c r="AD110" s="105" t="e">
        <f t="shared" si="31"/>
        <v>#REF!</v>
      </c>
      <c r="AE110" s="105" t="e">
        <f t="shared" si="32"/>
        <v>#REF!</v>
      </c>
      <c r="AF110" s="105" t="e">
        <f t="shared" si="33"/>
        <v>#REF!</v>
      </c>
      <c r="AG110" s="105" t="e">
        <f t="shared" si="34"/>
        <v>#REF!</v>
      </c>
      <c r="AH110" s="111" t="e">
        <f>VLOOKUP($A110,#REF!,5,FALSE)</f>
        <v>#REF!</v>
      </c>
      <c r="AI110" s="111" t="e">
        <f>VLOOKUP($A110,#REF!,6,FALSE)</f>
        <v>#REF!</v>
      </c>
      <c r="AJ110" s="109" t="e">
        <f t="shared" si="35"/>
        <v>#REF!</v>
      </c>
      <c r="AK110" s="109" t="e">
        <f t="shared" si="36"/>
        <v>#REF!</v>
      </c>
      <c r="AL110" s="109"/>
      <c r="AM110" s="110"/>
      <c r="AN110" s="110"/>
      <c r="AO110" s="110"/>
      <c r="AP110" s="110"/>
      <c r="AQ110" s="112"/>
      <c r="AR110" s="112"/>
      <c r="AS110" s="110"/>
      <c r="AT110" s="105"/>
      <c r="AU110" s="105"/>
      <c r="AV110" s="105"/>
      <c r="AW110" s="105"/>
      <c r="AX110" s="105"/>
      <c r="AY110" s="105"/>
    </row>
    <row r="111" spans="1:51" x14ac:dyDescent="0.15">
      <c r="A111" s="115">
        <v>190</v>
      </c>
      <c r="B111" s="98" t="e">
        <f>VLOOKUP($A111,#REF!,101,FALSE)</f>
        <v>#REF!</v>
      </c>
      <c r="C111" s="98" t="e">
        <f>VLOOKUP($A111,#REF!,102,FALSE)</f>
        <v>#REF!</v>
      </c>
      <c r="D111" s="104" t="e">
        <f>VLOOKUP($A111,#REF!,5,FALSE)</f>
        <v>#REF!</v>
      </c>
      <c r="E111" s="104" t="e">
        <f>VLOOKUP($A111,#REF!,6,FALSE)</f>
        <v>#REF!</v>
      </c>
      <c r="F111" s="105" t="e">
        <f>VLOOKUP($A111,#REF!,34,FALSE)</f>
        <v>#REF!</v>
      </c>
      <c r="G111" s="105" t="e">
        <f>VLOOKUP($A111,#REF!,29,FALSE)</f>
        <v>#REF!</v>
      </c>
      <c r="H111" s="105" t="e">
        <f>VLOOKUP($A111,#REF!,35,FALSE)+VLOOKUP($A111,#REF!,97,FALSE)</f>
        <v>#REF!</v>
      </c>
      <c r="I111" s="105" t="e">
        <f t="shared" si="20"/>
        <v>#REF!</v>
      </c>
      <c r="J111" s="105" t="e">
        <f>VLOOKUP($A111,#REF!,42,FALSE)</f>
        <v>#REF!</v>
      </c>
      <c r="K111" s="105" t="e">
        <f t="shared" si="21"/>
        <v>#REF!</v>
      </c>
      <c r="L111" s="164" t="e">
        <f t="shared" si="19"/>
        <v>#REF!</v>
      </c>
      <c r="M111" s="105" t="e">
        <f t="shared" si="22"/>
        <v>#REF!</v>
      </c>
      <c r="N111" s="105" t="e">
        <f>VLOOKUP($A111,#REF!,46,FALSE)</f>
        <v>#REF!</v>
      </c>
      <c r="O111" s="106" t="e">
        <f>VLOOKUP($A111,#REF!,9,FALSE)</f>
        <v>#REF!</v>
      </c>
      <c r="P111" s="114" t="e">
        <f>#REF!</f>
        <v>#REF!</v>
      </c>
      <c r="Q111" s="114" t="e">
        <f>VLOOKUP(A111,#REF!,17,FALSE)</f>
        <v>#REF!</v>
      </c>
      <c r="R111" s="120" t="e">
        <f>#REF!</f>
        <v>#REF!</v>
      </c>
      <c r="S111" s="114" t="e">
        <f>IF(Q111=0,#REF!,ROUND(Q111*R111,4))</f>
        <v>#REF!</v>
      </c>
      <c r="T111" s="105" t="e">
        <f>VLOOKUP($A111,#REF!,15,FALSE)</f>
        <v>#REF!</v>
      </c>
      <c r="U111" s="105" t="e">
        <f>VLOOKUP($A111,#REF!,19,FALSE)</f>
        <v>#REF!</v>
      </c>
      <c r="V111" s="109" t="e">
        <f t="shared" si="23"/>
        <v>#REF!</v>
      </c>
      <c r="W111" s="121" t="e">
        <f t="shared" si="24"/>
        <v>#REF!</v>
      </c>
      <c r="X111" s="105" t="e">
        <f t="shared" si="25"/>
        <v>#REF!</v>
      </c>
      <c r="Y111" s="109" t="e">
        <f t="shared" si="26"/>
        <v>#REF!</v>
      </c>
      <c r="Z111" s="109" t="e">
        <f t="shared" si="27"/>
        <v>#REF!</v>
      </c>
      <c r="AA111" s="113" t="e">
        <f t="shared" si="28"/>
        <v>#REF!</v>
      </c>
      <c r="AB111" s="109" t="e">
        <f t="shared" si="29"/>
        <v>#REF!</v>
      </c>
      <c r="AC111" s="113" t="e">
        <f t="shared" si="30"/>
        <v>#REF!</v>
      </c>
      <c r="AD111" s="105" t="e">
        <f t="shared" si="31"/>
        <v>#REF!</v>
      </c>
      <c r="AE111" s="105" t="e">
        <f t="shared" si="32"/>
        <v>#REF!</v>
      </c>
      <c r="AF111" s="105" t="e">
        <f t="shared" si="33"/>
        <v>#REF!</v>
      </c>
      <c r="AG111" s="105" t="e">
        <f t="shared" si="34"/>
        <v>#REF!</v>
      </c>
      <c r="AH111" s="111" t="e">
        <f>VLOOKUP($A111,#REF!,5,FALSE)</f>
        <v>#REF!</v>
      </c>
      <c r="AI111" s="111" t="e">
        <f>VLOOKUP($A111,#REF!,6,FALSE)</f>
        <v>#REF!</v>
      </c>
      <c r="AJ111" s="109" t="e">
        <f t="shared" si="35"/>
        <v>#REF!</v>
      </c>
      <c r="AK111" s="109" t="e">
        <f t="shared" si="36"/>
        <v>#REF!</v>
      </c>
      <c r="AL111" s="109"/>
      <c r="AM111" s="110"/>
      <c r="AN111" s="110"/>
      <c r="AO111" s="110"/>
      <c r="AP111" s="110"/>
      <c r="AQ111" s="112"/>
      <c r="AR111" s="112"/>
      <c r="AS111" s="110"/>
      <c r="AT111" s="105"/>
      <c r="AU111" s="105"/>
      <c r="AV111" s="105"/>
      <c r="AW111" s="105"/>
      <c r="AX111" s="105"/>
      <c r="AY111" s="105"/>
    </row>
    <row r="112" spans="1:51" x14ac:dyDescent="0.15">
      <c r="A112" s="115">
        <v>192</v>
      </c>
      <c r="B112" s="98" t="e">
        <f>VLOOKUP($A112,#REF!,101,FALSE)</f>
        <v>#REF!</v>
      </c>
      <c r="C112" s="98" t="e">
        <f>VLOOKUP($A112,#REF!,102,FALSE)</f>
        <v>#REF!</v>
      </c>
      <c r="D112" s="104" t="e">
        <f>VLOOKUP($A112,#REF!,5,FALSE)</f>
        <v>#REF!</v>
      </c>
      <c r="E112" s="104" t="e">
        <f>VLOOKUP($A112,#REF!,6,FALSE)</f>
        <v>#REF!</v>
      </c>
      <c r="F112" s="105" t="e">
        <f>VLOOKUP($A112,#REF!,34,FALSE)</f>
        <v>#REF!</v>
      </c>
      <c r="G112" s="105" t="e">
        <f>VLOOKUP($A112,#REF!,29,FALSE)</f>
        <v>#REF!</v>
      </c>
      <c r="H112" s="105" t="e">
        <f>VLOOKUP($A112,#REF!,35,FALSE)+VLOOKUP($A112,#REF!,97,FALSE)</f>
        <v>#REF!</v>
      </c>
      <c r="I112" s="105" t="e">
        <f t="shared" si="20"/>
        <v>#REF!</v>
      </c>
      <c r="J112" s="105" t="e">
        <f>VLOOKUP($A112,#REF!,42,FALSE)</f>
        <v>#REF!</v>
      </c>
      <c r="K112" s="105" t="e">
        <f t="shared" si="21"/>
        <v>#REF!</v>
      </c>
      <c r="L112" s="164" t="e">
        <f t="shared" si="19"/>
        <v>#REF!</v>
      </c>
      <c r="M112" s="105" t="e">
        <f t="shared" si="22"/>
        <v>#REF!</v>
      </c>
      <c r="N112" s="105" t="e">
        <f>VLOOKUP($A112,#REF!,46,FALSE)</f>
        <v>#REF!</v>
      </c>
      <c r="O112" s="106" t="e">
        <f>VLOOKUP($A112,#REF!,9,FALSE)</f>
        <v>#REF!</v>
      </c>
      <c r="P112" s="114" t="e">
        <f>#REF!</f>
        <v>#REF!</v>
      </c>
      <c r="Q112" s="114" t="e">
        <f>VLOOKUP(A112,#REF!,17,FALSE)</f>
        <v>#REF!</v>
      </c>
      <c r="R112" s="120" t="e">
        <f>#REF!</f>
        <v>#REF!</v>
      </c>
      <c r="S112" s="114" t="e">
        <f>IF(Q112=0,#REF!,ROUND(Q112*R112,4))</f>
        <v>#REF!</v>
      </c>
      <c r="T112" s="105" t="e">
        <f>VLOOKUP($A112,#REF!,15,FALSE)</f>
        <v>#REF!</v>
      </c>
      <c r="U112" s="105" t="e">
        <f>VLOOKUP($A112,#REF!,19,FALSE)</f>
        <v>#REF!</v>
      </c>
      <c r="V112" s="109" t="e">
        <f t="shared" si="23"/>
        <v>#REF!</v>
      </c>
      <c r="W112" s="121" t="e">
        <f t="shared" si="24"/>
        <v>#REF!</v>
      </c>
      <c r="X112" s="105" t="e">
        <f t="shared" si="25"/>
        <v>#REF!</v>
      </c>
      <c r="Y112" s="109" t="e">
        <f t="shared" si="26"/>
        <v>#REF!</v>
      </c>
      <c r="Z112" s="109" t="e">
        <f t="shared" si="27"/>
        <v>#REF!</v>
      </c>
      <c r="AA112" s="113" t="e">
        <f t="shared" si="28"/>
        <v>#REF!</v>
      </c>
      <c r="AB112" s="109" t="e">
        <f t="shared" si="29"/>
        <v>#REF!</v>
      </c>
      <c r="AC112" s="113" t="e">
        <f t="shared" si="30"/>
        <v>#REF!</v>
      </c>
      <c r="AD112" s="105" t="e">
        <f t="shared" si="31"/>
        <v>#REF!</v>
      </c>
      <c r="AE112" s="105" t="e">
        <f t="shared" si="32"/>
        <v>#REF!</v>
      </c>
      <c r="AF112" s="105" t="e">
        <f t="shared" si="33"/>
        <v>#REF!</v>
      </c>
      <c r="AG112" s="105" t="e">
        <f t="shared" si="34"/>
        <v>#REF!</v>
      </c>
      <c r="AH112" s="111" t="e">
        <f>VLOOKUP($A112,#REF!,5,FALSE)</f>
        <v>#REF!</v>
      </c>
      <c r="AI112" s="111" t="e">
        <f>VLOOKUP($A112,#REF!,6,FALSE)</f>
        <v>#REF!</v>
      </c>
      <c r="AJ112" s="109" t="e">
        <f t="shared" si="35"/>
        <v>#REF!</v>
      </c>
      <c r="AK112" s="109" t="e">
        <f t="shared" si="36"/>
        <v>#REF!</v>
      </c>
      <c r="AL112" s="109"/>
      <c r="AM112" s="110"/>
      <c r="AN112" s="110"/>
      <c r="AO112" s="110"/>
      <c r="AP112" s="110"/>
      <c r="AQ112" s="112"/>
      <c r="AR112" s="112"/>
      <c r="AS112" s="110"/>
      <c r="AT112" s="105"/>
      <c r="AU112" s="105"/>
      <c r="AV112" s="105"/>
      <c r="AW112" s="105"/>
      <c r="AX112" s="105"/>
      <c r="AY112" s="105"/>
    </row>
    <row r="113" spans="1:51" x14ac:dyDescent="0.15">
      <c r="A113" s="115">
        <v>194</v>
      </c>
      <c r="B113" s="98" t="e">
        <f>VLOOKUP($A113,#REF!,101,FALSE)</f>
        <v>#REF!</v>
      </c>
      <c r="C113" s="98" t="e">
        <f>VLOOKUP($A113,#REF!,102,FALSE)</f>
        <v>#REF!</v>
      </c>
      <c r="D113" s="104" t="e">
        <f>VLOOKUP($A113,#REF!,5,FALSE)</f>
        <v>#REF!</v>
      </c>
      <c r="E113" s="104" t="e">
        <f>VLOOKUP($A113,#REF!,6,FALSE)</f>
        <v>#REF!</v>
      </c>
      <c r="F113" s="105" t="e">
        <f>VLOOKUP($A113,#REF!,34,FALSE)</f>
        <v>#REF!</v>
      </c>
      <c r="G113" s="105" t="e">
        <f>VLOOKUP($A113,#REF!,29,FALSE)</f>
        <v>#REF!</v>
      </c>
      <c r="H113" s="105" t="e">
        <f>VLOOKUP($A113,#REF!,35,FALSE)+VLOOKUP($A113,#REF!,97,FALSE)</f>
        <v>#REF!</v>
      </c>
      <c r="I113" s="105" t="e">
        <f t="shared" si="20"/>
        <v>#REF!</v>
      </c>
      <c r="J113" s="105" t="e">
        <f>VLOOKUP($A113,#REF!,42,FALSE)</f>
        <v>#REF!</v>
      </c>
      <c r="K113" s="105" t="e">
        <f t="shared" si="21"/>
        <v>#REF!</v>
      </c>
      <c r="L113" s="164" t="e">
        <f t="shared" si="19"/>
        <v>#REF!</v>
      </c>
      <c r="M113" s="105" t="e">
        <f t="shared" si="22"/>
        <v>#REF!</v>
      </c>
      <c r="N113" s="105" t="e">
        <f>VLOOKUP($A113,#REF!,46,FALSE)</f>
        <v>#REF!</v>
      </c>
      <c r="O113" s="106" t="e">
        <f>VLOOKUP($A113,#REF!,9,FALSE)</f>
        <v>#REF!</v>
      </c>
      <c r="P113" s="114" t="e">
        <f>#REF!</f>
        <v>#REF!</v>
      </c>
      <c r="Q113" s="114" t="e">
        <f>VLOOKUP(A113,#REF!,17,FALSE)</f>
        <v>#REF!</v>
      </c>
      <c r="R113" s="120" t="e">
        <f>#REF!</f>
        <v>#REF!</v>
      </c>
      <c r="S113" s="114" t="e">
        <f>IF(Q113=0,#REF!,ROUND(Q113*R113,4))</f>
        <v>#REF!</v>
      </c>
      <c r="T113" s="105" t="e">
        <f>VLOOKUP($A113,#REF!,15,FALSE)</f>
        <v>#REF!</v>
      </c>
      <c r="U113" s="105" t="e">
        <f>VLOOKUP($A113,#REF!,19,FALSE)</f>
        <v>#REF!</v>
      </c>
      <c r="V113" s="109" t="e">
        <f t="shared" si="23"/>
        <v>#REF!</v>
      </c>
      <c r="W113" s="121" t="e">
        <f t="shared" si="24"/>
        <v>#REF!</v>
      </c>
      <c r="X113" s="105" t="e">
        <f t="shared" si="25"/>
        <v>#REF!</v>
      </c>
      <c r="Y113" s="109" t="e">
        <f t="shared" si="26"/>
        <v>#REF!</v>
      </c>
      <c r="Z113" s="109" t="e">
        <f t="shared" si="27"/>
        <v>#REF!</v>
      </c>
      <c r="AA113" s="113" t="e">
        <f t="shared" si="28"/>
        <v>#REF!</v>
      </c>
      <c r="AB113" s="109" t="e">
        <f t="shared" si="29"/>
        <v>#REF!</v>
      </c>
      <c r="AC113" s="113" t="e">
        <f t="shared" si="30"/>
        <v>#REF!</v>
      </c>
      <c r="AD113" s="105" t="e">
        <f t="shared" si="31"/>
        <v>#REF!</v>
      </c>
      <c r="AE113" s="105" t="e">
        <f t="shared" si="32"/>
        <v>#REF!</v>
      </c>
      <c r="AF113" s="105" t="e">
        <f t="shared" si="33"/>
        <v>#REF!</v>
      </c>
      <c r="AG113" s="105" t="e">
        <f t="shared" si="34"/>
        <v>#REF!</v>
      </c>
      <c r="AH113" s="111" t="e">
        <f>VLOOKUP($A113,#REF!,5,FALSE)</f>
        <v>#REF!</v>
      </c>
      <c r="AI113" s="111" t="e">
        <f>VLOOKUP($A113,#REF!,6,FALSE)</f>
        <v>#REF!</v>
      </c>
      <c r="AJ113" s="109" t="e">
        <f t="shared" si="35"/>
        <v>#REF!</v>
      </c>
      <c r="AK113" s="109" t="e">
        <f t="shared" si="36"/>
        <v>#REF!</v>
      </c>
      <c r="AL113" s="109"/>
      <c r="AM113" s="110"/>
      <c r="AN113" s="110"/>
      <c r="AO113" s="110"/>
      <c r="AP113" s="110"/>
      <c r="AQ113" s="112"/>
      <c r="AR113" s="112"/>
      <c r="AS113" s="110"/>
      <c r="AT113" s="105"/>
      <c r="AU113" s="105"/>
      <c r="AV113" s="105"/>
      <c r="AW113" s="105"/>
      <c r="AX113" s="105"/>
      <c r="AY113" s="105"/>
    </row>
    <row r="114" spans="1:51" x14ac:dyDescent="0.15">
      <c r="A114" s="115">
        <v>208</v>
      </c>
      <c r="B114" s="98" t="e">
        <f>VLOOKUP($A114,#REF!,101,FALSE)</f>
        <v>#REF!</v>
      </c>
      <c r="C114" s="98" t="e">
        <f>VLOOKUP($A114,#REF!,102,FALSE)</f>
        <v>#REF!</v>
      </c>
      <c r="D114" s="104" t="e">
        <f>VLOOKUP($A114,#REF!,5,FALSE)</f>
        <v>#REF!</v>
      </c>
      <c r="E114" s="104" t="e">
        <f>VLOOKUP($A114,#REF!,6,FALSE)</f>
        <v>#REF!</v>
      </c>
      <c r="F114" s="105" t="e">
        <f>VLOOKUP($A114,#REF!,34,FALSE)</f>
        <v>#REF!</v>
      </c>
      <c r="G114" s="105" t="e">
        <f>VLOOKUP($A114,#REF!,29,FALSE)</f>
        <v>#REF!</v>
      </c>
      <c r="H114" s="105" t="e">
        <f>VLOOKUP($A114,#REF!,35,FALSE)+VLOOKUP($A114,#REF!,97,FALSE)</f>
        <v>#REF!</v>
      </c>
      <c r="I114" s="105" t="e">
        <f t="shared" si="20"/>
        <v>#REF!</v>
      </c>
      <c r="J114" s="105" t="e">
        <f>VLOOKUP($A114,#REF!,42,FALSE)</f>
        <v>#REF!</v>
      </c>
      <c r="K114" s="105" t="e">
        <f t="shared" si="21"/>
        <v>#REF!</v>
      </c>
      <c r="L114" s="164" t="e">
        <f t="shared" si="19"/>
        <v>#REF!</v>
      </c>
      <c r="M114" s="105" t="e">
        <f t="shared" si="22"/>
        <v>#REF!</v>
      </c>
      <c r="N114" s="105" t="e">
        <f>VLOOKUP($A114,#REF!,46,FALSE)</f>
        <v>#REF!</v>
      </c>
      <c r="O114" s="106" t="e">
        <f>VLOOKUP($A114,#REF!,9,FALSE)</f>
        <v>#REF!</v>
      </c>
      <c r="P114" s="114" t="e">
        <f>#REF!</f>
        <v>#REF!</v>
      </c>
      <c r="Q114" s="114" t="e">
        <f>VLOOKUP(A114,#REF!,17,FALSE)</f>
        <v>#REF!</v>
      </c>
      <c r="R114" s="120" t="e">
        <f>#REF!</f>
        <v>#REF!</v>
      </c>
      <c r="S114" s="114" t="e">
        <f>IF(Q114=0,#REF!,ROUND(Q114*R114,4))</f>
        <v>#REF!</v>
      </c>
      <c r="T114" s="105" t="e">
        <f>VLOOKUP($A114,#REF!,15,FALSE)</f>
        <v>#REF!</v>
      </c>
      <c r="U114" s="105" t="e">
        <f>VLOOKUP($A114,#REF!,19,FALSE)</f>
        <v>#REF!</v>
      </c>
      <c r="V114" s="109" t="e">
        <f t="shared" si="23"/>
        <v>#REF!</v>
      </c>
      <c r="W114" s="121" t="e">
        <f t="shared" si="24"/>
        <v>#REF!</v>
      </c>
      <c r="X114" s="105" t="e">
        <f t="shared" si="25"/>
        <v>#REF!</v>
      </c>
      <c r="Y114" s="109" t="e">
        <f t="shared" si="26"/>
        <v>#REF!</v>
      </c>
      <c r="Z114" s="109" t="e">
        <f t="shared" si="27"/>
        <v>#REF!</v>
      </c>
      <c r="AA114" s="113" t="e">
        <f t="shared" si="28"/>
        <v>#REF!</v>
      </c>
      <c r="AB114" s="109" t="e">
        <f t="shared" si="29"/>
        <v>#REF!</v>
      </c>
      <c r="AC114" s="113" t="e">
        <f t="shared" si="30"/>
        <v>#REF!</v>
      </c>
      <c r="AD114" s="105" t="e">
        <f t="shared" si="31"/>
        <v>#REF!</v>
      </c>
      <c r="AE114" s="105" t="e">
        <f t="shared" si="32"/>
        <v>#REF!</v>
      </c>
      <c r="AF114" s="105" t="e">
        <f t="shared" si="33"/>
        <v>#REF!</v>
      </c>
      <c r="AG114" s="105" t="e">
        <f t="shared" si="34"/>
        <v>#REF!</v>
      </c>
      <c r="AH114" s="111" t="e">
        <f>VLOOKUP($A114,#REF!,5,FALSE)</f>
        <v>#REF!</v>
      </c>
      <c r="AI114" s="111" t="e">
        <f>VLOOKUP($A114,#REF!,6,FALSE)</f>
        <v>#REF!</v>
      </c>
      <c r="AJ114" s="109" t="e">
        <f t="shared" si="35"/>
        <v>#REF!</v>
      </c>
      <c r="AK114" s="109" t="e">
        <f t="shared" si="36"/>
        <v>#REF!</v>
      </c>
      <c r="AL114" s="109"/>
      <c r="AM114" s="110"/>
      <c r="AN114" s="110"/>
      <c r="AO114" s="110"/>
      <c r="AP114" s="110"/>
      <c r="AQ114" s="112"/>
      <c r="AR114" s="112"/>
      <c r="AS114" s="110"/>
      <c r="AT114" s="105"/>
      <c r="AU114" s="105"/>
      <c r="AV114" s="105"/>
      <c r="AW114" s="105"/>
      <c r="AX114" s="105"/>
      <c r="AY114" s="105"/>
    </row>
    <row r="115" spans="1:51" x14ac:dyDescent="0.15">
      <c r="A115" s="115">
        <v>204</v>
      </c>
      <c r="B115" s="98" t="e">
        <f>VLOOKUP($A115,#REF!,101,FALSE)</f>
        <v>#REF!</v>
      </c>
      <c r="C115" s="98" t="e">
        <f>VLOOKUP($A115,#REF!,102,FALSE)</f>
        <v>#REF!</v>
      </c>
      <c r="D115" s="104" t="e">
        <f>VLOOKUP($A115,#REF!,5,FALSE)</f>
        <v>#REF!</v>
      </c>
      <c r="E115" s="104" t="e">
        <f>VLOOKUP($A115,#REF!,6,FALSE)</f>
        <v>#REF!</v>
      </c>
      <c r="F115" s="105" t="e">
        <f>VLOOKUP($A115,#REF!,34,FALSE)</f>
        <v>#REF!</v>
      </c>
      <c r="G115" s="105" t="e">
        <f>VLOOKUP($A115,#REF!,29,FALSE)</f>
        <v>#REF!</v>
      </c>
      <c r="H115" s="105" t="e">
        <f>VLOOKUP($A115,#REF!,35,FALSE)+VLOOKUP($A115,#REF!,97,FALSE)</f>
        <v>#REF!</v>
      </c>
      <c r="I115" s="105" t="e">
        <f t="shared" si="20"/>
        <v>#REF!</v>
      </c>
      <c r="J115" s="105" t="e">
        <f>VLOOKUP($A115,#REF!,42,FALSE)</f>
        <v>#REF!</v>
      </c>
      <c r="K115" s="105" t="e">
        <f t="shared" si="21"/>
        <v>#REF!</v>
      </c>
      <c r="L115" s="164" t="e">
        <f t="shared" si="19"/>
        <v>#REF!</v>
      </c>
      <c r="M115" s="105" t="e">
        <f t="shared" si="22"/>
        <v>#REF!</v>
      </c>
      <c r="N115" s="105" t="e">
        <f>VLOOKUP($A115,#REF!,46,FALSE)</f>
        <v>#REF!</v>
      </c>
      <c r="O115" s="106" t="e">
        <f>VLOOKUP($A115,#REF!,9,FALSE)</f>
        <v>#REF!</v>
      </c>
      <c r="P115" s="114" t="e">
        <f>#REF!</f>
        <v>#REF!</v>
      </c>
      <c r="Q115" s="114" t="e">
        <f>VLOOKUP(A115,#REF!,17,FALSE)</f>
        <v>#REF!</v>
      </c>
      <c r="R115" s="120" t="e">
        <f>#REF!</f>
        <v>#REF!</v>
      </c>
      <c r="S115" s="114" t="e">
        <f>IF(Q115=0,#REF!,ROUND(Q115*R115,4))</f>
        <v>#REF!</v>
      </c>
      <c r="T115" s="105" t="e">
        <f>VLOOKUP($A115,#REF!,15,FALSE)</f>
        <v>#REF!</v>
      </c>
      <c r="U115" s="105" t="e">
        <f>VLOOKUP($A115,#REF!,19,FALSE)</f>
        <v>#REF!</v>
      </c>
      <c r="V115" s="109" t="e">
        <f t="shared" si="23"/>
        <v>#REF!</v>
      </c>
      <c r="W115" s="121" t="e">
        <f t="shared" si="24"/>
        <v>#REF!</v>
      </c>
      <c r="X115" s="105" t="e">
        <f t="shared" si="25"/>
        <v>#REF!</v>
      </c>
      <c r="Y115" s="109" t="e">
        <f t="shared" si="26"/>
        <v>#REF!</v>
      </c>
      <c r="Z115" s="109" t="e">
        <f t="shared" si="27"/>
        <v>#REF!</v>
      </c>
      <c r="AA115" s="113" t="e">
        <f t="shared" si="28"/>
        <v>#REF!</v>
      </c>
      <c r="AB115" s="109" t="e">
        <f t="shared" si="29"/>
        <v>#REF!</v>
      </c>
      <c r="AC115" s="113" t="e">
        <f t="shared" si="30"/>
        <v>#REF!</v>
      </c>
      <c r="AD115" s="105" t="e">
        <f t="shared" si="31"/>
        <v>#REF!</v>
      </c>
      <c r="AE115" s="105" t="e">
        <f t="shared" si="32"/>
        <v>#REF!</v>
      </c>
      <c r="AF115" s="105" t="e">
        <f t="shared" si="33"/>
        <v>#REF!</v>
      </c>
      <c r="AG115" s="105" t="e">
        <f t="shared" si="34"/>
        <v>#REF!</v>
      </c>
      <c r="AH115" s="111" t="e">
        <f>VLOOKUP($A115,#REF!,5,FALSE)</f>
        <v>#REF!</v>
      </c>
      <c r="AI115" s="111" t="e">
        <f>VLOOKUP($A115,#REF!,6,FALSE)</f>
        <v>#REF!</v>
      </c>
      <c r="AJ115" s="109" t="e">
        <f t="shared" si="35"/>
        <v>#REF!</v>
      </c>
      <c r="AK115" s="109" t="e">
        <f t="shared" si="36"/>
        <v>#REF!</v>
      </c>
      <c r="AL115" s="109"/>
      <c r="AM115" s="110"/>
      <c r="AN115" s="110"/>
      <c r="AO115" s="110"/>
      <c r="AP115" s="110"/>
      <c r="AQ115" s="112"/>
      <c r="AR115" s="112"/>
      <c r="AS115" s="110"/>
      <c r="AT115" s="105"/>
      <c r="AU115" s="105"/>
      <c r="AV115" s="105"/>
      <c r="AW115" s="105"/>
      <c r="AX115" s="105"/>
      <c r="AY115" s="105"/>
    </row>
    <row r="116" spans="1:51" x14ac:dyDescent="0.15">
      <c r="A116" s="115">
        <v>210</v>
      </c>
      <c r="B116" s="98" t="e">
        <f>VLOOKUP($A116,#REF!,101,FALSE)</f>
        <v>#REF!</v>
      </c>
      <c r="C116" s="98" t="e">
        <f>VLOOKUP($A116,#REF!,102,FALSE)</f>
        <v>#REF!</v>
      </c>
      <c r="D116" s="104" t="e">
        <f>VLOOKUP($A116,#REF!,5,FALSE)</f>
        <v>#REF!</v>
      </c>
      <c r="E116" s="104" t="e">
        <f>VLOOKUP($A116,#REF!,6,FALSE)</f>
        <v>#REF!</v>
      </c>
      <c r="F116" s="105" t="e">
        <f>VLOOKUP($A116,#REF!,34,FALSE)</f>
        <v>#REF!</v>
      </c>
      <c r="G116" s="105" t="e">
        <f>VLOOKUP($A116,#REF!,29,FALSE)</f>
        <v>#REF!</v>
      </c>
      <c r="H116" s="105" t="e">
        <f>VLOOKUP($A116,#REF!,35,FALSE)+VLOOKUP($A116,#REF!,97,FALSE)</f>
        <v>#REF!</v>
      </c>
      <c r="I116" s="105" t="e">
        <f t="shared" si="20"/>
        <v>#REF!</v>
      </c>
      <c r="J116" s="105" t="e">
        <f>VLOOKUP($A116,#REF!,42,FALSE)</f>
        <v>#REF!</v>
      </c>
      <c r="K116" s="105" t="e">
        <f t="shared" si="21"/>
        <v>#REF!</v>
      </c>
      <c r="L116" s="164" t="e">
        <f t="shared" si="19"/>
        <v>#REF!</v>
      </c>
      <c r="M116" s="105" t="e">
        <f t="shared" si="22"/>
        <v>#REF!</v>
      </c>
      <c r="N116" s="105" t="e">
        <f>VLOOKUP($A116,#REF!,46,FALSE)</f>
        <v>#REF!</v>
      </c>
      <c r="O116" s="106" t="e">
        <f>VLOOKUP($A116,#REF!,9,FALSE)</f>
        <v>#REF!</v>
      </c>
      <c r="P116" s="114" t="e">
        <f>#REF!</f>
        <v>#REF!</v>
      </c>
      <c r="Q116" s="114" t="e">
        <f>VLOOKUP(A116,#REF!,17,FALSE)</f>
        <v>#REF!</v>
      </c>
      <c r="R116" s="120" t="e">
        <f>#REF!</f>
        <v>#REF!</v>
      </c>
      <c r="S116" s="114" t="e">
        <f>IF(Q116=0,#REF!,ROUND(Q116*R116,4))</f>
        <v>#REF!</v>
      </c>
      <c r="T116" s="105" t="e">
        <f>VLOOKUP($A116,#REF!,15,FALSE)</f>
        <v>#REF!</v>
      </c>
      <c r="U116" s="105" t="e">
        <f>VLOOKUP($A116,#REF!,19,FALSE)</f>
        <v>#REF!</v>
      </c>
      <c r="V116" s="109" t="e">
        <f t="shared" si="23"/>
        <v>#REF!</v>
      </c>
      <c r="W116" s="121" t="e">
        <f t="shared" si="24"/>
        <v>#REF!</v>
      </c>
      <c r="X116" s="105" t="e">
        <f t="shared" si="25"/>
        <v>#REF!</v>
      </c>
      <c r="Y116" s="109" t="e">
        <f t="shared" si="26"/>
        <v>#REF!</v>
      </c>
      <c r="Z116" s="109" t="e">
        <f t="shared" si="27"/>
        <v>#REF!</v>
      </c>
      <c r="AA116" s="113" t="e">
        <f t="shared" si="28"/>
        <v>#REF!</v>
      </c>
      <c r="AB116" s="109" t="e">
        <f t="shared" si="29"/>
        <v>#REF!</v>
      </c>
      <c r="AC116" s="113" t="e">
        <f t="shared" si="30"/>
        <v>#REF!</v>
      </c>
      <c r="AD116" s="105" t="e">
        <f t="shared" si="31"/>
        <v>#REF!</v>
      </c>
      <c r="AE116" s="105" t="e">
        <f t="shared" si="32"/>
        <v>#REF!</v>
      </c>
      <c r="AF116" s="105" t="e">
        <f t="shared" si="33"/>
        <v>#REF!</v>
      </c>
      <c r="AG116" s="105" t="e">
        <f t="shared" si="34"/>
        <v>#REF!</v>
      </c>
      <c r="AH116" s="111" t="e">
        <f>VLOOKUP($A116,#REF!,5,FALSE)</f>
        <v>#REF!</v>
      </c>
      <c r="AI116" s="111" t="e">
        <f>VLOOKUP($A116,#REF!,6,FALSE)</f>
        <v>#REF!</v>
      </c>
      <c r="AJ116" s="109" t="e">
        <f t="shared" si="35"/>
        <v>#REF!</v>
      </c>
      <c r="AK116" s="109" t="e">
        <f t="shared" si="36"/>
        <v>#REF!</v>
      </c>
      <c r="AL116" s="109"/>
      <c r="AM116" s="110"/>
      <c r="AN116" s="110"/>
      <c r="AO116" s="110"/>
      <c r="AP116" s="110"/>
      <c r="AQ116" s="112"/>
      <c r="AR116" s="112"/>
      <c r="AS116" s="110"/>
      <c r="AT116" s="105"/>
      <c r="AU116" s="105"/>
      <c r="AV116" s="105"/>
      <c r="AW116" s="105"/>
      <c r="AX116" s="105"/>
      <c r="AY116" s="105"/>
    </row>
    <row r="117" spans="1:51" x14ac:dyDescent="0.15">
      <c r="A117" s="115">
        <v>64</v>
      </c>
      <c r="B117" s="98" t="e">
        <f>VLOOKUP($A117,#REF!,101,FALSE)</f>
        <v>#REF!</v>
      </c>
      <c r="C117" s="98" t="e">
        <f>VLOOKUP($A117,#REF!,102,FALSE)</f>
        <v>#REF!</v>
      </c>
      <c r="D117" s="104" t="e">
        <f>VLOOKUP($A117,#REF!,5,FALSE)</f>
        <v>#REF!</v>
      </c>
      <c r="E117" s="104" t="e">
        <f>VLOOKUP($A117,#REF!,6,FALSE)</f>
        <v>#REF!</v>
      </c>
      <c r="F117" s="105" t="e">
        <f>VLOOKUP($A117,#REF!,34,FALSE)</f>
        <v>#REF!</v>
      </c>
      <c r="G117" s="105" t="e">
        <f>VLOOKUP($A117,#REF!,29,FALSE)</f>
        <v>#REF!</v>
      </c>
      <c r="H117" s="105" t="e">
        <f>VLOOKUP($A117,#REF!,35,FALSE)+VLOOKUP($A117,#REF!,97,FALSE)</f>
        <v>#REF!</v>
      </c>
      <c r="I117" s="105" t="e">
        <f t="shared" si="20"/>
        <v>#REF!</v>
      </c>
      <c r="J117" s="105" t="e">
        <f>VLOOKUP($A117,#REF!,42,FALSE)</f>
        <v>#REF!</v>
      </c>
      <c r="K117" s="105" t="e">
        <f t="shared" si="21"/>
        <v>#REF!</v>
      </c>
      <c r="L117" s="164" t="e">
        <f t="shared" si="19"/>
        <v>#REF!</v>
      </c>
      <c r="M117" s="105" t="e">
        <f t="shared" si="22"/>
        <v>#REF!</v>
      </c>
      <c r="N117" s="105" t="e">
        <f>VLOOKUP($A117,#REF!,46,FALSE)</f>
        <v>#REF!</v>
      </c>
      <c r="O117" s="106" t="e">
        <f>VLOOKUP($A117,#REF!,9,FALSE)</f>
        <v>#REF!</v>
      </c>
      <c r="P117" s="114" t="e">
        <f>#REF!</f>
        <v>#REF!</v>
      </c>
      <c r="Q117" s="114" t="e">
        <f>VLOOKUP(A117,#REF!,17,FALSE)</f>
        <v>#REF!</v>
      </c>
      <c r="R117" s="120" t="e">
        <f>#REF!</f>
        <v>#REF!</v>
      </c>
      <c r="S117" s="114" t="e">
        <f>IF(Q117=0,#REF!,ROUND(Q117*R117,4))</f>
        <v>#REF!</v>
      </c>
      <c r="T117" s="105" t="e">
        <f>VLOOKUP($A117,#REF!,15,FALSE)</f>
        <v>#REF!</v>
      </c>
      <c r="U117" s="105" t="e">
        <f>VLOOKUP($A117,#REF!,19,FALSE)</f>
        <v>#REF!</v>
      </c>
      <c r="V117" s="109" t="e">
        <f t="shared" si="23"/>
        <v>#REF!</v>
      </c>
      <c r="W117" s="121" t="e">
        <f t="shared" si="24"/>
        <v>#REF!</v>
      </c>
      <c r="X117" s="105" t="e">
        <f t="shared" si="25"/>
        <v>#REF!</v>
      </c>
      <c r="Y117" s="109" t="e">
        <f t="shared" si="26"/>
        <v>#REF!</v>
      </c>
      <c r="Z117" s="109" t="e">
        <f t="shared" si="27"/>
        <v>#REF!</v>
      </c>
      <c r="AA117" s="113" t="e">
        <f t="shared" si="28"/>
        <v>#REF!</v>
      </c>
      <c r="AB117" s="109" t="e">
        <f t="shared" si="29"/>
        <v>#REF!</v>
      </c>
      <c r="AC117" s="113" t="e">
        <f t="shared" si="30"/>
        <v>#REF!</v>
      </c>
      <c r="AD117" s="105" t="e">
        <f t="shared" si="31"/>
        <v>#REF!</v>
      </c>
      <c r="AE117" s="105" t="e">
        <f t="shared" si="32"/>
        <v>#REF!</v>
      </c>
      <c r="AF117" s="105" t="e">
        <f t="shared" si="33"/>
        <v>#REF!</v>
      </c>
      <c r="AG117" s="105" t="e">
        <f t="shared" si="34"/>
        <v>#REF!</v>
      </c>
      <c r="AH117" s="111" t="e">
        <f>VLOOKUP($A117,#REF!,5,FALSE)</f>
        <v>#REF!</v>
      </c>
      <c r="AI117" s="111" t="e">
        <f>VLOOKUP($A117,#REF!,6,FALSE)</f>
        <v>#REF!</v>
      </c>
      <c r="AJ117" s="109" t="e">
        <f t="shared" si="35"/>
        <v>#REF!</v>
      </c>
      <c r="AK117" s="109" t="e">
        <f t="shared" si="36"/>
        <v>#REF!</v>
      </c>
      <c r="AL117" s="109"/>
      <c r="AM117" s="110"/>
      <c r="AN117" s="110"/>
      <c r="AO117" s="110"/>
      <c r="AP117" s="110"/>
      <c r="AQ117" s="112"/>
      <c r="AR117" s="112"/>
      <c r="AS117" s="110"/>
      <c r="AT117" s="105"/>
      <c r="AU117" s="105"/>
      <c r="AV117" s="105"/>
      <c r="AW117" s="105"/>
      <c r="AX117" s="105"/>
      <c r="AY117" s="105"/>
    </row>
    <row r="118" spans="1:51" x14ac:dyDescent="0.15">
      <c r="A118" s="115">
        <v>218</v>
      </c>
      <c r="B118" s="98" t="e">
        <f>VLOOKUP($A118,#REF!,101,FALSE)</f>
        <v>#REF!</v>
      </c>
      <c r="C118" s="98" t="e">
        <f>VLOOKUP($A118,#REF!,102,FALSE)</f>
        <v>#REF!</v>
      </c>
      <c r="D118" s="104" t="e">
        <f>VLOOKUP($A118,#REF!,5,FALSE)</f>
        <v>#REF!</v>
      </c>
      <c r="E118" s="104" t="e">
        <f>VLOOKUP($A118,#REF!,6,FALSE)</f>
        <v>#REF!</v>
      </c>
      <c r="F118" s="105" t="e">
        <f>VLOOKUP($A118,#REF!,34,FALSE)</f>
        <v>#REF!</v>
      </c>
      <c r="G118" s="105" t="e">
        <f>VLOOKUP($A118,#REF!,29,FALSE)</f>
        <v>#REF!</v>
      </c>
      <c r="H118" s="105" t="e">
        <f>VLOOKUP($A118,#REF!,35,FALSE)+VLOOKUP($A118,#REF!,97,FALSE)</f>
        <v>#REF!</v>
      </c>
      <c r="I118" s="105" t="e">
        <f t="shared" si="20"/>
        <v>#REF!</v>
      </c>
      <c r="J118" s="105" t="e">
        <f>VLOOKUP($A118,#REF!,42,FALSE)</f>
        <v>#REF!</v>
      </c>
      <c r="K118" s="105" t="e">
        <f t="shared" si="21"/>
        <v>#REF!</v>
      </c>
      <c r="L118" s="164" t="e">
        <f t="shared" si="19"/>
        <v>#REF!</v>
      </c>
      <c r="M118" s="105" t="e">
        <f t="shared" si="22"/>
        <v>#REF!</v>
      </c>
      <c r="N118" s="105" t="e">
        <f>VLOOKUP($A118,#REF!,46,FALSE)</f>
        <v>#REF!</v>
      </c>
      <c r="O118" s="106" t="e">
        <f>VLOOKUP($A118,#REF!,9,FALSE)</f>
        <v>#REF!</v>
      </c>
      <c r="P118" s="114" t="e">
        <f>#REF!</f>
        <v>#REF!</v>
      </c>
      <c r="Q118" s="114" t="e">
        <f>VLOOKUP(A118,#REF!,17,FALSE)</f>
        <v>#REF!</v>
      </c>
      <c r="R118" s="120" t="e">
        <f>#REF!</f>
        <v>#REF!</v>
      </c>
      <c r="S118" s="114" t="e">
        <f>IF(Q118=0,#REF!,ROUND(Q118*R118,4))</f>
        <v>#REF!</v>
      </c>
      <c r="T118" s="105" t="e">
        <f>VLOOKUP($A118,#REF!,15,FALSE)</f>
        <v>#REF!</v>
      </c>
      <c r="U118" s="105" t="e">
        <f>VLOOKUP($A118,#REF!,19,FALSE)</f>
        <v>#REF!</v>
      </c>
      <c r="V118" s="109" t="e">
        <f t="shared" si="23"/>
        <v>#REF!</v>
      </c>
      <c r="W118" s="121" t="e">
        <f t="shared" si="24"/>
        <v>#REF!</v>
      </c>
      <c r="X118" s="105" t="e">
        <f t="shared" si="25"/>
        <v>#REF!</v>
      </c>
      <c r="Y118" s="109" t="e">
        <f t="shared" si="26"/>
        <v>#REF!</v>
      </c>
      <c r="Z118" s="109" t="e">
        <f t="shared" si="27"/>
        <v>#REF!</v>
      </c>
      <c r="AA118" s="113" t="e">
        <f t="shared" si="28"/>
        <v>#REF!</v>
      </c>
      <c r="AB118" s="109" t="e">
        <f t="shared" si="29"/>
        <v>#REF!</v>
      </c>
      <c r="AC118" s="113" t="e">
        <f t="shared" si="30"/>
        <v>#REF!</v>
      </c>
      <c r="AD118" s="105" t="e">
        <f t="shared" si="31"/>
        <v>#REF!</v>
      </c>
      <c r="AE118" s="105" t="e">
        <f t="shared" si="32"/>
        <v>#REF!</v>
      </c>
      <c r="AF118" s="105" t="e">
        <f t="shared" si="33"/>
        <v>#REF!</v>
      </c>
      <c r="AG118" s="105" t="e">
        <f t="shared" si="34"/>
        <v>#REF!</v>
      </c>
      <c r="AH118" s="111" t="e">
        <f>VLOOKUP($A118,#REF!,5,FALSE)</f>
        <v>#REF!</v>
      </c>
      <c r="AI118" s="111" t="e">
        <f>VLOOKUP($A118,#REF!,6,FALSE)</f>
        <v>#REF!</v>
      </c>
      <c r="AJ118" s="109" t="e">
        <f t="shared" si="35"/>
        <v>#REF!</v>
      </c>
      <c r="AK118" s="109" t="e">
        <f t="shared" si="36"/>
        <v>#REF!</v>
      </c>
      <c r="AL118" s="109"/>
      <c r="AM118" s="110"/>
      <c r="AN118" s="110"/>
      <c r="AO118" s="110"/>
      <c r="AP118" s="110"/>
      <c r="AQ118" s="112"/>
      <c r="AR118" s="112"/>
      <c r="AS118" s="110"/>
      <c r="AT118" s="105"/>
      <c r="AU118" s="105"/>
      <c r="AV118" s="105"/>
      <c r="AW118" s="105"/>
      <c r="AX118" s="105"/>
      <c r="AY118" s="105"/>
    </row>
    <row r="119" spans="1:51" x14ac:dyDescent="0.15">
      <c r="A119" s="115">
        <v>222</v>
      </c>
      <c r="B119" s="98" t="e">
        <f>VLOOKUP($A119,#REF!,101,FALSE)</f>
        <v>#REF!</v>
      </c>
      <c r="C119" s="98" t="e">
        <f>VLOOKUP($A119,#REF!,102,FALSE)</f>
        <v>#REF!</v>
      </c>
      <c r="D119" s="104" t="e">
        <f>VLOOKUP($A119,#REF!,5,FALSE)</f>
        <v>#REF!</v>
      </c>
      <c r="E119" s="104" t="e">
        <f>VLOOKUP($A119,#REF!,6,FALSE)</f>
        <v>#REF!</v>
      </c>
      <c r="F119" s="105" t="e">
        <f>VLOOKUP($A119,#REF!,34,FALSE)</f>
        <v>#REF!</v>
      </c>
      <c r="G119" s="105" t="e">
        <f>VLOOKUP($A119,#REF!,29,FALSE)</f>
        <v>#REF!</v>
      </c>
      <c r="H119" s="105" t="e">
        <f>VLOOKUP($A119,#REF!,35,FALSE)+VLOOKUP($A119,#REF!,97,FALSE)</f>
        <v>#REF!</v>
      </c>
      <c r="I119" s="105" t="e">
        <f t="shared" si="20"/>
        <v>#REF!</v>
      </c>
      <c r="J119" s="105" t="e">
        <f>VLOOKUP($A119,#REF!,42,FALSE)</f>
        <v>#REF!</v>
      </c>
      <c r="K119" s="105" t="e">
        <f t="shared" si="21"/>
        <v>#REF!</v>
      </c>
      <c r="L119" s="164" t="e">
        <f t="shared" si="19"/>
        <v>#REF!</v>
      </c>
      <c r="M119" s="105" t="e">
        <f t="shared" si="22"/>
        <v>#REF!</v>
      </c>
      <c r="N119" s="105" t="e">
        <f>VLOOKUP($A119,#REF!,46,FALSE)</f>
        <v>#REF!</v>
      </c>
      <c r="O119" s="106" t="e">
        <f>VLOOKUP($A119,#REF!,9,FALSE)</f>
        <v>#REF!</v>
      </c>
      <c r="P119" s="114" t="e">
        <f>#REF!</f>
        <v>#REF!</v>
      </c>
      <c r="Q119" s="114" t="e">
        <f>VLOOKUP(A119,#REF!,17,FALSE)</f>
        <v>#REF!</v>
      </c>
      <c r="R119" s="120" t="e">
        <f>#REF!</f>
        <v>#REF!</v>
      </c>
      <c r="S119" s="114" t="e">
        <f>IF(Q119=0,#REF!,ROUND(Q119*R119,4))</f>
        <v>#REF!</v>
      </c>
      <c r="T119" s="105" t="e">
        <f>VLOOKUP($A119,#REF!,15,FALSE)</f>
        <v>#REF!</v>
      </c>
      <c r="U119" s="105" t="e">
        <f>VLOOKUP($A119,#REF!,19,FALSE)</f>
        <v>#REF!</v>
      </c>
      <c r="V119" s="109" t="e">
        <f t="shared" si="23"/>
        <v>#REF!</v>
      </c>
      <c r="W119" s="121" t="e">
        <f t="shared" si="24"/>
        <v>#REF!</v>
      </c>
      <c r="X119" s="105" t="e">
        <f t="shared" si="25"/>
        <v>#REF!</v>
      </c>
      <c r="Y119" s="109" t="e">
        <f t="shared" si="26"/>
        <v>#REF!</v>
      </c>
      <c r="Z119" s="109" t="e">
        <f t="shared" si="27"/>
        <v>#REF!</v>
      </c>
      <c r="AA119" s="113" t="e">
        <f t="shared" si="28"/>
        <v>#REF!</v>
      </c>
      <c r="AB119" s="109" t="e">
        <f t="shared" si="29"/>
        <v>#REF!</v>
      </c>
      <c r="AC119" s="113" t="e">
        <f t="shared" si="30"/>
        <v>#REF!</v>
      </c>
      <c r="AD119" s="105" t="e">
        <f t="shared" si="31"/>
        <v>#REF!</v>
      </c>
      <c r="AE119" s="105" t="e">
        <f t="shared" si="32"/>
        <v>#REF!</v>
      </c>
      <c r="AF119" s="105" t="e">
        <f t="shared" si="33"/>
        <v>#REF!</v>
      </c>
      <c r="AG119" s="105" t="e">
        <f t="shared" si="34"/>
        <v>#REF!</v>
      </c>
      <c r="AH119" s="111" t="e">
        <f>VLOOKUP($A119,#REF!,5,FALSE)</f>
        <v>#REF!</v>
      </c>
      <c r="AI119" s="111" t="e">
        <f>VLOOKUP($A119,#REF!,6,FALSE)</f>
        <v>#REF!</v>
      </c>
      <c r="AJ119" s="109" t="e">
        <f t="shared" si="35"/>
        <v>#REF!</v>
      </c>
      <c r="AK119" s="109" t="e">
        <f t="shared" si="36"/>
        <v>#REF!</v>
      </c>
      <c r="AL119" s="109"/>
      <c r="AM119" s="110"/>
      <c r="AN119" s="110"/>
      <c r="AO119" s="110"/>
      <c r="AP119" s="110"/>
      <c r="AQ119" s="112"/>
      <c r="AR119" s="112"/>
      <c r="AS119" s="110"/>
      <c r="AT119" s="105"/>
      <c r="AU119" s="105"/>
      <c r="AV119" s="105"/>
      <c r="AW119" s="105"/>
      <c r="AX119" s="105"/>
      <c r="AY119" s="105"/>
    </row>
    <row r="120" spans="1:51" x14ac:dyDescent="0.15">
      <c r="A120" s="115">
        <v>230</v>
      </c>
      <c r="B120" s="98" t="e">
        <f>VLOOKUP($A120,#REF!,101,FALSE)</f>
        <v>#REF!</v>
      </c>
      <c r="C120" s="98" t="e">
        <f>VLOOKUP($A120,#REF!,102,FALSE)</f>
        <v>#REF!</v>
      </c>
      <c r="D120" s="104" t="e">
        <f>VLOOKUP($A120,#REF!,5,FALSE)</f>
        <v>#REF!</v>
      </c>
      <c r="E120" s="104" t="e">
        <f>VLOOKUP($A120,#REF!,6,FALSE)</f>
        <v>#REF!</v>
      </c>
      <c r="F120" s="105" t="e">
        <f>VLOOKUP($A120,#REF!,34,FALSE)</f>
        <v>#REF!</v>
      </c>
      <c r="G120" s="105" t="e">
        <f>VLOOKUP($A120,#REF!,29,FALSE)</f>
        <v>#REF!</v>
      </c>
      <c r="H120" s="105" t="e">
        <f>VLOOKUP($A120,#REF!,35,FALSE)+VLOOKUP($A120,#REF!,97,FALSE)</f>
        <v>#REF!</v>
      </c>
      <c r="I120" s="105" t="e">
        <f t="shared" si="20"/>
        <v>#REF!</v>
      </c>
      <c r="J120" s="105" t="e">
        <f>VLOOKUP($A120,#REF!,42,FALSE)</f>
        <v>#REF!</v>
      </c>
      <c r="K120" s="105" t="e">
        <f t="shared" si="21"/>
        <v>#REF!</v>
      </c>
      <c r="L120" s="164" t="e">
        <f t="shared" si="19"/>
        <v>#REF!</v>
      </c>
      <c r="M120" s="105" t="e">
        <f t="shared" si="22"/>
        <v>#REF!</v>
      </c>
      <c r="N120" s="105" t="e">
        <f>VLOOKUP($A120,#REF!,46,FALSE)</f>
        <v>#REF!</v>
      </c>
      <c r="O120" s="106" t="e">
        <f>VLOOKUP($A120,#REF!,9,FALSE)</f>
        <v>#REF!</v>
      </c>
      <c r="P120" s="114" t="e">
        <f>#REF!</f>
        <v>#REF!</v>
      </c>
      <c r="Q120" s="114" t="e">
        <f>VLOOKUP(A120,#REF!,17,FALSE)</f>
        <v>#REF!</v>
      </c>
      <c r="R120" s="120" t="e">
        <f>#REF!</f>
        <v>#REF!</v>
      </c>
      <c r="S120" s="114" t="e">
        <f>IF(Q120=0,#REF!,ROUND(Q120*R120,4))</f>
        <v>#REF!</v>
      </c>
      <c r="T120" s="105" t="e">
        <f>VLOOKUP($A120,#REF!,15,FALSE)</f>
        <v>#REF!</v>
      </c>
      <c r="U120" s="105" t="e">
        <f>VLOOKUP($A120,#REF!,19,FALSE)</f>
        <v>#REF!</v>
      </c>
      <c r="V120" s="109" t="e">
        <f t="shared" si="23"/>
        <v>#REF!</v>
      </c>
      <c r="W120" s="121" t="e">
        <f t="shared" si="24"/>
        <v>#REF!</v>
      </c>
      <c r="X120" s="105" t="e">
        <f t="shared" si="25"/>
        <v>#REF!</v>
      </c>
      <c r="Y120" s="109" t="e">
        <f t="shared" si="26"/>
        <v>#REF!</v>
      </c>
      <c r="Z120" s="109" t="e">
        <f t="shared" si="27"/>
        <v>#REF!</v>
      </c>
      <c r="AA120" s="113" t="e">
        <f t="shared" si="28"/>
        <v>#REF!</v>
      </c>
      <c r="AB120" s="109" t="e">
        <f t="shared" si="29"/>
        <v>#REF!</v>
      </c>
      <c r="AC120" s="113" t="e">
        <f t="shared" si="30"/>
        <v>#REF!</v>
      </c>
      <c r="AD120" s="105" t="e">
        <f t="shared" si="31"/>
        <v>#REF!</v>
      </c>
      <c r="AE120" s="105" t="e">
        <f t="shared" si="32"/>
        <v>#REF!</v>
      </c>
      <c r="AF120" s="105" t="e">
        <f t="shared" si="33"/>
        <v>#REF!</v>
      </c>
      <c r="AG120" s="105" t="e">
        <f t="shared" si="34"/>
        <v>#REF!</v>
      </c>
      <c r="AH120" s="111" t="e">
        <f>VLOOKUP($A120,#REF!,5,FALSE)</f>
        <v>#REF!</v>
      </c>
      <c r="AI120" s="111" t="e">
        <f>VLOOKUP($A120,#REF!,6,FALSE)</f>
        <v>#REF!</v>
      </c>
      <c r="AJ120" s="109" t="e">
        <f t="shared" si="35"/>
        <v>#REF!</v>
      </c>
      <c r="AK120" s="109" t="e">
        <f t="shared" si="36"/>
        <v>#REF!</v>
      </c>
      <c r="AL120" s="109"/>
      <c r="AM120" s="110"/>
      <c r="AN120" s="110"/>
      <c r="AO120" s="110"/>
      <c r="AP120" s="110"/>
      <c r="AQ120" s="112"/>
      <c r="AR120" s="112"/>
      <c r="AS120" s="110"/>
      <c r="AT120" s="105"/>
      <c r="AU120" s="105"/>
      <c r="AV120" s="105"/>
      <c r="AW120" s="105"/>
      <c r="AX120" s="105"/>
      <c r="AY120" s="105"/>
    </row>
    <row r="121" spans="1:51" x14ac:dyDescent="0.15">
      <c r="A121" s="115">
        <v>460</v>
      </c>
      <c r="B121" s="98" t="e">
        <f>VLOOKUP($A121,#REF!,101,FALSE)</f>
        <v>#REF!</v>
      </c>
      <c r="C121" s="98" t="e">
        <f>VLOOKUP($A121,#REF!,102,FALSE)</f>
        <v>#REF!</v>
      </c>
      <c r="D121" s="104" t="e">
        <f>VLOOKUP($A121,#REF!,5,FALSE)</f>
        <v>#REF!</v>
      </c>
      <c r="E121" s="104" t="e">
        <f>VLOOKUP($A121,#REF!,6,FALSE)</f>
        <v>#REF!</v>
      </c>
      <c r="F121" s="105" t="e">
        <f>VLOOKUP($A121,#REF!,34,FALSE)</f>
        <v>#REF!</v>
      </c>
      <c r="G121" s="105" t="e">
        <f>VLOOKUP($A121,#REF!,29,FALSE)</f>
        <v>#REF!</v>
      </c>
      <c r="H121" s="105" t="e">
        <f>VLOOKUP($A121,#REF!,35,FALSE)+VLOOKUP($A121,#REF!,97,FALSE)</f>
        <v>#REF!</v>
      </c>
      <c r="I121" s="105" t="e">
        <f t="shared" si="20"/>
        <v>#REF!</v>
      </c>
      <c r="J121" s="105" t="e">
        <f>VLOOKUP($A121,#REF!,42,FALSE)</f>
        <v>#REF!</v>
      </c>
      <c r="K121" s="105" t="e">
        <f t="shared" si="21"/>
        <v>#REF!</v>
      </c>
      <c r="L121" s="164" t="e">
        <f t="shared" si="19"/>
        <v>#REF!</v>
      </c>
      <c r="M121" s="105" t="e">
        <f t="shared" si="22"/>
        <v>#REF!</v>
      </c>
      <c r="N121" s="105" t="e">
        <f>VLOOKUP($A121,#REF!,46,FALSE)</f>
        <v>#REF!</v>
      </c>
      <c r="O121" s="106" t="e">
        <f>VLOOKUP($A121,#REF!,9,FALSE)</f>
        <v>#REF!</v>
      </c>
      <c r="P121" s="114" t="e">
        <f>#REF!</f>
        <v>#REF!</v>
      </c>
      <c r="Q121" s="114" t="e">
        <f>VLOOKUP(A121,#REF!,17,FALSE)</f>
        <v>#REF!</v>
      </c>
      <c r="R121" s="120" t="e">
        <f>#REF!</f>
        <v>#REF!</v>
      </c>
      <c r="S121" s="114" t="e">
        <f>IF(Q121=0,#REF!,ROUND(Q121*R121,4))</f>
        <v>#REF!</v>
      </c>
      <c r="T121" s="105" t="e">
        <f>VLOOKUP($A121,#REF!,15,FALSE)</f>
        <v>#REF!</v>
      </c>
      <c r="U121" s="105" t="e">
        <f>VLOOKUP($A121,#REF!,19,FALSE)</f>
        <v>#REF!</v>
      </c>
      <c r="V121" s="109" t="e">
        <f t="shared" si="23"/>
        <v>#REF!</v>
      </c>
      <c r="W121" s="121" t="e">
        <f t="shared" si="24"/>
        <v>#REF!</v>
      </c>
      <c r="X121" s="105" t="e">
        <f t="shared" si="25"/>
        <v>#REF!</v>
      </c>
      <c r="Y121" s="109" t="e">
        <f t="shared" si="26"/>
        <v>#REF!</v>
      </c>
      <c r="Z121" s="109" t="e">
        <f t="shared" si="27"/>
        <v>#REF!</v>
      </c>
      <c r="AA121" s="113" t="e">
        <f t="shared" si="28"/>
        <v>#REF!</v>
      </c>
      <c r="AB121" s="109" t="e">
        <f t="shared" si="29"/>
        <v>#REF!</v>
      </c>
      <c r="AC121" s="113" t="e">
        <f t="shared" si="30"/>
        <v>#REF!</v>
      </c>
      <c r="AD121" s="105" t="e">
        <f t="shared" si="31"/>
        <v>#REF!</v>
      </c>
      <c r="AE121" s="105" t="e">
        <f t="shared" si="32"/>
        <v>#REF!</v>
      </c>
      <c r="AF121" s="105" t="e">
        <f t="shared" si="33"/>
        <v>#REF!</v>
      </c>
      <c r="AG121" s="105" t="e">
        <f t="shared" si="34"/>
        <v>#REF!</v>
      </c>
      <c r="AH121" s="111" t="e">
        <f>VLOOKUP($A121,#REF!,5,FALSE)</f>
        <v>#REF!</v>
      </c>
      <c r="AI121" s="111" t="e">
        <f>VLOOKUP($A121,#REF!,6,FALSE)</f>
        <v>#REF!</v>
      </c>
      <c r="AJ121" s="109" t="e">
        <f t="shared" si="35"/>
        <v>#REF!</v>
      </c>
      <c r="AK121" s="109" t="e">
        <f t="shared" si="36"/>
        <v>#REF!</v>
      </c>
      <c r="AL121" s="109"/>
      <c r="AM121" s="110"/>
      <c r="AN121" s="110"/>
      <c r="AO121" s="110"/>
      <c r="AP121" s="110"/>
      <c r="AQ121" s="112"/>
      <c r="AR121" s="112"/>
      <c r="AS121" s="110"/>
      <c r="AT121" s="105"/>
      <c r="AU121" s="105"/>
      <c r="AV121" s="105"/>
      <c r="AW121" s="105"/>
      <c r="AX121" s="105"/>
      <c r="AY121" s="105"/>
    </row>
    <row r="122" spans="1:51" x14ac:dyDescent="0.15">
      <c r="A122" s="115">
        <v>238</v>
      </c>
      <c r="B122" s="98" t="e">
        <f>VLOOKUP($A122,#REF!,101,FALSE)</f>
        <v>#REF!</v>
      </c>
      <c r="C122" s="98" t="e">
        <f>VLOOKUP($A122,#REF!,102,FALSE)</f>
        <v>#REF!</v>
      </c>
      <c r="D122" s="104" t="e">
        <f>VLOOKUP($A122,#REF!,5,FALSE)</f>
        <v>#REF!</v>
      </c>
      <c r="E122" s="104" t="e">
        <f>VLOOKUP($A122,#REF!,6,FALSE)</f>
        <v>#REF!</v>
      </c>
      <c r="F122" s="105" t="e">
        <f>VLOOKUP($A122,#REF!,34,FALSE)</f>
        <v>#REF!</v>
      </c>
      <c r="G122" s="105" t="e">
        <f>VLOOKUP($A122,#REF!,29,FALSE)</f>
        <v>#REF!</v>
      </c>
      <c r="H122" s="105" t="e">
        <f>VLOOKUP($A122,#REF!,35,FALSE)+VLOOKUP($A122,#REF!,97,FALSE)</f>
        <v>#REF!</v>
      </c>
      <c r="I122" s="105" t="e">
        <f t="shared" si="20"/>
        <v>#REF!</v>
      </c>
      <c r="J122" s="105" t="e">
        <f>VLOOKUP($A122,#REF!,42,FALSE)</f>
        <v>#REF!</v>
      </c>
      <c r="K122" s="105" t="e">
        <f t="shared" si="21"/>
        <v>#REF!</v>
      </c>
      <c r="L122" s="164" t="e">
        <f t="shared" si="19"/>
        <v>#REF!</v>
      </c>
      <c r="M122" s="105" t="e">
        <f t="shared" si="22"/>
        <v>#REF!</v>
      </c>
      <c r="N122" s="105" t="e">
        <f>VLOOKUP($A122,#REF!,46,FALSE)</f>
        <v>#REF!</v>
      </c>
      <c r="O122" s="106" t="e">
        <f>VLOOKUP($A122,#REF!,9,FALSE)</f>
        <v>#REF!</v>
      </c>
      <c r="P122" s="114" t="e">
        <f>#REF!</f>
        <v>#REF!</v>
      </c>
      <c r="Q122" s="114" t="e">
        <f>VLOOKUP(A122,#REF!,17,FALSE)</f>
        <v>#REF!</v>
      </c>
      <c r="R122" s="120" t="e">
        <f>#REF!</f>
        <v>#REF!</v>
      </c>
      <c r="S122" s="114" t="e">
        <f>IF(Q122=0,#REF!,ROUND(Q122*R122,4))</f>
        <v>#REF!</v>
      </c>
      <c r="T122" s="105" t="e">
        <f>VLOOKUP($A122,#REF!,15,FALSE)</f>
        <v>#REF!</v>
      </c>
      <c r="U122" s="105" t="e">
        <f>VLOOKUP($A122,#REF!,19,FALSE)</f>
        <v>#REF!</v>
      </c>
      <c r="V122" s="109" t="e">
        <f t="shared" si="23"/>
        <v>#REF!</v>
      </c>
      <c r="W122" s="121" t="e">
        <f t="shared" si="24"/>
        <v>#REF!</v>
      </c>
      <c r="X122" s="105" t="e">
        <f t="shared" si="25"/>
        <v>#REF!</v>
      </c>
      <c r="Y122" s="109" t="e">
        <f t="shared" si="26"/>
        <v>#REF!</v>
      </c>
      <c r="Z122" s="109" t="e">
        <f t="shared" si="27"/>
        <v>#REF!</v>
      </c>
      <c r="AA122" s="113" t="e">
        <f t="shared" si="28"/>
        <v>#REF!</v>
      </c>
      <c r="AB122" s="109" t="e">
        <f t="shared" si="29"/>
        <v>#REF!</v>
      </c>
      <c r="AC122" s="113" t="e">
        <f t="shared" si="30"/>
        <v>#REF!</v>
      </c>
      <c r="AD122" s="105" t="e">
        <f t="shared" si="31"/>
        <v>#REF!</v>
      </c>
      <c r="AE122" s="105" t="e">
        <f t="shared" si="32"/>
        <v>#REF!</v>
      </c>
      <c r="AF122" s="105" t="e">
        <f t="shared" si="33"/>
        <v>#REF!</v>
      </c>
      <c r="AG122" s="105" t="e">
        <f t="shared" si="34"/>
        <v>#REF!</v>
      </c>
      <c r="AH122" s="111" t="e">
        <f>VLOOKUP($A122,#REF!,5,FALSE)</f>
        <v>#REF!</v>
      </c>
      <c r="AI122" s="111" t="e">
        <f>VLOOKUP($A122,#REF!,6,FALSE)</f>
        <v>#REF!</v>
      </c>
      <c r="AJ122" s="109" t="e">
        <f t="shared" si="35"/>
        <v>#REF!</v>
      </c>
      <c r="AK122" s="109" t="e">
        <f t="shared" si="36"/>
        <v>#REF!</v>
      </c>
      <c r="AL122" s="109"/>
      <c r="AM122" s="110"/>
      <c r="AN122" s="110"/>
      <c r="AO122" s="110"/>
      <c r="AP122" s="110"/>
      <c r="AQ122" s="112"/>
      <c r="AR122" s="112"/>
      <c r="AS122" s="110"/>
      <c r="AT122" s="105"/>
      <c r="AU122" s="105"/>
      <c r="AV122" s="105"/>
      <c r="AW122" s="105"/>
      <c r="AX122" s="105"/>
      <c r="AY122" s="105"/>
    </row>
    <row r="123" spans="1:51" x14ac:dyDescent="0.15">
      <c r="A123" s="115">
        <v>242</v>
      </c>
      <c r="B123" s="98" t="e">
        <f>VLOOKUP($A123,#REF!,101,FALSE)</f>
        <v>#REF!</v>
      </c>
      <c r="C123" s="98" t="e">
        <f>VLOOKUP($A123,#REF!,102,FALSE)</f>
        <v>#REF!</v>
      </c>
      <c r="D123" s="104" t="e">
        <f>VLOOKUP($A123,#REF!,5,FALSE)</f>
        <v>#REF!</v>
      </c>
      <c r="E123" s="104" t="e">
        <f>VLOOKUP($A123,#REF!,6,FALSE)</f>
        <v>#REF!</v>
      </c>
      <c r="F123" s="105" t="e">
        <f>VLOOKUP($A123,#REF!,34,FALSE)</f>
        <v>#REF!</v>
      </c>
      <c r="G123" s="105" t="e">
        <f>VLOOKUP($A123,#REF!,29,FALSE)</f>
        <v>#REF!</v>
      </c>
      <c r="H123" s="105" t="e">
        <f>VLOOKUP($A123,#REF!,35,FALSE)+VLOOKUP($A123,#REF!,97,FALSE)</f>
        <v>#REF!</v>
      </c>
      <c r="I123" s="105" t="e">
        <f t="shared" si="20"/>
        <v>#REF!</v>
      </c>
      <c r="J123" s="105" t="e">
        <f>VLOOKUP($A123,#REF!,42,FALSE)</f>
        <v>#REF!</v>
      </c>
      <c r="K123" s="105" t="e">
        <f t="shared" si="21"/>
        <v>#REF!</v>
      </c>
      <c r="L123" s="164" t="e">
        <f t="shared" si="19"/>
        <v>#REF!</v>
      </c>
      <c r="M123" s="105" t="e">
        <f t="shared" si="22"/>
        <v>#REF!</v>
      </c>
      <c r="N123" s="105" t="e">
        <f>VLOOKUP($A123,#REF!,46,FALSE)</f>
        <v>#REF!</v>
      </c>
      <c r="O123" s="106" t="e">
        <f>VLOOKUP($A123,#REF!,9,FALSE)</f>
        <v>#REF!</v>
      </c>
      <c r="P123" s="114" t="e">
        <f>#REF!</f>
        <v>#REF!</v>
      </c>
      <c r="Q123" s="114" t="e">
        <f>VLOOKUP(A123,#REF!,17,FALSE)</f>
        <v>#REF!</v>
      </c>
      <c r="R123" s="120" t="e">
        <f>#REF!</f>
        <v>#REF!</v>
      </c>
      <c r="S123" s="114" t="e">
        <f>IF(Q123=0,#REF!,ROUND(Q123*R123,4))</f>
        <v>#REF!</v>
      </c>
      <c r="T123" s="105" t="e">
        <f>VLOOKUP($A123,#REF!,15,FALSE)</f>
        <v>#REF!</v>
      </c>
      <c r="U123" s="105" t="e">
        <f>VLOOKUP($A123,#REF!,19,FALSE)</f>
        <v>#REF!</v>
      </c>
      <c r="V123" s="109" t="e">
        <f t="shared" si="23"/>
        <v>#REF!</v>
      </c>
      <c r="W123" s="121" t="e">
        <f t="shared" si="24"/>
        <v>#REF!</v>
      </c>
      <c r="X123" s="105" t="e">
        <f t="shared" si="25"/>
        <v>#REF!</v>
      </c>
      <c r="Y123" s="109" t="e">
        <f t="shared" si="26"/>
        <v>#REF!</v>
      </c>
      <c r="Z123" s="109" t="e">
        <f t="shared" si="27"/>
        <v>#REF!</v>
      </c>
      <c r="AA123" s="113" t="e">
        <f t="shared" si="28"/>
        <v>#REF!</v>
      </c>
      <c r="AB123" s="109" t="e">
        <f t="shared" si="29"/>
        <v>#REF!</v>
      </c>
      <c r="AC123" s="113" t="e">
        <f t="shared" si="30"/>
        <v>#REF!</v>
      </c>
      <c r="AD123" s="105" t="e">
        <f t="shared" si="31"/>
        <v>#REF!</v>
      </c>
      <c r="AE123" s="105" t="e">
        <f t="shared" si="32"/>
        <v>#REF!</v>
      </c>
      <c r="AF123" s="105" t="e">
        <f t="shared" si="33"/>
        <v>#REF!</v>
      </c>
      <c r="AG123" s="105" t="e">
        <f t="shared" si="34"/>
        <v>#REF!</v>
      </c>
      <c r="AH123" s="111" t="e">
        <f>VLOOKUP($A123,#REF!,5,FALSE)</f>
        <v>#REF!</v>
      </c>
      <c r="AI123" s="111" t="e">
        <f>VLOOKUP($A123,#REF!,6,FALSE)</f>
        <v>#REF!</v>
      </c>
      <c r="AJ123" s="109" t="e">
        <f t="shared" si="35"/>
        <v>#REF!</v>
      </c>
      <c r="AK123" s="109" t="e">
        <f t="shared" si="36"/>
        <v>#REF!</v>
      </c>
      <c r="AL123" s="109"/>
      <c r="AM123" s="110"/>
      <c r="AN123" s="110"/>
      <c r="AO123" s="110"/>
      <c r="AP123" s="110"/>
      <c r="AQ123" s="112"/>
      <c r="AR123" s="112"/>
      <c r="AS123" s="110"/>
      <c r="AT123" s="105"/>
      <c r="AU123" s="105"/>
      <c r="AV123" s="105"/>
      <c r="AW123" s="105"/>
      <c r="AX123" s="105"/>
      <c r="AY123" s="105"/>
    </row>
    <row r="124" spans="1:51" x14ac:dyDescent="0.15">
      <c r="A124" s="115">
        <v>244</v>
      </c>
      <c r="B124" s="98" t="e">
        <f>VLOOKUP($A124,#REF!,101,FALSE)</f>
        <v>#REF!</v>
      </c>
      <c r="C124" s="98" t="e">
        <f>VLOOKUP($A124,#REF!,102,FALSE)</f>
        <v>#REF!</v>
      </c>
      <c r="D124" s="104" t="e">
        <f>VLOOKUP($A124,#REF!,5,FALSE)</f>
        <v>#REF!</v>
      </c>
      <c r="E124" s="104" t="e">
        <f>VLOOKUP($A124,#REF!,6,FALSE)</f>
        <v>#REF!</v>
      </c>
      <c r="F124" s="105" t="e">
        <f>VLOOKUP($A124,#REF!,34,FALSE)</f>
        <v>#REF!</v>
      </c>
      <c r="G124" s="105" t="e">
        <f>VLOOKUP($A124,#REF!,29,FALSE)</f>
        <v>#REF!</v>
      </c>
      <c r="H124" s="105" t="e">
        <f>VLOOKUP($A124,#REF!,35,FALSE)+VLOOKUP($A124,#REF!,97,FALSE)</f>
        <v>#REF!</v>
      </c>
      <c r="I124" s="105" t="e">
        <f t="shared" si="20"/>
        <v>#REF!</v>
      </c>
      <c r="J124" s="105" t="e">
        <f>VLOOKUP($A124,#REF!,42,FALSE)</f>
        <v>#REF!</v>
      </c>
      <c r="K124" s="105" t="e">
        <f t="shared" si="21"/>
        <v>#REF!</v>
      </c>
      <c r="L124" s="164" t="e">
        <f t="shared" si="19"/>
        <v>#REF!</v>
      </c>
      <c r="M124" s="105" t="e">
        <f t="shared" si="22"/>
        <v>#REF!</v>
      </c>
      <c r="N124" s="105" t="e">
        <f>VLOOKUP($A124,#REF!,46,FALSE)</f>
        <v>#REF!</v>
      </c>
      <c r="O124" s="106" t="e">
        <f>VLOOKUP($A124,#REF!,9,FALSE)</f>
        <v>#REF!</v>
      </c>
      <c r="P124" s="114" t="e">
        <f>#REF!</f>
        <v>#REF!</v>
      </c>
      <c r="Q124" s="114" t="e">
        <f>VLOOKUP(A124,#REF!,17,FALSE)</f>
        <v>#REF!</v>
      </c>
      <c r="R124" s="120" t="e">
        <f>#REF!</f>
        <v>#REF!</v>
      </c>
      <c r="S124" s="114" t="e">
        <f>IF(Q124=0,#REF!,ROUND(Q124*R124,4))</f>
        <v>#REF!</v>
      </c>
      <c r="T124" s="105" t="e">
        <f>VLOOKUP($A124,#REF!,15,FALSE)</f>
        <v>#REF!</v>
      </c>
      <c r="U124" s="105" t="e">
        <f>VLOOKUP($A124,#REF!,19,FALSE)</f>
        <v>#REF!</v>
      </c>
      <c r="V124" s="109" t="e">
        <f t="shared" si="23"/>
        <v>#REF!</v>
      </c>
      <c r="W124" s="121" t="e">
        <f t="shared" si="24"/>
        <v>#REF!</v>
      </c>
      <c r="X124" s="105" t="e">
        <f t="shared" si="25"/>
        <v>#REF!</v>
      </c>
      <c r="Y124" s="109" t="e">
        <f t="shared" si="26"/>
        <v>#REF!</v>
      </c>
      <c r="Z124" s="109" t="e">
        <f t="shared" si="27"/>
        <v>#REF!</v>
      </c>
      <c r="AA124" s="113" t="e">
        <f t="shared" si="28"/>
        <v>#REF!</v>
      </c>
      <c r="AB124" s="109" t="e">
        <f t="shared" si="29"/>
        <v>#REF!</v>
      </c>
      <c r="AC124" s="113" t="e">
        <f t="shared" si="30"/>
        <v>#REF!</v>
      </c>
      <c r="AD124" s="105" t="e">
        <f t="shared" si="31"/>
        <v>#REF!</v>
      </c>
      <c r="AE124" s="105" t="e">
        <f t="shared" si="32"/>
        <v>#REF!</v>
      </c>
      <c r="AF124" s="105" t="e">
        <f t="shared" si="33"/>
        <v>#REF!</v>
      </c>
      <c r="AG124" s="105" t="e">
        <f t="shared" si="34"/>
        <v>#REF!</v>
      </c>
      <c r="AH124" s="111" t="e">
        <f>VLOOKUP($A124,#REF!,5,FALSE)</f>
        <v>#REF!</v>
      </c>
      <c r="AI124" s="111" t="e">
        <f>VLOOKUP($A124,#REF!,6,FALSE)</f>
        <v>#REF!</v>
      </c>
      <c r="AJ124" s="109" t="e">
        <f t="shared" si="35"/>
        <v>#REF!</v>
      </c>
      <c r="AK124" s="109" t="e">
        <f t="shared" si="36"/>
        <v>#REF!</v>
      </c>
      <c r="AL124" s="109"/>
      <c r="AM124" s="110"/>
      <c r="AN124" s="110"/>
      <c r="AO124" s="110"/>
      <c r="AP124" s="110"/>
      <c r="AQ124" s="112"/>
      <c r="AR124" s="112"/>
      <c r="AS124" s="110"/>
      <c r="AT124" s="105"/>
      <c r="AU124" s="105"/>
      <c r="AV124" s="105"/>
      <c r="AW124" s="105"/>
      <c r="AX124" s="105"/>
      <c r="AY124" s="105"/>
    </row>
    <row r="125" spans="1:51" x14ac:dyDescent="0.15">
      <c r="A125" s="115">
        <v>226</v>
      </c>
      <c r="B125" s="98" t="e">
        <f>VLOOKUP($A125,#REF!,101,FALSE)</f>
        <v>#REF!</v>
      </c>
      <c r="C125" s="98" t="e">
        <f>VLOOKUP($A125,#REF!,102,FALSE)</f>
        <v>#REF!</v>
      </c>
      <c r="D125" s="104" t="e">
        <f>VLOOKUP($A125,#REF!,5,FALSE)</f>
        <v>#REF!</v>
      </c>
      <c r="E125" s="104" t="e">
        <f>VLOOKUP($A125,#REF!,6,FALSE)</f>
        <v>#REF!</v>
      </c>
      <c r="F125" s="105" t="e">
        <f>VLOOKUP($A125,#REF!,34,FALSE)</f>
        <v>#REF!</v>
      </c>
      <c r="G125" s="105" t="e">
        <f>VLOOKUP($A125,#REF!,29,FALSE)</f>
        <v>#REF!</v>
      </c>
      <c r="H125" s="105" t="e">
        <f>VLOOKUP($A125,#REF!,35,FALSE)+VLOOKUP($A125,#REF!,97,FALSE)</f>
        <v>#REF!</v>
      </c>
      <c r="I125" s="105" t="e">
        <f t="shared" si="20"/>
        <v>#REF!</v>
      </c>
      <c r="J125" s="105" t="e">
        <f>VLOOKUP($A125,#REF!,42,FALSE)</f>
        <v>#REF!</v>
      </c>
      <c r="K125" s="105" t="e">
        <f t="shared" si="21"/>
        <v>#REF!</v>
      </c>
      <c r="L125" s="164" t="e">
        <f t="shared" si="19"/>
        <v>#REF!</v>
      </c>
      <c r="M125" s="105" t="e">
        <f t="shared" si="22"/>
        <v>#REF!</v>
      </c>
      <c r="N125" s="105" t="e">
        <f>VLOOKUP($A125,#REF!,46,FALSE)</f>
        <v>#REF!</v>
      </c>
      <c r="O125" s="106" t="e">
        <f>VLOOKUP($A125,#REF!,9,FALSE)</f>
        <v>#REF!</v>
      </c>
      <c r="P125" s="114" t="e">
        <f>#REF!</f>
        <v>#REF!</v>
      </c>
      <c r="Q125" s="114" t="e">
        <f>VLOOKUP(A125,#REF!,17,FALSE)</f>
        <v>#REF!</v>
      </c>
      <c r="R125" s="120" t="e">
        <f>#REF!</f>
        <v>#REF!</v>
      </c>
      <c r="S125" s="114" t="e">
        <f>IF(Q125=0,#REF!,ROUND(Q125*R125,4))</f>
        <v>#REF!</v>
      </c>
      <c r="T125" s="105" t="e">
        <f>VLOOKUP($A125,#REF!,15,FALSE)</f>
        <v>#REF!</v>
      </c>
      <c r="U125" s="105" t="e">
        <f>VLOOKUP($A125,#REF!,19,FALSE)</f>
        <v>#REF!</v>
      </c>
      <c r="V125" s="109" t="e">
        <f t="shared" si="23"/>
        <v>#REF!</v>
      </c>
      <c r="W125" s="121" t="e">
        <f t="shared" si="24"/>
        <v>#REF!</v>
      </c>
      <c r="X125" s="105" t="e">
        <f t="shared" si="25"/>
        <v>#REF!</v>
      </c>
      <c r="Y125" s="109" t="e">
        <f t="shared" si="26"/>
        <v>#REF!</v>
      </c>
      <c r="Z125" s="109" t="e">
        <f t="shared" si="27"/>
        <v>#REF!</v>
      </c>
      <c r="AA125" s="113" t="e">
        <f t="shared" si="28"/>
        <v>#REF!</v>
      </c>
      <c r="AB125" s="109" t="e">
        <f t="shared" si="29"/>
        <v>#REF!</v>
      </c>
      <c r="AC125" s="113" t="e">
        <f t="shared" si="30"/>
        <v>#REF!</v>
      </c>
      <c r="AD125" s="105" t="e">
        <f t="shared" si="31"/>
        <v>#REF!</v>
      </c>
      <c r="AE125" s="105" t="e">
        <f t="shared" si="32"/>
        <v>#REF!</v>
      </c>
      <c r="AF125" s="105" t="e">
        <f t="shared" si="33"/>
        <v>#REF!</v>
      </c>
      <c r="AG125" s="105" t="e">
        <f t="shared" si="34"/>
        <v>#REF!</v>
      </c>
      <c r="AH125" s="111" t="e">
        <f>VLOOKUP($A125,#REF!,5,FALSE)</f>
        <v>#REF!</v>
      </c>
      <c r="AI125" s="111" t="e">
        <f>VLOOKUP($A125,#REF!,6,FALSE)</f>
        <v>#REF!</v>
      </c>
      <c r="AJ125" s="109" t="e">
        <f t="shared" si="35"/>
        <v>#REF!</v>
      </c>
      <c r="AK125" s="109" t="e">
        <f t="shared" si="36"/>
        <v>#REF!</v>
      </c>
      <c r="AL125" s="109"/>
      <c r="AM125" s="110"/>
      <c r="AN125" s="110"/>
      <c r="AO125" s="110"/>
      <c r="AP125" s="110"/>
      <c r="AQ125" s="112"/>
      <c r="AR125" s="112"/>
      <c r="AS125" s="110"/>
      <c r="AT125" s="105"/>
      <c r="AU125" s="105"/>
      <c r="AV125" s="105"/>
      <c r="AW125" s="105"/>
      <c r="AX125" s="105"/>
      <c r="AY125" s="105"/>
    </row>
    <row r="126" spans="1:51" x14ac:dyDescent="0.15">
      <c r="A126" s="115">
        <v>1194</v>
      </c>
      <c r="B126" s="98" t="e">
        <f>VLOOKUP($A126,#REF!,101,FALSE)</f>
        <v>#REF!</v>
      </c>
      <c r="C126" s="98" t="e">
        <f>VLOOKUP($A126,#REF!,102,FALSE)</f>
        <v>#REF!</v>
      </c>
      <c r="D126" s="104" t="e">
        <f>VLOOKUP($A126,#REF!,5,FALSE)</f>
        <v>#REF!</v>
      </c>
      <c r="E126" s="104" t="e">
        <f>VLOOKUP($A126,#REF!,6,FALSE)</f>
        <v>#REF!</v>
      </c>
      <c r="F126" s="105" t="e">
        <f>VLOOKUP($A126,#REF!,34,FALSE)</f>
        <v>#REF!</v>
      </c>
      <c r="G126" s="105" t="e">
        <f>VLOOKUP($A126,#REF!,29,FALSE)</f>
        <v>#REF!</v>
      </c>
      <c r="H126" s="105" t="e">
        <f>VLOOKUP($A126,#REF!,35,FALSE)+VLOOKUP($A126,#REF!,97,FALSE)</f>
        <v>#REF!</v>
      </c>
      <c r="I126" s="105" t="e">
        <f t="shared" si="20"/>
        <v>#REF!</v>
      </c>
      <c r="J126" s="105" t="e">
        <f>VLOOKUP($A126,#REF!,42,FALSE)</f>
        <v>#REF!</v>
      </c>
      <c r="K126" s="105" t="e">
        <f t="shared" si="21"/>
        <v>#REF!</v>
      </c>
      <c r="L126" s="164" t="e">
        <f t="shared" si="19"/>
        <v>#REF!</v>
      </c>
      <c r="M126" s="105" t="e">
        <f t="shared" si="22"/>
        <v>#REF!</v>
      </c>
      <c r="N126" s="105" t="e">
        <f>VLOOKUP($A126,#REF!,46,FALSE)</f>
        <v>#REF!</v>
      </c>
      <c r="O126" s="106" t="e">
        <f>VLOOKUP($A126,#REF!,9,FALSE)</f>
        <v>#REF!</v>
      </c>
      <c r="P126" s="114" t="e">
        <f>#REF!</f>
        <v>#REF!</v>
      </c>
      <c r="Q126" s="114" t="e">
        <f>VLOOKUP(A126,#REF!,17,FALSE)</f>
        <v>#REF!</v>
      </c>
      <c r="R126" s="120" t="e">
        <f>#REF!</f>
        <v>#REF!</v>
      </c>
      <c r="S126" s="114" t="e">
        <f>IF(Q126=0,#REF!,ROUND(Q126*R126,4))</f>
        <v>#REF!</v>
      </c>
      <c r="T126" s="105" t="e">
        <f>VLOOKUP($A126,#REF!,15,FALSE)</f>
        <v>#REF!</v>
      </c>
      <c r="U126" s="105" t="e">
        <f>VLOOKUP($A126,#REF!,19,FALSE)</f>
        <v>#REF!</v>
      </c>
      <c r="V126" s="109" t="e">
        <f t="shared" si="23"/>
        <v>#REF!</v>
      </c>
      <c r="W126" s="121" t="e">
        <f t="shared" si="24"/>
        <v>#REF!</v>
      </c>
      <c r="X126" s="105" t="e">
        <f t="shared" si="25"/>
        <v>#REF!</v>
      </c>
      <c r="Y126" s="109" t="e">
        <f t="shared" si="26"/>
        <v>#REF!</v>
      </c>
      <c r="Z126" s="109" t="e">
        <f t="shared" si="27"/>
        <v>#REF!</v>
      </c>
      <c r="AA126" s="113" t="e">
        <f t="shared" si="28"/>
        <v>#REF!</v>
      </c>
      <c r="AB126" s="109" t="e">
        <f t="shared" si="29"/>
        <v>#REF!</v>
      </c>
      <c r="AC126" s="113" t="e">
        <f t="shared" si="30"/>
        <v>#REF!</v>
      </c>
      <c r="AD126" s="105" t="e">
        <f t="shared" si="31"/>
        <v>#REF!</v>
      </c>
      <c r="AE126" s="105" t="e">
        <f t="shared" si="32"/>
        <v>#REF!</v>
      </c>
      <c r="AF126" s="105" t="e">
        <f t="shared" si="33"/>
        <v>#REF!</v>
      </c>
      <c r="AG126" s="105" t="e">
        <f t="shared" si="34"/>
        <v>#REF!</v>
      </c>
      <c r="AH126" s="111" t="e">
        <f>VLOOKUP($A126,#REF!,5,FALSE)</f>
        <v>#REF!</v>
      </c>
      <c r="AI126" s="111" t="e">
        <f>VLOOKUP($A126,#REF!,6,FALSE)</f>
        <v>#REF!</v>
      </c>
      <c r="AJ126" s="109" t="e">
        <f t="shared" si="35"/>
        <v>#REF!</v>
      </c>
      <c r="AK126" s="109" t="e">
        <f t="shared" si="36"/>
        <v>#REF!</v>
      </c>
      <c r="AL126" s="109"/>
      <c r="AM126" s="110"/>
      <c r="AN126" s="110"/>
      <c r="AO126" s="110"/>
      <c r="AP126" s="110"/>
      <c r="AQ126" s="112"/>
      <c r="AR126" s="112"/>
      <c r="AS126" s="110"/>
      <c r="AT126" s="105"/>
      <c r="AU126" s="105"/>
      <c r="AV126" s="105"/>
      <c r="AW126" s="105"/>
      <c r="AX126" s="105"/>
      <c r="AY126" s="105"/>
    </row>
    <row r="127" spans="1:51" x14ac:dyDescent="0.15">
      <c r="A127" s="115">
        <v>254</v>
      </c>
      <c r="B127" s="98" t="e">
        <f>VLOOKUP($A127,#REF!,101,FALSE)</f>
        <v>#REF!</v>
      </c>
      <c r="C127" s="98" t="e">
        <f>VLOOKUP($A127,#REF!,102,FALSE)</f>
        <v>#REF!</v>
      </c>
      <c r="D127" s="104" t="e">
        <f>VLOOKUP($A127,#REF!,5,FALSE)</f>
        <v>#REF!</v>
      </c>
      <c r="E127" s="104" t="e">
        <f>VLOOKUP($A127,#REF!,6,FALSE)</f>
        <v>#REF!</v>
      </c>
      <c r="F127" s="105" t="e">
        <f>VLOOKUP($A127,#REF!,34,FALSE)</f>
        <v>#REF!</v>
      </c>
      <c r="G127" s="105" t="e">
        <f>VLOOKUP($A127,#REF!,29,FALSE)</f>
        <v>#REF!</v>
      </c>
      <c r="H127" s="105" t="e">
        <f>VLOOKUP($A127,#REF!,35,FALSE)+VLOOKUP($A127,#REF!,97,FALSE)</f>
        <v>#REF!</v>
      </c>
      <c r="I127" s="105" t="e">
        <f t="shared" si="20"/>
        <v>#REF!</v>
      </c>
      <c r="J127" s="105" t="e">
        <f>VLOOKUP($A127,#REF!,42,FALSE)</f>
        <v>#REF!</v>
      </c>
      <c r="K127" s="105" t="e">
        <f t="shared" si="21"/>
        <v>#REF!</v>
      </c>
      <c r="L127" s="164" t="e">
        <f t="shared" si="19"/>
        <v>#REF!</v>
      </c>
      <c r="M127" s="105" t="e">
        <f t="shared" si="22"/>
        <v>#REF!</v>
      </c>
      <c r="N127" s="105" t="e">
        <f>VLOOKUP($A127,#REF!,46,FALSE)</f>
        <v>#REF!</v>
      </c>
      <c r="O127" s="106" t="e">
        <f>VLOOKUP($A127,#REF!,9,FALSE)</f>
        <v>#REF!</v>
      </c>
      <c r="P127" s="114" t="e">
        <f>#REF!</f>
        <v>#REF!</v>
      </c>
      <c r="Q127" s="114" t="e">
        <f>VLOOKUP(A127,#REF!,17,FALSE)</f>
        <v>#REF!</v>
      </c>
      <c r="R127" s="120" t="e">
        <f>#REF!</f>
        <v>#REF!</v>
      </c>
      <c r="S127" s="114" t="e">
        <f>IF(Q127=0,#REF!,ROUND(Q127*R127,4))</f>
        <v>#REF!</v>
      </c>
      <c r="T127" s="105" t="e">
        <f>VLOOKUP($A127,#REF!,15,FALSE)</f>
        <v>#REF!</v>
      </c>
      <c r="U127" s="105" t="e">
        <f>VLOOKUP($A127,#REF!,19,FALSE)</f>
        <v>#REF!</v>
      </c>
      <c r="V127" s="109" t="e">
        <f t="shared" si="23"/>
        <v>#REF!</v>
      </c>
      <c r="W127" s="121" t="e">
        <f t="shared" si="24"/>
        <v>#REF!</v>
      </c>
      <c r="X127" s="105" t="e">
        <f t="shared" si="25"/>
        <v>#REF!</v>
      </c>
      <c r="Y127" s="109" t="e">
        <f t="shared" si="26"/>
        <v>#REF!</v>
      </c>
      <c r="Z127" s="109" t="e">
        <f t="shared" si="27"/>
        <v>#REF!</v>
      </c>
      <c r="AA127" s="113" t="e">
        <f t="shared" si="28"/>
        <v>#REF!</v>
      </c>
      <c r="AB127" s="109" t="e">
        <f t="shared" si="29"/>
        <v>#REF!</v>
      </c>
      <c r="AC127" s="113" t="e">
        <f t="shared" si="30"/>
        <v>#REF!</v>
      </c>
      <c r="AD127" s="105" t="e">
        <f t="shared" si="31"/>
        <v>#REF!</v>
      </c>
      <c r="AE127" s="105" t="e">
        <f t="shared" si="32"/>
        <v>#REF!</v>
      </c>
      <c r="AF127" s="105" t="e">
        <f t="shared" si="33"/>
        <v>#REF!</v>
      </c>
      <c r="AG127" s="105" t="e">
        <f t="shared" si="34"/>
        <v>#REF!</v>
      </c>
      <c r="AH127" s="111" t="e">
        <f>VLOOKUP($A127,#REF!,5,FALSE)</f>
        <v>#REF!</v>
      </c>
      <c r="AI127" s="111" t="e">
        <f>VLOOKUP($A127,#REF!,6,FALSE)</f>
        <v>#REF!</v>
      </c>
      <c r="AJ127" s="109" t="e">
        <f t="shared" si="35"/>
        <v>#REF!</v>
      </c>
      <c r="AK127" s="109" t="e">
        <f t="shared" si="36"/>
        <v>#REF!</v>
      </c>
      <c r="AL127" s="109"/>
      <c r="AM127" s="110"/>
      <c r="AN127" s="110"/>
      <c r="AO127" s="110"/>
      <c r="AP127" s="110"/>
      <c r="AQ127" s="112"/>
      <c r="AR127" s="112"/>
      <c r="AS127" s="110"/>
      <c r="AT127" s="105"/>
      <c r="AU127" s="105"/>
      <c r="AV127" s="105"/>
      <c r="AW127" s="105"/>
      <c r="AX127" s="105"/>
      <c r="AY127" s="105"/>
    </row>
    <row r="128" spans="1:51" x14ac:dyDescent="0.15">
      <c r="A128" s="115">
        <v>256</v>
      </c>
      <c r="B128" s="98" t="e">
        <f>VLOOKUP($A128,#REF!,101,FALSE)</f>
        <v>#REF!</v>
      </c>
      <c r="C128" s="98" t="e">
        <f>VLOOKUP($A128,#REF!,102,FALSE)</f>
        <v>#REF!</v>
      </c>
      <c r="D128" s="104" t="e">
        <f>VLOOKUP($A128,#REF!,5,FALSE)</f>
        <v>#REF!</v>
      </c>
      <c r="E128" s="104" t="e">
        <f>VLOOKUP($A128,#REF!,6,FALSE)</f>
        <v>#REF!</v>
      </c>
      <c r="F128" s="105" t="e">
        <f>VLOOKUP($A128,#REF!,34,FALSE)</f>
        <v>#REF!</v>
      </c>
      <c r="G128" s="105" t="e">
        <f>VLOOKUP($A128,#REF!,29,FALSE)</f>
        <v>#REF!</v>
      </c>
      <c r="H128" s="105" t="e">
        <f>VLOOKUP($A128,#REF!,35,FALSE)+VLOOKUP($A128,#REF!,97,FALSE)</f>
        <v>#REF!</v>
      </c>
      <c r="I128" s="105" t="e">
        <f t="shared" si="20"/>
        <v>#REF!</v>
      </c>
      <c r="J128" s="105" t="e">
        <f>VLOOKUP($A128,#REF!,42,FALSE)</f>
        <v>#REF!</v>
      </c>
      <c r="K128" s="105" t="e">
        <f t="shared" si="21"/>
        <v>#REF!</v>
      </c>
      <c r="L128" s="164" t="e">
        <f t="shared" si="19"/>
        <v>#REF!</v>
      </c>
      <c r="M128" s="105" t="e">
        <f t="shared" si="22"/>
        <v>#REF!</v>
      </c>
      <c r="N128" s="105" t="e">
        <f>VLOOKUP($A128,#REF!,46,FALSE)</f>
        <v>#REF!</v>
      </c>
      <c r="O128" s="106" t="e">
        <f>VLOOKUP($A128,#REF!,9,FALSE)</f>
        <v>#REF!</v>
      </c>
      <c r="P128" s="114" t="e">
        <f>#REF!</f>
        <v>#REF!</v>
      </c>
      <c r="Q128" s="114" t="e">
        <f>VLOOKUP(A128,#REF!,17,FALSE)</f>
        <v>#REF!</v>
      </c>
      <c r="R128" s="120" t="e">
        <f>#REF!</f>
        <v>#REF!</v>
      </c>
      <c r="S128" s="114" t="e">
        <f>IF(Q128=0,#REF!,ROUND(Q128*R128,4))</f>
        <v>#REF!</v>
      </c>
      <c r="T128" s="105" t="e">
        <f>VLOOKUP($A128,#REF!,15,FALSE)</f>
        <v>#REF!</v>
      </c>
      <c r="U128" s="105" t="e">
        <f>VLOOKUP($A128,#REF!,19,FALSE)</f>
        <v>#REF!</v>
      </c>
      <c r="V128" s="109" t="e">
        <f t="shared" si="23"/>
        <v>#REF!</v>
      </c>
      <c r="W128" s="121" t="e">
        <f t="shared" si="24"/>
        <v>#REF!</v>
      </c>
      <c r="X128" s="105" t="e">
        <f t="shared" si="25"/>
        <v>#REF!</v>
      </c>
      <c r="Y128" s="109" t="e">
        <f t="shared" si="26"/>
        <v>#REF!</v>
      </c>
      <c r="Z128" s="109" t="e">
        <f t="shared" si="27"/>
        <v>#REF!</v>
      </c>
      <c r="AA128" s="113" t="e">
        <f t="shared" si="28"/>
        <v>#REF!</v>
      </c>
      <c r="AB128" s="109" t="e">
        <f t="shared" si="29"/>
        <v>#REF!</v>
      </c>
      <c r="AC128" s="113" t="e">
        <f t="shared" si="30"/>
        <v>#REF!</v>
      </c>
      <c r="AD128" s="105" t="e">
        <f t="shared" si="31"/>
        <v>#REF!</v>
      </c>
      <c r="AE128" s="105" t="e">
        <f t="shared" si="32"/>
        <v>#REF!</v>
      </c>
      <c r="AF128" s="105" t="e">
        <f t="shared" si="33"/>
        <v>#REF!</v>
      </c>
      <c r="AG128" s="105" t="e">
        <f t="shared" si="34"/>
        <v>#REF!</v>
      </c>
      <c r="AH128" s="111" t="e">
        <f>VLOOKUP($A128,#REF!,5,FALSE)</f>
        <v>#REF!</v>
      </c>
      <c r="AI128" s="111" t="e">
        <f>VLOOKUP($A128,#REF!,6,FALSE)</f>
        <v>#REF!</v>
      </c>
      <c r="AJ128" s="109" t="e">
        <f t="shared" si="35"/>
        <v>#REF!</v>
      </c>
      <c r="AK128" s="109" t="e">
        <f t="shared" si="36"/>
        <v>#REF!</v>
      </c>
      <c r="AL128" s="109"/>
      <c r="AM128" s="110"/>
      <c r="AN128" s="110"/>
      <c r="AO128" s="110"/>
      <c r="AP128" s="110"/>
      <c r="AQ128" s="112"/>
      <c r="AR128" s="112"/>
      <c r="AS128" s="110"/>
      <c r="AT128" s="105"/>
      <c r="AU128" s="105"/>
      <c r="AV128" s="105"/>
      <c r="AW128" s="105"/>
      <c r="AX128" s="105"/>
      <c r="AY128" s="105"/>
    </row>
    <row r="129" spans="1:51" x14ac:dyDescent="0.15">
      <c r="A129" s="115">
        <v>258</v>
      </c>
      <c r="B129" s="98" t="e">
        <f>VLOOKUP($A129,#REF!,101,FALSE)</f>
        <v>#REF!</v>
      </c>
      <c r="C129" s="98" t="e">
        <f>VLOOKUP($A129,#REF!,102,FALSE)</f>
        <v>#REF!</v>
      </c>
      <c r="D129" s="104" t="e">
        <f>VLOOKUP($A129,#REF!,5,FALSE)</f>
        <v>#REF!</v>
      </c>
      <c r="E129" s="104" t="e">
        <f>VLOOKUP($A129,#REF!,6,FALSE)</f>
        <v>#REF!</v>
      </c>
      <c r="F129" s="105" t="e">
        <f>VLOOKUP($A129,#REF!,34,FALSE)</f>
        <v>#REF!</v>
      </c>
      <c r="G129" s="105" t="e">
        <f>VLOOKUP($A129,#REF!,29,FALSE)</f>
        <v>#REF!</v>
      </c>
      <c r="H129" s="105" t="e">
        <f>VLOOKUP($A129,#REF!,35,FALSE)+VLOOKUP($A129,#REF!,97,FALSE)</f>
        <v>#REF!</v>
      </c>
      <c r="I129" s="105" t="e">
        <f t="shared" si="20"/>
        <v>#REF!</v>
      </c>
      <c r="J129" s="105" t="e">
        <f>VLOOKUP($A129,#REF!,42,FALSE)</f>
        <v>#REF!</v>
      </c>
      <c r="K129" s="105" t="e">
        <f t="shared" si="21"/>
        <v>#REF!</v>
      </c>
      <c r="L129" s="164" t="e">
        <f t="shared" si="19"/>
        <v>#REF!</v>
      </c>
      <c r="M129" s="105" t="e">
        <f t="shared" si="22"/>
        <v>#REF!</v>
      </c>
      <c r="N129" s="105" t="e">
        <f>VLOOKUP($A129,#REF!,46,FALSE)</f>
        <v>#REF!</v>
      </c>
      <c r="O129" s="106" t="e">
        <f>VLOOKUP($A129,#REF!,9,FALSE)</f>
        <v>#REF!</v>
      </c>
      <c r="P129" s="114" t="e">
        <f>#REF!</f>
        <v>#REF!</v>
      </c>
      <c r="Q129" s="114" t="e">
        <f>VLOOKUP(A129,#REF!,17,FALSE)</f>
        <v>#REF!</v>
      </c>
      <c r="R129" s="120" t="e">
        <f>#REF!</f>
        <v>#REF!</v>
      </c>
      <c r="S129" s="114" t="e">
        <f>IF(Q129=0,#REF!,ROUND(Q129*R129,4))</f>
        <v>#REF!</v>
      </c>
      <c r="T129" s="105" t="e">
        <f>VLOOKUP($A129,#REF!,15,FALSE)</f>
        <v>#REF!</v>
      </c>
      <c r="U129" s="105" t="e">
        <f>VLOOKUP($A129,#REF!,19,FALSE)</f>
        <v>#REF!</v>
      </c>
      <c r="V129" s="109" t="e">
        <f t="shared" si="23"/>
        <v>#REF!</v>
      </c>
      <c r="W129" s="121" t="e">
        <f t="shared" si="24"/>
        <v>#REF!</v>
      </c>
      <c r="X129" s="105" t="e">
        <f t="shared" si="25"/>
        <v>#REF!</v>
      </c>
      <c r="Y129" s="109" t="e">
        <f t="shared" si="26"/>
        <v>#REF!</v>
      </c>
      <c r="Z129" s="109" t="e">
        <f t="shared" si="27"/>
        <v>#REF!</v>
      </c>
      <c r="AA129" s="113" t="e">
        <f t="shared" si="28"/>
        <v>#REF!</v>
      </c>
      <c r="AB129" s="109" t="e">
        <f t="shared" si="29"/>
        <v>#REF!</v>
      </c>
      <c r="AC129" s="113" t="e">
        <f t="shared" si="30"/>
        <v>#REF!</v>
      </c>
      <c r="AD129" s="105" t="e">
        <f t="shared" si="31"/>
        <v>#REF!</v>
      </c>
      <c r="AE129" s="105" t="e">
        <f t="shared" si="32"/>
        <v>#REF!</v>
      </c>
      <c r="AF129" s="105" t="e">
        <f t="shared" si="33"/>
        <v>#REF!</v>
      </c>
      <c r="AG129" s="105" t="e">
        <f t="shared" si="34"/>
        <v>#REF!</v>
      </c>
      <c r="AH129" s="111" t="e">
        <f>VLOOKUP($A129,#REF!,5,FALSE)</f>
        <v>#REF!</v>
      </c>
      <c r="AI129" s="111" t="e">
        <f>VLOOKUP($A129,#REF!,6,FALSE)</f>
        <v>#REF!</v>
      </c>
      <c r="AJ129" s="109" t="e">
        <f t="shared" si="35"/>
        <v>#REF!</v>
      </c>
      <c r="AK129" s="109" t="e">
        <f t="shared" si="36"/>
        <v>#REF!</v>
      </c>
      <c r="AL129" s="109"/>
      <c r="AM129" s="110"/>
      <c r="AN129" s="110"/>
      <c r="AO129" s="110"/>
      <c r="AP129" s="110"/>
      <c r="AQ129" s="112"/>
      <c r="AR129" s="112"/>
      <c r="AS129" s="110"/>
      <c r="AT129" s="105"/>
      <c r="AU129" s="105"/>
      <c r="AV129" s="105"/>
      <c r="AW129" s="105"/>
      <c r="AX129" s="105"/>
      <c r="AY129" s="105"/>
    </row>
    <row r="130" spans="1:51" x14ac:dyDescent="0.15">
      <c r="A130" s="115">
        <v>336</v>
      </c>
      <c r="B130" s="98" t="e">
        <f>VLOOKUP($A130,#REF!,101,FALSE)</f>
        <v>#REF!</v>
      </c>
      <c r="C130" s="98" t="e">
        <f>VLOOKUP($A130,#REF!,102,FALSE)</f>
        <v>#REF!</v>
      </c>
      <c r="D130" s="104" t="e">
        <f>VLOOKUP($A130,#REF!,5,FALSE)</f>
        <v>#REF!</v>
      </c>
      <c r="E130" s="104" t="e">
        <f>VLOOKUP($A130,#REF!,6,FALSE)</f>
        <v>#REF!</v>
      </c>
      <c r="F130" s="105" t="e">
        <f>VLOOKUP($A130,#REF!,34,FALSE)</f>
        <v>#REF!</v>
      </c>
      <c r="G130" s="105" t="e">
        <f>VLOOKUP($A130,#REF!,29,FALSE)</f>
        <v>#REF!</v>
      </c>
      <c r="H130" s="105" t="e">
        <f>VLOOKUP($A130,#REF!,35,FALSE)+VLOOKUP($A130,#REF!,97,FALSE)</f>
        <v>#REF!</v>
      </c>
      <c r="I130" s="105" t="e">
        <f t="shared" si="20"/>
        <v>#REF!</v>
      </c>
      <c r="J130" s="105" t="e">
        <f>VLOOKUP($A130,#REF!,42,FALSE)</f>
        <v>#REF!</v>
      </c>
      <c r="K130" s="105" t="e">
        <f t="shared" si="21"/>
        <v>#REF!</v>
      </c>
      <c r="L130" s="164" t="e">
        <f t="shared" si="19"/>
        <v>#REF!</v>
      </c>
      <c r="M130" s="105" t="e">
        <f t="shared" si="22"/>
        <v>#REF!</v>
      </c>
      <c r="N130" s="105" t="e">
        <f>VLOOKUP($A130,#REF!,46,FALSE)</f>
        <v>#REF!</v>
      </c>
      <c r="O130" s="106" t="e">
        <f>VLOOKUP($A130,#REF!,9,FALSE)</f>
        <v>#REF!</v>
      </c>
      <c r="P130" s="114" t="e">
        <f>#REF!</f>
        <v>#REF!</v>
      </c>
      <c r="Q130" s="114" t="e">
        <f>VLOOKUP(A130,#REF!,17,FALSE)</f>
        <v>#REF!</v>
      </c>
      <c r="R130" s="120" t="e">
        <f>#REF!</f>
        <v>#REF!</v>
      </c>
      <c r="S130" s="114" t="e">
        <f>IF(Q130=0,#REF!,ROUND(Q130*R130,4))</f>
        <v>#REF!</v>
      </c>
      <c r="T130" s="105" t="e">
        <f>VLOOKUP($A130,#REF!,15,FALSE)</f>
        <v>#REF!</v>
      </c>
      <c r="U130" s="105" t="e">
        <f>VLOOKUP($A130,#REF!,19,FALSE)</f>
        <v>#REF!</v>
      </c>
      <c r="V130" s="109" t="e">
        <f t="shared" si="23"/>
        <v>#REF!</v>
      </c>
      <c r="W130" s="121" t="e">
        <f t="shared" si="24"/>
        <v>#REF!</v>
      </c>
      <c r="X130" s="105" t="e">
        <f t="shared" si="25"/>
        <v>#REF!</v>
      </c>
      <c r="Y130" s="109" t="e">
        <f t="shared" si="26"/>
        <v>#REF!</v>
      </c>
      <c r="Z130" s="109" t="e">
        <f t="shared" si="27"/>
        <v>#REF!</v>
      </c>
      <c r="AA130" s="113" t="e">
        <f t="shared" si="28"/>
        <v>#REF!</v>
      </c>
      <c r="AB130" s="109" t="e">
        <f t="shared" si="29"/>
        <v>#REF!</v>
      </c>
      <c r="AC130" s="113" t="e">
        <f t="shared" si="30"/>
        <v>#REF!</v>
      </c>
      <c r="AD130" s="105" t="e">
        <f t="shared" si="31"/>
        <v>#REF!</v>
      </c>
      <c r="AE130" s="105" t="e">
        <f t="shared" si="32"/>
        <v>#REF!</v>
      </c>
      <c r="AF130" s="105" t="e">
        <f t="shared" si="33"/>
        <v>#REF!</v>
      </c>
      <c r="AG130" s="105" t="e">
        <f t="shared" si="34"/>
        <v>#REF!</v>
      </c>
      <c r="AH130" s="111" t="e">
        <f>VLOOKUP($A130,#REF!,5,FALSE)</f>
        <v>#REF!</v>
      </c>
      <c r="AI130" s="111" t="e">
        <f>VLOOKUP($A130,#REF!,6,FALSE)</f>
        <v>#REF!</v>
      </c>
      <c r="AJ130" s="109" t="e">
        <f t="shared" si="35"/>
        <v>#REF!</v>
      </c>
      <c r="AK130" s="109" t="e">
        <f t="shared" si="36"/>
        <v>#REF!</v>
      </c>
      <c r="AL130" s="109"/>
      <c r="AM130" s="110"/>
      <c r="AN130" s="110"/>
      <c r="AO130" s="110"/>
      <c r="AP130" s="110"/>
      <c r="AQ130" s="112"/>
      <c r="AR130" s="112"/>
      <c r="AS130" s="110"/>
      <c r="AT130" s="105"/>
      <c r="AU130" s="105"/>
      <c r="AV130" s="105"/>
      <c r="AW130" s="105"/>
      <c r="AX130" s="105"/>
      <c r="AY130" s="105"/>
    </row>
    <row r="131" spans="1:51" x14ac:dyDescent="0.15">
      <c r="A131" s="115">
        <v>312</v>
      </c>
      <c r="B131" s="98" t="e">
        <f>VLOOKUP($A131,#REF!,101,FALSE)</f>
        <v>#REF!</v>
      </c>
      <c r="C131" s="98" t="e">
        <f>VLOOKUP($A131,#REF!,102,FALSE)</f>
        <v>#REF!</v>
      </c>
      <c r="D131" s="104" t="e">
        <f>VLOOKUP($A131,#REF!,5,FALSE)</f>
        <v>#REF!</v>
      </c>
      <c r="E131" s="104" t="e">
        <f>VLOOKUP($A131,#REF!,6,FALSE)</f>
        <v>#REF!</v>
      </c>
      <c r="F131" s="105" t="e">
        <f>VLOOKUP($A131,#REF!,34,FALSE)</f>
        <v>#REF!</v>
      </c>
      <c r="G131" s="105" t="e">
        <f>VLOOKUP($A131,#REF!,29,FALSE)</f>
        <v>#REF!</v>
      </c>
      <c r="H131" s="105" t="e">
        <f>VLOOKUP($A131,#REF!,35,FALSE)+VLOOKUP($A131,#REF!,97,FALSE)</f>
        <v>#REF!</v>
      </c>
      <c r="I131" s="105" t="e">
        <f t="shared" si="20"/>
        <v>#REF!</v>
      </c>
      <c r="J131" s="105" t="e">
        <f>VLOOKUP($A131,#REF!,42,FALSE)</f>
        <v>#REF!</v>
      </c>
      <c r="K131" s="105" t="e">
        <f t="shared" si="21"/>
        <v>#REF!</v>
      </c>
      <c r="L131" s="164" t="e">
        <f t="shared" ref="L131:L194" si="37">+BAF</f>
        <v>#REF!</v>
      </c>
      <c r="M131" s="105" t="e">
        <f t="shared" si="22"/>
        <v>#REF!</v>
      </c>
      <c r="N131" s="105" t="e">
        <f>VLOOKUP($A131,#REF!,46,FALSE)</f>
        <v>#REF!</v>
      </c>
      <c r="O131" s="106" t="e">
        <f>VLOOKUP($A131,#REF!,9,FALSE)</f>
        <v>#REF!</v>
      </c>
      <c r="P131" s="114" t="e">
        <f>#REF!</f>
        <v>#REF!</v>
      </c>
      <c r="Q131" s="114" t="e">
        <f>VLOOKUP(A131,#REF!,17,FALSE)</f>
        <v>#REF!</v>
      </c>
      <c r="R131" s="120" t="e">
        <f>#REF!</f>
        <v>#REF!</v>
      </c>
      <c r="S131" s="114" t="e">
        <f>IF(Q131=0,#REF!,ROUND(Q131*R131,4))</f>
        <v>#REF!</v>
      </c>
      <c r="T131" s="105" t="e">
        <f>VLOOKUP($A131,#REF!,15,FALSE)</f>
        <v>#REF!</v>
      </c>
      <c r="U131" s="105" t="e">
        <f>VLOOKUP($A131,#REF!,19,FALSE)</f>
        <v>#REF!</v>
      </c>
      <c r="V131" s="109" t="e">
        <f t="shared" si="23"/>
        <v>#REF!</v>
      </c>
      <c r="W131" s="121" t="e">
        <f t="shared" si="24"/>
        <v>#REF!</v>
      </c>
      <c r="X131" s="105" t="e">
        <f t="shared" si="25"/>
        <v>#REF!</v>
      </c>
      <c r="Y131" s="109" t="e">
        <f t="shared" si="26"/>
        <v>#REF!</v>
      </c>
      <c r="Z131" s="109" t="e">
        <f t="shared" si="27"/>
        <v>#REF!</v>
      </c>
      <c r="AA131" s="113" t="e">
        <f t="shared" si="28"/>
        <v>#REF!</v>
      </c>
      <c r="AB131" s="109" t="e">
        <f t="shared" si="29"/>
        <v>#REF!</v>
      </c>
      <c r="AC131" s="113" t="e">
        <f t="shared" si="30"/>
        <v>#REF!</v>
      </c>
      <c r="AD131" s="105" t="e">
        <f t="shared" si="31"/>
        <v>#REF!</v>
      </c>
      <c r="AE131" s="105" t="e">
        <f t="shared" si="32"/>
        <v>#REF!</v>
      </c>
      <c r="AF131" s="105" t="e">
        <f t="shared" si="33"/>
        <v>#REF!</v>
      </c>
      <c r="AG131" s="105" t="e">
        <f t="shared" si="34"/>
        <v>#REF!</v>
      </c>
      <c r="AH131" s="111" t="e">
        <f>VLOOKUP($A131,#REF!,5,FALSE)</f>
        <v>#REF!</v>
      </c>
      <c r="AI131" s="111" t="e">
        <f>VLOOKUP($A131,#REF!,6,FALSE)</f>
        <v>#REF!</v>
      </c>
      <c r="AJ131" s="109" t="e">
        <f t="shared" si="35"/>
        <v>#REF!</v>
      </c>
      <c r="AK131" s="109" t="e">
        <f t="shared" si="36"/>
        <v>#REF!</v>
      </c>
      <c r="AL131" s="109"/>
      <c r="AM131" s="110"/>
      <c r="AN131" s="110"/>
      <c r="AO131" s="110"/>
      <c r="AP131" s="110"/>
      <c r="AQ131" s="112"/>
      <c r="AR131" s="112"/>
      <c r="AS131" s="110"/>
      <c r="AT131" s="105"/>
      <c r="AU131" s="105"/>
      <c r="AV131" s="105"/>
      <c r="AW131" s="105"/>
      <c r="AX131" s="105"/>
      <c r="AY131" s="105"/>
    </row>
    <row r="132" spans="1:51" x14ac:dyDescent="0.15">
      <c r="A132" s="115">
        <v>737</v>
      </c>
      <c r="B132" s="98" t="e">
        <f>VLOOKUP($A132,#REF!,101,FALSE)</f>
        <v>#REF!</v>
      </c>
      <c r="C132" s="98" t="e">
        <f>VLOOKUP($A132,#REF!,102,FALSE)</f>
        <v>#REF!</v>
      </c>
      <c r="D132" s="104" t="e">
        <f>VLOOKUP($A132,#REF!,5,FALSE)</f>
        <v>#REF!</v>
      </c>
      <c r="E132" s="104" t="e">
        <f>VLOOKUP($A132,#REF!,6,FALSE)</f>
        <v>#REF!</v>
      </c>
      <c r="F132" s="105" t="e">
        <f>VLOOKUP($A132,#REF!,34,FALSE)</f>
        <v>#REF!</v>
      </c>
      <c r="G132" s="105" t="e">
        <f>VLOOKUP($A132,#REF!,29,FALSE)</f>
        <v>#REF!</v>
      </c>
      <c r="H132" s="105" t="e">
        <f>VLOOKUP($A132,#REF!,35,FALSE)+VLOOKUP($A132,#REF!,97,FALSE)</f>
        <v>#REF!</v>
      </c>
      <c r="I132" s="105" t="e">
        <f t="shared" ref="I132:I195" si="38">+Y132</f>
        <v>#REF!</v>
      </c>
      <c r="J132" s="105" t="e">
        <f>VLOOKUP($A132,#REF!,42,FALSE)</f>
        <v>#REF!</v>
      </c>
      <c r="K132" s="105" t="e">
        <f t="shared" ref="K132:K195" si="39">SUM(F132:J132)</f>
        <v>#REF!</v>
      </c>
      <c r="L132" s="164" t="e">
        <f t="shared" si="37"/>
        <v>#REF!</v>
      </c>
      <c r="M132" s="105" t="e">
        <f t="shared" ref="M132:M195" si="40">ROUND(K132*L132,2)</f>
        <v>#REF!</v>
      </c>
      <c r="N132" s="105" t="e">
        <f>VLOOKUP($A132,#REF!,46,FALSE)</f>
        <v>#REF!</v>
      </c>
      <c r="O132" s="106" t="e">
        <f>VLOOKUP($A132,#REF!,9,FALSE)</f>
        <v>#REF!</v>
      </c>
      <c r="P132" s="114" t="e">
        <f>#REF!</f>
        <v>#REF!</v>
      </c>
      <c r="Q132" s="114" t="e">
        <f>VLOOKUP(A132,#REF!,17,FALSE)</f>
        <v>#REF!</v>
      </c>
      <c r="R132" s="120" t="e">
        <f>#REF!</f>
        <v>#REF!</v>
      </c>
      <c r="S132" s="114" t="e">
        <f>IF(Q132=0,#REF!,ROUND(Q132*R132,4))</f>
        <v>#REF!</v>
      </c>
      <c r="T132" s="105" t="e">
        <f>VLOOKUP($A132,#REF!,15,FALSE)</f>
        <v>#REF!</v>
      </c>
      <c r="U132" s="105" t="e">
        <f>VLOOKUP($A132,#REF!,19,FALSE)</f>
        <v>#REF!</v>
      </c>
      <c r="V132" s="109" t="e">
        <f t="shared" ref="V132:V195" si="41">IF($O132="NA","NA",ROUND(U132*(O132/P132),2))</f>
        <v>#REF!</v>
      </c>
      <c r="W132" s="121" t="e">
        <f t="shared" ref="W132:W195" si="42">IF($O132="NA",ROUND(U132*S132,2),ROUND(V132*(S132/O132),2))</f>
        <v>#REF!</v>
      </c>
      <c r="X132" s="105" t="e">
        <f t="shared" ref="X132:X195" si="43">IF(O132="NA","NA",ROUND(MAX(0,AB132)*-1,2))</f>
        <v>#REF!</v>
      </c>
      <c r="Y132" s="109" t="e">
        <f t="shared" ref="Y132:Y195" si="44">IF($O132="NA",W132,W132+X132)</f>
        <v>#REF!</v>
      </c>
      <c r="Z132" s="109" t="e">
        <f t="shared" ref="Z132:Z195" si="45">IF(O132="NA","NA",ROUND(T132*(S132/O132),2))</f>
        <v>#REF!</v>
      </c>
      <c r="AA132" s="113" t="e">
        <f t="shared" ref="AA132:AA195" si="46">IF(O132="NA","NA",ROUND(W132*0.95,2))</f>
        <v>#REF!</v>
      </c>
      <c r="AB132" s="109" t="e">
        <f t="shared" ref="AB132:AB195" si="47">IF(O132="NA","NA",AA132-Z132)</f>
        <v>#REF!</v>
      </c>
      <c r="AC132" s="113" t="e">
        <f t="shared" ref="AC132:AC195" si="48">+F132+G132+H132+ROUND((I132*0.5),2)+J132</f>
        <v>#REF!</v>
      </c>
      <c r="AD132" s="105" t="e">
        <f t="shared" ref="AD132:AD195" si="49">+F132+G132+H132+J132</f>
        <v>#REF!</v>
      </c>
      <c r="AE132" s="105" t="e">
        <f t="shared" ref="AE132:AE195" si="50">+M132+N132</f>
        <v>#REF!</v>
      </c>
      <c r="AF132" s="105" t="e">
        <f t="shared" ref="AF132:AF195" si="51">+AC132+N132</f>
        <v>#REF!</v>
      </c>
      <c r="AG132" s="105" t="e">
        <f t="shared" ref="AG132:AG195" si="52">+AD132+N132</f>
        <v>#REF!</v>
      </c>
      <c r="AH132" s="111" t="e">
        <f>VLOOKUP($A132,#REF!,5,FALSE)</f>
        <v>#REF!</v>
      </c>
      <c r="AI132" s="111" t="e">
        <f>VLOOKUP($A132,#REF!,6,FALSE)</f>
        <v>#REF!</v>
      </c>
      <c r="AJ132" s="109" t="e">
        <f t="shared" ref="AJ132:AJ195" si="53">ROUND((AH132*0.5)+(AE132*0.5),2)</f>
        <v>#REF!</v>
      </c>
      <c r="AK132" s="109" t="e">
        <f t="shared" ref="AK132:AK195" si="54">ROUND((AI132*0.5)+(AF132*0.5),2)</f>
        <v>#REF!</v>
      </c>
      <c r="AL132" s="109"/>
      <c r="AM132" s="110"/>
      <c r="AN132" s="110"/>
      <c r="AO132" s="110"/>
      <c r="AP132" s="110"/>
      <c r="AQ132" s="112"/>
      <c r="AR132" s="112"/>
      <c r="AS132" s="110"/>
      <c r="AT132" s="105"/>
      <c r="AU132" s="105"/>
      <c r="AV132" s="105"/>
      <c r="AW132" s="105"/>
      <c r="AX132" s="105"/>
      <c r="AY132" s="105"/>
    </row>
    <row r="133" spans="1:51" x14ac:dyDescent="0.15">
      <c r="A133" s="115">
        <v>268</v>
      </c>
      <c r="B133" s="98" t="e">
        <f>VLOOKUP($A133,#REF!,101,FALSE)</f>
        <v>#REF!</v>
      </c>
      <c r="C133" s="98" t="e">
        <f>VLOOKUP($A133,#REF!,102,FALSE)</f>
        <v>#REF!</v>
      </c>
      <c r="D133" s="104" t="e">
        <f>VLOOKUP($A133,#REF!,5,FALSE)</f>
        <v>#REF!</v>
      </c>
      <c r="E133" s="104" t="e">
        <f>VLOOKUP($A133,#REF!,6,FALSE)</f>
        <v>#REF!</v>
      </c>
      <c r="F133" s="105" t="e">
        <f>VLOOKUP($A133,#REF!,34,FALSE)</f>
        <v>#REF!</v>
      </c>
      <c r="G133" s="105" t="e">
        <f>VLOOKUP($A133,#REF!,29,FALSE)</f>
        <v>#REF!</v>
      </c>
      <c r="H133" s="105" t="e">
        <f>VLOOKUP($A133,#REF!,35,FALSE)+VLOOKUP($A133,#REF!,97,FALSE)</f>
        <v>#REF!</v>
      </c>
      <c r="I133" s="105" t="e">
        <f t="shared" si="38"/>
        <v>#REF!</v>
      </c>
      <c r="J133" s="105" t="e">
        <f>VLOOKUP($A133,#REF!,42,FALSE)</f>
        <v>#REF!</v>
      </c>
      <c r="K133" s="105" t="e">
        <f t="shared" si="39"/>
        <v>#REF!</v>
      </c>
      <c r="L133" s="164" t="e">
        <f t="shared" si="37"/>
        <v>#REF!</v>
      </c>
      <c r="M133" s="105" t="e">
        <f t="shared" si="40"/>
        <v>#REF!</v>
      </c>
      <c r="N133" s="105" t="e">
        <f>VLOOKUP($A133,#REF!,46,FALSE)</f>
        <v>#REF!</v>
      </c>
      <c r="O133" s="106" t="e">
        <f>VLOOKUP($A133,#REF!,9,FALSE)</f>
        <v>#REF!</v>
      </c>
      <c r="P133" s="114" t="e">
        <f>#REF!</f>
        <v>#REF!</v>
      </c>
      <c r="Q133" s="114" t="e">
        <f>VLOOKUP(A133,#REF!,17,FALSE)</f>
        <v>#REF!</v>
      </c>
      <c r="R133" s="120" t="e">
        <f>#REF!</f>
        <v>#REF!</v>
      </c>
      <c r="S133" s="114" t="e">
        <f>IF(Q133=0,#REF!,ROUND(Q133*R133,4))</f>
        <v>#REF!</v>
      </c>
      <c r="T133" s="105" t="e">
        <f>VLOOKUP($A133,#REF!,15,FALSE)</f>
        <v>#REF!</v>
      </c>
      <c r="U133" s="105" t="e">
        <f>VLOOKUP($A133,#REF!,19,FALSE)</f>
        <v>#REF!</v>
      </c>
      <c r="V133" s="109" t="e">
        <f t="shared" si="41"/>
        <v>#REF!</v>
      </c>
      <c r="W133" s="121" t="e">
        <f t="shared" si="42"/>
        <v>#REF!</v>
      </c>
      <c r="X133" s="105" t="e">
        <f t="shared" si="43"/>
        <v>#REF!</v>
      </c>
      <c r="Y133" s="109" t="e">
        <f t="shared" si="44"/>
        <v>#REF!</v>
      </c>
      <c r="Z133" s="109" t="e">
        <f t="shared" si="45"/>
        <v>#REF!</v>
      </c>
      <c r="AA133" s="113" t="e">
        <f t="shared" si="46"/>
        <v>#REF!</v>
      </c>
      <c r="AB133" s="109" t="e">
        <f t="shared" si="47"/>
        <v>#REF!</v>
      </c>
      <c r="AC133" s="113" t="e">
        <f t="shared" si="48"/>
        <v>#REF!</v>
      </c>
      <c r="AD133" s="105" t="e">
        <f t="shared" si="49"/>
        <v>#REF!</v>
      </c>
      <c r="AE133" s="105" t="e">
        <f t="shared" si="50"/>
        <v>#REF!</v>
      </c>
      <c r="AF133" s="105" t="e">
        <f t="shared" si="51"/>
        <v>#REF!</v>
      </c>
      <c r="AG133" s="105" t="e">
        <f t="shared" si="52"/>
        <v>#REF!</v>
      </c>
      <c r="AH133" s="111" t="e">
        <f>VLOOKUP($A133,#REF!,5,FALSE)</f>
        <v>#REF!</v>
      </c>
      <c r="AI133" s="111" t="e">
        <f>VLOOKUP($A133,#REF!,6,FALSE)</f>
        <v>#REF!</v>
      </c>
      <c r="AJ133" s="109" t="e">
        <f t="shared" si="53"/>
        <v>#REF!</v>
      </c>
      <c r="AK133" s="109" t="e">
        <f t="shared" si="54"/>
        <v>#REF!</v>
      </c>
      <c r="AL133" s="109"/>
      <c r="AM133" s="110"/>
      <c r="AN133" s="110"/>
      <c r="AO133" s="110"/>
      <c r="AP133" s="110"/>
      <c r="AQ133" s="112"/>
      <c r="AR133" s="112"/>
      <c r="AS133" s="110"/>
      <c r="AT133" s="105"/>
      <c r="AU133" s="105"/>
      <c r="AV133" s="105"/>
      <c r="AW133" s="105"/>
      <c r="AX133" s="105"/>
      <c r="AY133" s="105"/>
    </row>
    <row r="134" spans="1:51" x14ac:dyDescent="0.15">
      <c r="A134" s="115">
        <v>270</v>
      </c>
      <c r="B134" s="98" t="e">
        <f>VLOOKUP($A134,#REF!,101,FALSE)</f>
        <v>#REF!</v>
      </c>
      <c r="C134" s="98" t="e">
        <f>VLOOKUP($A134,#REF!,102,FALSE)</f>
        <v>#REF!</v>
      </c>
      <c r="D134" s="104" t="e">
        <f>VLOOKUP($A134,#REF!,5,FALSE)</f>
        <v>#REF!</v>
      </c>
      <c r="E134" s="104" t="e">
        <f>VLOOKUP($A134,#REF!,6,FALSE)</f>
        <v>#REF!</v>
      </c>
      <c r="F134" s="105" t="e">
        <f>VLOOKUP($A134,#REF!,34,FALSE)</f>
        <v>#REF!</v>
      </c>
      <c r="G134" s="105" t="e">
        <f>VLOOKUP($A134,#REF!,29,FALSE)</f>
        <v>#REF!</v>
      </c>
      <c r="H134" s="105" t="e">
        <f>VLOOKUP($A134,#REF!,35,FALSE)+VLOOKUP($A134,#REF!,97,FALSE)</f>
        <v>#REF!</v>
      </c>
      <c r="I134" s="105" t="e">
        <f t="shared" si="38"/>
        <v>#REF!</v>
      </c>
      <c r="J134" s="105" t="e">
        <f>VLOOKUP($A134,#REF!,42,FALSE)</f>
        <v>#REF!</v>
      </c>
      <c r="K134" s="105" t="e">
        <f t="shared" si="39"/>
        <v>#REF!</v>
      </c>
      <c r="L134" s="164" t="e">
        <f t="shared" si="37"/>
        <v>#REF!</v>
      </c>
      <c r="M134" s="105" t="e">
        <f t="shared" si="40"/>
        <v>#REF!</v>
      </c>
      <c r="N134" s="105" t="e">
        <f>VLOOKUP($A134,#REF!,46,FALSE)</f>
        <v>#REF!</v>
      </c>
      <c r="O134" s="106" t="e">
        <f>VLOOKUP($A134,#REF!,9,FALSE)</f>
        <v>#REF!</v>
      </c>
      <c r="P134" s="114" t="e">
        <f>#REF!</f>
        <v>#REF!</v>
      </c>
      <c r="Q134" s="114" t="e">
        <f>VLOOKUP(A134,#REF!,17,FALSE)</f>
        <v>#REF!</v>
      </c>
      <c r="R134" s="120" t="e">
        <f>#REF!</f>
        <v>#REF!</v>
      </c>
      <c r="S134" s="114" t="e">
        <f>IF(Q134=0,#REF!,ROUND(Q134*R134,4))</f>
        <v>#REF!</v>
      </c>
      <c r="T134" s="105" t="e">
        <f>VLOOKUP($A134,#REF!,15,FALSE)</f>
        <v>#REF!</v>
      </c>
      <c r="U134" s="105" t="e">
        <f>VLOOKUP($A134,#REF!,19,FALSE)</f>
        <v>#REF!</v>
      </c>
      <c r="V134" s="109" t="e">
        <f t="shared" si="41"/>
        <v>#REF!</v>
      </c>
      <c r="W134" s="121" t="e">
        <f t="shared" si="42"/>
        <v>#REF!</v>
      </c>
      <c r="X134" s="105" t="e">
        <f t="shared" si="43"/>
        <v>#REF!</v>
      </c>
      <c r="Y134" s="109" t="e">
        <f t="shared" si="44"/>
        <v>#REF!</v>
      </c>
      <c r="Z134" s="109" t="e">
        <f t="shared" si="45"/>
        <v>#REF!</v>
      </c>
      <c r="AA134" s="113" t="e">
        <f t="shared" si="46"/>
        <v>#REF!</v>
      </c>
      <c r="AB134" s="109" t="e">
        <f t="shared" si="47"/>
        <v>#REF!</v>
      </c>
      <c r="AC134" s="113" t="e">
        <f t="shared" si="48"/>
        <v>#REF!</v>
      </c>
      <c r="AD134" s="105" t="e">
        <f t="shared" si="49"/>
        <v>#REF!</v>
      </c>
      <c r="AE134" s="105" t="e">
        <f t="shared" si="50"/>
        <v>#REF!</v>
      </c>
      <c r="AF134" s="105" t="e">
        <f t="shared" si="51"/>
        <v>#REF!</v>
      </c>
      <c r="AG134" s="105" t="e">
        <f t="shared" si="52"/>
        <v>#REF!</v>
      </c>
      <c r="AH134" s="111" t="e">
        <f>VLOOKUP($A134,#REF!,5,FALSE)</f>
        <v>#REF!</v>
      </c>
      <c r="AI134" s="111" t="e">
        <f>VLOOKUP($A134,#REF!,6,FALSE)</f>
        <v>#REF!</v>
      </c>
      <c r="AJ134" s="109" t="e">
        <f t="shared" si="53"/>
        <v>#REF!</v>
      </c>
      <c r="AK134" s="109" t="e">
        <f t="shared" si="54"/>
        <v>#REF!</v>
      </c>
      <c r="AL134" s="109"/>
      <c r="AM134" s="110"/>
      <c r="AN134" s="110"/>
      <c r="AO134" s="110"/>
      <c r="AP134" s="110"/>
      <c r="AQ134" s="112"/>
      <c r="AR134" s="112"/>
      <c r="AS134" s="110"/>
      <c r="AT134" s="105"/>
      <c r="AU134" s="105"/>
      <c r="AV134" s="105"/>
      <c r="AW134" s="105"/>
      <c r="AX134" s="105"/>
      <c r="AY134" s="105"/>
    </row>
    <row r="135" spans="1:51" x14ac:dyDescent="0.15">
      <c r="A135" s="115">
        <v>276</v>
      </c>
      <c r="B135" s="98" t="e">
        <f>VLOOKUP($A135,#REF!,101,FALSE)</f>
        <v>#REF!</v>
      </c>
      <c r="C135" s="98" t="e">
        <f>VLOOKUP($A135,#REF!,102,FALSE)</f>
        <v>#REF!</v>
      </c>
      <c r="D135" s="104" t="e">
        <f>VLOOKUP($A135,#REF!,5,FALSE)</f>
        <v>#REF!</v>
      </c>
      <c r="E135" s="104" t="e">
        <f>VLOOKUP($A135,#REF!,6,FALSE)</f>
        <v>#REF!</v>
      </c>
      <c r="F135" s="105" t="e">
        <f>VLOOKUP($A135,#REF!,34,FALSE)</f>
        <v>#REF!</v>
      </c>
      <c r="G135" s="105" t="e">
        <f>VLOOKUP($A135,#REF!,29,FALSE)</f>
        <v>#REF!</v>
      </c>
      <c r="H135" s="105" t="e">
        <f>VLOOKUP($A135,#REF!,35,FALSE)+VLOOKUP($A135,#REF!,97,FALSE)</f>
        <v>#REF!</v>
      </c>
      <c r="I135" s="105" t="e">
        <f t="shared" si="38"/>
        <v>#REF!</v>
      </c>
      <c r="J135" s="105" t="e">
        <f>VLOOKUP($A135,#REF!,42,FALSE)</f>
        <v>#REF!</v>
      </c>
      <c r="K135" s="105" t="e">
        <f t="shared" si="39"/>
        <v>#REF!</v>
      </c>
      <c r="L135" s="164" t="e">
        <f t="shared" si="37"/>
        <v>#REF!</v>
      </c>
      <c r="M135" s="105" t="e">
        <f t="shared" si="40"/>
        <v>#REF!</v>
      </c>
      <c r="N135" s="105" t="e">
        <f>VLOOKUP($A135,#REF!,46,FALSE)</f>
        <v>#REF!</v>
      </c>
      <c r="O135" s="106" t="e">
        <f>VLOOKUP($A135,#REF!,9,FALSE)</f>
        <v>#REF!</v>
      </c>
      <c r="P135" s="114" t="e">
        <f>#REF!</f>
        <v>#REF!</v>
      </c>
      <c r="Q135" s="114" t="e">
        <f>VLOOKUP(A135,#REF!,17,FALSE)</f>
        <v>#REF!</v>
      </c>
      <c r="R135" s="120" t="e">
        <f>#REF!</f>
        <v>#REF!</v>
      </c>
      <c r="S135" s="114" t="e">
        <f>IF(Q135=0,#REF!,ROUND(Q135*R135,4))</f>
        <v>#REF!</v>
      </c>
      <c r="T135" s="105" t="e">
        <f>VLOOKUP($A135,#REF!,15,FALSE)</f>
        <v>#REF!</v>
      </c>
      <c r="U135" s="105" t="e">
        <f>VLOOKUP($A135,#REF!,19,FALSE)</f>
        <v>#REF!</v>
      </c>
      <c r="V135" s="109" t="e">
        <f t="shared" si="41"/>
        <v>#REF!</v>
      </c>
      <c r="W135" s="121" t="e">
        <f t="shared" si="42"/>
        <v>#REF!</v>
      </c>
      <c r="X135" s="105" t="e">
        <f t="shared" si="43"/>
        <v>#REF!</v>
      </c>
      <c r="Y135" s="109" t="e">
        <f t="shared" si="44"/>
        <v>#REF!</v>
      </c>
      <c r="Z135" s="109" t="e">
        <f t="shared" si="45"/>
        <v>#REF!</v>
      </c>
      <c r="AA135" s="113" t="e">
        <f t="shared" si="46"/>
        <v>#REF!</v>
      </c>
      <c r="AB135" s="109" t="e">
        <f t="shared" si="47"/>
        <v>#REF!</v>
      </c>
      <c r="AC135" s="113" t="e">
        <f t="shared" si="48"/>
        <v>#REF!</v>
      </c>
      <c r="AD135" s="105" t="e">
        <f t="shared" si="49"/>
        <v>#REF!</v>
      </c>
      <c r="AE135" s="105" t="e">
        <f t="shared" si="50"/>
        <v>#REF!</v>
      </c>
      <c r="AF135" s="105" t="e">
        <f t="shared" si="51"/>
        <v>#REF!</v>
      </c>
      <c r="AG135" s="105" t="e">
        <f t="shared" si="52"/>
        <v>#REF!</v>
      </c>
      <c r="AH135" s="111" t="e">
        <f>VLOOKUP($A135,#REF!,5,FALSE)</f>
        <v>#REF!</v>
      </c>
      <c r="AI135" s="111" t="e">
        <f>VLOOKUP($A135,#REF!,6,FALSE)</f>
        <v>#REF!</v>
      </c>
      <c r="AJ135" s="109" t="e">
        <f t="shared" si="53"/>
        <v>#REF!</v>
      </c>
      <c r="AK135" s="109" t="e">
        <f t="shared" si="54"/>
        <v>#REF!</v>
      </c>
      <c r="AL135" s="109"/>
      <c r="AM135" s="110"/>
      <c r="AN135" s="110"/>
      <c r="AO135" s="110"/>
      <c r="AP135" s="110"/>
      <c r="AQ135" s="112"/>
      <c r="AR135" s="112"/>
      <c r="AS135" s="110"/>
      <c r="AT135" s="105"/>
      <c r="AU135" s="105"/>
      <c r="AV135" s="105"/>
      <c r="AW135" s="105"/>
      <c r="AX135" s="105"/>
      <c r="AY135" s="105"/>
    </row>
    <row r="136" spans="1:51" x14ac:dyDescent="0.15">
      <c r="A136" s="115">
        <v>1232</v>
      </c>
      <c r="B136" s="98" t="e">
        <f>VLOOKUP($A136,#REF!,101,FALSE)</f>
        <v>#REF!</v>
      </c>
      <c r="C136" s="98" t="e">
        <f>VLOOKUP($A136,#REF!,102,FALSE)</f>
        <v>#REF!</v>
      </c>
      <c r="D136" s="104" t="e">
        <f>VLOOKUP($A136,#REF!,5,FALSE)</f>
        <v>#REF!</v>
      </c>
      <c r="E136" s="104" t="e">
        <f>VLOOKUP($A136,#REF!,6,FALSE)</f>
        <v>#REF!</v>
      </c>
      <c r="F136" s="105" t="e">
        <f>VLOOKUP($A136,#REF!,34,FALSE)</f>
        <v>#REF!</v>
      </c>
      <c r="G136" s="105" t="e">
        <f>VLOOKUP($A136,#REF!,29,FALSE)</f>
        <v>#REF!</v>
      </c>
      <c r="H136" s="105" t="e">
        <f>VLOOKUP($A136,#REF!,35,FALSE)+VLOOKUP($A136,#REF!,97,FALSE)</f>
        <v>#REF!</v>
      </c>
      <c r="I136" s="105" t="e">
        <f t="shared" si="38"/>
        <v>#REF!</v>
      </c>
      <c r="J136" s="105" t="e">
        <f>VLOOKUP($A136,#REF!,42,FALSE)</f>
        <v>#REF!</v>
      </c>
      <c r="K136" s="105" t="e">
        <f t="shared" si="39"/>
        <v>#REF!</v>
      </c>
      <c r="L136" s="164" t="e">
        <f t="shared" si="37"/>
        <v>#REF!</v>
      </c>
      <c r="M136" s="105" t="e">
        <f t="shared" si="40"/>
        <v>#REF!</v>
      </c>
      <c r="N136" s="105" t="e">
        <f>VLOOKUP($A136,#REF!,46,FALSE)</f>
        <v>#REF!</v>
      </c>
      <c r="O136" s="106" t="e">
        <f>VLOOKUP($A136,#REF!,9,FALSE)</f>
        <v>#REF!</v>
      </c>
      <c r="P136" s="114" t="e">
        <f>#REF!</f>
        <v>#REF!</v>
      </c>
      <c r="Q136" s="114" t="e">
        <f>VLOOKUP(A136,#REF!,17,FALSE)</f>
        <v>#REF!</v>
      </c>
      <c r="R136" s="120" t="e">
        <f>#REF!</f>
        <v>#REF!</v>
      </c>
      <c r="S136" s="114" t="e">
        <f>IF(Q136=0,#REF!,ROUND(Q136*R136,4))</f>
        <v>#REF!</v>
      </c>
      <c r="T136" s="105" t="e">
        <f>VLOOKUP($A136,#REF!,15,FALSE)</f>
        <v>#REF!</v>
      </c>
      <c r="U136" s="105" t="e">
        <f>VLOOKUP($A136,#REF!,19,FALSE)</f>
        <v>#REF!</v>
      </c>
      <c r="V136" s="109" t="e">
        <f t="shared" si="41"/>
        <v>#REF!</v>
      </c>
      <c r="W136" s="121" t="e">
        <f t="shared" si="42"/>
        <v>#REF!</v>
      </c>
      <c r="X136" s="105" t="e">
        <f t="shared" si="43"/>
        <v>#REF!</v>
      </c>
      <c r="Y136" s="109" t="e">
        <f t="shared" si="44"/>
        <v>#REF!</v>
      </c>
      <c r="Z136" s="109" t="e">
        <f t="shared" si="45"/>
        <v>#REF!</v>
      </c>
      <c r="AA136" s="113" t="e">
        <f t="shared" si="46"/>
        <v>#REF!</v>
      </c>
      <c r="AB136" s="109" t="e">
        <f t="shared" si="47"/>
        <v>#REF!</v>
      </c>
      <c r="AC136" s="113" t="e">
        <f t="shared" si="48"/>
        <v>#REF!</v>
      </c>
      <c r="AD136" s="105" t="e">
        <f t="shared" si="49"/>
        <v>#REF!</v>
      </c>
      <c r="AE136" s="105" t="e">
        <f t="shared" si="50"/>
        <v>#REF!</v>
      </c>
      <c r="AF136" s="105" t="e">
        <f t="shared" si="51"/>
        <v>#REF!</v>
      </c>
      <c r="AG136" s="105" t="e">
        <f t="shared" si="52"/>
        <v>#REF!</v>
      </c>
      <c r="AH136" s="111" t="e">
        <f>VLOOKUP($A136,#REF!,5,FALSE)</f>
        <v>#REF!</v>
      </c>
      <c r="AI136" s="111" t="e">
        <f>VLOOKUP($A136,#REF!,6,FALSE)</f>
        <v>#REF!</v>
      </c>
      <c r="AJ136" s="109" t="e">
        <f t="shared" si="53"/>
        <v>#REF!</v>
      </c>
      <c r="AK136" s="109" t="e">
        <f t="shared" si="54"/>
        <v>#REF!</v>
      </c>
      <c r="AL136" s="109"/>
      <c r="AM136" s="110"/>
      <c r="AN136" s="110"/>
      <c r="AO136" s="110"/>
      <c r="AP136" s="110"/>
      <c r="AQ136" s="112"/>
      <c r="AR136" s="112"/>
      <c r="AS136" s="110"/>
      <c r="AT136" s="105"/>
      <c r="AU136" s="105"/>
      <c r="AV136" s="105"/>
      <c r="AW136" s="105"/>
      <c r="AX136" s="105"/>
      <c r="AY136" s="105"/>
    </row>
    <row r="137" spans="1:51" x14ac:dyDescent="0.15">
      <c r="A137" s="115">
        <v>940</v>
      </c>
      <c r="B137" s="98" t="e">
        <f>VLOOKUP($A137,#REF!,101,FALSE)</f>
        <v>#REF!</v>
      </c>
      <c r="C137" s="98" t="e">
        <f>VLOOKUP($A137,#REF!,102,FALSE)</f>
        <v>#REF!</v>
      </c>
      <c r="D137" s="104" t="e">
        <f>VLOOKUP($A137,#REF!,5,FALSE)</f>
        <v>#REF!</v>
      </c>
      <c r="E137" s="104" t="e">
        <f>VLOOKUP($A137,#REF!,6,FALSE)</f>
        <v>#REF!</v>
      </c>
      <c r="F137" s="105" t="e">
        <f>VLOOKUP($A137,#REF!,34,FALSE)</f>
        <v>#REF!</v>
      </c>
      <c r="G137" s="105" t="e">
        <f>VLOOKUP($A137,#REF!,29,FALSE)</f>
        <v>#REF!</v>
      </c>
      <c r="H137" s="105" t="e">
        <f>VLOOKUP($A137,#REF!,35,FALSE)+VLOOKUP($A137,#REF!,97,FALSE)</f>
        <v>#REF!</v>
      </c>
      <c r="I137" s="105" t="e">
        <f t="shared" si="38"/>
        <v>#REF!</v>
      </c>
      <c r="J137" s="105" t="e">
        <f>VLOOKUP($A137,#REF!,42,FALSE)</f>
        <v>#REF!</v>
      </c>
      <c r="K137" s="105" t="e">
        <f t="shared" si="39"/>
        <v>#REF!</v>
      </c>
      <c r="L137" s="164" t="e">
        <f t="shared" si="37"/>
        <v>#REF!</v>
      </c>
      <c r="M137" s="105" t="e">
        <f t="shared" si="40"/>
        <v>#REF!</v>
      </c>
      <c r="N137" s="105" t="e">
        <f>VLOOKUP($A137,#REF!,46,FALSE)</f>
        <v>#REF!</v>
      </c>
      <c r="O137" s="106" t="e">
        <f>VLOOKUP($A137,#REF!,9,FALSE)</f>
        <v>#REF!</v>
      </c>
      <c r="P137" s="114" t="e">
        <f>#REF!</f>
        <v>#REF!</v>
      </c>
      <c r="Q137" s="114" t="e">
        <f>VLOOKUP(A137,#REF!,17,FALSE)</f>
        <v>#REF!</v>
      </c>
      <c r="R137" s="120" t="e">
        <f>#REF!</f>
        <v>#REF!</v>
      </c>
      <c r="S137" s="114" t="e">
        <f>IF(Q137=0,#REF!,ROUND(Q137*R137,4))</f>
        <v>#REF!</v>
      </c>
      <c r="T137" s="105" t="e">
        <f>VLOOKUP($A137,#REF!,15,FALSE)</f>
        <v>#REF!</v>
      </c>
      <c r="U137" s="105" t="e">
        <f>VLOOKUP($A137,#REF!,19,FALSE)</f>
        <v>#REF!</v>
      </c>
      <c r="V137" s="109" t="e">
        <f t="shared" si="41"/>
        <v>#REF!</v>
      </c>
      <c r="W137" s="121" t="e">
        <f t="shared" si="42"/>
        <v>#REF!</v>
      </c>
      <c r="X137" s="105" t="e">
        <f t="shared" si="43"/>
        <v>#REF!</v>
      </c>
      <c r="Y137" s="109" t="e">
        <f t="shared" si="44"/>
        <v>#REF!</v>
      </c>
      <c r="Z137" s="109" t="e">
        <f t="shared" si="45"/>
        <v>#REF!</v>
      </c>
      <c r="AA137" s="113" t="e">
        <f t="shared" si="46"/>
        <v>#REF!</v>
      </c>
      <c r="AB137" s="109" t="e">
        <f t="shared" si="47"/>
        <v>#REF!</v>
      </c>
      <c r="AC137" s="113" t="e">
        <f t="shared" si="48"/>
        <v>#REF!</v>
      </c>
      <c r="AD137" s="105" t="e">
        <f t="shared" si="49"/>
        <v>#REF!</v>
      </c>
      <c r="AE137" s="105" t="e">
        <f t="shared" si="50"/>
        <v>#REF!</v>
      </c>
      <c r="AF137" s="105" t="e">
        <f t="shared" si="51"/>
        <v>#REF!</v>
      </c>
      <c r="AG137" s="105" t="e">
        <f t="shared" si="52"/>
        <v>#REF!</v>
      </c>
      <c r="AH137" s="111" t="e">
        <f>VLOOKUP($A137,#REF!,5,FALSE)</f>
        <v>#REF!</v>
      </c>
      <c r="AI137" s="111" t="e">
        <f>VLOOKUP($A137,#REF!,6,FALSE)</f>
        <v>#REF!</v>
      </c>
      <c r="AJ137" s="109" t="e">
        <f t="shared" si="53"/>
        <v>#REF!</v>
      </c>
      <c r="AK137" s="109" t="e">
        <f t="shared" si="54"/>
        <v>#REF!</v>
      </c>
      <c r="AL137" s="109"/>
      <c r="AM137" s="110"/>
      <c r="AN137" s="110"/>
      <c r="AO137" s="110"/>
      <c r="AP137" s="110"/>
      <c r="AQ137" s="112"/>
      <c r="AR137" s="112"/>
      <c r="AS137" s="110"/>
      <c r="AT137" s="105"/>
      <c r="AU137" s="105"/>
      <c r="AV137" s="105"/>
      <c r="AW137" s="105"/>
      <c r="AX137" s="105"/>
      <c r="AY137" s="105"/>
    </row>
    <row r="138" spans="1:51" x14ac:dyDescent="0.15">
      <c r="A138" s="115">
        <v>290</v>
      </c>
      <c r="B138" s="98" t="e">
        <f>VLOOKUP($A138,#REF!,101,FALSE)</f>
        <v>#REF!</v>
      </c>
      <c r="C138" s="98" t="e">
        <f>VLOOKUP($A138,#REF!,102,FALSE)</f>
        <v>#REF!</v>
      </c>
      <c r="D138" s="104" t="e">
        <f>VLOOKUP($A138,#REF!,5,FALSE)</f>
        <v>#REF!</v>
      </c>
      <c r="E138" s="104" t="e">
        <f>VLOOKUP($A138,#REF!,6,FALSE)</f>
        <v>#REF!</v>
      </c>
      <c r="F138" s="105" t="e">
        <f>VLOOKUP($A138,#REF!,34,FALSE)</f>
        <v>#REF!</v>
      </c>
      <c r="G138" s="105" t="e">
        <f>VLOOKUP($A138,#REF!,29,FALSE)</f>
        <v>#REF!</v>
      </c>
      <c r="H138" s="105" t="e">
        <f>VLOOKUP($A138,#REF!,35,FALSE)+VLOOKUP($A138,#REF!,97,FALSE)</f>
        <v>#REF!</v>
      </c>
      <c r="I138" s="105" t="e">
        <f t="shared" si="38"/>
        <v>#REF!</v>
      </c>
      <c r="J138" s="105" t="e">
        <f>VLOOKUP($A138,#REF!,42,FALSE)</f>
        <v>#REF!</v>
      </c>
      <c r="K138" s="105" t="e">
        <f t="shared" si="39"/>
        <v>#REF!</v>
      </c>
      <c r="L138" s="164" t="e">
        <f t="shared" si="37"/>
        <v>#REF!</v>
      </c>
      <c r="M138" s="105" t="e">
        <f t="shared" si="40"/>
        <v>#REF!</v>
      </c>
      <c r="N138" s="105" t="e">
        <f>VLOOKUP($A138,#REF!,46,FALSE)</f>
        <v>#REF!</v>
      </c>
      <c r="O138" s="106" t="e">
        <f>VLOOKUP($A138,#REF!,9,FALSE)</f>
        <v>#REF!</v>
      </c>
      <c r="P138" s="114" t="e">
        <f>#REF!</f>
        <v>#REF!</v>
      </c>
      <c r="Q138" s="114" t="e">
        <f>VLOOKUP(A138,#REF!,17,FALSE)</f>
        <v>#REF!</v>
      </c>
      <c r="R138" s="120" t="e">
        <f>#REF!</f>
        <v>#REF!</v>
      </c>
      <c r="S138" s="114" t="e">
        <f>IF(Q138=0,#REF!,ROUND(Q138*R138,4))</f>
        <v>#REF!</v>
      </c>
      <c r="T138" s="105" t="e">
        <f>VLOOKUP($A138,#REF!,15,FALSE)</f>
        <v>#REF!</v>
      </c>
      <c r="U138" s="105" t="e">
        <f>VLOOKUP($A138,#REF!,19,FALSE)</f>
        <v>#REF!</v>
      </c>
      <c r="V138" s="109" t="e">
        <f t="shared" si="41"/>
        <v>#REF!</v>
      </c>
      <c r="W138" s="121" t="e">
        <f t="shared" si="42"/>
        <v>#REF!</v>
      </c>
      <c r="X138" s="105" t="e">
        <f t="shared" si="43"/>
        <v>#REF!</v>
      </c>
      <c r="Y138" s="109" t="e">
        <f t="shared" si="44"/>
        <v>#REF!</v>
      </c>
      <c r="Z138" s="109" t="e">
        <f t="shared" si="45"/>
        <v>#REF!</v>
      </c>
      <c r="AA138" s="113" t="e">
        <f t="shared" si="46"/>
        <v>#REF!</v>
      </c>
      <c r="AB138" s="109" t="e">
        <f t="shared" si="47"/>
        <v>#REF!</v>
      </c>
      <c r="AC138" s="113" t="e">
        <f t="shared" si="48"/>
        <v>#REF!</v>
      </c>
      <c r="AD138" s="105" t="e">
        <f t="shared" si="49"/>
        <v>#REF!</v>
      </c>
      <c r="AE138" s="105" t="e">
        <f t="shared" si="50"/>
        <v>#REF!</v>
      </c>
      <c r="AF138" s="105" t="e">
        <f t="shared" si="51"/>
        <v>#REF!</v>
      </c>
      <c r="AG138" s="105" t="e">
        <f t="shared" si="52"/>
        <v>#REF!</v>
      </c>
      <c r="AH138" s="111" t="e">
        <f>VLOOKUP($A138,#REF!,5,FALSE)</f>
        <v>#REF!</v>
      </c>
      <c r="AI138" s="111" t="e">
        <f>VLOOKUP($A138,#REF!,6,FALSE)</f>
        <v>#REF!</v>
      </c>
      <c r="AJ138" s="109" t="e">
        <f t="shared" si="53"/>
        <v>#REF!</v>
      </c>
      <c r="AK138" s="109" t="e">
        <f t="shared" si="54"/>
        <v>#REF!</v>
      </c>
      <c r="AL138" s="109"/>
      <c r="AM138" s="110"/>
      <c r="AN138" s="110"/>
      <c r="AO138" s="110"/>
      <c r="AP138" s="110"/>
      <c r="AQ138" s="112"/>
      <c r="AR138" s="112"/>
      <c r="AS138" s="110"/>
      <c r="AT138" s="105"/>
      <c r="AU138" s="105"/>
      <c r="AV138" s="105"/>
      <c r="AW138" s="105"/>
      <c r="AX138" s="105"/>
      <c r="AY138" s="105"/>
    </row>
    <row r="139" spans="1:51" x14ac:dyDescent="0.15">
      <c r="A139" s="115">
        <v>286</v>
      </c>
      <c r="B139" s="98" t="e">
        <f>VLOOKUP($A139,#REF!,101,FALSE)</f>
        <v>#REF!</v>
      </c>
      <c r="C139" s="98" t="e">
        <f>VLOOKUP($A139,#REF!,102,FALSE)</f>
        <v>#REF!</v>
      </c>
      <c r="D139" s="104" t="e">
        <f>VLOOKUP($A139,#REF!,5,FALSE)</f>
        <v>#REF!</v>
      </c>
      <c r="E139" s="104" t="e">
        <f>VLOOKUP($A139,#REF!,6,FALSE)</f>
        <v>#REF!</v>
      </c>
      <c r="F139" s="105" t="e">
        <f>VLOOKUP($A139,#REF!,34,FALSE)</f>
        <v>#REF!</v>
      </c>
      <c r="G139" s="105" t="e">
        <f>VLOOKUP($A139,#REF!,29,FALSE)</f>
        <v>#REF!</v>
      </c>
      <c r="H139" s="105" t="e">
        <f>VLOOKUP($A139,#REF!,35,FALSE)+VLOOKUP($A139,#REF!,97,FALSE)</f>
        <v>#REF!</v>
      </c>
      <c r="I139" s="105" t="e">
        <f t="shared" si="38"/>
        <v>#REF!</v>
      </c>
      <c r="J139" s="105" t="e">
        <f>VLOOKUP($A139,#REF!,42,FALSE)</f>
        <v>#REF!</v>
      </c>
      <c r="K139" s="105" t="e">
        <f t="shared" si="39"/>
        <v>#REF!</v>
      </c>
      <c r="L139" s="164" t="e">
        <f t="shared" si="37"/>
        <v>#REF!</v>
      </c>
      <c r="M139" s="105" t="e">
        <f t="shared" si="40"/>
        <v>#REF!</v>
      </c>
      <c r="N139" s="105" t="e">
        <f>VLOOKUP($A139,#REF!,46,FALSE)</f>
        <v>#REF!</v>
      </c>
      <c r="O139" s="106" t="e">
        <f>VLOOKUP($A139,#REF!,9,FALSE)</f>
        <v>#REF!</v>
      </c>
      <c r="P139" s="114" t="e">
        <f>#REF!</f>
        <v>#REF!</v>
      </c>
      <c r="Q139" s="114" t="e">
        <f>VLOOKUP(A139,#REF!,17,FALSE)</f>
        <v>#REF!</v>
      </c>
      <c r="R139" s="120" t="e">
        <f>#REF!</f>
        <v>#REF!</v>
      </c>
      <c r="S139" s="114" t="e">
        <f>IF(Q139=0,#REF!,ROUND(Q139*R139,4))</f>
        <v>#REF!</v>
      </c>
      <c r="T139" s="105" t="e">
        <f>VLOOKUP($A139,#REF!,15,FALSE)</f>
        <v>#REF!</v>
      </c>
      <c r="U139" s="105" t="e">
        <f>VLOOKUP($A139,#REF!,19,FALSE)</f>
        <v>#REF!</v>
      </c>
      <c r="V139" s="109" t="e">
        <f t="shared" si="41"/>
        <v>#REF!</v>
      </c>
      <c r="W139" s="121" t="e">
        <f t="shared" si="42"/>
        <v>#REF!</v>
      </c>
      <c r="X139" s="105" t="e">
        <f t="shared" si="43"/>
        <v>#REF!</v>
      </c>
      <c r="Y139" s="109" t="e">
        <f t="shared" si="44"/>
        <v>#REF!</v>
      </c>
      <c r="Z139" s="109" t="e">
        <f t="shared" si="45"/>
        <v>#REF!</v>
      </c>
      <c r="AA139" s="113" t="e">
        <f t="shared" si="46"/>
        <v>#REF!</v>
      </c>
      <c r="AB139" s="109" t="e">
        <f t="shared" si="47"/>
        <v>#REF!</v>
      </c>
      <c r="AC139" s="113" t="e">
        <f t="shared" si="48"/>
        <v>#REF!</v>
      </c>
      <c r="AD139" s="105" t="e">
        <f t="shared" si="49"/>
        <v>#REF!</v>
      </c>
      <c r="AE139" s="105" t="e">
        <f t="shared" si="50"/>
        <v>#REF!</v>
      </c>
      <c r="AF139" s="105" t="e">
        <f t="shared" si="51"/>
        <v>#REF!</v>
      </c>
      <c r="AG139" s="105" t="e">
        <f t="shared" si="52"/>
        <v>#REF!</v>
      </c>
      <c r="AH139" s="111" t="e">
        <f>VLOOKUP($A139,#REF!,5,FALSE)</f>
        <v>#REF!</v>
      </c>
      <c r="AI139" s="111" t="e">
        <f>VLOOKUP($A139,#REF!,6,FALSE)</f>
        <v>#REF!</v>
      </c>
      <c r="AJ139" s="109" t="e">
        <f t="shared" si="53"/>
        <v>#REF!</v>
      </c>
      <c r="AK139" s="109" t="e">
        <f t="shared" si="54"/>
        <v>#REF!</v>
      </c>
      <c r="AL139" s="109"/>
      <c r="AM139" s="110"/>
      <c r="AN139" s="110"/>
      <c r="AO139" s="110"/>
      <c r="AP139" s="110"/>
      <c r="AQ139" s="112"/>
      <c r="AR139" s="112"/>
      <c r="AS139" s="110"/>
      <c r="AT139" s="105"/>
      <c r="AU139" s="105"/>
      <c r="AV139" s="105"/>
      <c r="AW139" s="105"/>
      <c r="AX139" s="105"/>
      <c r="AY139" s="105"/>
    </row>
    <row r="140" spans="1:51" x14ac:dyDescent="0.15">
      <c r="A140" s="115">
        <v>1209</v>
      </c>
      <c r="B140" s="98" t="e">
        <f>VLOOKUP($A140,#REF!,101,FALSE)</f>
        <v>#REF!</v>
      </c>
      <c r="C140" s="98" t="e">
        <f>VLOOKUP($A140,#REF!,102,FALSE)</f>
        <v>#REF!</v>
      </c>
      <c r="D140" s="104" t="e">
        <f>VLOOKUP($A140,#REF!,5,FALSE)</f>
        <v>#REF!</v>
      </c>
      <c r="E140" s="104" t="e">
        <f>VLOOKUP($A140,#REF!,6,FALSE)</f>
        <v>#REF!</v>
      </c>
      <c r="F140" s="105" t="e">
        <f>VLOOKUP($A140,#REF!,34,FALSE)</f>
        <v>#REF!</v>
      </c>
      <c r="G140" s="105" t="e">
        <f>VLOOKUP($A140,#REF!,29,FALSE)</f>
        <v>#REF!</v>
      </c>
      <c r="H140" s="105" t="e">
        <f>VLOOKUP($A140,#REF!,35,FALSE)+VLOOKUP($A140,#REF!,97,FALSE)</f>
        <v>#REF!</v>
      </c>
      <c r="I140" s="105" t="e">
        <f t="shared" si="38"/>
        <v>#REF!</v>
      </c>
      <c r="J140" s="105" t="e">
        <f>VLOOKUP($A140,#REF!,42,FALSE)</f>
        <v>#REF!</v>
      </c>
      <c r="K140" s="105" t="e">
        <f t="shared" si="39"/>
        <v>#REF!</v>
      </c>
      <c r="L140" s="164" t="e">
        <f t="shared" si="37"/>
        <v>#REF!</v>
      </c>
      <c r="M140" s="105" t="e">
        <f t="shared" si="40"/>
        <v>#REF!</v>
      </c>
      <c r="N140" s="105" t="e">
        <f>VLOOKUP($A140,#REF!,46,FALSE)</f>
        <v>#REF!</v>
      </c>
      <c r="O140" s="106" t="e">
        <f>VLOOKUP($A140,#REF!,9,FALSE)</f>
        <v>#REF!</v>
      </c>
      <c r="P140" s="114" t="e">
        <f>#REF!</f>
        <v>#REF!</v>
      </c>
      <c r="Q140" s="114" t="e">
        <f>VLOOKUP(A140,#REF!,17,FALSE)</f>
        <v>#REF!</v>
      </c>
      <c r="R140" s="120" t="e">
        <f>#REF!</f>
        <v>#REF!</v>
      </c>
      <c r="S140" s="114" t="e">
        <f>IF(Q140=0,#REF!,ROUND(Q140*R140,4))</f>
        <v>#REF!</v>
      </c>
      <c r="T140" s="105" t="e">
        <f>VLOOKUP($A140,#REF!,15,FALSE)</f>
        <v>#REF!</v>
      </c>
      <c r="U140" s="105" t="e">
        <f>VLOOKUP($A140,#REF!,19,FALSE)</f>
        <v>#REF!</v>
      </c>
      <c r="V140" s="109" t="e">
        <f t="shared" si="41"/>
        <v>#REF!</v>
      </c>
      <c r="W140" s="121" t="e">
        <f t="shared" si="42"/>
        <v>#REF!</v>
      </c>
      <c r="X140" s="105" t="e">
        <f t="shared" si="43"/>
        <v>#REF!</v>
      </c>
      <c r="Y140" s="109" t="e">
        <f t="shared" si="44"/>
        <v>#REF!</v>
      </c>
      <c r="Z140" s="109" t="e">
        <f t="shared" si="45"/>
        <v>#REF!</v>
      </c>
      <c r="AA140" s="113" t="e">
        <f t="shared" si="46"/>
        <v>#REF!</v>
      </c>
      <c r="AB140" s="109" t="e">
        <f t="shared" si="47"/>
        <v>#REF!</v>
      </c>
      <c r="AC140" s="113" t="e">
        <f t="shared" si="48"/>
        <v>#REF!</v>
      </c>
      <c r="AD140" s="105" t="e">
        <f t="shared" si="49"/>
        <v>#REF!</v>
      </c>
      <c r="AE140" s="105" t="e">
        <f t="shared" si="50"/>
        <v>#REF!</v>
      </c>
      <c r="AF140" s="105" t="e">
        <f t="shared" si="51"/>
        <v>#REF!</v>
      </c>
      <c r="AG140" s="105" t="e">
        <f t="shared" si="52"/>
        <v>#REF!</v>
      </c>
      <c r="AH140" s="111" t="e">
        <f>VLOOKUP($A140,#REF!,5,FALSE)</f>
        <v>#REF!</v>
      </c>
      <c r="AI140" s="111" t="e">
        <f>VLOOKUP($A140,#REF!,6,FALSE)</f>
        <v>#REF!</v>
      </c>
      <c r="AJ140" s="109" t="e">
        <f t="shared" si="53"/>
        <v>#REF!</v>
      </c>
      <c r="AK140" s="109" t="e">
        <f t="shared" si="54"/>
        <v>#REF!</v>
      </c>
      <c r="AL140" s="109"/>
      <c r="AM140" s="110"/>
      <c r="AN140" s="110"/>
      <c r="AO140" s="110"/>
      <c r="AP140" s="110"/>
      <c r="AQ140" s="112"/>
      <c r="AR140" s="112"/>
      <c r="AS140" s="110"/>
      <c r="AT140" s="105"/>
      <c r="AU140" s="105"/>
      <c r="AV140" s="105"/>
      <c r="AW140" s="105"/>
      <c r="AX140" s="105"/>
      <c r="AY140" s="105"/>
    </row>
    <row r="141" spans="1:51" x14ac:dyDescent="0.15">
      <c r="A141" s="115">
        <v>296</v>
      </c>
      <c r="B141" s="98" t="e">
        <f>VLOOKUP($A141,#REF!,101,FALSE)</f>
        <v>#REF!</v>
      </c>
      <c r="C141" s="98" t="e">
        <f>VLOOKUP($A141,#REF!,102,FALSE)</f>
        <v>#REF!</v>
      </c>
      <c r="D141" s="104" t="e">
        <f>VLOOKUP($A141,#REF!,5,FALSE)</f>
        <v>#REF!</v>
      </c>
      <c r="E141" s="104" t="e">
        <f>VLOOKUP($A141,#REF!,6,FALSE)</f>
        <v>#REF!</v>
      </c>
      <c r="F141" s="105" t="e">
        <f>VLOOKUP($A141,#REF!,34,FALSE)</f>
        <v>#REF!</v>
      </c>
      <c r="G141" s="105" t="e">
        <f>VLOOKUP($A141,#REF!,29,FALSE)</f>
        <v>#REF!</v>
      </c>
      <c r="H141" s="105" t="e">
        <f>VLOOKUP($A141,#REF!,35,FALSE)+VLOOKUP($A141,#REF!,97,FALSE)</f>
        <v>#REF!</v>
      </c>
      <c r="I141" s="105" t="e">
        <f t="shared" si="38"/>
        <v>#REF!</v>
      </c>
      <c r="J141" s="105" t="e">
        <f>VLOOKUP($A141,#REF!,42,FALSE)</f>
        <v>#REF!</v>
      </c>
      <c r="K141" s="105" t="e">
        <f t="shared" si="39"/>
        <v>#REF!</v>
      </c>
      <c r="L141" s="164" t="e">
        <f t="shared" si="37"/>
        <v>#REF!</v>
      </c>
      <c r="M141" s="105" t="e">
        <f t="shared" si="40"/>
        <v>#REF!</v>
      </c>
      <c r="N141" s="105" t="e">
        <f>VLOOKUP($A141,#REF!,46,FALSE)</f>
        <v>#REF!</v>
      </c>
      <c r="O141" s="106" t="e">
        <f>VLOOKUP($A141,#REF!,9,FALSE)</f>
        <v>#REF!</v>
      </c>
      <c r="P141" s="114" t="e">
        <f>#REF!</f>
        <v>#REF!</v>
      </c>
      <c r="Q141" s="114" t="e">
        <f>VLOOKUP(A141,#REF!,17,FALSE)</f>
        <v>#REF!</v>
      </c>
      <c r="R141" s="120" t="e">
        <f>#REF!</f>
        <v>#REF!</v>
      </c>
      <c r="S141" s="114" t="e">
        <f>IF(Q141=0,#REF!,ROUND(Q141*R141,4))</f>
        <v>#REF!</v>
      </c>
      <c r="T141" s="105" t="e">
        <f>VLOOKUP($A141,#REF!,15,FALSE)</f>
        <v>#REF!</v>
      </c>
      <c r="U141" s="105" t="e">
        <f>VLOOKUP($A141,#REF!,19,FALSE)</f>
        <v>#REF!</v>
      </c>
      <c r="V141" s="109" t="e">
        <f t="shared" si="41"/>
        <v>#REF!</v>
      </c>
      <c r="W141" s="121" t="e">
        <f t="shared" si="42"/>
        <v>#REF!</v>
      </c>
      <c r="X141" s="105" t="e">
        <f t="shared" si="43"/>
        <v>#REF!</v>
      </c>
      <c r="Y141" s="109" t="e">
        <f t="shared" si="44"/>
        <v>#REF!</v>
      </c>
      <c r="Z141" s="109" t="e">
        <f t="shared" si="45"/>
        <v>#REF!</v>
      </c>
      <c r="AA141" s="113" t="e">
        <f t="shared" si="46"/>
        <v>#REF!</v>
      </c>
      <c r="AB141" s="109" t="e">
        <f t="shared" si="47"/>
        <v>#REF!</v>
      </c>
      <c r="AC141" s="113" t="e">
        <f t="shared" si="48"/>
        <v>#REF!</v>
      </c>
      <c r="AD141" s="105" t="e">
        <f t="shared" si="49"/>
        <v>#REF!</v>
      </c>
      <c r="AE141" s="105" t="e">
        <f t="shared" si="50"/>
        <v>#REF!</v>
      </c>
      <c r="AF141" s="105" t="e">
        <f t="shared" si="51"/>
        <v>#REF!</v>
      </c>
      <c r="AG141" s="105" t="e">
        <f t="shared" si="52"/>
        <v>#REF!</v>
      </c>
      <c r="AH141" s="111" t="e">
        <f>VLOOKUP($A141,#REF!,5,FALSE)</f>
        <v>#REF!</v>
      </c>
      <c r="AI141" s="111" t="e">
        <f>VLOOKUP($A141,#REF!,6,FALSE)</f>
        <v>#REF!</v>
      </c>
      <c r="AJ141" s="109" t="e">
        <f t="shared" si="53"/>
        <v>#REF!</v>
      </c>
      <c r="AK141" s="109" t="e">
        <f t="shared" si="54"/>
        <v>#REF!</v>
      </c>
      <c r="AL141" s="109"/>
      <c r="AM141" s="110"/>
      <c r="AN141" s="110"/>
      <c r="AO141" s="110"/>
      <c r="AP141" s="110"/>
      <c r="AQ141" s="112"/>
      <c r="AR141" s="112"/>
      <c r="AS141" s="110"/>
      <c r="AT141" s="105"/>
      <c r="AU141" s="105"/>
      <c r="AV141" s="105"/>
      <c r="AW141" s="105"/>
      <c r="AX141" s="105"/>
      <c r="AY141" s="105"/>
    </row>
    <row r="142" spans="1:51" x14ac:dyDescent="0.15">
      <c r="A142" s="115">
        <v>292</v>
      </c>
      <c r="B142" s="98" t="e">
        <f>VLOOKUP($A142,#REF!,101,FALSE)</f>
        <v>#REF!</v>
      </c>
      <c r="C142" s="98" t="e">
        <f>VLOOKUP($A142,#REF!,102,FALSE)</f>
        <v>#REF!</v>
      </c>
      <c r="D142" s="104" t="e">
        <f>VLOOKUP($A142,#REF!,5,FALSE)</f>
        <v>#REF!</v>
      </c>
      <c r="E142" s="104" t="e">
        <f>VLOOKUP($A142,#REF!,6,FALSE)</f>
        <v>#REF!</v>
      </c>
      <c r="F142" s="105" t="e">
        <f>VLOOKUP($A142,#REF!,34,FALSE)</f>
        <v>#REF!</v>
      </c>
      <c r="G142" s="105" t="e">
        <f>VLOOKUP($A142,#REF!,29,FALSE)</f>
        <v>#REF!</v>
      </c>
      <c r="H142" s="105" t="e">
        <f>VLOOKUP($A142,#REF!,35,FALSE)+VLOOKUP($A142,#REF!,97,FALSE)</f>
        <v>#REF!</v>
      </c>
      <c r="I142" s="105" t="e">
        <f t="shared" si="38"/>
        <v>#REF!</v>
      </c>
      <c r="J142" s="105" t="e">
        <f>VLOOKUP($A142,#REF!,42,FALSE)</f>
        <v>#REF!</v>
      </c>
      <c r="K142" s="105" t="e">
        <f t="shared" si="39"/>
        <v>#REF!</v>
      </c>
      <c r="L142" s="164" t="e">
        <f t="shared" si="37"/>
        <v>#REF!</v>
      </c>
      <c r="M142" s="105" t="e">
        <f t="shared" si="40"/>
        <v>#REF!</v>
      </c>
      <c r="N142" s="105" t="e">
        <f>VLOOKUP($A142,#REF!,46,FALSE)</f>
        <v>#REF!</v>
      </c>
      <c r="O142" s="106" t="e">
        <f>VLOOKUP($A142,#REF!,9,FALSE)</f>
        <v>#REF!</v>
      </c>
      <c r="P142" s="114" t="e">
        <f>#REF!</f>
        <v>#REF!</v>
      </c>
      <c r="Q142" s="114" t="e">
        <f>VLOOKUP(A142,#REF!,17,FALSE)</f>
        <v>#REF!</v>
      </c>
      <c r="R142" s="120" t="e">
        <f>#REF!</f>
        <v>#REF!</v>
      </c>
      <c r="S142" s="114" t="e">
        <f>IF(Q142=0,#REF!,ROUND(Q142*R142,4))</f>
        <v>#REF!</v>
      </c>
      <c r="T142" s="105" t="e">
        <f>VLOOKUP($A142,#REF!,15,FALSE)</f>
        <v>#REF!</v>
      </c>
      <c r="U142" s="105" t="e">
        <f>VLOOKUP($A142,#REF!,19,FALSE)</f>
        <v>#REF!</v>
      </c>
      <c r="V142" s="109" t="e">
        <f t="shared" si="41"/>
        <v>#REF!</v>
      </c>
      <c r="W142" s="121" t="e">
        <f t="shared" si="42"/>
        <v>#REF!</v>
      </c>
      <c r="X142" s="105" t="e">
        <f t="shared" si="43"/>
        <v>#REF!</v>
      </c>
      <c r="Y142" s="109" t="e">
        <f t="shared" si="44"/>
        <v>#REF!</v>
      </c>
      <c r="Z142" s="109" t="e">
        <f t="shared" si="45"/>
        <v>#REF!</v>
      </c>
      <c r="AA142" s="113" t="e">
        <f t="shared" si="46"/>
        <v>#REF!</v>
      </c>
      <c r="AB142" s="109" t="e">
        <f t="shared" si="47"/>
        <v>#REF!</v>
      </c>
      <c r="AC142" s="113" t="e">
        <f t="shared" si="48"/>
        <v>#REF!</v>
      </c>
      <c r="AD142" s="105" t="e">
        <f t="shared" si="49"/>
        <v>#REF!</v>
      </c>
      <c r="AE142" s="105" t="e">
        <f t="shared" si="50"/>
        <v>#REF!</v>
      </c>
      <c r="AF142" s="105" t="e">
        <f t="shared" si="51"/>
        <v>#REF!</v>
      </c>
      <c r="AG142" s="105" t="e">
        <f t="shared" si="52"/>
        <v>#REF!</v>
      </c>
      <c r="AH142" s="111" t="e">
        <f>VLOOKUP($A142,#REF!,5,FALSE)</f>
        <v>#REF!</v>
      </c>
      <c r="AI142" s="111" t="e">
        <f>VLOOKUP($A142,#REF!,6,FALSE)</f>
        <v>#REF!</v>
      </c>
      <c r="AJ142" s="109" t="e">
        <f t="shared" si="53"/>
        <v>#REF!</v>
      </c>
      <c r="AK142" s="109" t="e">
        <f t="shared" si="54"/>
        <v>#REF!</v>
      </c>
      <c r="AL142" s="109"/>
      <c r="AM142" s="110"/>
      <c r="AN142" s="110"/>
      <c r="AO142" s="110"/>
      <c r="AP142" s="110"/>
      <c r="AQ142" s="112"/>
      <c r="AR142" s="112"/>
      <c r="AS142" s="110"/>
      <c r="AT142" s="105"/>
      <c r="AU142" s="105"/>
      <c r="AV142" s="105"/>
      <c r="AW142" s="105"/>
      <c r="AX142" s="105"/>
      <c r="AY142" s="105"/>
    </row>
    <row r="143" spans="1:51" x14ac:dyDescent="0.15">
      <c r="A143" s="115">
        <v>693</v>
      </c>
      <c r="B143" s="98" t="e">
        <f>VLOOKUP($A143,#REF!,101,FALSE)</f>
        <v>#REF!</v>
      </c>
      <c r="C143" s="98" t="e">
        <f>VLOOKUP($A143,#REF!,102,FALSE)</f>
        <v>#REF!</v>
      </c>
      <c r="D143" s="104" t="e">
        <f>VLOOKUP($A143,#REF!,5,FALSE)</f>
        <v>#REF!</v>
      </c>
      <c r="E143" s="104" t="e">
        <f>VLOOKUP($A143,#REF!,6,FALSE)</f>
        <v>#REF!</v>
      </c>
      <c r="F143" s="105" t="e">
        <f>VLOOKUP($A143,#REF!,34,FALSE)</f>
        <v>#REF!</v>
      </c>
      <c r="G143" s="105" t="e">
        <f>VLOOKUP($A143,#REF!,29,FALSE)</f>
        <v>#REF!</v>
      </c>
      <c r="H143" s="105" t="e">
        <f>VLOOKUP($A143,#REF!,35,FALSE)+VLOOKUP($A143,#REF!,97,FALSE)</f>
        <v>#REF!</v>
      </c>
      <c r="I143" s="105" t="e">
        <f t="shared" si="38"/>
        <v>#REF!</v>
      </c>
      <c r="J143" s="105" t="e">
        <f>VLOOKUP($A143,#REF!,42,FALSE)</f>
        <v>#REF!</v>
      </c>
      <c r="K143" s="105" t="e">
        <f t="shared" si="39"/>
        <v>#REF!</v>
      </c>
      <c r="L143" s="164" t="e">
        <f t="shared" si="37"/>
        <v>#REF!</v>
      </c>
      <c r="M143" s="105" t="e">
        <f t="shared" si="40"/>
        <v>#REF!</v>
      </c>
      <c r="N143" s="105" t="e">
        <f>VLOOKUP($A143,#REF!,46,FALSE)</f>
        <v>#REF!</v>
      </c>
      <c r="O143" s="106" t="e">
        <f>VLOOKUP($A143,#REF!,9,FALSE)</f>
        <v>#REF!</v>
      </c>
      <c r="P143" s="114" t="e">
        <f>#REF!</f>
        <v>#REF!</v>
      </c>
      <c r="Q143" s="114" t="e">
        <f>VLOOKUP(A143,#REF!,17,FALSE)</f>
        <v>#REF!</v>
      </c>
      <c r="R143" s="120" t="e">
        <f>#REF!</f>
        <v>#REF!</v>
      </c>
      <c r="S143" s="114" t="e">
        <f>IF(Q143=0,#REF!,ROUND(Q143*R143,4))</f>
        <v>#REF!</v>
      </c>
      <c r="T143" s="105" t="e">
        <f>VLOOKUP($A143,#REF!,15,FALSE)</f>
        <v>#REF!</v>
      </c>
      <c r="U143" s="105" t="e">
        <f>VLOOKUP($A143,#REF!,19,FALSE)</f>
        <v>#REF!</v>
      </c>
      <c r="V143" s="109" t="e">
        <f t="shared" si="41"/>
        <v>#REF!</v>
      </c>
      <c r="W143" s="121" t="e">
        <f t="shared" si="42"/>
        <v>#REF!</v>
      </c>
      <c r="X143" s="105" t="e">
        <f t="shared" si="43"/>
        <v>#REF!</v>
      </c>
      <c r="Y143" s="109" t="e">
        <f t="shared" si="44"/>
        <v>#REF!</v>
      </c>
      <c r="Z143" s="109" t="e">
        <f t="shared" si="45"/>
        <v>#REF!</v>
      </c>
      <c r="AA143" s="113" t="e">
        <f t="shared" si="46"/>
        <v>#REF!</v>
      </c>
      <c r="AB143" s="109" t="e">
        <f t="shared" si="47"/>
        <v>#REF!</v>
      </c>
      <c r="AC143" s="113" t="e">
        <f t="shared" si="48"/>
        <v>#REF!</v>
      </c>
      <c r="AD143" s="105" t="e">
        <f t="shared" si="49"/>
        <v>#REF!</v>
      </c>
      <c r="AE143" s="105" t="e">
        <f t="shared" si="50"/>
        <v>#REF!</v>
      </c>
      <c r="AF143" s="105" t="e">
        <f t="shared" si="51"/>
        <v>#REF!</v>
      </c>
      <c r="AG143" s="105" t="e">
        <f t="shared" si="52"/>
        <v>#REF!</v>
      </c>
      <c r="AH143" s="111" t="e">
        <f>VLOOKUP($A143,#REF!,5,FALSE)</f>
        <v>#REF!</v>
      </c>
      <c r="AI143" s="111" t="e">
        <f>VLOOKUP($A143,#REF!,6,FALSE)</f>
        <v>#REF!</v>
      </c>
      <c r="AJ143" s="109" t="e">
        <f t="shared" si="53"/>
        <v>#REF!</v>
      </c>
      <c r="AK143" s="109" t="e">
        <f t="shared" si="54"/>
        <v>#REF!</v>
      </c>
      <c r="AL143" s="109"/>
      <c r="AM143" s="110"/>
      <c r="AN143" s="110"/>
      <c r="AO143" s="110"/>
      <c r="AP143" s="110"/>
      <c r="AQ143" s="112"/>
      <c r="AR143" s="112"/>
      <c r="AS143" s="110"/>
      <c r="AT143" s="105"/>
      <c r="AU143" s="105"/>
      <c r="AV143" s="105"/>
      <c r="AW143" s="105"/>
      <c r="AX143" s="105"/>
      <c r="AY143" s="105"/>
    </row>
    <row r="144" spans="1:51" x14ac:dyDescent="0.15">
      <c r="A144" s="115">
        <v>302</v>
      </c>
      <c r="B144" s="98" t="e">
        <f>VLOOKUP($A144,#REF!,101,FALSE)</f>
        <v>#REF!</v>
      </c>
      <c r="C144" s="98" t="e">
        <f>VLOOKUP($A144,#REF!,102,FALSE)</f>
        <v>#REF!</v>
      </c>
      <c r="D144" s="104" t="e">
        <f>VLOOKUP($A144,#REF!,5,FALSE)</f>
        <v>#REF!</v>
      </c>
      <c r="E144" s="104" t="e">
        <f>VLOOKUP($A144,#REF!,6,FALSE)</f>
        <v>#REF!</v>
      </c>
      <c r="F144" s="105" t="e">
        <f>VLOOKUP($A144,#REF!,34,FALSE)</f>
        <v>#REF!</v>
      </c>
      <c r="G144" s="105" t="e">
        <f>VLOOKUP($A144,#REF!,29,FALSE)</f>
        <v>#REF!</v>
      </c>
      <c r="H144" s="105" t="e">
        <f>VLOOKUP($A144,#REF!,35,FALSE)+VLOOKUP($A144,#REF!,97,FALSE)</f>
        <v>#REF!</v>
      </c>
      <c r="I144" s="105" t="e">
        <f t="shared" si="38"/>
        <v>#REF!</v>
      </c>
      <c r="J144" s="105" t="e">
        <f>VLOOKUP($A144,#REF!,42,FALSE)</f>
        <v>#REF!</v>
      </c>
      <c r="K144" s="105" t="e">
        <f t="shared" si="39"/>
        <v>#REF!</v>
      </c>
      <c r="L144" s="164" t="e">
        <f t="shared" si="37"/>
        <v>#REF!</v>
      </c>
      <c r="M144" s="105" t="e">
        <f t="shared" si="40"/>
        <v>#REF!</v>
      </c>
      <c r="N144" s="105" t="e">
        <f>VLOOKUP($A144,#REF!,46,FALSE)</f>
        <v>#REF!</v>
      </c>
      <c r="O144" s="106" t="e">
        <f>VLOOKUP($A144,#REF!,9,FALSE)</f>
        <v>#REF!</v>
      </c>
      <c r="P144" s="114" t="e">
        <f>#REF!</f>
        <v>#REF!</v>
      </c>
      <c r="Q144" s="114" t="e">
        <f>VLOOKUP(A144,#REF!,17,FALSE)</f>
        <v>#REF!</v>
      </c>
      <c r="R144" s="120" t="e">
        <f>#REF!</f>
        <v>#REF!</v>
      </c>
      <c r="S144" s="114" t="e">
        <f>IF(Q144=0,#REF!,ROUND(Q144*R144,4))</f>
        <v>#REF!</v>
      </c>
      <c r="T144" s="105" t="e">
        <f>VLOOKUP($A144,#REF!,15,FALSE)</f>
        <v>#REF!</v>
      </c>
      <c r="U144" s="105" t="e">
        <f>VLOOKUP($A144,#REF!,19,FALSE)</f>
        <v>#REF!</v>
      </c>
      <c r="V144" s="109" t="e">
        <f t="shared" si="41"/>
        <v>#REF!</v>
      </c>
      <c r="W144" s="121" t="e">
        <f t="shared" si="42"/>
        <v>#REF!</v>
      </c>
      <c r="X144" s="105" t="e">
        <f t="shared" si="43"/>
        <v>#REF!</v>
      </c>
      <c r="Y144" s="109" t="e">
        <f t="shared" si="44"/>
        <v>#REF!</v>
      </c>
      <c r="Z144" s="109" t="e">
        <f t="shared" si="45"/>
        <v>#REF!</v>
      </c>
      <c r="AA144" s="113" t="e">
        <f t="shared" si="46"/>
        <v>#REF!</v>
      </c>
      <c r="AB144" s="109" t="e">
        <f t="shared" si="47"/>
        <v>#REF!</v>
      </c>
      <c r="AC144" s="113" t="e">
        <f t="shared" si="48"/>
        <v>#REF!</v>
      </c>
      <c r="AD144" s="105" t="e">
        <f t="shared" si="49"/>
        <v>#REF!</v>
      </c>
      <c r="AE144" s="105" t="e">
        <f t="shared" si="50"/>
        <v>#REF!</v>
      </c>
      <c r="AF144" s="105" t="e">
        <f t="shared" si="51"/>
        <v>#REF!</v>
      </c>
      <c r="AG144" s="105" t="e">
        <f t="shared" si="52"/>
        <v>#REF!</v>
      </c>
      <c r="AH144" s="111" t="e">
        <f>VLOOKUP($A144,#REF!,5,FALSE)</f>
        <v>#REF!</v>
      </c>
      <c r="AI144" s="111" t="e">
        <f>VLOOKUP($A144,#REF!,6,FALSE)</f>
        <v>#REF!</v>
      </c>
      <c r="AJ144" s="109" t="e">
        <f t="shared" si="53"/>
        <v>#REF!</v>
      </c>
      <c r="AK144" s="109" t="e">
        <f t="shared" si="54"/>
        <v>#REF!</v>
      </c>
      <c r="AL144" s="109"/>
      <c r="AM144" s="110"/>
      <c r="AN144" s="110"/>
      <c r="AO144" s="110"/>
      <c r="AP144" s="110"/>
      <c r="AQ144" s="112"/>
      <c r="AR144" s="112"/>
      <c r="AS144" s="110"/>
      <c r="AT144" s="105"/>
      <c r="AU144" s="105"/>
      <c r="AV144" s="105"/>
      <c r="AW144" s="105"/>
      <c r="AX144" s="105"/>
      <c r="AY144" s="105"/>
    </row>
    <row r="145" spans="1:51" x14ac:dyDescent="0.15">
      <c r="A145" s="115">
        <v>320</v>
      </c>
      <c r="B145" s="98" t="e">
        <f>VLOOKUP($A145,#REF!,101,FALSE)</f>
        <v>#REF!</v>
      </c>
      <c r="C145" s="98" t="e">
        <f>VLOOKUP($A145,#REF!,102,FALSE)</f>
        <v>#REF!</v>
      </c>
      <c r="D145" s="104" t="e">
        <f>VLOOKUP($A145,#REF!,5,FALSE)</f>
        <v>#REF!</v>
      </c>
      <c r="E145" s="104" t="e">
        <f>VLOOKUP($A145,#REF!,6,FALSE)</f>
        <v>#REF!</v>
      </c>
      <c r="F145" s="105" t="e">
        <f>VLOOKUP($A145,#REF!,34,FALSE)</f>
        <v>#REF!</v>
      </c>
      <c r="G145" s="105" t="e">
        <f>VLOOKUP($A145,#REF!,29,FALSE)</f>
        <v>#REF!</v>
      </c>
      <c r="H145" s="105" t="e">
        <f>VLOOKUP($A145,#REF!,35,FALSE)+VLOOKUP($A145,#REF!,97,FALSE)</f>
        <v>#REF!</v>
      </c>
      <c r="I145" s="105" t="e">
        <f t="shared" si="38"/>
        <v>#REF!</v>
      </c>
      <c r="J145" s="105" t="e">
        <f>VLOOKUP($A145,#REF!,42,FALSE)</f>
        <v>#REF!</v>
      </c>
      <c r="K145" s="105" t="e">
        <f t="shared" si="39"/>
        <v>#REF!</v>
      </c>
      <c r="L145" s="164" t="e">
        <f t="shared" si="37"/>
        <v>#REF!</v>
      </c>
      <c r="M145" s="105" t="e">
        <f t="shared" si="40"/>
        <v>#REF!</v>
      </c>
      <c r="N145" s="105" t="e">
        <f>VLOOKUP($A145,#REF!,46,FALSE)</f>
        <v>#REF!</v>
      </c>
      <c r="O145" s="106" t="e">
        <f>VLOOKUP($A145,#REF!,9,FALSE)</f>
        <v>#REF!</v>
      </c>
      <c r="P145" s="114" t="e">
        <f>#REF!</f>
        <v>#REF!</v>
      </c>
      <c r="Q145" s="114" t="e">
        <f>VLOOKUP(A145,#REF!,17,FALSE)</f>
        <v>#REF!</v>
      </c>
      <c r="R145" s="120" t="e">
        <f>#REF!</f>
        <v>#REF!</v>
      </c>
      <c r="S145" s="114" t="e">
        <f>IF(Q145=0,#REF!,ROUND(Q145*R145,4))</f>
        <v>#REF!</v>
      </c>
      <c r="T145" s="105" t="e">
        <f>VLOOKUP($A145,#REF!,15,FALSE)</f>
        <v>#REF!</v>
      </c>
      <c r="U145" s="105" t="e">
        <f>VLOOKUP($A145,#REF!,19,FALSE)</f>
        <v>#REF!</v>
      </c>
      <c r="V145" s="109" t="e">
        <f t="shared" si="41"/>
        <v>#REF!</v>
      </c>
      <c r="W145" s="121" t="e">
        <f t="shared" si="42"/>
        <v>#REF!</v>
      </c>
      <c r="X145" s="105" t="e">
        <f t="shared" si="43"/>
        <v>#REF!</v>
      </c>
      <c r="Y145" s="109" t="e">
        <f t="shared" si="44"/>
        <v>#REF!</v>
      </c>
      <c r="Z145" s="109" t="e">
        <f t="shared" si="45"/>
        <v>#REF!</v>
      </c>
      <c r="AA145" s="113" t="e">
        <f t="shared" si="46"/>
        <v>#REF!</v>
      </c>
      <c r="AB145" s="109" t="e">
        <f t="shared" si="47"/>
        <v>#REF!</v>
      </c>
      <c r="AC145" s="113" t="e">
        <f t="shared" si="48"/>
        <v>#REF!</v>
      </c>
      <c r="AD145" s="105" t="e">
        <f t="shared" si="49"/>
        <v>#REF!</v>
      </c>
      <c r="AE145" s="105" t="e">
        <f t="shared" si="50"/>
        <v>#REF!</v>
      </c>
      <c r="AF145" s="105" t="e">
        <f t="shared" si="51"/>
        <v>#REF!</v>
      </c>
      <c r="AG145" s="105" t="e">
        <f t="shared" si="52"/>
        <v>#REF!</v>
      </c>
      <c r="AH145" s="111" t="e">
        <f>VLOOKUP($A145,#REF!,5,FALSE)</f>
        <v>#REF!</v>
      </c>
      <c r="AI145" s="111" t="e">
        <f>VLOOKUP($A145,#REF!,6,FALSE)</f>
        <v>#REF!</v>
      </c>
      <c r="AJ145" s="109" t="e">
        <f t="shared" si="53"/>
        <v>#REF!</v>
      </c>
      <c r="AK145" s="109" t="e">
        <f t="shared" si="54"/>
        <v>#REF!</v>
      </c>
      <c r="AL145" s="109"/>
      <c r="AM145" s="110"/>
      <c r="AN145" s="110"/>
      <c r="AO145" s="110"/>
      <c r="AP145" s="110"/>
      <c r="AQ145" s="112"/>
      <c r="AR145" s="112"/>
      <c r="AS145" s="110"/>
      <c r="AT145" s="105"/>
      <c r="AU145" s="105"/>
      <c r="AV145" s="105"/>
      <c r="AW145" s="105"/>
      <c r="AX145" s="105"/>
      <c r="AY145" s="105"/>
    </row>
    <row r="146" spans="1:51" x14ac:dyDescent="0.15">
      <c r="A146" s="115">
        <v>322</v>
      </c>
      <c r="B146" s="98" t="e">
        <f>VLOOKUP($A146,#REF!,101,FALSE)</f>
        <v>#REF!</v>
      </c>
      <c r="C146" s="98" t="e">
        <f>VLOOKUP($A146,#REF!,102,FALSE)</f>
        <v>#REF!</v>
      </c>
      <c r="D146" s="104" t="e">
        <f>VLOOKUP($A146,#REF!,5,FALSE)</f>
        <v>#REF!</v>
      </c>
      <c r="E146" s="104" t="e">
        <f>VLOOKUP($A146,#REF!,6,FALSE)</f>
        <v>#REF!</v>
      </c>
      <c r="F146" s="105" t="e">
        <f>VLOOKUP($A146,#REF!,34,FALSE)</f>
        <v>#REF!</v>
      </c>
      <c r="G146" s="105" t="e">
        <f>VLOOKUP($A146,#REF!,29,FALSE)</f>
        <v>#REF!</v>
      </c>
      <c r="H146" s="105" t="e">
        <f>VLOOKUP($A146,#REF!,35,FALSE)+VLOOKUP($A146,#REF!,97,FALSE)</f>
        <v>#REF!</v>
      </c>
      <c r="I146" s="105" t="e">
        <f t="shared" si="38"/>
        <v>#REF!</v>
      </c>
      <c r="J146" s="105" t="e">
        <f>VLOOKUP($A146,#REF!,42,FALSE)</f>
        <v>#REF!</v>
      </c>
      <c r="K146" s="105" t="e">
        <f t="shared" si="39"/>
        <v>#REF!</v>
      </c>
      <c r="L146" s="164" t="e">
        <f t="shared" si="37"/>
        <v>#REF!</v>
      </c>
      <c r="M146" s="105" t="e">
        <f t="shared" si="40"/>
        <v>#REF!</v>
      </c>
      <c r="N146" s="105" t="e">
        <f>VLOOKUP($A146,#REF!,46,FALSE)</f>
        <v>#REF!</v>
      </c>
      <c r="O146" s="106" t="e">
        <f>VLOOKUP($A146,#REF!,9,FALSE)</f>
        <v>#REF!</v>
      </c>
      <c r="P146" s="114" t="e">
        <f>#REF!</f>
        <v>#REF!</v>
      </c>
      <c r="Q146" s="114" t="e">
        <f>VLOOKUP(A146,#REF!,17,FALSE)</f>
        <v>#REF!</v>
      </c>
      <c r="R146" s="120" t="e">
        <f>#REF!</f>
        <v>#REF!</v>
      </c>
      <c r="S146" s="114" t="e">
        <f>IF(Q146=0,#REF!,ROUND(Q146*R146,4))</f>
        <v>#REF!</v>
      </c>
      <c r="T146" s="105" t="e">
        <f>VLOOKUP($A146,#REF!,15,FALSE)</f>
        <v>#REF!</v>
      </c>
      <c r="U146" s="105" t="e">
        <f>VLOOKUP($A146,#REF!,19,FALSE)</f>
        <v>#REF!</v>
      </c>
      <c r="V146" s="109" t="e">
        <f t="shared" si="41"/>
        <v>#REF!</v>
      </c>
      <c r="W146" s="121" t="e">
        <f t="shared" si="42"/>
        <v>#REF!</v>
      </c>
      <c r="X146" s="105" t="e">
        <f t="shared" si="43"/>
        <v>#REF!</v>
      </c>
      <c r="Y146" s="109" t="e">
        <f t="shared" si="44"/>
        <v>#REF!</v>
      </c>
      <c r="Z146" s="109" t="e">
        <f t="shared" si="45"/>
        <v>#REF!</v>
      </c>
      <c r="AA146" s="113" t="e">
        <f t="shared" si="46"/>
        <v>#REF!</v>
      </c>
      <c r="AB146" s="109" t="e">
        <f t="shared" si="47"/>
        <v>#REF!</v>
      </c>
      <c r="AC146" s="113" t="e">
        <f t="shared" si="48"/>
        <v>#REF!</v>
      </c>
      <c r="AD146" s="105" t="e">
        <f t="shared" si="49"/>
        <v>#REF!</v>
      </c>
      <c r="AE146" s="105" t="e">
        <f t="shared" si="50"/>
        <v>#REF!</v>
      </c>
      <c r="AF146" s="105" t="e">
        <f t="shared" si="51"/>
        <v>#REF!</v>
      </c>
      <c r="AG146" s="105" t="e">
        <f t="shared" si="52"/>
        <v>#REF!</v>
      </c>
      <c r="AH146" s="111" t="e">
        <f>VLOOKUP($A146,#REF!,5,FALSE)</f>
        <v>#REF!</v>
      </c>
      <c r="AI146" s="111" t="e">
        <f>VLOOKUP($A146,#REF!,6,FALSE)</f>
        <v>#REF!</v>
      </c>
      <c r="AJ146" s="109" t="e">
        <f t="shared" si="53"/>
        <v>#REF!</v>
      </c>
      <c r="AK146" s="109" t="e">
        <f t="shared" si="54"/>
        <v>#REF!</v>
      </c>
      <c r="AL146" s="109"/>
      <c r="AM146" s="110"/>
      <c r="AN146" s="110"/>
      <c r="AO146" s="110"/>
      <c r="AP146" s="110"/>
      <c r="AQ146" s="112"/>
      <c r="AR146" s="112"/>
      <c r="AS146" s="110"/>
      <c r="AT146" s="105"/>
      <c r="AU146" s="105"/>
      <c r="AV146" s="105"/>
      <c r="AW146" s="105"/>
      <c r="AX146" s="105"/>
      <c r="AY146" s="105"/>
    </row>
    <row r="147" spans="1:51" x14ac:dyDescent="0.15">
      <c r="A147" s="115">
        <v>316</v>
      </c>
      <c r="B147" s="98" t="e">
        <f>VLOOKUP($A147,#REF!,101,FALSE)</f>
        <v>#REF!</v>
      </c>
      <c r="C147" s="98" t="e">
        <f>VLOOKUP($A147,#REF!,102,FALSE)</f>
        <v>#REF!</v>
      </c>
      <c r="D147" s="104" t="e">
        <f>VLOOKUP($A147,#REF!,5,FALSE)</f>
        <v>#REF!</v>
      </c>
      <c r="E147" s="104" t="e">
        <f>VLOOKUP($A147,#REF!,6,FALSE)</f>
        <v>#REF!</v>
      </c>
      <c r="F147" s="105" t="e">
        <f>VLOOKUP($A147,#REF!,34,FALSE)</f>
        <v>#REF!</v>
      </c>
      <c r="G147" s="105" t="e">
        <f>VLOOKUP($A147,#REF!,29,FALSE)</f>
        <v>#REF!</v>
      </c>
      <c r="H147" s="105" t="e">
        <f>VLOOKUP($A147,#REF!,35,FALSE)+VLOOKUP($A147,#REF!,97,FALSE)</f>
        <v>#REF!</v>
      </c>
      <c r="I147" s="105" t="e">
        <f t="shared" si="38"/>
        <v>#REF!</v>
      </c>
      <c r="J147" s="105" t="e">
        <f>VLOOKUP($A147,#REF!,42,FALSE)</f>
        <v>#REF!</v>
      </c>
      <c r="K147" s="105" t="e">
        <f t="shared" si="39"/>
        <v>#REF!</v>
      </c>
      <c r="L147" s="164" t="e">
        <f t="shared" si="37"/>
        <v>#REF!</v>
      </c>
      <c r="M147" s="105" t="e">
        <f t="shared" si="40"/>
        <v>#REF!</v>
      </c>
      <c r="N147" s="105" t="e">
        <f>VLOOKUP($A147,#REF!,46,FALSE)</f>
        <v>#REF!</v>
      </c>
      <c r="O147" s="106" t="e">
        <f>VLOOKUP($A147,#REF!,9,FALSE)</f>
        <v>#REF!</v>
      </c>
      <c r="P147" s="114" t="e">
        <f>#REF!</f>
        <v>#REF!</v>
      </c>
      <c r="Q147" s="114" t="e">
        <f>VLOOKUP(A147,#REF!,17,FALSE)</f>
        <v>#REF!</v>
      </c>
      <c r="R147" s="120" t="e">
        <f>#REF!</f>
        <v>#REF!</v>
      </c>
      <c r="S147" s="114" t="e">
        <f>IF(Q147=0,#REF!,ROUND(Q147*R147,4))</f>
        <v>#REF!</v>
      </c>
      <c r="T147" s="105" t="e">
        <f>VLOOKUP($A147,#REF!,15,FALSE)</f>
        <v>#REF!</v>
      </c>
      <c r="U147" s="105" t="e">
        <f>VLOOKUP($A147,#REF!,19,FALSE)</f>
        <v>#REF!</v>
      </c>
      <c r="V147" s="109" t="e">
        <f t="shared" si="41"/>
        <v>#REF!</v>
      </c>
      <c r="W147" s="121" t="e">
        <f t="shared" si="42"/>
        <v>#REF!</v>
      </c>
      <c r="X147" s="105" t="e">
        <f t="shared" si="43"/>
        <v>#REF!</v>
      </c>
      <c r="Y147" s="109" t="e">
        <f t="shared" si="44"/>
        <v>#REF!</v>
      </c>
      <c r="Z147" s="109" t="e">
        <f t="shared" si="45"/>
        <v>#REF!</v>
      </c>
      <c r="AA147" s="113" t="e">
        <f t="shared" si="46"/>
        <v>#REF!</v>
      </c>
      <c r="AB147" s="109" t="e">
        <f t="shared" si="47"/>
        <v>#REF!</v>
      </c>
      <c r="AC147" s="113" t="e">
        <f t="shared" si="48"/>
        <v>#REF!</v>
      </c>
      <c r="AD147" s="105" t="e">
        <f t="shared" si="49"/>
        <v>#REF!</v>
      </c>
      <c r="AE147" s="105" t="e">
        <f t="shared" si="50"/>
        <v>#REF!</v>
      </c>
      <c r="AF147" s="105" t="e">
        <f t="shared" si="51"/>
        <v>#REF!</v>
      </c>
      <c r="AG147" s="105" t="e">
        <f t="shared" si="52"/>
        <v>#REF!</v>
      </c>
      <c r="AH147" s="111" t="e">
        <f>VLOOKUP($A147,#REF!,5,FALSE)</f>
        <v>#REF!</v>
      </c>
      <c r="AI147" s="111" t="e">
        <f>VLOOKUP($A147,#REF!,6,FALSE)</f>
        <v>#REF!</v>
      </c>
      <c r="AJ147" s="109" t="e">
        <f t="shared" si="53"/>
        <v>#REF!</v>
      </c>
      <c r="AK147" s="109" t="e">
        <f t="shared" si="54"/>
        <v>#REF!</v>
      </c>
      <c r="AL147" s="109"/>
      <c r="AM147" s="110"/>
      <c r="AN147" s="110"/>
      <c r="AO147" s="110"/>
      <c r="AP147" s="110"/>
      <c r="AQ147" s="112"/>
      <c r="AR147" s="112"/>
      <c r="AS147" s="110"/>
      <c r="AT147" s="105"/>
      <c r="AU147" s="105"/>
      <c r="AV147" s="105"/>
      <c r="AW147" s="105"/>
      <c r="AX147" s="105"/>
      <c r="AY147" s="105"/>
    </row>
    <row r="148" spans="1:51" x14ac:dyDescent="0.15">
      <c r="A148" s="115">
        <v>739</v>
      </c>
      <c r="B148" s="98" t="e">
        <f>VLOOKUP($A148,#REF!,101,FALSE)</f>
        <v>#REF!</v>
      </c>
      <c r="C148" s="98" t="e">
        <f>VLOOKUP($A148,#REF!,102,FALSE)</f>
        <v>#REF!</v>
      </c>
      <c r="D148" s="104" t="e">
        <f>VLOOKUP($A148,#REF!,5,FALSE)</f>
        <v>#REF!</v>
      </c>
      <c r="E148" s="104" t="e">
        <f>VLOOKUP($A148,#REF!,6,FALSE)</f>
        <v>#REF!</v>
      </c>
      <c r="F148" s="105" t="e">
        <f>VLOOKUP($A148,#REF!,34,FALSE)</f>
        <v>#REF!</v>
      </c>
      <c r="G148" s="105" t="e">
        <f>VLOOKUP($A148,#REF!,29,FALSE)</f>
        <v>#REF!</v>
      </c>
      <c r="H148" s="105" t="e">
        <f>VLOOKUP($A148,#REF!,35,FALSE)+VLOOKUP($A148,#REF!,97,FALSE)</f>
        <v>#REF!</v>
      </c>
      <c r="I148" s="105" t="e">
        <f t="shared" si="38"/>
        <v>#REF!</v>
      </c>
      <c r="J148" s="105" t="e">
        <f>VLOOKUP($A148,#REF!,42,FALSE)</f>
        <v>#REF!</v>
      </c>
      <c r="K148" s="105" t="e">
        <f t="shared" si="39"/>
        <v>#REF!</v>
      </c>
      <c r="L148" s="164" t="e">
        <f t="shared" si="37"/>
        <v>#REF!</v>
      </c>
      <c r="M148" s="105" t="e">
        <f t="shared" si="40"/>
        <v>#REF!</v>
      </c>
      <c r="N148" s="105" t="e">
        <f>VLOOKUP($A148,#REF!,46,FALSE)</f>
        <v>#REF!</v>
      </c>
      <c r="O148" s="106" t="e">
        <f>VLOOKUP($A148,#REF!,9,FALSE)</f>
        <v>#REF!</v>
      </c>
      <c r="P148" s="114" t="e">
        <f>#REF!</f>
        <v>#REF!</v>
      </c>
      <c r="Q148" s="114" t="e">
        <f>VLOOKUP(A148,#REF!,17,FALSE)</f>
        <v>#REF!</v>
      </c>
      <c r="R148" s="120" t="e">
        <f>#REF!</f>
        <v>#REF!</v>
      </c>
      <c r="S148" s="114" t="e">
        <f>IF(Q148=0,#REF!,ROUND(Q148*R148,4))</f>
        <v>#REF!</v>
      </c>
      <c r="T148" s="105" t="e">
        <f>VLOOKUP($A148,#REF!,15,FALSE)</f>
        <v>#REF!</v>
      </c>
      <c r="U148" s="105" t="e">
        <f>VLOOKUP($A148,#REF!,19,FALSE)</f>
        <v>#REF!</v>
      </c>
      <c r="V148" s="109" t="e">
        <f t="shared" si="41"/>
        <v>#REF!</v>
      </c>
      <c r="W148" s="121" t="e">
        <f t="shared" si="42"/>
        <v>#REF!</v>
      </c>
      <c r="X148" s="105" t="e">
        <f t="shared" si="43"/>
        <v>#REF!</v>
      </c>
      <c r="Y148" s="109" t="e">
        <f t="shared" si="44"/>
        <v>#REF!</v>
      </c>
      <c r="Z148" s="109" t="e">
        <f t="shared" si="45"/>
        <v>#REF!</v>
      </c>
      <c r="AA148" s="113" t="e">
        <f t="shared" si="46"/>
        <v>#REF!</v>
      </c>
      <c r="AB148" s="109" t="e">
        <f t="shared" si="47"/>
        <v>#REF!</v>
      </c>
      <c r="AC148" s="113" t="e">
        <f t="shared" si="48"/>
        <v>#REF!</v>
      </c>
      <c r="AD148" s="105" t="e">
        <f t="shared" si="49"/>
        <v>#REF!</v>
      </c>
      <c r="AE148" s="105" t="e">
        <f t="shared" si="50"/>
        <v>#REF!</v>
      </c>
      <c r="AF148" s="105" t="e">
        <f t="shared" si="51"/>
        <v>#REF!</v>
      </c>
      <c r="AG148" s="105" t="e">
        <f t="shared" si="52"/>
        <v>#REF!</v>
      </c>
      <c r="AH148" s="111" t="e">
        <f>VLOOKUP($A148,#REF!,5,FALSE)</f>
        <v>#REF!</v>
      </c>
      <c r="AI148" s="111" t="e">
        <f>VLOOKUP($A148,#REF!,6,FALSE)</f>
        <v>#REF!</v>
      </c>
      <c r="AJ148" s="109" t="e">
        <f t="shared" si="53"/>
        <v>#REF!</v>
      </c>
      <c r="AK148" s="109" t="e">
        <f t="shared" si="54"/>
        <v>#REF!</v>
      </c>
      <c r="AL148" s="109"/>
      <c r="AM148" s="113"/>
      <c r="AN148" s="113"/>
      <c r="AO148" s="113"/>
      <c r="AP148" s="113"/>
      <c r="AQ148" s="113"/>
      <c r="AR148" s="113"/>
      <c r="AS148" s="110"/>
      <c r="AT148" s="105"/>
      <c r="AU148" s="105"/>
      <c r="AV148" s="105"/>
      <c r="AW148" s="105"/>
      <c r="AX148" s="105"/>
      <c r="AY148" s="105"/>
    </row>
    <row r="149" spans="1:51" x14ac:dyDescent="0.15">
      <c r="A149" s="115">
        <v>332</v>
      </c>
      <c r="B149" s="98" t="e">
        <f>VLOOKUP($A149,#REF!,101,FALSE)</f>
        <v>#REF!</v>
      </c>
      <c r="C149" s="98" t="e">
        <f>VLOOKUP($A149,#REF!,102,FALSE)</f>
        <v>#REF!</v>
      </c>
      <c r="D149" s="104" t="e">
        <f>VLOOKUP($A149,#REF!,5,FALSE)</f>
        <v>#REF!</v>
      </c>
      <c r="E149" s="104" t="e">
        <f>VLOOKUP($A149,#REF!,6,FALSE)</f>
        <v>#REF!</v>
      </c>
      <c r="F149" s="105" t="e">
        <f>VLOOKUP($A149,#REF!,34,FALSE)</f>
        <v>#REF!</v>
      </c>
      <c r="G149" s="105" t="e">
        <f>VLOOKUP($A149,#REF!,29,FALSE)</f>
        <v>#REF!</v>
      </c>
      <c r="H149" s="105" t="e">
        <f>VLOOKUP($A149,#REF!,35,FALSE)+VLOOKUP($A149,#REF!,97,FALSE)</f>
        <v>#REF!</v>
      </c>
      <c r="I149" s="105" t="e">
        <f t="shared" si="38"/>
        <v>#REF!</v>
      </c>
      <c r="J149" s="105" t="e">
        <f>VLOOKUP($A149,#REF!,42,FALSE)</f>
        <v>#REF!</v>
      </c>
      <c r="K149" s="105" t="e">
        <f t="shared" si="39"/>
        <v>#REF!</v>
      </c>
      <c r="L149" s="164" t="e">
        <f t="shared" si="37"/>
        <v>#REF!</v>
      </c>
      <c r="M149" s="105" t="e">
        <f t="shared" si="40"/>
        <v>#REF!</v>
      </c>
      <c r="N149" s="105" t="e">
        <f>VLOOKUP($A149,#REF!,46,FALSE)</f>
        <v>#REF!</v>
      </c>
      <c r="O149" s="106" t="e">
        <f>VLOOKUP($A149,#REF!,9,FALSE)</f>
        <v>#REF!</v>
      </c>
      <c r="P149" s="114" t="e">
        <f>#REF!</f>
        <v>#REF!</v>
      </c>
      <c r="Q149" s="114" t="e">
        <f>VLOOKUP(A149,#REF!,17,FALSE)</f>
        <v>#REF!</v>
      </c>
      <c r="R149" s="120" t="e">
        <f>#REF!</f>
        <v>#REF!</v>
      </c>
      <c r="S149" s="114" t="e">
        <f>IF(Q149=0,#REF!,ROUND(Q149*R149,4))</f>
        <v>#REF!</v>
      </c>
      <c r="T149" s="105" t="e">
        <f>VLOOKUP($A149,#REF!,15,FALSE)</f>
        <v>#REF!</v>
      </c>
      <c r="U149" s="105" t="e">
        <f>VLOOKUP($A149,#REF!,19,FALSE)</f>
        <v>#REF!</v>
      </c>
      <c r="V149" s="109" t="e">
        <f t="shared" si="41"/>
        <v>#REF!</v>
      </c>
      <c r="W149" s="121" t="e">
        <f t="shared" si="42"/>
        <v>#REF!</v>
      </c>
      <c r="X149" s="105" t="e">
        <f t="shared" si="43"/>
        <v>#REF!</v>
      </c>
      <c r="Y149" s="109" t="e">
        <f t="shared" si="44"/>
        <v>#REF!</v>
      </c>
      <c r="Z149" s="109" t="e">
        <f t="shared" si="45"/>
        <v>#REF!</v>
      </c>
      <c r="AA149" s="113" t="e">
        <f t="shared" si="46"/>
        <v>#REF!</v>
      </c>
      <c r="AB149" s="109" t="e">
        <f t="shared" si="47"/>
        <v>#REF!</v>
      </c>
      <c r="AC149" s="113" t="e">
        <f t="shared" si="48"/>
        <v>#REF!</v>
      </c>
      <c r="AD149" s="105" t="e">
        <f t="shared" si="49"/>
        <v>#REF!</v>
      </c>
      <c r="AE149" s="105" t="e">
        <f t="shared" si="50"/>
        <v>#REF!</v>
      </c>
      <c r="AF149" s="105" t="e">
        <f t="shared" si="51"/>
        <v>#REF!</v>
      </c>
      <c r="AG149" s="105" t="e">
        <f t="shared" si="52"/>
        <v>#REF!</v>
      </c>
      <c r="AH149" s="111" t="e">
        <f>VLOOKUP($A149,#REF!,5,FALSE)</f>
        <v>#REF!</v>
      </c>
      <c r="AI149" s="111" t="e">
        <f>VLOOKUP($A149,#REF!,6,FALSE)</f>
        <v>#REF!</v>
      </c>
      <c r="AJ149" s="109" t="e">
        <f t="shared" si="53"/>
        <v>#REF!</v>
      </c>
      <c r="AK149" s="109" t="e">
        <f t="shared" si="54"/>
        <v>#REF!</v>
      </c>
      <c r="AL149" s="109"/>
      <c r="AM149" s="110"/>
      <c r="AN149" s="110"/>
      <c r="AO149" s="110"/>
      <c r="AP149" s="110"/>
      <c r="AQ149" s="112"/>
      <c r="AR149" s="112"/>
      <c r="AS149" s="110"/>
      <c r="AT149" s="105"/>
      <c r="AU149" s="105"/>
      <c r="AV149" s="105"/>
      <c r="AW149" s="105"/>
      <c r="AX149" s="105"/>
      <c r="AY149" s="105"/>
    </row>
    <row r="150" spans="1:51" x14ac:dyDescent="0.15">
      <c r="A150" s="115">
        <v>1326</v>
      </c>
      <c r="B150" s="98" t="e">
        <f>VLOOKUP($A150,#REF!,101,FALSE)</f>
        <v>#REF!</v>
      </c>
      <c r="C150" s="98" t="e">
        <f>VLOOKUP($A150,#REF!,102,FALSE)</f>
        <v>#REF!</v>
      </c>
      <c r="D150" s="104" t="e">
        <f>VLOOKUP($A150,#REF!,5,FALSE)</f>
        <v>#REF!</v>
      </c>
      <c r="E150" s="104" t="e">
        <f>VLOOKUP($A150,#REF!,6,FALSE)</f>
        <v>#REF!</v>
      </c>
      <c r="F150" s="105" t="e">
        <f>VLOOKUP($A150,#REF!,34,FALSE)</f>
        <v>#REF!</v>
      </c>
      <c r="G150" s="105" t="e">
        <f>VLOOKUP($A150,#REF!,29,FALSE)</f>
        <v>#REF!</v>
      </c>
      <c r="H150" s="105" t="e">
        <f>VLOOKUP($A150,#REF!,35,FALSE)+VLOOKUP($A150,#REF!,97,FALSE)</f>
        <v>#REF!</v>
      </c>
      <c r="I150" s="105" t="e">
        <f t="shared" si="38"/>
        <v>#REF!</v>
      </c>
      <c r="J150" s="105" t="e">
        <f>VLOOKUP($A150,#REF!,42,FALSE)</f>
        <v>#REF!</v>
      </c>
      <c r="K150" s="105" t="e">
        <f t="shared" si="39"/>
        <v>#REF!</v>
      </c>
      <c r="L150" s="164" t="e">
        <f t="shared" si="37"/>
        <v>#REF!</v>
      </c>
      <c r="M150" s="105" t="e">
        <f t="shared" si="40"/>
        <v>#REF!</v>
      </c>
      <c r="N150" s="105" t="e">
        <f>VLOOKUP($A150,#REF!,46,FALSE)</f>
        <v>#REF!</v>
      </c>
      <c r="O150" s="106" t="e">
        <f>VLOOKUP($A150,#REF!,9,FALSE)</f>
        <v>#REF!</v>
      </c>
      <c r="P150" s="114" t="e">
        <f>#REF!</f>
        <v>#REF!</v>
      </c>
      <c r="Q150" s="114" t="e">
        <f>VLOOKUP(A150,#REF!,17,FALSE)</f>
        <v>#REF!</v>
      </c>
      <c r="R150" s="120" t="e">
        <f>#REF!</f>
        <v>#REF!</v>
      </c>
      <c r="S150" s="114" t="e">
        <f>IF(Q150=0,#REF!,ROUND(Q150*R150,4))</f>
        <v>#REF!</v>
      </c>
      <c r="T150" s="105" t="e">
        <f>VLOOKUP($A150,#REF!,15,FALSE)</f>
        <v>#REF!</v>
      </c>
      <c r="U150" s="105" t="e">
        <f>VLOOKUP($A150,#REF!,19,FALSE)</f>
        <v>#REF!</v>
      </c>
      <c r="V150" s="109" t="e">
        <f t="shared" si="41"/>
        <v>#REF!</v>
      </c>
      <c r="W150" s="121" t="e">
        <f t="shared" si="42"/>
        <v>#REF!</v>
      </c>
      <c r="X150" s="105" t="e">
        <f t="shared" si="43"/>
        <v>#REF!</v>
      </c>
      <c r="Y150" s="109" t="e">
        <f t="shared" si="44"/>
        <v>#REF!</v>
      </c>
      <c r="Z150" s="109" t="e">
        <f t="shared" si="45"/>
        <v>#REF!</v>
      </c>
      <c r="AA150" s="113" t="e">
        <f t="shared" si="46"/>
        <v>#REF!</v>
      </c>
      <c r="AB150" s="109" t="e">
        <f t="shared" si="47"/>
        <v>#REF!</v>
      </c>
      <c r="AC150" s="113" t="e">
        <f t="shared" si="48"/>
        <v>#REF!</v>
      </c>
      <c r="AD150" s="105" t="e">
        <f t="shared" si="49"/>
        <v>#REF!</v>
      </c>
      <c r="AE150" s="105" t="e">
        <f t="shared" si="50"/>
        <v>#REF!</v>
      </c>
      <c r="AF150" s="105" t="e">
        <f t="shared" si="51"/>
        <v>#REF!</v>
      </c>
      <c r="AG150" s="105" t="e">
        <f t="shared" si="52"/>
        <v>#REF!</v>
      </c>
      <c r="AH150" s="111" t="e">
        <f>VLOOKUP($A150,#REF!,5,FALSE)</f>
        <v>#REF!</v>
      </c>
      <c r="AI150" s="111" t="e">
        <f>VLOOKUP($A150,#REF!,6,FALSE)</f>
        <v>#REF!</v>
      </c>
      <c r="AJ150" s="109" t="e">
        <f t="shared" si="53"/>
        <v>#REF!</v>
      </c>
      <c r="AK150" s="109" t="e">
        <f t="shared" si="54"/>
        <v>#REF!</v>
      </c>
      <c r="AL150" s="109"/>
      <c r="AM150" s="110"/>
      <c r="AN150" s="110"/>
      <c r="AO150" s="110"/>
      <c r="AP150" s="110"/>
      <c r="AQ150" s="112"/>
      <c r="AR150" s="112"/>
      <c r="AS150" s="110"/>
      <c r="AT150" s="105"/>
      <c r="AU150" s="105"/>
      <c r="AV150" s="105"/>
      <c r="AW150" s="105"/>
      <c r="AX150" s="105"/>
      <c r="AY150" s="105"/>
    </row>
    <row r="151" spans="1:51" x14ac:dyDescent="0.15">
      <c r="A151" s="115">
        <v>326</v>
      </c>
      <c r="B151" s="98" t="e">
        <f>VLOOKUP($A151,#REF!,101,FALSE)</f>
        <v>#REF!</v>
      </c>
      <c r="C151" s="98" t="e">
        <f>VLOOKUP($A151,#REF!,102,FALSE)</f>
        <v>#REF!</v>
      </c>
      <c r="D151" s="104" t="e">
        <f>VLOOKUP($A151,#REF!,5,FALSE)</f>
        <v>#REF!</v>
      </c>
      <c r="E151" s="104" t="e">
        <f>VLOOKUP($A151,#REF!,6,FALSE)</f>
        <v>#REF!</v>
      </c>
      <c r="F151" s="105" t="e">
        <f>VLOOKUP($A151,#REF!,34,FALSE)</f>
        <v>#REF!</v>
      </c>
      <c r="G151" s="105" t="e">
        <f>VLOOKUP($A151,#REF!,29,FALSE)</f>
        <v>#REF!</v>
      </c>
      <c r="H151" s="105" t="e">
        <f>VLOOKUP($A151,#REF!,35,FALSE)+VLOOKUP($A151,#REF!,97,FALSE)</f>
        <v>#REF!</v>
      </c>
      <c r="I151" s="105" t="e">
        <f t="shared" si="38"/>
        <v>#REF!</v>
      </c>
      <c r="J151" s="105" t="e">
        <f>VLOOKUP($A151,#REF!,42,FALSE)</f>
        <v>#REF!</v>
      </c>
      <c r="K151" s="105" t="e">
        <f t="shared" si="39"/>
        <v>#REF!</v>
      </c>
      <c r="L151" s="164" t="e">
        <f t="shared" si="37"/>
        <v>#REF!</v>
      </c>
      <c r="M151" s="105" t="e">
        <f t="shared" si="40"/>
        <v>#REF!</v>
      </c>
      <c r="N151" s="105" t="e">
        <f>VLOOKUP($A151,#REF!,46,FALSE)</f>
        <v>#REF!</v>
      </c>
      <c r="O151" s="106" t="e">
        <f>VLOOKUP($A151,#REF!,9,FALSE)</f>
        <v>#REF!</v>
      </c>
      <c r="P151" s="114" t="e">
        <f>#REF!</f>
        <v>#REF!</v>
      </c>
      <c r="Q151" s="114" t="e">
        <f>VLOOKUP(A151,#REF!,17,FALSE)</f>
        <v>#REF!</v>
      </c>
      <c r="R151" s="120" t="e">
        <f>#REF!</f>
        <v>#REF!</v>
      </c>
      <c r="S151" s="114" t="e">
        <f>IF(Q151=0,#REF!,ROUND(Q151*R151,4))</f>
        <v>#REF!</v>
      </c>
      <c r="T151" s="105" t="e">
        <f>VLOOKUP($A151,#REF!,15,FALSE)</f>
        <v>#REF!</v>
      </c>
      <c r="U151" s="105" t="e">
        <f>VLOOKUP($A151,#REF!,19,FALSE)</f>
        <v>#REF!</v>
      </c>
      <c r="V151" s="109" t="e">
        <f t="shared" si="41"/>
        <v>#REF!</v>
      </c>
      <c r="W151" s="121" t="e">
        <f t="shared" si="42"/>
        <v>#REF!</v>
      </c>
      <c r="X151" s="105" t="e">
        <f t="shared" si="43"/>
        <v>#REF!</v>
      </c>
      <c r="Y151" s="109" t="e">
        <f t="shared" si="44"/>
        <v>#REF!</v>
      </c>
      <c r="Z151" s="109" t="e">
        <f t="shared" si="45"/>
        <v>#REF!</v>
      </c>
      <c r="AA151" s="113" t="e">
        <f t="shared" si="46"/>
        <v>#REF!</v>
      </c>
      <c r="AB151" s="109" t="e">
        <f t="shared" si="47"/>
        <v>#REF!</v>
      </c>
      <c r="AC151" s="113" t="e">
        <f t="shared" si="48"/>
        <v>#REF!</v>
      </c>
      <c r="AD151" s="105" t="e">
        <f t="shared" si="49"/>
        <v>#REF!</v>
      </c>
      <c r="AE151" s="105" t="e">
        <f t="shared" si="50"/>
        <v>#REF!</v>
      </c>
      <c r="AF151" s="105" t="e">
        <f t="shared" si="51"/>
        <v>#REF!</v>
      </c>
      <c r="AG151" s="105" t="e">
        <f t="shared" si="52"/>
        <v>#REF!</v>
      </c>
      <c r="AH151" s="111" t="e">
        <f>VLOOKUP($A151,#REF!,5,FALSE)</f>
        <v>#REF!</v>
      </c>
      <c r="AI151" s="111" t="e">
        <f>VLOOKUP($A151,#REF!,6,FALSE)</f>
        <v>#REF!</v>
      </c>
      <c r="AJ151" s="109" t="e">
        <f t="shared" si="53"/>
        <v>#REF!</v>
      </c>
      <c r="AK151" s="109" t="e">
        <f t="shared" si="54"/>
        <v>#REF!</v>
      </c>
      <c r="AL151" s="109"/>
      <c r="AM151" s="110"/>
      <c r="AN151" s="110"/>
      <c r="AO151" s="110"/>
      <c r="AP151" s="110"/>
      <c r="AQ151" s="112"/>
      <c r="AR151" s="112"/>
      <c r="AS151" s="110"/>
      <c r="AT151" s="105"/>
      <c r="AU151" s="105"/>
      <c r="AV151" s="105"/>
      <c r="AW151" s="105"/>
      <c r="AX151" s="105"/>
      <c r="AY151" s="105"/>
    </row>
    <row r="152" spans="1:51" x14ac:dyDescent="0.15">
      <c r="A152" s="115">
        <v>304</v>
      </c>
      <c r="B152" s="98" t="e">
        <f>VLOOKUP($A152,#REF!,101,FALSE)</f>
        <v>#REF!</v>
      </c>
      <c r="C152" s="98" t="e">
        <f>VLOOKUP($A152,#REF!,102,FALSE)</f>
        <v>#REF!</v>
      </c>
      <c r="D152" s="104" t="e">
        <f>VLOOKUP($A152,#REF!,5,FALSE)</f>
        <v>#REF!</v>
      </c>
      <c r="E152" s="104" t="e">
        <f>VLOOKUP($A152,#REF!,6,FALSE)</f>
        <v>#REF!</v>
      </c>
      <c r="F152" s="105" t="e">
        <f>VLOOKUP($A152,#REF!,34,FALSE)</f>
        <v>#REF!</v>
      </c>
      <c r="G152" s="105" t="e">
        <f>VLOOKUP($A152,#REF!,29,FALSE)</f>
        <v>#REF!</v>
      </c>
      <c r="H152" s="105" t="e">
        <f>VLOOKUP($A152,#REF!,35,FALSE)+VLOOKUP($A152,#REF!,97,FALSE)</f>
        <v>#REF!</v>
      </c>
      <c r="I152" s="105" t="e">
        <f t="shared" si="38"/>
        <v>#REF!</v>
      </c>
      <c r="J152" s="105" t="e">
        <f>VLOOKUP($A152,#REF!,42,FALSE)</f>
        <v>#REF!</v>
      </c>
      <c r="K152" s="105" t="e">
        <f t="shared" si="39"/>
        <v>#REF!</v>
      </c>
      <c r="L152" s="164" t="e">
        <f t="shared" si="37"/>
        <v>#REF!</v>
      </c>
      <c r="M152" s="105" t="e">
        <f t="shared" si="40"/>
        <v>#REF!</v>
      </c>
      <c r="N152" s="105" t="e">
        <f>VLOOKUP($A152,#REF!,46,FALSE)</f>
        <v>#REF!</v>
      </c>
      <c r="O152" s="106" t="e">
        <f>VLOOKUP($A152,#REF!,9,FALSE)</f>
        <v>#REF!</v>
      </c>
      <c r="P152" s="114" t="e">
        <f>#REF!</f>
        <v>#REF!</v>
      </c>
      <c r="Q152" s="114" t="e">
        <f>VLOOKUP(A152,#REF!,17,FALSE)</f>
        <v>#REF!</v>
      </c>
      <c r="R152" s="120" t="e">
        <f>#REF!</f>
        <v>#REF!</v>
      </c>
      <c r="S152" s="114" t="e">
        <f>IF(Q152=0,#REF!,ROUND(Q152*R152,4))</f>
        <v>#REF!</v>
      </c>
      <c r="T152" s="105" t="e">
        <f>VLOOKUP($A152,#REF!,15,FALSE)</f>
        <v>#REF!</v>
      </c>
      <c r="U152" s="105" t="e">
        <f>VLOOKUP($A152,#REF!,19,FALSE)</f>
        <v>#REF!</v>
      </c>
      <c r="V152" s="109" t="e">
        <f t="shared" si="41"/>
        <v>#REF!</v>
      </c>
      <c r="W152" s="121" t="e">
        <f t="shared" si="42"/>
        <v>#REF!</v>
      </c>
      <c r="X152" s="105" t="e">
        <f t="shared" si="43"/>
        <v>#REF!</v>
      </c>
      <c r="Y152" s="109" t="e">
        <f t="shared" si="44"/>
        <v>#REF!</v>
      </c>
      <c r="Z152" s="109" t="e">
        <f t="shared" si="45"/>
        <v>#REF!</v>
      </c>
      <c r="AA152" s="113" t="e">
        <f t="shared" si="46"/>
        <v>#REF!</v>
      </c>
      <c r="AB152" s="109" t="e">
        <f t="shared" si="47"/>
        <v>#REF!</v>
      </c>
      <c r="AC152" s="113" t="e">
        <f t="shared" si="48"/>
        <v>#REF!</v>
      </c>
      <c r="AD152" s="105" t="e">
        <f t="shared" si="49"/>
        <v>#REF!</v>
      </c>
      <c r="AE152" s="105" t="e">
        <f t="shared" si="50"/>
        <v>#REF!</v>
      </c>
      <c r="AF152" s="105" t="e">
        <f t="shared" si="51"/>
        <v>#REF!</v>
      </c>
      <c r="AG152" s="105" t="e">
        <f t="shared" si="52"/>
        <v>#REF!</v>
      </c>
      <c r="AH152" s="111" t="e">
        <f>VLOOKUP($A152,#REF!,5,FALSE)</f>
        <v>#REF!</v>
      </c>
      <c r="AI152" s="111" t="e">
        <f>VLOOKUP($A152,#REF!,6,FALSE)</f>
        <v>#REF!</v>
      </c>
      <c r="AJ152" s="109" t="e">
        <f t="shared" si="53"/>
        <v>#REF!</v>
      </c>
      <c r="AK152" s="109" t="e">
        <f t="shared" si="54"/>
        <v>#REF!</v>
      </c>
      <c r="AL152" s="109"/>
      <c r="AM152" s="110"/>
      <c r="AN152" s="110"/>
      <c r="AO152" s="110"/>
      <c r="AP152" s="110"/>
      <c r="AQ152" s="112"/>
      <c r="AR152" s="112"/>
      <c r="AS152" s="110"/>
      <c r="AT152" s="105"/>
      <c r="AU152" s="105"/>
      <c r="AV152" s="105"/>
      <c r="AW152" s="105"/>
      <c r="AX152" s="105"/>
      <c r="AY152" s="105"/>
    </row>
    <row r="153" spans="1:51" x14ac:dyDescent="0.15">
      <c r="A153" s="115">
        <v>306</v>
      </c>
      <c r="B153" s="98" t="e">
        <f>VLOOKUP($A153,#REF!,101,FALSE)</f>
        <v>#REF!</v>
      </c>
      <c r="C153" s="98" t="e">
        <f>VLOOKUP($A153,#REF!,102,FALSE)</f>
        <v>#REF!</v>
      </c>
      <c r="D153" s="104" t="e">
        <f>VLOOKUP($A153,#REF!,5,FALSE)</f>
        <v>#REF!</v>
      </c>
      <c r="E153" s="104" t="e">
        <f>VLOOKUP($A153,#REF!,6,FALSE)</f>
        <v>#REF!</v>
      </c>
      <c r="F153" s="105" t="e">
        <f>VLOOKUP($A153,#REF!,34,FALSE)</f>
        <v>#REF!</v>
      </c>
      <c r="G153" s="105" t="e">
        <f>VLOOKUP($A153,#REF!,29,FALSE)</f>
        <v>#REF!</v>
      </c>
      <c r="H153" s="105" t="e">
        <f>VLOOKUP($A153,#REF!,35,FALSE)+VLOOKUP($A153,#REF!,97,FALSE)</f>
        <v>#REF!</v>
      </c>
      <c r="I153" s="105" t="e">
        <f t="shared" si="38"/>
        <v>#REF!</v>
      </c>
      <c r="J153" s="105" t="e">
        <f>VLOOKUP($A153,#REF!,42,FALSE)</f>
        <v>#REF!</v>
      </c>
      <c r="K153" s="105" t="e">
        <f t="shared" si="39"/>
        <v>#REF!</v>
      </c>
      <c r="L153" s="164" t="e">
        <f t="shared" si="37"/>
        <v>#REF!</v>
      </c>
      <c r="M153" s="105" t="e">
        <f t="shared" si="40"/>
        <v>#REF!</v>
      </c>
      <c r="N153" s="105" t="e">
        <f>VLOOKUP($A153,#REF!,46,FALSE)</f>
        <v>#REF!</v>
      </c>
      <c r="O153" s="106" t="e">
        <f>VLOOKUP($A153,#REF!,9,FALSE)</f>
        <v>#REF!</v>
      </c>
      <c r="P153" s="114" t="e">
        <f>#REF!</f>
        <v>#REF!</v>
      </c>
      <c r="Q153" s="114" t="e">
        <f>VLOOKUP(A153,#REF!,17,FALSE)</f>
        <v>#REF!</v>
      </c>
      <c r="R153" s="120" t="e">
        <f>#REF!</f>
        <v>#REF!</v>
      </c>
      <c r="S153" s="114" t="e">
        <f>IF(Q153=0,#REF!,ROUND(Q153*R153,4))</f>
        <v>#REF!</v>
      </c>
      <c r="T153" s="105" t="e">
        <f>VLOOKUP($A153,#REF!,15,FALSE)</f>
        <v>#REF!</v>
      </c>
      <c r="U153" s="105" t="e">
        <f>VLOOKUP($A153,#REF!,19,FALSE)</f>
        <v>#REF!</v>
      </c>
      <c r="V153" s="109" t="e">
        <f t="shared" si="41"/>
        <v>#REF!</v>
      </c>
      <c r="W153" s="121" t="e">
        <f t="shared" si="42"/>
        <v>#REF!</v>
      </c>
      <c r="X153" s="105" t="e">
        <f t="shared" si="43"/>
        <v>#REF!</v>
      </c>
      <c r="Y153" s="109" t="e">
        <f t="shared" si="44"/>
        <v>#REF!</v>
      </c>
      <c r="Z153" s="109" t="e">
        <f t="shared" si="45"/>
        <v>#REF!</v>
      </c>
      <c r="AA153" s="113" t="e">
        <f t="shared" si="46"/>
        <v>#REF!</v>
      </c>
      <c r="AB153" s="109" t="e">
        <f t="shared" si="47"/>
        <v>#REF!</v>
      </c>
      <c r="AC153" s="113" t="e">
        <f t="shared" si="48"/>
        <v>#REF!</v>
      </c>
      <c r="AD153" s="105" t="e">
        <f t="shared" si="49"/>
        <v>#REF!</v>
      </c>
      <c r="AE153" s="105" t="e">
        <f t="shared" si="50"/>
        <v>#REF!</v>
      </c>
      <c r="AF153" s="105" t="e">
        <f t="shared" si="51"/>
        <v>#REF!</v>
      </c>
      <c r="AG153" s="105" t="e">
        <f t="shared" si="52"/>
        <v>#REF!</v>
      </c>
      <c r="AH153" s="111" t="e">
        <f>VLOOKUP($A153,#REF!,5,FALSE)</f>
        <v>#REF!</v>
      </c>
      <c r="AI153" s="111" t="e">
        <f>VLOOKUP($A153,#REF!,6,FALSE)</f>
        <v>#REF!</v>
      </c>
      <c r="AJ153" s="109" t="e">
        <f t="shared" si="53"/>
        <v>#REF!</v>
      </c>
      <c r="AK153" s="109" t="e">
        <f t="shared" si="54"/>
        <v>#REF!</v>
      </c>
      <c r="AL153" s="109"/>
      <c r="AM153" s="110"/>
      <c r="AN153" s="110"/>
      <c r="AO153" s="110"/>
      <c r="AP153" s="110"/>
      <c r="AQ153" s="112"/>
      <c r="AR153" s="112"/>
      <c r="AS153" s="110"/>
      <c r="AT153" s="105"/>
      <c r="AU153" s="105"/>
      <c r="AV153" s="105"/>
      <c r="AW153" s="105"/>
      <c r="AX153" s="105"/>
      <c r="AY153" s="105"/>
    </row>
    <row r="154" spans="1:51" x14ac:dyDescent="0.15">
      <c r="A154" s="115">
        <v>308</v>
      </c>
      <c r="B154" s="98" t="e">
        <f>VLOOKUP($A154,#REF!,101,FALSE)</f>
        <v>#REF!</v>
      </c>
      <c r="C154" s="98" t="e">
        <f>VLOOKUP($A154,#REF!,102,FALSE)</f>
        <v>#REF!</v>
      </c>
      <c r="D154" s="104" t="e">
        <f>VLOOKUP($A154,#REF!,5,FALSE)</f>
        <v>#REF!</v>
      </c>
      <c r="E154" s="104" t="e">
        <f>VLOOKUP($A154,#REF!,6,FALSE)</f>
        <v>#REF!</v>
      </c>
      <c r="F154" s="105" t="e">
        <f>VLOOKUP($A154,#REF!,34,FALSE)</f>
        <v>#REF!</v>
      </c>
      <c r="G154" s="105" t="e">
        <f>VLOOKUP($A154,#REF!,29,FALSE)</f>
        <v>#REF!</v>
      </c>
      <c r="H154" s="105" t="e">
        <f>VLOOKUP($A154,#REF!,35,FALSE)+VLOOKUP($A154,#REF!,97,FALSE)</f>
        <v>#REF!</v>
      </c>
      <c r="I154" s="105" t="e">
        <f t="shared" si="38"/>
        <v>#REF!</v>
      </c>
      <c r="J154" s="105" t="e">
        <f>VLOOKUP($A154,#REF!,42,FALSE)</f>
        <v>#REF!</v>
      </c>
      <c r="K154" s="105" t="e">
        <f t="shared" si="39"/>
        <v>#REF!</v>
      </c>
      <c r="L154" s="164" t="e">
        <f t="shared" si="37"/>
        <v>#REF!</v>
      </c>
      <c r="M154" s="105" t="e">
        <f t="shared" si="40"/>
        <v>#REF!</v>
      </c>
      <c r="N154" s="105" t="e">
        <f>VLOOKUP($A154,#REF!,46,FALSE)</f>
        <v>#REF!</v>
      </c>
      <c r="O154" s="106" t="e">
        <f>VLOOKUP($A154,#REF!,9,FALSE)</f>
        <v>#REF!</v>
      </c>
      <c r="P154" s="114" t="e">
        <f>#REF!</f>
        <v>#REF!</v>
      </c>
      <c r="Q154" s="114" t="e">
        <f>VLOOKUP(A154,#REF!,17,FALSE)</f>
        <v>#REF!</v>
      </c>
      <c r="R154" s="120" t="e">
        <f>#REF!</f>
        <v>#REF!</v>
      </c>
      <c r="S154" s="114" t="e">
        <f>IF(Q154=0,#REF!,ROUND(Q154*R154,4))</f>
        <v>#REF!</v>
      </c>
      <c r="T154" s="105" t="e">
        <f>VLOOKUP($A154,#REF!,15,FALSE)</f>
        <v>#REF!</v>
      </c>
      <c r="U154" s="105" t="e">
        <f>VLOOKUP($A154,#REF!,19,FALSE)</f>
        <v>#REF!</v>
      </c>
      <c r="V154" s="109" t="e">
        <f t="shared" si="41"/>
        <v>#REF!</v>
      </c>
      <c r="W154" s="121" t="e">
        <f t="shared" si="42"/>
        <v>#REF!</v>
      </c>
      <c r="X154" s="105" t="e">
        <f t="shared" si="43"/>
        <v>#REF!</v>
      </c>
      <c r="Y154" s="109" t="e">
        <f t="shared" si="44"/>
        <v>#REF!</v>
      </c>
      <c r="Z154" s="109" t="e">
        <f t="shared" si="45"/>
        <v>#REF!</v>
      </c>
      <c r="AA154" s="113" t="e">
        <f t="shared" si="46"/>
        <v>#REF!</v>
      </c>
      <c r="AB154" s="109" t="e">
        <f t="shared" si="47"/>
        <v>#REF!</v>
      </c>
      <c r="AC154" s="113" t="e">
        <f t="shared" si="48"/>
        <v>#REF!</v>
      </c>
      <c r="AD154" s="105" t="e">
        <f t="shared" si="49"/>
        <v>#REF!</v>
      </c>
      <c r="AE154" s="105" t="e">
        <f t="shared" si="50"/>
        <v>#REF!</v>
      </c>
      <c r="AF154" s="105" t="e">
        <f t="shared" si="51"/>
        <v>#REF!</v>
      </c>
      <c r="AG154" s="105" t="e">
        <f t="shared" si="52"/>
        <v>#REF!</v>
      </c>
      <c r="AH154" s="111" t="e">
        <f>VLOOKUP($A154,#REF!,5,FALSE)</f>
        <v>#REF!</v>
      </c>
      <c r="AI154" s="111" t="e">
        <f>VLOOKUP($A154,#REF!,6,FALSE)</f>
        <v>#REF!</v>
      </c>
      <c r="AJ154" s="109" t="e">
        <f t="shared" si="53"/>
        <v>#REF!</v>
      </c>
      <c r="AK154" s="109" t="e">
        <f t="shared" si="54"/>
        <v>#REF!</v>
      </c>
      <c r="AL154" s="109"/>
      <c r="AM154" s="110"/>
      <c r="AN154" s="110"/>
      <c r="AO154" s="110"/>
      <c r="AP154" s="110"/>
      <c r="AQ154" s="112"/>
      <c r="AR154" s="112"/>
      <c r="AS154" s="110"/>
      <c r="AT154" s="105"/>
      <c r="AU154" s="105"/>
      <c r="AV154" s="105"/>
      <c r="AW154" s="105"/>
      <c r="AX154" s="105"/>
      <c r="AY154" s="105"/>
    </row>
    <row r="155" spans="1:51" x14ac:dyDescent="0.15">
      <c r="A155" s="115">
        <v>685</v>
      </c>
      <c r="B155" s="98" t="e">
        <f>VLOOKUP($A155,#REF!,101,FALSE)</f>
        <v>#REF!</v>
      </c>
      <c r="C155" s="98" t="e">
        <f>VLOOKUP($A155,#REF!,102,FALSE)</f>
        <v>#REF!</v>
      </c>
      <c r="D155" s="104" t="e">
        <f>VLOOKUP($A155,#REF!,5,FALSE)</f>
        <v>#REF!</v>
      </c>
      <c r="E155" s="104" t="e">
        <f>VLOOKUP($A155,#REF!,6,FALSE)</f>
        <v>#REF!</v>
      </c>
      <c r="F155" s="105" t="e">
        <f>VLOOKUP($A155,#REF!,34,FALSE)</f>
        <v>#REF!</v>
      </c>
      <c r="G155" s="105" t="e">
        <f>VLOOKUP($A155,#REF!,29,FALSE)</f>
        <v>#REF!</v>
      </c>
      <c r="H155" s="105" t="e">
        <f>VLOOKUP($A155,#REF!,35,FALSE)+VLOOKUP($A155,#REF!,97,FALSE)</f>
        <v>#REF!</v>
      </c>
      <c r="I155" s="105" t="e">
        <f t="shared" si="38"/>
        <v>#REF!</v>
      </c>
      <c r="J155" s="105" t="e">
        <f>VLOOKUP($A155,#REF!,42,FALSE)</f>
        <v>#REF!</v>
      </c>
      <c r="K155" s="105" t="e">
        <f t="shared" si="39"/>
        <v>#REF!</v>
      </c>
      <c r="L155" s="164" t="e">
        <f t="shared" si="37"/>
        <v>#REF!</v>
      </c>
      <c r="M155" s="105" t="e">
        <f t="shared" si="40"/>
        <v>#REF!</v>
      </c>
      <c r="N155" s="105" t="e">
        <f>VLOOKUP($A155,#REF!,46,FALSE)</f>
        <v>#REF!</v>
      </c>
      <c r="O155" s="106" t="e">
        <f>VLOOKUP($A155,#REF!,9,FALSE)</f>
        <v>#REF!</v>
      </c>
      <c r="P155" s="114" t="e">
        <f>#REF!</f>
        <v>#REF!</v>
      </c>
      <c r="Q155" s="114" t="e">
        <f>VLOOKUP(A155,#REF!,17,FALSE)</f>
        <v>#REF!</v>
      </c>
      <c r="R155" s="120" t="e">
        <f>#REF!</f>
        <v>#REF!</v>
      </c>
      <c r="S155" s="114" t="e">
        <f>IF(Q155=0,#REF!,ROUND(Q155*R155,4))</f>
        <v>#REF!</v>
      </c>
      <c r="T155" s="105" t="e">
        <f>VLOOKUP($A155,#REF!,15,FALSE)</f>
        <v>#REF!</v>
      </c>
      <c r="U155" s="105" t="e">
        <f>VLOOKUP($A155,#REF!,19,FALSE)</f>
        <v>#REF!</v>
      </c>
      <c r="V155" s="109" t="e">
        <f t="shared" si="41"/>
        <v>#REF!</v>
      </c>
      <c r="W155" s="121" t="e">
        <f t="shared" si="42"/>
        <v>#REF!</v>
      </c>
      <c r="X155" s="105" t="e">
        <f t="shared" si="43"/>
        <v>#REF!</v>
      </c>
      <c r="Y155" s="109" t="e">
        <f t="shared" si="44"/>
        <v>#REF!</v>
      </c>
      <c r="Z155" s="109" t="e">
        <f t="shared" si="45"/>
        <v>#REF!</v>
      </c>
      <c r="AA155" s="113" t="e">
        <f t="shared" si="46"/>
        <v>#REF!</v>
      </c>
      <c r="AB155" s="109" t="e">
        <f t="shared" si="47"/>
        <v>#REF!</v>
      </c>
      <c r="AC155" s="113" t="e">
        <f t="shared" si="48"/>
        <v>#REF!</v>
      </c>
      <c r="AD155" s="105" t="e">
        <f t="shared" si="49"/>
        <v>#REF!</v>
      </c>
      <c r="AE155" s="105" t="e">
        <f t="shared" si="50"/>
        <v>#REF!</v>
      </c>
      <c r="AF155" s="105" t="e">
        <f t="shared" si="51"/>
        <v>#REF!</v>
      </c>
      <c r="AG155" s="105" t="e">
        <f t="shared" si="52"/>
        <v>#REF!</v>
      </c>
      <c r="AH155" s="111" t="e">
        <f>VLOOKUP($A155,#REF!,5,FALSE)</f>
        <v>#REF!</v>
      </c>
      <c r="AI155" s="111" t="e">
        <f>VLOOKUP($A155,#REF!,6,FALSE)</f>
        <v>#REF!</v>
      </c>
      <c r="AJ155" s="109" t="e">
        <f t="shared" si="53"/>
        <v>#REF!</v>
      </c>
      <c r="AK155" s="109" t="e">
        <f t="shared" si="54"/>
        <v>#REF!</v>
      </c>
      <c r="AL155" s="109"/>
      <c r="AM155" s="110"/>
      <c r="AN155" s="110"/>
      <c r="AO155" s="110"/>
      <c r="AP155" s="110"/>
      <c r="AQ155" s="112"/>
      <c r="AR155" s="112"/>
      <c r="AS155" s="110"/>
      <c r="AT155" s="105"/>
      <c r="AU155" s="105"/>
      <c r="AV155" s="105"/>
      <c r="AW155" s="105"/>
      <c r="AX155" s="105"/>
      <c r="AY155" s="105"/>
    </row>
    <row r="156" spans="1:51" x14ac:dyDescent="0.15">
      <c r="A156" s="115">
        <v>340</v>
      </c>
      <c r="B156" s="98" t="e">
        <f>VLOOKUP($A156,#REF!,101,FALSE)</f>
        <v>#REF!</v>
      </c>
      <c r="C156" s="98" t="e">
        <f>VLOOKUP($A156,#REF!,102,FALSE)</f>
        <v>#REF!</v>
      </c>
      <c r="D156" s="104" t="e">
        <f>VLOOKUP($A156,#REF!,5,FALSE)</f>
        <v>#REF!</v>
      </c>
      <c r="E156" s="104" t="e">
        <f>VLOOKUP($A156,#REF!,6,FALSE)</f>
        <v>#REF!</v>
      </c>
      <c r="F156" s="105" t="e">
        <f>VLOOKUP($A156,#REF!,34,FALSE)</f>
        <v>#REF!</v>
      </c>
      <c r="G156" s="105" t="e">
        <f>VLOOKUP($A156,#REF!,29,FALSE)</f>
        <v>#REF!</v>
      </c>
      <c r="H156" s="105" t="e">
        <f>VLOOKUP($A156,#REF!,35,FALSE)+VLOOKUP($A156,#REF!,97,FALSE)</f>
        <v>#REF!</v>
      </c>
      <c r="I156" s="105" t="e">
        <f t="shared" si="38"/>
        <v>#REF!</v>
      </c>
      <c r="J156" s="105" t="e">
        <f>VLOOKUP($A156,#REF!,42,FALSE)</f>
        <v>#REF!</v>
      </c>
      <c r="K156" s="105" t="e">
        <f t="shared" si="39"/>
        <v>#REF!</v>
      </c>
      <c r="L156" s="164" t="e">
        <f t="shared" si="37"/>
        <v>#REF!</v>
      </c>
      <c r="M156" s="105" t="e">
        <f t="shared" si="40"/>
        <v>#REF!</v>
      </c>
      <c r="N156" s="105" t="e">
        <f>VLOOKUP($A156,#REF!,46,FALSE)</f>
        <v>#REF!</v>
      </c>
      <c r="O156" s="106" t="e">
        <f>VLOOKUP($A156,#REF!,9,FALSE)</f>
        <v>#REF!</v>
      </c>
      <c r="P156" s="114" t="e">
        <f>#REF!</f>
        <v>#REF!</v>
      </c>
      <c r="Q156" s="114" t="e">
        <f>VLOOKUP(A156,#REF!,17,FALSE)</f>
        <v>#REF!</v>
      </c>
      <c r="R156" s="120" t="e">
        <f>#REF!</f>
        <v>#REF!</v>
      </c>
      <c r="S156" s="114" t="e">
        <f>IF(Q156=0,#REF!,ROUND(Q156*R156,4))</f>
        <v>#REF!</v>
      </c>
      <c r="T156" s="105" t="e">
        <f>VLOOKUP($A156,#REF!,15,FALSE)</f>
        <v>#REF!</v>
      </c>
      <c r="U156" s="105" t="e">
        <f>VLOOKUP($A156,#REF!,19,FALSE)</f>
        <v>#REF!</v>
      </c>
      <c r="V156" s="109" t="e">
        <f t="shared" si="41"/>
        <v>#REF!</v>
      </c>
      <c r="W156" s="121" t="e">
        <f t="shared" si="42"/>
        <v>#REF!</v>
      </c>
      <c r="X156" s="105" t="e">
        <f t="shared" si="43"/>
        <v>#REF!</v>
      </c>
      <c r="Y156" s="109" t="e">
        <f t="shared" si="44"/>
        <v>#REF!</v>
      </c>
      <c r="Z156" s="109" t="e">
        <f t="shared" si="45"/>
        <v>#REF!</v>
      </c>
      <c r="AA156" s="113" t="e">
        <f t="shared" si="46"/>
        <v>#REF!</v>
      </c>
      <c r="AB156" s="109" t="e">
        <f t="shared" si="47"/>
        <v>#REF!</v>
      </c>
      <c r="AC156" s="113" t="e">
        <f t="shared" si="48"/>
        <v>#REF!</v>
      </c>
      <c r="AD156" s="105" t="e">
        <f t="shared" si="49"/>
        <v>#REF!</v>
      </c>
      <c r="AE156" s="105" t="e">
        <f t="shared" si="50"/>
        <v>#REF!</v>
      </c>
      <c r="AF156" s="105" t="e">
        <f t="shared" si="51"/>
        <v>#REF!</v>
      </c>
      <c r="AG156" s="105" t="e">
        <f t="shared" si="52"/>
        <v>#REF!</v>
      </c>
      <c r="AH156" s="111" t="e">
        <f>VLOOKUP($A156,#REF!,5,FALSE)</f>
        <v>#REF!</v>
      </c>
      <c r="AI156" s="111" t="e">
        <f>VLOOKUP($A156,#REF!,6,FALSE)</f>
        <v>#REF!</v>
      </c>
      <c r="AJ156" s="109" t="e">
        <f t="shared" si="53"/>
        <v>#REF!</v>
      </c>
      <c r="AK156" s="109" t="e">
        <f t="shared" si="54"/>
        <v>#REF!</v>
      </c>
      <c r="AL156" s="109"/>
      <c r="AM156" s="110"/>
      <c r="AN156" s="110"/>
      <c r="AO156" s="110"/>
      <c r="AP156" s="110"/>
      <c r="AQ156" s="112"/>
      <c r="AR156" s="112"/>
      <c r="AS156" s="110"/>
      <c r="AT156" s="105"/>
      <c r="AU156" s="105"/>
      <c r="AV156" s="105"/>
      <c r="AW156" s="105"/>
      <c r="AX156" s="105"/>
      <c r="AY156" s="105"/>
    </row>
    <row r="157" spans="1:51" x14ac:dyDescent="0.15">
      <c r="A157" s="115">
        <v>348</v>
      </c>
      <c r="B157" s="98" t="e">
        <f>VLOOKUP($A157,#REF!,101,FALSE)</f>
        <v>#REF!</v>
      </c>
      <c r="C157" s="98" t="e">
        <f>VLOOKUP($A157,#REF!,102,FALSE)</f>
        <v>#REF!</v>
      </c>
      <c r="D157" s="104" t="e">
        <f>VLOOKUP($A157,#REF!,5,FALSE)</f>
        <v>#REF!</v>
      </c>
      <c r="E157" s="104" t="e">
        <f>VLOOKUP($A157,#REF!,6,FALSE)</f>
        <v>#REF!</v>
      </c>
      <c r="F157" s="105" t="e">
        <f>VLOOKUP($A157,#REF!,34,FALSE)</f>
        <v>#REF!</v>
      </c>
      <c r="G157" s="105" t="e">
        <f>VLOOKUP($A157,#REF!,29,FALSE)</f>
        <v>#REF!</v>
      </c>
      <c r="H157" s="105" t="e">
        <f>VLOOKUP($A157,#REF!,35,FALSE)+VLOOKUP($A157,#REF!,97,FALSE)</f>
        <v>#REF!</v>
      </c>
      <c r="I157" s="105" t="e">
        <f t="shared" si="38"/>
        <v>#REF!</v>
      </c>
      <c r="J157" s="105" t="e">
        <f>VLOOKUP($A157,#REF!,42,FALSE)</f>
        <v>#REF!</v>
      </c>
      <c r="K157" s="105" t="e">
        <f t="shared" si="39"/>
        <v>#REF!</v>
      </c>
      <c r="L157" s="164" t="e">
        <f t="shared" si="37"/>
        <v>#REF!</v>
      </c>
      <c r="M157" s="105" t="e">
        <f t="shared" si="40"/>
        <v>#REF!</v>
      </c>
      <c r="N157" s="105" t="e">
        <f>VLOOKUP($A157,#REF!,46,FALSE)</f>
        <v>#REF!</v>
      </c>
      <c r="O157" s="106" t="e">
        <f>VLOOKUP($A157,#REF!,9,FALSE)</f>
        <v>#REF!</v>
      </c>
      <c r="P157" s="114" t="e">
        <f>#REF!</f>
        <v>#REF!</v>
      </c>
      <c r="Q157" s="114" t="e">
        <f>VLOOKUP(A157,#REF!,17,FALSE)</f>
        <v>#REF!</v>
      </c>
      <c r="R157" s="120" t="e">
        <f>#REF!</f>
        <v>#REF!</v>
      </c>
      <c r="S157" s="114" t="e">
        <f>IF(Q157=0,#REF!,ROUND(Q157*R157,4))</f>
        <v>#REF!</v>
      </c>
      <c r="T157" s="105" t="e">
        <f>VLOOKUP($A157,#REF!,15,FALSE)</f>
        <v>#REF!</v>
      </c>
      <c r="U157" s="105" t="e">
        <f>VLOOKUP($A157,#REF!,19,FALSE)</f>
        <v>#REF!</v>
      </c>
      <c r="V157" s="109" t="e">
        <f t="shared" si="41"/>
        <v>#REF!</v>
      </c>
      <c r="W157" s="121" t="e">
        <f t="shared" si="42"/>
        <v>#REF!</v>
      </c>
      <c r="X157" s="105" t="e">
        <f t="shared" si="43"/>
        <v>#REF!</v>
      </c>
      <c r="Y157" s="109" t="e">
        <f t="shared" si="44"/>
        <v>#REF!</v>
      </c>
      <c r="Z157" s="109" t="e">
        <f t="shared" si="45"/>
        <v>#REF!</v>
      </c>
      <c r="AA157" s="113" t="e">
        <f t="shared" si="46"/>
        <v>#REF!</v>
      </c>
      <c r="AB157" s="109" t="e">
        <f t="shared" si="47"/>
        <v>#REF!</v>
      </c>
      <c r="AC157" s="113" t="e">
        <f t="shared" si="48"/>
        <v>#REF!</v>
      </c>
      <c r="AD157" s="105" t="e">
        <f t="shared" si="49"/>
        <v>#REF!</v>
      </c>
      <c r="AE157" s="105" t="e">
        <f t="shared" si="50"/>
        <v>#REF!</v>
      </c>
      <c r="AF157" s="105" t="e">
        <f t="shared" si="51"/>
        <v>#REF!</v>
      </c>
      <c r="AG157" s="105" t="e">
        <f t="shared" si="52"/>
        <v>#REF!</v>
      </c>
      <c r="AH157" s="111" t="e">
        <f>VLOOKUP($A157,#REF!,5,FALSE)</f>
        <v>#REF!</v>
      </c>
      <c r="AI157" s="111" t="e">
        <f>VLOOKUP($A157,#REF!,6,FALSE)</f>
        <v>#REF!</v>
      </c>
      <c r="AJ157" s="109" t="e">
        <f t="shared" si="53"/>
        <v>#REF!</v>
      </c>
      <c r="AK157" s="109" t="e">
        <f t="shared" si="54"/>
        <v>#REF!</v>
      </c>
      <c r="AL157" s="109"/>
      <c r="AM157" s="110"/>
      <c r="AN157" s="110"/>
      <c r="AO157" s="110"/>
      <c r="AP157" s="110"/>
      <c r="AQ157" s="112"/>
      <c r="AR157" s="112"/>
      <c r="AS157" s="110"/>
      <c r="AT157" s="105"/>
      <c r="AU157" s="105"/>
      <c r="AV157" s="105"/>
      <c r="AW157" s="105"/>
      <c r="AX157" s="105"/>
      <c r="AY157" s="105"/>
    </row>
    <row r="158" spans="1:51" x14ac:dyDescent="0.15">
      <c r="A158" s="115">
        <v>719</v>
      </c>
      <c r="B158" s="98" t="e">
        <f>VLOOKUP($A158,#REF!,101,FALSE)</f>
        <v>#REF!</v>
      </c>
      <c r="C158" s="98" t="e">
        <f>VLOOKUP($A158,#REF!,102,FALSE)</f>
        <v>#REF!</v>
      </c>
      <c r="D158" s="104" t="e">
        <f>VLOOKUP($A158,#REF!,5,FALSE)</f>
        <v>#REF!</v>
      </c>
      <c r="E158" s="104" t="e">
        <f>VLOOKUP($A158,#REF!,6,FALSE)</f>
        <v>#REF!</v>
      </c>
      <c r="F158" s="105" t="e">
        <f>VLOOKUP($A158,#REF!,34,FALSE)</f>
        <v>#REF!</v>
      </c>
      <c r="G158" s="105" t="e">
        <f>VLOOKUP($A158,#REF!,29,FALSE)</f>
        <v>#REF!</v>
      </c>
      <c r="H158" s="105" t="e">
        <f>VLOOKUP($A158,#REF!,35,FALSE)+VLOOKUP($A158,#REF!,97,FALSE)</f>
        <v>#REF!</v>
      </c>
      <c r="I158" s="105" t="e">
        <f t="shared" si="38"/>
        <v>#REF!</v>
      </c>
      <c r="J158" s="105" t="e">
        <f>VLOOKUP($A158,#REF!,42,FALSE)</f>
        <v>#REF!</v>
      </c>
      <c r="K158" s="105" t="e">
        <f t="shared" si="39"/>
        <v>#REF!</v>
      </c>
      <c r="L158" s="164" t="e">
        <f t="shared" si="37"/>
        <v>#REF!</v>
      </c>
      <c r="M158" s="105" t="e">
        <f t="shared" si="40"/>
        <v>#REF!</v>
      </c>
      <c r="N158" s="105" t="e">
        <f>VLOOKUP($A158,#REF!,46,FALSE)</f>
        <v>#REF!</v>
      </c>
      <c r="O158" s="106" t="e">
        <f>VLOOKUP($A158,#REF!,9,FALSE)</f>
        <v>#REF!</v>
      </c>
      <c r="P158" s="114" t="e">
        <f>#REF!</f>
        <v>#REF!</v>
      </c>
      <c r="Q158" s="114" t="e">
        <f>VLOOKUP(A158,#REF!,17,FALSE)</f>
        <v>#REF!</v>
      </c>
      <c r="R158" s="120" t="e">
        <f>#REF!</f>
        <v>#REF!</v>
      </c>
      <c r="S158" s="114" t="e">
        <f>IF(Q158=0,#REF!,ROUND(Q158*R158,4))</f>
        <v>#REF!</v>
      </c>
      <c r="T158" s="105" t="e">
        <f>VLOOKUP($A158,#REF!,15,FALSE)</f>
        <v>#REF!</v>
      </c>
      <c r="U158" s="105" t="e">
        <f>VLOOKUP($A158,#REF!,19,FALSE)</f>
        <v>#REF!</v>
      </c>
      <c r="V158" s="109" t="e">
        <f t="shared" si="41"/>
        <v>#REF!</v>
      </c>
      <c r="W158" s="121" t="e">
        <f t="shared" si="42"/>
        <v>#REF!</v>
      </c>
      <c r="X158" s="105" t="e">
        <f t="shared" si="43"/>
        <v>#REF!</v>
      </c>
      <c r="Y158" s="109" t="e">
        <f t="shared" si="44"/>
        <v>#REF!</v>
      </c>
      <c r="Z158" s="109" t="e">
        <f t="shared" si="45"/>
        <v>#REF!</v>
      </c>
      <c r="AA158" s="113" t="e">
        <f t="shared" si="46"/>
        <v>#REF!</v>
      </c>
      <c r="AB158" s="109" t="e">
        <f t="shared" si="47"/>
        <v>#REF!</v>
      </c>
      <c r="AC158" s="113" t="e">
        <f t="shared" si="48"/>
        <v>#REF!</v>
      </c>
      <c r="AD158" s="105" t="e">
        <f t="shared" si="49"/>
        <v>#REF!</v>
      </c>
      <c r="AE158" s="105" t="e">
        <f t="shared" si="50"/>
        <v>#REF!</v>
      </c>
      <c r="AF158" s="105" t="e">
        <f t="shared" si="51"/>
        <v>#REF!</v>
      </c>
      <c r="AG158" s="105" t="e">
        <f t="shared" si="52"/>
        <v>#REF!</v>
      </c>
      <c r="AH158" s="111" t="e">
        <f>VLOOKUP($A158,#REF!,5,FALSE)</f>
        <v>#REF!</v>
      </c>
      <c r="AI158" s="111" t="e">
        <f>VLOOKUP($A158,#REF!,6,FALSE)</f>
        <v>#REF!</v>
      </c>
      <c r="AJ158" s="109" t="e">
        <f t="shared" si="53"/>
        <v>#REF!</v>
      </c>
      <c r="AK158" s="109" t="e">
        <f t="shared" si="54"/>
        <v>#REF!</v>
      </c>
      <c r="AL158" s="109"/>
      <c r="AM158" s="110"/>
      <c r="AN158" s="110"/>
      <c r="AO158" s="110"/>
      <c r="AP158" s="110"/>
      <c r="AQ158" s="112"/>
      <c r="AR158" s="112"/>
      <c r="AS158" s="110"/>
      <c r="AT158" s="105"/>
      <c r="AU158" s="105"/>
      <c r="AV158" s="105"/>
      <c r="AW158" s="105"/>
      <c r="AX158" s="105"/>
      <c r="AY158" s="105"/>
    </row>
    <row r="159" spans="1:51" x14ac:dyDescent="0.15">
      <c r="A159" s="115">
        <v>354</v>
      </c>
      <c r="B159" s="98" t="e">
        <f>VLOOKUP($A159,#REF!,101,FALSE)</f>
        <v>#REF!</v>
      </c>
      <c r="C159" s="98" t="e">
        <f>VLOOKUP($A159,#REF!,102,FALSE)</f>
        <v>#REF!</v>
      </c>
      <c r="D159" s="104" t="e">
        <f>VLOOKUP($A159,#REF!,5,FALSE)</f>
        <v>#REF!</v>
      </c>
      <c r="E159" s="104" t="e">
        <f>VLOOKUP($A159,#REF!,6,FALSE)</f>
        <v>#REF!</v>
      </c>
      <c r="F159" s="105" t="e">
        <f>VLOOKUP($A159,#REF!,34,FALSE)</f>
        <v>#REF!</v>
      </c>
      <c r="G159" s="105" t="e">
        <f>VLOOKUP($A159,#REF!,29,FALSE)</f>
        <v>#REF!</v>
      </c>
      <c r="H159" s="105" t="e">
        <f>VLOOKUP($A159,#REF!,35,FALSE)+VLOOKUP($A159,#REF!,97,FALSE)</f>
        <v>#REF!</v>
      </c>
      <c r="I159" s="105" t="e">
        <f t="shared" si="38"/>
        <v>#REF!</v>
      </c>
      <c r="J159" s="105" t="e">
        <f>VLOOKUP($A159,#REF!,42,FALSE)</f>
        <v>#REF!</v>
      </c>
      <c r="K159" s="105" t="e">
        <f t="shared" si="39"/>
        <v>#REF!</v>
      </c>
      <c r="L159" s="164" t="e">
        <f t="shared" si="37"/>
        <v>#REF!</v>
      </c>
      <c r="M159" s="105" t="e">
        <f t="shared" si="40"/>
        <v>#REF!</v>
      </c>
      <c r="N159" s="105" t="e">
        <f>VLOOKUP($A159,#REF!,46,FALSE)</f>
        <v>#REF!</v>
      </c>
      <c r="O159" s="106" t="e">
        <f>VLOOKUP($A159,#REF!,9,FALSE)</f>
        <v>#REF!</v>
      </c>
      <c r="P159" s="114" t="e">
        <f>#REF!</f>
        <v>#REF!</v>
      </c>
      <c r="Q159" s="114" t="e">
        <f>VLOOKUP(A159,#REF!,17,FALSE)</f>
        <v>#REF!</v>
      </c>
      <c r="R159" s="120" t="e">
        <f>#REF!</f>
        <v>#REF!</v>
      </c>
      <c r="S159" s="114" t="e">
        <f>IF(Q159=0,#REF!,ROUND(Q159*R159,4))</f>
        <v>#REF!</v>
      </c>
      <c r="T159" s="105" t="e">
        <f>VLOOKUP($A159,#REF!,15,FALSE)</f>
        <v>#REF!</v>
      </c>
      <c r="U159" s="105" t="e">
        <f>VLOOKUP($A159,#REF!,19,FALSE)</f>
        <v>#REF!</v>
      </c>
      <c r="V159" s="109" t="e">
        <f t="shared" si="41"/>
        <v>#REF!</v>
      </c>
      <c r="W159" s="121" t="e">
        <f t="shared" si="42"/>
        <v>#REF!</v>
      </c>
      <c r="X159" s="105" t="e">
        <f t="shared" si="43"/>
        <v>#REF!</v>
      </c>
      <c r="Y159" s="109" t="e">
        <f t="shared" si="44"/>
        <v>#REF!</v>
      </c>
      <c r="Z159" s="109" t="e">
        <f t="shared" si="45"/>
        <v>#REF!</v>
      </c>
      <c r="AA159" s="113" t="e">
        <f t="shared" si="46"/>
        <v>#REF!</v>
      </c>
      <c r="AB159" s="109" t="e">
        <f t="shared" si="47"/>
        <v>#REF!</v>
      </c>
      <c r="AC159" s="113" t="e">
        <f t="shared" si="48"/>
        <v>#REF!</v>
      </c>
      <c r="AD159" s="105" t="e">
        <f t="shared" si="49"/>
        <v>#REF!</v>
      </c>
      <c r="AE159" s="105" t="e">
        <f t="shared" si="50"/>
        <v>#REF!</v>
      </c>
      <c r="AF159" s="105" t="e">
        <f t="shared" si="51"/>
        <v>#REF!</v>
      </c>
      <c r="AG159" s="105" t="e">
        <f t="shared" si="52"/>
        <v>#REF!</v>
      </c>
      <c r="AH159" s="111" t="e">
        <f>VLOOKUP($A159,#REF!,5,FALSE)</f>
        <v>#REF!</v>
      </c>
      <c r="AI159" s="111" t="e">
        <f>VLOOKUP($A159,#REF!,6,FALSE)</f>
        <v>#REF!</v>
      </c>
      <c r="AJ159" s="109" t="e">
        <f t="shared" si="53"/>
        <v>#REF!</v>
      </c>
      <c r="AK159" s="109" t="e">
        <f t="shared" si="54"/>
        <v>#REF!</v>
      </c>
      <c r="AL159" s="109"/>
      <c r="AM159" s="110"/>
      <c r="AN159" s="110"/>
      <c r="AO159" s="110"/>
      <c r="AP159" s="110"/>
      <c r="AQ159" s="112"/>
      <c r="AR159" s="112"/>
      <c r="AS159" s="110"/>
      <c r="AT159" s="105"/>
      <c r="AU159" s="105"/>
      <c r="AV159" s="105"/>
      <c r="AW159" s="105"/>
      <c r="AX159" s="105"/>
      <c r="AY159" s="105"/>
    </row>
    <row r="160" spans="1:51" x14ac:dyDescent="0.15">
      <c r="A160" s="115">
        <v>675</v>
      </c>
      <c r="B160" s="98" t="e">
        <f>VLOOKUP($A160,#REF!,101,FALSE)</f>
        <v>#REF!</v>
      </c>
      <c r="C160" s="98" t="e">
        <f>VLOOKUP($A160,#REF!,102,FALSE)</f>
        <v>#REF!</v>
      </c>
      <c r="D160" s="104" t="e">
        <f>VLOOKUP($A160,#REF!,5,FALSE)</f>
        <v>#REF!</v>
      </c>
      <c r="E160" s="104" t="e">
        <f>VLOOKUP($A160,#REF!,6,FALSE)</f>
        <v>#REF!</v>
      </c>
      <c r="F160" s="105" t="e">
        <f>VLOOKUP($A160,#REF!,34,FALSE)</f>
        <v>#REF!</v>
      </c>
      <c r="G160" s="105" t="e">
        <f>VLOOKUP($A160,#REF!,29,FALSE)</f>
        <v>#REF!</v>
      </c>
      <c r="H160" s="105" t="e">
        <f>VLOOKUP($A160,#REF!,35,FALSE)+VLOOKUP($A160,#REF!,97,FALSE)</f>
        <v>#REF!</v>
      </c>
      <c r="I160" s="105" t="e">
        <f t="shared" si="38"/>
        <v>#REF!</v>
      </c>
      <c r="J160" s="105" t="e">
        <f>VLOOKUP($A160,#REF!,42,FALSE)</f>
        <v>#REF!</v>
      </c>
      <c r="K160" s="105" t="e">
        <f t="shared" si="39"/>
        <v>#REF!</v>
      </c>
      <c r="L160" s="164" t="e">
        <f t="shared" si="37"/>
        <v>#REF!</v>
      </c>
      <c r="M160" s="105" t="e">
        <f t="shared" si="40"/>
        <v>#REF!</v>
      </c>
      <c r="N160" s="105" t="e">
        <f>VLOOKUP($A160,#REF!,46,FALSE)</f>
        <v>#REF!</v>
      </c>
      <c r="O160" s="106" t="e">
        <f>VLOOKUP($A160,#REF!,9,FALSE)</f>
        <v>#REF!</v>
      </c>
      <c r="P160" s="114" t="e">
        <f>#REF!</f>
        <v>#REF!</v>
      </c>
      <c r="Q160" s="114" t="e">
        <f>VLOOKUP(A160,#REF!,17,FALSE)</f>
        <v>#REF!</v>
      </c>
      <c r="R160" s="120" t="e">
        <f>#REF!</f>
        <v>#REF!</v>
      </c>
      <c r="S160" s="114" t="e">
        <f>IF(Q160=0,#REF!,ROUND(Q160*R160,4))</f>
        <v>#REF!</v>
      </c>
      <c r="T160" s="105" t="e">
        <f>VLOOKUP($A160,#REF!,15,FALSE)</f>
        <v>#REF!</v>
      </c>
      <c r="U160" s="105" t="e">
        <f>VLOOKUP($A160,#REF!,19,FALSE)</f>
        <v>#REF!</v>
      </c>
      <c r="V160" s="109" t="e">
        <f t="shared" si="41"/>
        <v>#REF!</v>
      </c>
      <c r="W160" s="121" t="e">
        <f t="shared" si="42"/>
        <v>#REF!</v>
      </c>
      <c r="X160" s="105" t="e">
        <f t="shared" si="43"/>
        <v>#REF!</v>
      </c>
      <c r="Y160" s="109" t="e">
        <f t="shared" si="44"/>
        <v>#REF!</v>
      </c>
      <c r="Z160" s="109" t="e">
        <f t="shared" si="45"/>
        <v>#REF!</v>
      </c>
      <c r="AA160" s="113" t="e">
        <f t="shared" si="46"/>
        <v>#REF!</v>
      </c>
      <c r="AB160" s="109" t="e">
        <f t="shared" si="47"/>
        <v>#REF!</v>
      </c>
      <c r="AC160" s="113" t="e">
        <f t="shared" si="48"/>
        <v>#REF!</v>
      </c>
      <c r="AD160" s="105" t="e">
        <f t="shared" si="49"/>
        <v>#REF!</v>
      </c>
      <c r="AE160" s="105" t="e">
        <f t="shared" si="50"/>
        <v>#REF!</v>
      </c>
      <c r="AF160" s="105" t="e">
        <f t="shared" si="51"/>
        <v>#REF!</v>
      </c>
      <c r="AG160" s="105" t="e">
        <f t="shared" si="52"/>
        <v>#REF!</v>
      </c>
      <c r="AH160" s="111" t="e">
        <f>VLOOKUP($A160,#REF!,5,FALSE)</f>
        <v>#REF!</v>
      </c>
      <c r="AI160" s="111" t="e">
        <f>VLOOKUP($A160,#REF!,6,FALSE)</f>
        <v>#REF!</v>
      </c>
      <c r="AJ160" s="109" t="e">
        <f t="shared" si="53"/>
        <v>#REF!</v>
      </c>
      <c r="AK160" s="109" t="e">
        <f t="shared" si="54"/>
        <v>#REF!</v>
      </c>
      <c r="AL160" s="109"/>
      <c r="AM160" s="110"/>
      <c r="AN160" s="110"/>
      <c r="AO160" s="110"/>
      <c r="AP160" s="110"/>
      <c r="AQ160" s="112"/>
      <c r="AR160" s="112"/>
      <c r="AS160" s="110"/>
      <c r="AT160" s="105"/>
      <c r="AU160" s="105"/>
      <c r="AV160" s="105"/>
      <c r="AW160" s="105"/>
      <c r="AX160" s="105"/>
      <c r="AY160" s="105"/>
    </row>
    <row r="161" spans="1:51" x14ac:dyDescent="0.15">
      <c r="A161" s="115">
        <v>248</v>
      </c>
      <c r="B161" s="98" t="e">
        <f>VLOOKUP($A161,#REF!,101,FALSE)</f>
        <v>#REF!</v>
      </c>
      <c r="C161" s="98" t="e">
        <f>VLOOKUP($A161,#REF!,102,FALSE)</f>
        <v>#REF!</v>
      </c>
      <c r="D161" s="104" t="e">
        <f>VLOOKUP($A161,#REF!,5,FALSE)</f>
        <v>#REF!</v>
      </c>
      <c r="E161" s="104" t="e">
        <f>VLOOKUP($A161,#REF!,6,FALSE)</f>
        <v>#REF!</v>
      </c>
      <c r="F161" s="105" t="e">
        <f>VLOOKUP($A161,#REF!,34,FALSE)</f>
        <v>#REF!</v>
      </c>
      <c r="G161" s="105" t="e">
        <f>VLOOKUP($A161,#REF!,29,FALSE)</f>
        <v>#REF!</v>
      </c>
      <c r="H161" s="105" t="e">
        <f>VLOOKUP($A161,#REF!,35,FALSE)+VLOOKUP($A161,#REF!,97,FALSE)</f>
        <v>#REF!</v>
      </c>
      <c r="I161" s="105" t="e">
        <f t="shared" si="38"/>
        <v>#REF!</v>
      </c>
      <c r="J161" s="105" t="e">
        <f>VLOOKUP($A161,#REF!,42,FALSE)</f>
        <v>#REF!</v>
      </c>
      <c r="K161" s="105" t="e">
        <f t="shared" si="39"/>
        <v>#REF!</v>
      </c>
      <c r="L161" s="164" t="e">
        <f t="shared" si="37"/>
        <v>#REF!</v>
      </c>
      <c r="M161" s="105" t="e">
        <f t="shared" si="40"/>
        <v>#REF!</v>
      </c>
      <c r="N161" s="105" t="e">
        <f>VLOOKUP($A161,#REF!,46,FALSE)</f>
        <v>#REF!</v>
      </c>
      <c r="O161" s="106" t="e">
        <f>VLOOKUP($A161,#REF!,9,FALSE)</f>
        <v>#REF!</v>
      </c>
      <c r="P161" s="114" t="e">
        <f>#REF!</f>
        <v>#REF!</v>
      </c>
      <c r="Q161" s="114" t="e">
        <f>VLOOKUP(A161,#REF!,17,FALSE)</f>
        <v>#REF!</v>
      </c>
      <c r="R161" s="120" t="e">
        <f>#REF!</f>
        <v>#REF!</v>
      </c>
      <c r="S161" s="114" t="e">
        <f>IF(Q161=0,#REF!,ROUND(Q161*R161,4))</f>
        <v>#REF!</v>
      </c>
      <c r="T161" s="105" t="e">
        <f>VLOOKUP($A161,#REF!,15,FALSE)</f>
        <v>#REF!</v>
      </c>
      <c r="U161" s="105" t="e">
        <f>VLOOKUP($A161,#REF!,19,FALSE)</f>
        <v>#REF!</v>
      </c>
      <c r="V161" s="109" t="e">
        <f t="shared" si="41"/>
        <v>#REF!</v>
      </c>
      <c r="W161" s="121" t="e">
        <f t="shared" si="42"/>
        <v>#REF!</v>
      </c>
      <c r="X161" s="105" t="e">
        <f t="shared" si="43"/>
        <v>#REF!</v>
      </c>
      <c r="Y161" s="109" t="e">
        <f t="shared" si="44"/>
        <v>#REF!</v>
      </c>
      <c r="Z161" s="109" t="e">
        <f t="shared" si="45"/>
        <v>#REF!</v>
      </c>
      <c r="AA161" s="113" t="e">
        <f t="shared" si="46"/>
        <v>#REF!</v>
      </c>
      <c r="AB161" s="109" t="e">
        <f t="shared" si="47"/>
        <v>#REF!</v>
      </c>
      <c r="AC161" s="113" t="e">
        <f t="shared" si="48"/>
        <v>#REF!</v>
      </c>
      <c r="AD161" s="105" t="e">
        <f t="shared" si="49"/>
        <v>#REF!</v>
      </c>
      <c r="AE161" s="105" t="e">
        <f t="shared" si="50"/>
        <v>#REF!</v>
      </c>
      <c r="AF161" s="105" t="e">
        <f t="shared" si="51"/>
        <v>#REF!</v>
      </c>
      <c r="AG161" s="105" t="e">
        <f t="shared" si="52"/>
        <v>#REF!</v>
      </c>
      <c r="AH161" s="111" t="e">
        <f>VLOOKUP($A161,#REF!,5,FALSE)</f>
        <v>#REF!</v>
      </c>
      <c r="AI161" s="111" t="e">
        <f>VLOOKUP($A161,#REF!,6,FALSE)</f>
        <v>#REF!</v>
      </c>
      <c r="AJ161" s="109" t="e">
        <f t="shared" si="53"/>
        <v>#REF!</v>
      </c>
      <c r="AK161" s="109" t="e">
        <f t="shared" si="54"/>
        <v>#REF!</v>
      </c>
      <c r="AL161" s="109"/>
      <c r="AM161" s="110"/>
      <c r="AN161" s="110"/>
      <c r="AO161" s="110"/>
      <c r="AP161" s="110"/>
      <c r="AQ161" s="112"/>
      <c r="AR161" s="112"/>
      <c r="AS161" s="110"/>
      <c r="AT161" s="105"/>
      <c r="AU161" s="105"/>
      <c r="AV161" s="105"/>
      <c r="AW161" s="105"/>
      <c r="AX161" s="105"/>
      <c r="AY161" s="105"/>
    </row>
    <row r="162" spans="1:51" x14ac:dyDescent="0.15">
      <c r="A162" s="115">
        <v>318</v>
      </c>
      <c r="B162" s="98" t="e">
        <f>VLOOKUP($A162,#REF!,101,FALSE)</f>
        <v>#REF!</v>
      </c>
      <c r="C162" s="98" t="e">
        <f>VLOOKUP($A162,#REF!,102,FALSE)</f>
        <v>#REF!</v>
      </c>
      <c r="D162" s="104" t="e">
        <f>VLOOKUP($A162,#REF!,5,FALSE)</f>
        <v>#REF!</v>
      </c>
      <c r="E162" s="104" t="e">
        <f>VLOOKUP($A162,#REF!,6,FALSE)</f>
        <v>#REF!</v>
      </c>
      <c r="F162" s="105" t="e">
        <f>VLOOKUP($A162,#REF!,34,FALSE)</f>
        <v>#REF!</v>
      </c>
      <c r="G162" s="105" t="e">
        <f>VLOOKUP($A162,#REF!,29,FALSE)</f>
        <v>#REF!</v>
      </c>
      <c r="H162" s="105" t="e">
        <f>VLOOKUP($A162,#REF!,35,FALSE)+VLOOKUP($A162,#REF!,97,FALSE)</f>
        <v>#REF!</v>
      </c>
      <c r="I162" s="105" t="e">
        <f t="shared" si="38"/>
        <v>#REF!</v>
      </c>
      <c r="J162" s="105" t="e">
        <f>VLOOKUP($A162,#REF!,42,FALSE)</f>
        <v>#REF!</v>
      </c>
      <c r="K162" s="105" t="e">
        <f t="shared" si="39"/>
        <v>#REF!</v>
      </c>
      <c r="L162" s="164" t="e">
        <f t="shared" si="37"/>
        <v>#REF!</v>
      </c>
      <c r="M162" s="105" t="e">
        <f t="shared" si="40"/>
        <v>#REF!</v>
      </c>
      <c r="N162" s="105" t="e">
        <f>VLOOKUP($A162,#REF!,46,FALSE)</f>
        <v>#REF!</v>
      </c>
      <c r="O162" s="106" t="e">
        <f>VLOOKUP($A162,#REF!,9,FALSE)</f>
        <v>#REF!</v>
      </c>
      <c r="P162" s="114" t="e">
        <f>#REF!</f>
        <v>#REF!</v>
      </c>
      <c r="Q162" s="114" t="e">
        <f>VLOOKUP(A162,#REF!,17,FALSE)</f>
        <v>#REF!</v>
      </c>
      <c r="R162" s="120" t="e">
        <f>#REF!</f>
        <v>#REF!</v>
      </c>
      <c r="S162" s="114" t="e">
        <f>IF(Q162=0,#REF!,ROUND(Q162*R162,4))</f>
        <v>#REF!</v>
      </c>
      <c r="T162" s="105" t="e">
        <f>VLOOKUP($A162,#REF!,15,FALSE)</f>
        <v>#REF!</v>
      </c>
      <c r="U162" s="105" t="e">
        <f>VLOOKUP($A162,#REF!,19,FALSE)</f>
        <v>#REF!</v>
      </c>
      <c r="V162" s="109" t="e">
        <f t="shared" si="41"/>
        <v>#REF!</v>
      </c>
      <c r="W162" s="121" t="e">
        <f t="shared" si="42"/>
        <v>#REF!</v>
      </c>
      <c r="X162" s="105" t="e">
        <f t="shared" si="43"/>
        <v>#REF!</v>
      </c>
      <c r="Y162" s="109" t="e">
        <f t="shared" si="44"/>
        <v>#REF!</v>
      </c>
      <c r="Z162" s="109" t="e">
        <f t="shared" si="45"/>
        <v>#REF!</v>
      </c>
      <c r="AA162" s="113" t="e">
        <f t="shared" si="46"/>
        <v>#REF!</v>
      </c>
      <c r="AB162" s="109" t="e">
        <f t="shared" si="47"/>
        <v>#REF!</v>
      </c>
      <c r="AC162" s="113" t="e">
        <f t="shared" si="48"/>
        <v>#REF!</v>
      </c>
      <c r="AD162" s="105" t="e">
        <f t="shared" si="49"/>
        <v>#REF!</v>
      </c>
      <c r="AE162" s="105" t="e">
        <f t="shared" si="50"/>
        <v>#REF!</v>
      </c>
      <c r="AF162" s="105" t="e">
        <f t="shared" si="51"/>
        <v>#REF!</v>
      </c>
      <c r="AG162" s="105" t="e">
        <f t="shared" si="52"/>
        <v>#REF!</v>
      </c>
      <c r="AH162" s="111" t="e">
        <f>VLOOKUP($A162,#REF!,5,FALSE)</f>
        <v>#REF!</v>
      </c>
      <c r="AI162" s="111" t="e">
        <f>VLOOKUP($A162,#REF!,6,FALSE)</f>
        <v>#REF!</v>
      </c>
      <c r="AJ162" s="109" t="e">
        <f t="shared" si="53"/>
        <v>#REF!</v>
      </c>
      <c r="AK162" s="109" t="e">
        <f t="shared" si="54"/>
        <v>#REF!</v>
      </c>
      <c r="AL162" s="109"/>
      <c r="AM162" s="110"/>
      <c r="AN162" s="110"/>
      <c r="AO162" s="110"/>
      <c r="AP162" s="110"/>
      <c r="AQ162" s="112"/>
      <c r="AR162" s="112"/>
      <c r="AS162" s="110"/>
      <c r="AT162" s="105"/>
      <c r="AU162" s="105"/>
      <c r="AV162" s="105"/>
      <c r="AW162" s="105"/>
      <c r="AX162" s="105"/>
      <c r="AY162" s="105"/>
    </row>
    <row r="163" spans="1:51" x14ac:dyDescent="0.15">
      <c r="A163" s="115">
        <v>370</v>
      </c>
      <c r="B163" s="98" t="e">
        <f>VLOOKUP($A163,#REF!,101,FALSE)</f>
        <v>#REF!</v>
      </c>
      <c r="C163" s="98" t="e">
        <f>VLOOKUP($A163,#REF!,102,FALSE)</f>
        <v>#REF!</v>
      </c>
      <c r="D163" s="104" t="e">
        <f>VLOOKUP($A163,#REF!,5,FALSE)</f>
        <v>#REF!</v>
      </c>
      <c r="E163" s="104" t="e">
        <f>VLOOKUP($A163,#REF!,6,FALSE)</f>
        <v>#REF!</v>
      </c>
      <c r="F163" s="105" t="e">
        <f>VLOOKUP($A163,#REF!,34,FALSE)</f>
        <v>#REF!</v>
      </c>
      <c r="G163" s="105" t="e">
        <f>VLOOKUP($A163,#REF!,29,FALSE)</f>
        <v>#REF!</v>
      </c>
      <c r="H163" s="105" t="e">
        <f>VLOOKUP($A163,#REF!,35,FALSE)+VLOOKUP($A163,#REF!,97,FALSE)</f>
        <v>#REF!</v>
      </c>
      <c r="I163" s="105" t="e">
        <f t="shared" si="38"/>
        <v>#REF!</v>
      </c>
      <c r="J163" s="105" t="e">
        <f>VLOOKUP($A163,#REF!,42,FALSE)</f>
        <v>#REF!</v>
      </c>
      <c r="K163" s="105" t="e">
        <f t="shared" si="39"/>
        <v>#REF!</v>
      </c>
      <c r="L163" s="164" t="e">
        <f t="shared" si="37"/>
        <v>#REF!</v>
      </c>
      <c r="M163" s="105" t="e">
        <f t="shared" si="40"/>
        <v>#REF!</v>
      </c>
      <c r="N163" s="105" t="e">
        <f>VLOOKUP($A163,#REF!,46,FALSE)</f>
        <v>#REF!</v>
      </c>
      <c r="O163" s="106" t="e">
        <f>VLOOKUP($A163,#REF!,9,FALSE)</f>
        <v>#REF!</v>
      </c>
      <c r="P163" s="114" t="e">
        <f>#REF!</f>
        <v>#REF!</v>
      </c>
      <c r="Q163" s="114" t="e">
        <f>VLOOKUP(A163,#REF!,17,FALSE)</f>
        <v>#REF!</v>
      </c>
      <c r="R163" s="120" t="e">
        <f>#REF!</f>
        <v>#REF!</v>
      </c>
      <c r="S163" s="114" t="e">
        <f>IF(Q163=0,#REF!,ROUND(Q163*R163,4))</f>
        <v>#REF!</v>
      </c>
      <c r="T163" s="105" t="e">
        <f>VLOOKUP($A163,#REF!,15,FALSE)</f>
        <v>#REF!</v>
      </c>
      <c r="U163" s="105" t="e">
        <f>VLOOKUP($A163,#REF!,19,FALSE)</f>
        <v>#REF!</v>
      </c>
      <c r="V163" s="109" t="e">
        <f t="shared" si="41"/>
        <v>#REF!</v>
      </c>
      <c r="W163" s="121" t="e">
        <f t="shared" si="42"/>
        <v>#REF!</v>
      </c>
      <c r="X163" s="105" t="e">
        <f t="shared" si="43"/>
        <v>#REF!</v>
      </c>
      <c r="Y163" s="109" t="e">
        <f t="shared" si="44"/>
        <v>#REF!</v>
      </c>
      <c r="Z163" s="109" t="e">
        <f t="shared" si="45"/>
        <v>#REF!</v>
      </c>
      <c r="AA163" s="113" t="e">
        <f t="shared" si="46"/>
        <v>#REF!</v>
      </c>
      <c r="AB163" s="109" t="e">
        <f t="shared" si="47"/>
        <v>#REF!</v>
      </c>
      <c r="AC163" s="113" t="e">
        <f t="shared" si="48"/>
        <v>#REF!</v>
      </c>
      <c r="AD163" s="105" t="e">
        <f t="shared" si="49"/>
        <v>#REF!</v>
      </c>
      <c r="AE163" s="105" t="e">
        <f t="shared" si="50"/>
        <v>#REF!</v>
      </c>
      <c r="AF163" s="105" t="e">
        <f t="shared" si="51"/>
        <v>#REF!</v>
      </c>
      <c r="AG163" s="105" t="e">
        <f t="shared" si="52"/>
        <v>#REF!</v>
      </c>
      <c r="AH163" s="111" t="e">
        <f>VLOOKUP($A163,#REF!,5,FALSE)</f>
        <v>#REF!</v>
      </c>
      <c r="AI163" s="111" t="e">
        <f>VLOOKUP($A163,#REF!,6,FALSE)</f>
        <v>#REF!</v>
      </c>
      <c r="AJ163" s="109" t="e">
        <f t="shared" si="53"/>
        <v>#REF!</v>
      </c>
      <c r="AK163" s="109" t="e">
        <f t="shared" si="54"/>
        <v>#REF!</v>
      </c>
      <c r="AL163" s="109"/>
      <c r="AM163" s="110"/>
      <c r="AN163" s="110"/>
      <c r="AO163" s="110"/>
      <c r="AP163" s="110"/>
      <c r="AQ163" s="112"/>
      <c r="AR163" s="112"/>
      <c r="AS163" s="110"/>
      <c r="AT163" s="105"/>
      <c r="AU163" s="105"/>
      <c r="AV163" s="105"/>
      <c r="AW163" s="105"/>
      <c r="AX163" s="105"/>
      <c r="AY163" s="105"/>
    </row>
    <row r="164" spans="1:51" x14ac:dyDescent="0.15">
      <c r="A164" s="115">
        <v>140</v>
      </c>
      <c r="B164" s="98" t="e">
        <f>VLOOKUP($A164,#REF!,101,FALSE)</f>
        <v>#REF!</v>
      </c>
      <c r="C164" s="98" t="e">
        <f>VLOOKUP($A164,#REF!,102,FALSE)</f>
        <v>#REF!</v>
      </c>
      <c r="D164" s="104" t="e">
        <f>VLOOKUP($A164,#REF!,5,FALSE)</f>
        <v>#REF!</v>
      </c>
      <c r="E164" s="104" t="e">
        <f>VLOOKUP($A164,#REF!,6,FALSE)</f>
        <v>#REF!</v>
      </c>
      <c r="F164" s="105" t="e">
        <f>VLOOKUP($A164,#REF!,34,FALSE)</f>
        <v>#REF!</v>
      </c>
      <c r="G164" s="105" t="e">
        <f>VLOOKUP($A164,#REF!,29,FALSE)</f>
        <v>#REF!</v>
      </c>
      <c r="H164" s="105" t="e">
        <f>VLOOKUP($A164,#REF!,35,FALSE)+VLOOKUP($A164,#REF!,97,FALSE)</f>
        <v>#REF!</v>
      </c>
      <c r="I164" s="105" t="e">
        <f t="shared" si="38"/>
        <v>#REF!</v>
      </c>
      <c r="J164" s="105" t="e">
        <f>VLOOKUP($A164,#REF!,42,FALSE)</f>
        <v>#REF!</v>
      </c>
      <c r="K164" s="105" t="e">
        <f t="shared" si="39"/>
        <v>#REF!</v>
      </c>
      <c r="L164" s="164" t="e">
        <f t="shared" si="37"/>
        <v>#REF!</v>
      </c>
      <c r="M164" s="105" t="e">
        <f t="shared" si="40"/>
        <v>#REF!</v>
      </c>
      <c r="N164" s="105" t="e">
        <f>VLOOKUP($A164,#REF!,46,FALSE)</f>
        <v>#REF!</v>
      </c>
      <c r="O164" s="106" t="e">
        <f>VLOOKUP($A164,#REF!,9,FALSE)</f>
        <v>#REF!</v>
      </c>
      <c r="P164" s="114" t="e">
        <f>#REF!</f>
        <v>#REF!</v>
      </c>
      <c r="Q164" s="114" t="e">
        <f>VLOOKUP(A164,#REF!,17,FALSE)</f>
        <v>#REF!</v>
      </c>
      <c r="R164" s="120" t="e">
        <f>#REF!</f>
        <v>#REF!</v>
      </c>
      <c r="S164" s="114" t="e">
        <f>IF(Q164=0,#REF!,ROUND(Q164*R164,4))</f>
        <v>#REF!</v>
      </c>
      <c r="T164" s="105" t="e">
        <f>VLOOKUP($A164,#REF!,15,FALSE)</f>
        <v>#REF!</v>
      </c>
      <c r="U164" s="105" t="e">
        <f>VLOOKUP($A164,#REF!,19,FALSE)</f>
        <v>#REF!</v>
      </c>
      <c r="V164" s="109" t="e">
        <f t="shared" si="41"/>
        <v>#REF!</v>
      </c>
      <c r="W164" s="121" t="e">
        <f t="shared" si="42"/>
        <v>#REF!</v>
      </c>
      <c r="X164" s="105" t="e">
        <f t="shared" si="43"/>
        <v>#REF!</v>
      </c>
      <c r="Y164" s="109" t="e">
        <f t="shared" si="44"/>
        <v>#REF!</v>
      </c>
      <c r="Z164" s="109" t="e">
        <f t="shared" si="45"/>
        <v>#REF!</v>
      </c>
      <c r="AA164" s="113" t="e">
        <f t="shared" si="46"/>
        <v>#REF!</v>
      </c>
      <c r="AB164" s="109" t="e">
        <f t="shared" si="47"/>
        <v>#REF!</v>
      </c>
      <c r="AC164" s="113" t="e">
        <f t="shared" si="48"/>
        <v>#REF!</v>
      </c>
      <c r="AD164" s="105" t="e">
        <f t="shared" si="49"/>
        <v>#REF!</v>
      </c>
      <c r="AE164" s="105" t="e">
        <f t="shared" si="50"/>
        <v>#REF!</v>
      </c>
      <c r="AF164" s="105" t="e">
        <f t="shared" si="51"/>
        <v>#REF!</v>
      </c>
      <c r="AG164" s="105" t="e">
        <f t="shared" si="52"/>
        <v>#REF!</v>
      </c>
      <c r="AH164" s="111" t="e">
        <f>VLOOKUP($A164,#REF!,5,FALSE)</f>
        <v>#REF!</v>
      </c>
      <c r="AI164" s="111" t="e">
        <f>VLOOKUP($A164,#REF!,6,FALSE)</f>
        <v>#REF!</v>
      </c>
      <c r="AJ164" s="109" t="e">
        <f t="shared" si="53"/>
        <v>#REF!</v>
      </c>
      <c r="AK164" s="109" t="e">
        <f t="shared" si="54"/>
        <v>#REF!</v>
      </c>
      <c r="AL164" s="109"/>
      <c r="AM164" s="110"/>
      <c r="AN164" s="110"/>
      <c r="AO164" s="110"/>
      <c r="AP164" s="110"/>
      <c r="AQ164" s="112"/>
      <c r="AR164" s="112"/>
      <c r="AS164" s="110"/>
      <c r="AT164" s="105"/>
      <c r="AU164" s="105"/>
      <c r="AV164" s="105"/>
      <c r="AW164" s="105"/>
      <c r="AX164" s="105"/>
      <c r="AY164" s="105"/>
    </row>
    <row r="165" spans="1:51" x14ac:dyDescent="0.15">
      <c r="A165" s="115">
        <v>274</v>
      </c>
      <c r="B165" s="98" t="e">
        <f>VLOOKUP($A165,#REF!,101,FALSE)</f>
        <v>#REF!</v>
      </c>
      <c r="C165" s="98" t="e">
        <f>VLOOKUP($A165,#REF!,102,FALSE)</f>
        <v>#REF!</v>
      </c>
      <c r="D165" s="104" t="e">
        <f>VLOOKUP($A165,#REF!,5,FALSE)</f>
        <v>#REF!</v>
      </c>
      <c r="E165" s="104" t="e">
        <f>VLOOKUP($A165,#REF!,6,FALSE)</f>
        <v>#REF!</v>
      </c>
      <c r="F165" s="105" t="e">
        <f>VLOOKUP($A165,#REF!,34,FALSE)</f>
        <v>#REF!</v>
      </c>
      <c r="G165" s="105" t="e">
        <f>VLOOKUP($A165,#REF!,29,FALSE)</f>
        <v>#REF!</v>
      </c>
      <c r="H165" s="105" t="e">
        <f>VLOOKUP($A165,#REF!,35,FALSE)+VLOOKUP($A165,#REF!,97,FALSE)</f>
        <v>#REF!</v>
      </c>
      <c r="I165" s="105" t="e">
        <f t="shared" si="38"/>
        <v>#REF!</v>
      </c>
      <c r="J165" s="105" t="e">
        <f>VLOOKUP($A165,#REF!,42,FALSE)</f>
        <v>#REF!</v>
      </c>
      <c r="K165" s="105" t="e">
        <f t="shared" si="39"/>
        <v>#REF!</v>
      </c>
      <c r="L165" s="164" t="e">
        <f t="shared" si="37"/>
        <v>#REF!</v>
      </c>
      <c r="M165" s="105" t="e">
        <f t="shared" si="40"/>
        <v>#REF!</v>
      </c>
      <c r="N165" s="105" t="e">
        <f>VLOOKUP($A165,#REF!,46,FALSE)</f>
        <v>#REF!</v>
      </c>
      <c r="O165" s="106" t="e">
        <f>VLOOKUP($A165,#REF!,9,FALSE)</f>
        <v>#REF!</v>
      </c>
      <c r="P165" s="114" t="e">
        <f>#REF!</f>
        <v>#REF!</v>
      </c>
      <c r="Q165" s="114" t="e">
        <f>VLOOKUP(A165,#REF!,17,FALSE)</f>
        <v>#REF!</v>
      </c>
      <c r="R165" s="120" t="e">
        <f>#REF!</f>
        <v>#REF!</v>
      </c>
      <c r="S165" s="114" t="e">
        <f>IF(Q165=0,#REF!,ROUND(Q165*R165,4))</f>
        <v>#REF!</v>
      </c>
      <c r="T165" s="105" t="e">
        <f>VLOOKUP($A165,#REF!,15,FALSE)</f>
        <v>#REF!</v>
      </c>
      <c r="U165" s="105" t="e">
        <f>VLOOKUP($A165,#REF!,19,FALSE)</f>
        <v>#REF!</v>
      </c>
      <c r="V165" s="109" t="e">
        <f t="shared" si="41"/>
        <v>#REF!</v>
      </c>
      <c r="W165" s="121" t="e">
        <f t="shared" si="42"/>
        <v>#REF!</v>
      </c>
      <c r="X165" s="105" t="e">
        <f t="shared" si="43"/>
        <v>#REF!</v>
      </c>
      <c r="Y165" s="109" t="e">
        <f t="shared" si="44"/>
        <v>#REF!</v>
      </c>
      <c r="Z165" s="109" t="e">
        <f t="shared" si="45"/>
        <v>#REF!</v>
      </c>
      <c r="AA165" s="113" t="e">
        <f t="shared" si="46"/>
        <v>#REF!</v>
      </c>
      <c r="AB165" s="109" t="e">
        <f t="shared" si="47"/>
        <v>#REF!</v>
      </c>
      <c r="AC165" s="113" t="e">
        <f t="shared" si="48"/>
        <v>#REF!</v>
      </c>
      <c r="AD165" s="105" t="e">
        <f t="shared" si="49"/>
        <v>#REF!</v>
      </c>
      <c r="AE165" s="105" t="e">
        <f t="shared" si="50"/>
        <v>#REF!</v>
      </c>
      <c r="AF165" s="105" t="e">
        <f t="shared" si="51"/>
        <v>#REF!</v>
      </c>
      <c r="AG165" s="105" t="e">
        <f t="shared" si="52"/>
        <v>#REF!</v>
      </c>
      <c r="AH165" s="111" t="e">
        <f>VLOOKUP($A165,#REF!,5,FALSE)</f>
        <v>#REF!</v>
      </c>
      <c r="AI165" s="111" t="e">
        <f>VLOOKUP($A165,#REF!,6,FALSE)</f>
        <v>#REF!</v>
      </c>
      <c r="AJ165" s="109" t="e">
        <f t="shared" si="53"/>
        <v>#REF!</v>
      </c>
      <c r="AK165" s="109" t="e">
        <f t="shared" si="54"/>
        <v>#REF!</v>
      </c>
      <c r="AL165" s="109"/>
      <c r="AM165" s="110"/>
      <c r="AN165" s="110"/>
      <c r="AO165" s="110"/>
      <c r="AP165" s="110"/>
      <c r="AQ165" s="112"/>
      <c r="AR165" s="112"/>
      <c r="AS165" s="110"/>
      <c r="AT165" s="105"/>
      <c r="AU165" s="105"/>
      <c r="AV165" s="105"/>
      <c r="AW165" s="105"/>
      <c r="AX165" s="105"/>
      <c r="AY165" s="105"/>
    </row>
    <row r="166" spans="1:51" x14ac:dyDescent="0.15">
      <c r="A166" s="115">
        <v>426</v>
      </c>
      <c r="B166" s="98" t="e">
        <f>VLOOKUP($A166,#REF!,101,FALSE)</f>
        <v>#REF!</v>
      </c>
      <c r="C166" s="98" t="e">
        <f>VLOOKUP($A166,#REF!,102,FALSE)</f>
        <v>#REF!</v>
      </c>
      <c r="D166" s="104" t="e">
        <f>VLOOKUP($A166,#REF!,5,FALSE)</f>
        <v>#REF!</v>
      </c>
      <c r="E166" s="104" t="e">
        <f>VLOOKUP($A166,#REF!,6,FALSE)</f>
        <v>#REF!</v>
      </c>
      <c r="F166" s="105" t="e">
        <f>VLOOKUP($A166,#REF!,34,FALSE)</f>
        <v>#REF!</v>
      </c>
      <c r="G166" s="105" t="e">
        <f>VLOOKUP($A166,#REF!,29,FALSE)</f>
        <v>#REF!</v>
      </c>
      <c r="H166" s="105" t="e">
        <f>VLOOKUP($A166,#REF!,35,FALSE)+VLOOKUP($A166,#REF!,97,FALSE)</f>
        <v>#REF!</v>
      </c>
      <c r="I166" s="105" t="e">
        <f t="shared" si="38"/>
        <v>#REF!</v>
      </c>
      <c r="J166" s="105" t="e">
        <f>VLOOKUP($A166,#REF!,42,FALSE)</f>
        <v>#REF!</v>
      </c>
      <c r="K166" s="105" t="e">
        <f t="shared" si="39"/>
        <v>#REF!</v>
      </c>
      <c r="L166" s="164" t="e">
        <f t="shared" si="37"/>
        <v>#REF!</v>
      </c>
      <c r="M166" s="105" t="e">
        <f t="shared" si="40"/>
        <v>#REF!</v>
      </c>
      <c r="N166" s="105" t="e">
        <f>VLOOKUP($A166,#REF!,46,FALSE)</f>
        <v>#REF!</v>
      </c>
      <c r="O166" s="106" t="e">
        <f>VLOOKUP($A166,#REF!,9,FALSE)</f>
        <v>#REF!</v>
      </c>
      <c r="P166" s="114" t="e">
        <f>#REF!</f>
        <v>#REF!</v>
      </c>
      <c r="Q166" s="114" t="e">
        <f>VLOOKUP(A166,#REF!,17,FALSE)</f>
        <v>#REF!</v>
      </c>
      <c r="R166" s="120" t="e">
        <f>#REF!</f>
        <v>#REF!</v>
      </c>
      <c r="S166" s="114" t="e">
        <f>IF(Q166=0,#REF!,ROUND(Q166*R166,4))</f>
        <v>#REF!</v>
      </c>
      <c r="T166" s="105" t="e">
        <f>VLOOKUP($A166,#REF!,15,FALSE)</f>
        <v>#REF!</v>
      </c>
      <c r="U166" s="105" t="e">
        <f>VLOOKUP($A166,#REF!,19,FALSE)</f>
        <v>#REF!</v>
      </c>
      <c r="V166" s="109" t="e">
        <f t="shared" si="41"/>
        <v>#REF!</v>
      </c>
      <c r="W166" s="121" t="e">
        <f t="shared" si="42"/>
        <v>#REF!</v>
      </c>
      <c r="X166" s="105" t="e">
        <f t="shared" si="43"/>
        <v>#REF!</v>
      </c>
      <c r="Y166" s="109" t="e">
        <f t="shared" si="44"/>
        <v>#REF!</v>
      </c>
      <c r="Z166" s="109" t="e">
        <f t="shared" si="45"/>
        <v>#REF!</v>
      </c>
      <c r="AA166" s="113" t="e">
        <f t="shared" si="46"/>
        <v>#REF!</v>
      </c>
      <c r="AB166" s="109" t="e">
        <f t="shared" si="47"/>
        <v>#REF!</v>
      </c>
      <c r="AC166" s="113" t="e">
        <f t="shared" si="48"/>
        <v>#REF!</v>
      </c>
      <c r="AD166" s="105" t="e">
        <f t="shared" si="49"/>
        <v>#REF!</v>
      </c>
      <c r="AE166" s="105" t="e">
        <f t="shared" si="50"/>
        <v>#REF!</v>
      </c>
      <c r="AF166" s="105" t="e">
        <f t="shared" si="51"/>
        <v>#REF!</v>
      </c>
      <c r="AG166" s="105" t="e">
        <f t="shared" si="52"/>
        <v>#REF!</v>
      </c>
      <c r="AH166" s="111" t="e">
        <f>VLOOKUP($A166,#REF!,5,FALSE)</f>
        <v>#REF!</v>
      </c>
      <c r="AI166" s="111" t="e">
        <f>VLOOKUP($A166,#REF!,6,FALSE)</f>
        <v>#REF!</v>
      </c>
      <c r="AJ166" s="109" t="e">
        <f t="shared" si="53"/>
        <v>#REF!</v>
      </c>
      <c r="AK166" s="109" t="e">
        <f t="shared" si="54"/>
        <v>#REF!</v>
      </c>
      <c r="AL166" s="109"/>
      <c r="AM166" s="110"/>
      <c r="AN166" s="110"/>
      <c r="AO166" s="110"/>
      <c r="AP166" s="110"/>
      <c r="AQ166" s="112"/>
      <c r="AR166" s="112"/>
      <c r="AS166" s="110"/>
      <c r="AT166" s="105"/>
      <c r="AU166" s="105"/>
      <c r="AV166" s="105"/>
      <c r="AW166" s="105"/>
      <c r="AX166" s="105"/>
      <c r="AY166" s="105"/>
    </row>
    <row r="167" spans="1:51" x14ac:dyDescent="0.15">
      <c r="A167" s="115">
        <v>382</v>
      </c>
      <c r="B167" s="98" t="e">
        <f>VLOOKUP($A167,#REF!,101,FALSE)</f>
        <v>#REF!</v>
      </c>
      <c r="C167" s="98" t="e">
        <f>VLOOKUP($A167,#REF!,102,FALSE)</f>
        <v>#REF!</v>
      </c>
      <c r="D167" s="104" t="e">
        <f>VLOOKUP($A167,#REF!,5,FALSE)</f>
        <v>#REF!</v>
      </c>
      <c r="E167" s="104" t="e">
        <f>VLOOKUP($A167,#REF!,6,FALSE)</f>
        <v>#REF!</v>
      </c>
      <c r="F167" s="105" t="e">
        <f>VLOOKUP($A167,#REF!,34,FALSE)</f>
        <v>#REF!</v>
      </c>
      <c r="G167" s="105" t="e">
        <f>VLOOKUP($A167,#REF!,29,FALSE)</f>
        <v>#REF!</v>
      </c>
      <c r="H167" s="105" t="e">
        <f>VLOOKUP($A167,#REF!,35,FALSE)+VLOOKUP($A167,#REF!,97,FALSE)</f>
        <v>#REF!</v>
      </c>
      <c r="I167" s="105" t="e">
        <f t="shared" si="38"/>
        <v>#REF!</v>
      </c>
      <c r="J167" s="105" t="e">
        <f>VLOOKUP($A167,#REF!,42,FALSE)</f>
        <v>#REF!</v>
      </c>
      <c r="K167" s="105" t="e">
        <f t="shared" si="39"/>
        <v>#REF!</v>
      </c>
      <c r="L167" s="164" t="e">
        <f t="shared" si="37"/>
        <v>#REF!</v>
      </c>
      <c r="M167" s="105" t="e">
        <f t="shared" si="40"/>
        <v>#REF!</v>
      </c>
      <c r="N167" s="105" t="e">
        <f>VLOOKUP($A167,#REF!,46,FALSE)</f>
        <v>#REF!</v>
      </c>
      <c r="O167" s="106" t="e">
        <f>VLOOKUP($A167,#REF!,9,FALSE)</f>
        <v>#REF!</v>
      </c>
      <c r="P167" s="114" t="e">
        <f>#REF!</f>
        <v>#REF!</v>
      </c>
      <c r="Q167" s="114" t="e">
        <f>VLOOKUP(A167,#REF!,17,FALSE)</f>
        <v>#REF!</v>
      </c>
      <c r="R167" s="120" t="e">
        <f>#REF!</f>
        <v>#REF!</v>
      </c>
      <c r="S167" s="114" t="e">
        <f>IF(Q167=0,#REF!,ROUND(Q167*R167,4))</f>
        <v>#REF!</v>
      </c>
      <c r="T167" s="105" t="e">
        <f>VLOOKUP($A167,#REF!,15,FALSE)</f>
        <v>#REF!</v>
      </c>
      <c r="U167" s="105" t="e">
        <f>VLOOKUP($A167,#REF!,19,FALSE)</f>
        <v>#REF!</v>
      </c>
      <c r="V167" s="109" t="e">
        <f t="shared" si="41"/>
        <v>#REF!</v>
      </c>
      <c r="W167" s="121" t="e">
        <f t="shared" si="42"/>
        <v>#REF!</v>
      </c>
      <c r="X167" s="105" t="e">
        <f t="shared" si="43"/>
        <v>#REF!</v>
      </c>
      <c r="Y167" s="109" t="e">
        <f t="shared" si="44"/>
        <v>#REF!</v>
      </c>
      <c r="Z167" s="109" t="e">
        <f t="shared" si="45"/>
        <v>#REF!</v>
      </c>
      <c r="AA167" s="113" t="e">
        <f t="shared" si="46"/>
        <v>#REF!</v>
      </c>
      <c r="AB167" s="109" t="e">
        <f t="shared" si="47"/>
        <v>#REF!</v>
      </c>
      <c r="AC167" s="113" t="e">
        <f t="shared" si="48"/>
        <v>#REF!</v>
      </c>
      <c r="AD167" s="105" t="e">
        <f t="shared" si="49"/>
        <v>#REF!</v>
      </c>
      <c r="AE167" s="105" t="e">
        <f t="shared" si="50"/>
        <v>#REF!</v>
      </c>
      <c r="AF167" s="105" t="e">
        <f t="shared" si="51"/>
        <v>#REF!</v>
      </c>
      <c r="AG167" s="105" t="e">
        <f t="shared" si="52"/>
        <v>#REF!</v>
      </c>
      <c r="AH167" s="111" t="e">
        <f>VLOOKUP($A167,#REF!,5,FALSE)</f>
        <v>#REF!</v>
      </c>
      <c r="AI167" s="111" t="e">
        <f>VLOOKUP($A167,#REF!,6,FALSE)</f>
        <v>#REF!</v>
      </c>
      <c r="AJ167" s="109" t="e">
        <f t="shared" si="53"/>
        <v>#REF!</v>
      </c>
      <c r="AK167" s="109" t="e">
        <f t="shared" si="54"/>
        <v>#REF!</v>
      </c>
      <c r="AL167" s="109"/>
      <c r="AM167" s="110"/>
      <c r="AN167" s="110"/>
      <c r="AO167" s="110"/>
      <c r="AP167" s="110"/>
      <c r="AQ167" s="112"/>
      <c r="AR167" s="112"/>
      <c r="AS167" s="110"/>
      <c r="AT167" s="105"/>
      <c r="AU167" s="105"/>
      <c r="AV167" s="105"/>
      <c r="AW167" s="105"/>
      <c r="AX167" s="105"/>
      <c r="AY167" s="105"/>
    </row>
    <row r="168" spans="1:51" x14ac:dyDescent="0.15">
      <c r="A168" s="115">
        <v>124</v>
      </c>
      <c r="B168" s="98" t="e">
        <f>VLOOKUP($A168,#REF!,101,FALSE)</f>
        <v>#REF!</v>
      </c>
      <c r="C168" s="98" t="e">
        <f>VLOOKUP($A168,#REF!,102,FALSE)</f>
        <v>#REF!</v>
      </c>
      <c r="D168" s="104" t="e">
        <f>VLOOKUP($A168,#REF!,5,FALSE)</f>
        <v>#REF!</v>
      </c>
      <c r="E168" s="104" t="e">
        <f>VLOOKUP($A168,#REF!,6,FALSE)</f>
        <v>#REF!</v>
      </c>
      <c r="F168" s="105" t="e">
        <f>VLOOKUP($A168,#REF!,34,FALSE)</f>
        <v>#REF!</v>
      </c>
      <c r="G168" s="105" t="e">
        <f>VLOOKUP($A168,#REF!,29,FALSE)</f>
        <v>#REF!</v>
      </c>
      <c r="H168" s="105" t="e">
        <f>VLOOKUP($A168,#REF!,35,FALSE)+VLOOKUP($A168,#REF!,97,FALSE)</f>
        <v>#REF!</v>
      </c>
      <c r="I168" s="105" t="e">
        <f t="shared" si="38"/>
        <v>#REF!</v>
      </c>
      <c r="J168" s="105" t="e">
        <f>VLOOKUP($A168,#REF!,42,FALSE)</f>
        <v>#REF!</v>
      </c>
      <c r="K168" s="105" t="e">
        <f t="shared" si="39"/>
        <v>#REF!</v>
      </c>
      <c r="L168" s="164" t="e">
        <f t="shared" si="37"/>
        <v>#REF!</v>
      </c>
      <c r="M168" s="105" t="e">
        <f t="shared" si="40"/>
        <v>#REF!</v>
      </c>
      <c r="N168" s="105" t="e">
        <f>VLOOKUP($A168,#REF!,46,FALSE)</f>
        <v>#REF!</v>
      </c>
      <c r="O168" s="106" t="e">
        <f>VLOOKUP($A168,#REF!,9,FALSE)</f>
        <v>#REF!</v>
      </c>
      <c r="P168" s="114" t="e">
        <f>#REF!</f>
        <v>#REF!</v>
      </c>
      <c r="Q168" s="114" t="e">
        <f>VLOOKUP(A168,#REF!,17,FALSE)</f>
        <v>#REF!</v>
      </c>
      <c r="R168" s="120" t="e">
        <f>#REF!</f>
        <v>#REF!</v>
      </c>
      <c r="S168" s="114" t="e">
        <f>IF(Q168=0,#REF!,ROUND(Q168*R168,4))</f>
        <v>#REF!</v>
      </c>
      <c r="T168" s="105" t="e">
        <f>VLOOKUP($A168,#REF!,15,FALSE)</f>
        <v>#REF!</v>
      </c>
      <c r="U168" s="105" t="e">
        <f>VLOOKUP($A168,#REF!,19,FALSE)</f>
        <v>#REF!</v>
      </c>
      <c r="V168" s="109" t="e">
        <f t="shared" si="41"/>
        <v>#REF!</v>
      </c>
      <c r="W168" s="121" t="e">
        <f t="shared" si="42"/>
        <v>#REF!</v>
      </c>
      <c r="X168" s="105" t="e">
        <f t="shared" si="43"/>
        <v>#REF!</v>
      </c>
      <c r="Y168" s="109" t="e">
        <f t="shared" si="44"/>
        <v>#REF!</v>
      </c>
      <c r="Z168" s="109" t="e">
        <f t="shared" si="45"/>
        <v>#REF!</v>
      </c>
      <c r="AA168" s="113" t="e">
        <f t="shared" si="46"/>
        <v>#REF!</v>
      </c>
      <c r="AB168" s="109" t="e">
        <f t="shared" si="47"/>
        <v>#REF!</v>
      </c>
      <c r="AC168" s="113" t="e">
        <f t="shared" si="48"/>
        <v>#REF!</v>
      </c>
      <c r="AD168" s="105" t="e">
        <f t="shared" si="49"/>
        <v>#REF!</v>
      </c>
      <c r="AE168" s="105" t="e">
        <f t="shared" si="50"/>
        <v>#REF!</v>
      </c>
      <c r="AF168" s="105" t="e">
        <f t="shared" si="51"/>
        <v>#REF!</v>
      </c>
      <c r="AG168" s="105" t="e">
        <f t="shared" si="52"/>
        <v>#REF!</v>
      </c>
      <c r="AH168" s="111" t="e">
        <f>VLOOKUP($A168,#REF!,5,FALSE)</f>
        <v>#REF!</v>
      </c>
      <c r="AI168" s="111" t="e">
        <f>VLOOKUP($A168,#REF!,6,FALSE)</f>
        <v>#REF!</v>
      </c>
      <c r="AJ168" s="109" t="e">
        <f t="shared" si="53"/>
        <v>#REF!</v>
      </c>
      <c r="AK168" s="109" t="e">
        <f t="shared" si="54"/>
        <v>#REF!</v>
      </c>
      <c r="AL168" s="109"/>
      <c r="AM168" s="110"/>
      <c r="AN168" s="110"/>
      <c r="AO168" s="110"/>
      <c r="AP168" s="110"/>
      <c r="AQ168" s="112"/>
      <c r="AR168" s="112"/>
      <c r="AS168" s="110"/>
      <c r="AT168" s="105"/>
      <c r="AU168" s="105"/>
      <c r="AV168" s="105"/>
      <c r="AW168" s="105"/>
      <c r="AX168" s="105"/>
      <c r="AY168" s="105"/>
    </row>
    <row r="169" spans="1:51" x14ac:dyDescent="0.15">
      <c r="A169" s="115">
        <v>364</v>
      </c>
      <c r="B169" s="98" t="e">
        <f>VLOOKUP($A169,#REF!,101,FALSE)</f>
        <v>#REF!</v>
      </c>
      <c r="C169" s="98" t="e">
        <f>VLOOKUP($A169,#REF!,102,FALSE)</f>
        <v>#REF!</v>
      </c>
      <c r="D169" s="104" t="e">
        <f>VLOOKUP($A169,#REF!,5,FALSE)</f>
        <v>#REF!</v>
      </c>
      <c r="E169" s="104" t="e">
        <f>VLOOKUP($A169,#REF!,6,FALSE)</f>
        <v>#REF!</v>
      </c>
      <c r="F169" s="105" t="e">
        <f>VLOOKUP($A169,#REF!,34,FALSE)</f>
        <v>#REF!</v>
      </c>
      <c r="G169" s="105" t="e">
        <f>VLOOKUP($A169,#REF!,29,FALSE)</f>
        <v>#REF!</v>
      </c>
      <c r="H169" s="105" t="e">
        <f>VLOOKUP($A169,#REF!,35,FALSE)+VLOOKUP($A169,#REF!,97,FALSE)</f>
        <v>#REF!</v>
      </c>
      <c r="I169" s="105" t="e">
        <f t="shared" si="38"/>
        <v>#REF!</v>
      </c>
      <c r="J169" s="105" t="e">
        <f>VLOOKUP($A169,#REF!,42,FALSE)</f>
        <v>#REF!</v>
      </c>
      <c r="K169" s="105" t="e">
        <f t="shared" si="39"/>
        <v>#REF!</v>
      </c>
      <c r="L169" s="164" t="e">
        <f t="shared" si="37"/>
        <v>#REF!</v>
      </c>
      <c r="M169" s="105" t="e">
        <f t="shared" si="40"/>
        <v>#REF!</v>
      </c>
      <c r="N169" s="105" t="e">
        <f>VLOOKUP($A169,#REF!,46,FALSE)</f>
        <v>#REF!</v>
      </c>
      <c r="O169" s="106" t="e">
        <f>VLOOKUP($A169,#REF!,9,FALSE)</f>
        <v>#REF!</v>
      </c>
      <c r="P169" s="114" t="e">
        <f>#REF!</f>
        <v>#REF!</v>
      </c>
      <c r="Q169" s="114" t="e">
        <f>VLOOKUP(A169,#REF!,17,FALSE)</f>
        <v>#REF!</v>
      </c>
      <c r="R169" s="120" t="e">
        <f>#REF!</f>
        <v>#REF!</v>
      </c>
      <c r="S169" s="114" t="e">
        <f>IF(Q169=0,#REF!,ROUND(Q169*R169,4))</f>
        <v>#REF!</v>
      </c>
      <c r="T169" s="105" t="e">
        <f>VLOOKUP($A169,#REF!,15,FALSE)</f>
        <v>#REF!</v>
      </c>
      <c r="U169" s="105" t="e">
        <f>VLOOKUP($A169,#REF!,19,FALSE)</f>
        <v>#REF!</v>
      </c>
      <c r="V169" s="109" t="e">
        <f t="shared" si="41"/>
        <v>#REF!</v>
      </c>
      <c r="W169" s="121" t="e">
        <f t="shared" si="42"/>
        <v>#REF!</v>
      </c>
      <c r="X169" s="105" t="e">
        <f t="shared" si="43"/>
        <v>#REF!</v>
      </c>
      <c r="Y169" s="109" t="e">
        <f t="shared" si="44"/>
        <v>#REF!</v>
      </c>
      <c r="Z169" s="109" t="e">
        <f t="shared" si="45"/>
        <v>#REF!</v>
      </c>
      <c r="AA169" s="113" t="e">
        <f t="shared" si="46"/>
        <v>#REF!</v>
      </c>
      <c r="AB169" s="109" t="e">
        <f t="shared" si="47"/>
        <v>#REF!</v>
      </c>
      <c r="AC169" s="113" t="e">
        <f t="shared" si="48"/>
        <v>#REF!</v>
      </c>
      <c r="AD169" s="105" t="e">
        <f t="shared" si="49"/>
        <v>#REF!</v>
      </c>
      <c r="AE169" s="105" t="e">
        <f t="shared" si="50"/>
        <v>#REF!</v>
      </c>
      <c r="AF169" s="105" t="e">
        <f t="shared" si="51"/>
        <v>#REF!</v>
      </c>
      <c r="AG169" s="105" t="e">
        <f t="shared" si="52"/>
        <v>#REF!</v>
      </c>
      <c r="AH169" s="111" t="e">
        <f>VLOOKUP($A169,#REF!,5,FALSE)</f>
        <v>#REF!</v>
      </c>
      <c r="AI169" s="111" t="e">
        <f>VLOOKUP($A169,#REF!,6,FALSE)</f>
        <v>#REF!</v>
      </c>
      <c r="AJ169" s="109" t="e">
        <f t="shared" si="53"/>
        <v>#REF!</v>
      </c>
      <c r="AK169" s="109" t="e">
        <f t="shared" si="54"/>
        <v>#REF!</v>
      </c>
      <c r="AL169" s="109"/>
      <c r="AM169" s="110"/>
      <c r="AN169" s="110"/>
      <c r="AO169" s="110"/>
      <c r="AP169" s="110"/>
      <c r="AQ169" s="112"/>
      <c r="AR169" s="112"/>
      <c r="AS169" s="110"/>
      <c r="AT169" s="105"/>
      <c r="AU169" s="105"/>
      <c r="AV169" s="105"/>
      <c r="AW169" s="105"/>
      <c r="AX169" s="105"/>
      <c r="AY169" s="105"/>
    </row>
    <row r="170" spans="1:51" x14ac:dyDescent="0.15">
      <c r="A170" s="115">
        <v>436</v>
      </c>
      <c r="B170" s="98" t="e">
        <f>VLOOKUP($A170,#REF!,101,FALSE)</f>
        <v>#REF!</v>
      </c>
      <c r="C170" s="98" t="e">
        <f>VLOOKUP($A170,#REF!,102,FALSE)</f>
        <v>#REF!</v>
      </c>
      <c r="D170" s="104" t="e">
        <f>VLOOKUP($A170,#REF!,5,FALSE)</f>
        <v>#REF!</v>
      </c>
      <c r="E170" s="104" t="e">
        <f>VLOOKUP($A170,#REF!,6,FALSE)</f>
        <v>#REF!</v>
      </c>
      <c r="F170" s="105" t="e">
        <f>VLOOKUP($A170,#REF!,34,FALSE)</f>
        <v>#REF!</v>
      </c>
      <c r="G170" s="105" t="e">
        <f>VLOOKUP($A170,#REF!,29,FALSE)</f>
        <v>#REF!</v>
      </c>
      <c r="H170" s="105" t="e">
        <f>VLOOKUP($A170,#REF!,35,FALSE)+VLOOKUP($A170,#REF!,97,FALSE)</f>
        <v>#REF!</v>
      </c>
      <c r="I170" s="105" t="e">
        <f t="shared" si="38"/>
        <v>#REF!</v>
      </c>
      <c r="J170" s="105" t="e">
        <f>VLOOKUP($A170,#REF!,42,FALSE)</f>
        <v>#REF!</v>
      </c>
      <c r="K170" s="105" t="e">
        <f t="shared" si="39"/>
        <v>#REF!</v>
      </c>
      <c r="L170" s="164" t="e">
        <f t="shared" si="37"/>
        <v>#REF!</v>
      </c>
      <c r="M170" s="105" t="e">
        <f t="shared" si="40"/>
        <v>#REF!</v>
      </c>
      <c r="N170" s="105" t="e">
        <f>VLOOKUP($A170,#REF!,46,FALSE)</f>
        <v>#REF!</v>
      </c>
      <c r="O170" s="106" t="e">
        <f>VLOOKUP($A170,#REF!,9,FALSE)</f>
        <v>#REF!</v>
      </c>
      <c r="P170" s="114" t="e">
        <f>#REF!</f>
        <v>#REF!</v>
      </c>
      <c r="Q170" s="114" t="e">
        <f>VLOOKUP(A170,#REF!,17,FALSE)</f>
        <v>#REF!</v>
      </c>
      <c r="R170" s="120" t="e">
        <f>#REF!</f>
        <v>#REF!</v>
      </c>
      <c r="S170" s="114" t="e">
        <f>IF(Q170=0,#REF!,ROUND(Q170*R170,4))</f>
        <v>#REF!</v>
      </c>
      <c r="T170" s="105" t="e">
        <f>VLOOKUP($A170,#REF!,15,FALSE)</f>
        <v>#REF!</v>
      </c>
      <c r="U170" s="105" t="e">
        <f>VLOOKUP($A170,#REF!,19,FALSE)</f>
        <v>#REF!</v>
      </c>
      <c r="V170" s="109" t="e">
        <f t="shared" si="41"/>
        <v>#REF!</v>
      </c>
      <c r="W170" s="121" t="e">
        <f t="shared" si="42"/>
        <v>#REF!</v>
      </c>
      <c r="X170" s="105" t="e">
        <f t="shared" si="43"/>
        <v>#REF!</v>
      </c>
      <c r="Y170" s="109" t="e">
        <f t="shared" si="44"/>
        <v>#REF!</v>
      </c>
      <c r="Z170" s="109" t="e">
        <f t="shared" si="45"/>
        <v>#REF!</v>
      </c>
      <c r="AA170" s="113" t="e">
        <f t="shared" si="46"/>
        <v>#REF!</v>
      </c>
      <c r="AB170" s="109" t="e">
        <f t="shared" si="47"/>
        <v>#REF!</v>
      </c>
      <c r="AC170" s="113" t="e">
        <f t="shared" si="48"/>
        <v>#REF!</v>
      </c>
      <c r="AD170" s="105" t="e">
        <f t="shared" si="49"/>
        <v>#REF!</v>
      </c>
      <c r="AE170" s="105" t="e">
        <f t="shared" si="50"/>
        <v>#REF!</v>
      </c>
      <c r="AF170" s="105" t="e">
        <f t="shared" si="51"/>
        <v>#REF!</v>
      </c>
      <c r="AG170" s="105" t="e">
        <f t="shared" si="52"/>
        <v>#REF!</v>
      </c>
      <c r="AH170" s="111" t="e">
        <f>VLOOKUP($A170,#REF!,5,FALSE)</f>
        <v>#REF!</v>
      </c>
      <c r="AI170" s="111" t="e">
        <f>VLOOKUP($A170,#REF!,6,FALSE)</f>
        <v>#REF!</v>
      </c>
      <c r="AJ170" s="109" t="e">
        <f t="shared" si="53"/>
        <v>#REF!</v>
      </c>
      <c r="AK170" s="109" t="e">
        <f t="shared" si="54"/>
        <v>#REF!</v>
      </c>
      <c r="AL170" s="109"/>
      <c r="AM170" s="110"/>
      <c r="AN170" s="110"/>
      <c r="AO170" s="110"/>
      <c r="AP170" s="110"/>
      <c r="AQ170" s="112"/>
      <c r="AR170" s="112"/>
      <c r="AS170" s="110"/>
      <c r="AT170" s="105"/>
      <c r="AU170" s="105"/>
      <c r="AV170" s="105"/>
      <c r="AW170" s="105"/>
      <c r="AX170" s="105"/>
      <c r="AY170" s="105"/>
    </row>
    <row r="171" spans="1:51" x14ac:dyDescent="0.15">
      <c r="A171" s="115">
        <v>366</v>
      </c>
      <c r="B171" s="98" t="e">
        <f>VLOOKUP($A171,#REF!,101,FALSE)</f>
        <v>#REF!</v>
      </c>
      <c r="C171" s="98" t="e">
        <f>VLOOKUP($A171,#REF!,102,FALSE)</f>
        <v>#REF!</v>
      </c>
      <c r="D171" s="104" t="e">
        <f>VLOOKUP($A171,#REF!,5,FALSE)</f>
        <v>#REF!</v>
      </c>
      <c r="E171" s="104" t="e">
        <f>VLOOKUP($A171,#REF!,6,FALSE)</f>
        <v>#REF!</v>
      </c>
      <c r="F171" s="105" t="e">
        <f>VLOOKUP($A171,#REF!,34,FALSE)</f>
        <v>#REF!</v>
      </c>
      <c r="G171" s="105" t="e">
        <f>VLOOKUP($A171,#REF!,29,FALSE)</f>
        <v>#REF!</v>
      </c>
      <c r="H171" s="105" t="e">
        <f>VLOOKUP($A171,#REF!,35,FALSE)+VLOOKUP($A171,#REF!,97,FALSE)</f>
        <v>#REF!</v>
      </c>
      <c r="I171" s="105" t="e">
        <f t="shared" si="38"/>
        <v>#REF!</v>
      </c>
      <c r="J171" s="105" t="e">
        <f>VLOOKUP($A171,#REF!,42,FALSE)</f>
        <v>#REF!</v>
      </c>
      <c r="K171" s="105" t="e">
        <f t="shared" si="39"/>
        <v>#REF!</v>
      </c>
      <c r="L171" s="164" t="e">
        <f t="shared" si="37"/>
        <v>#REF!</v>
      </c>
      <c r="M171" s="105" t="e">
        <f t="shared" si="40"/>
        <v>#REF!</v>
      </c>
      <c r="N171" s="105" t="e">
        <f>VLOOKUP($A171,#REF!,46,FALSE)</f>
        <v>#REF!</v>
      </c>
      <c r="O171" s="106" t="e">
        <f>VLOOKUP($A171,#REF!,9,FALSE)</f>
        <v>#REF!</v>
      </c>
      <c r="P171" s="114" t="e">
        <f>#REF!</f>
        <v>#REF!</v>
      </c>
      <c r="Q171" s="114" t="e">
        <f>VLOOKUP(A171,#REF!,17,FALSE)</f>
        <v>#REF!</v>
      </c>
      <c r="R171" s="120" t="e">
        <f>#REF!</f>
        <v>#REF!</v>
      </c>
      <c r="S171" s="114" t="e">
        <f>IF(Q171=0,#REF!,ROUND(Q171*R171,4))</f>
        <v>#REF!</v>
      </c>
      <c r="T171" s="105" t="e">
        <f>VLOOKUP($A171,#REF!,15,FALSE)</f>
        <v>#REF!</v>
      </c>
      <c r="U171" s="105" t="e">
        <f>VLOOKUP($A171,#REF!,19,FALSE)</f>
        <v>#REF!</v>
      </c>
      <c r="V171" s="109" t="e">
        <f t="shared" si="41"/>
        <v>#REF!</v>
      </c>
      <c r="W171" s="121" t="e">
        <f t="shared" si="42"/>
        <v>#REF!</v>
      </c>
      <c r="X171" s="105" t="e">
        <f t="shared" si="43"/>
        <v>#REF!</v>
      </c>
      <c r="Y171" s="109" t="e">
        <f t="shared" si="44"/>
        <v>#REF!</v>
      </c>
      <c r="Z171" s="109" t="e">
        <f t="shared" si="45"/>
        <v>#REF!</v>
      </c>
      <c r="AA171" s="113" t="e">
        <f t="shared" si="46"/>
        <v>#REF!</v>
      </c>
      <c r="AB171" s="109" t="e">
        <f t="shared" si="47"/>
        <v>#REF!</v>
      </c>
      <c r="AC171" s="113" t="e">
        <f t="shared" si="48"/>
        <v>#REF!</v>
      </c>
      <c r="AD171" s="105" t="e">
        <f t="shared" si="49"/>
        <v>#REF!</v>
      </c>
      <c r="AE171" s="105" t="e">
        <f t="shared" si="50"/>
        <v>#REF!</v>
      </c>
      <c r="AF171" s="105" t="e">
        <f t="shared" si="51"/>
        <v>#REF!</v>
      </c>
      <c r="AG171" s="105" t="e">
        <f t="shared" si="52"/>
        <v>#REF!</v>
      </c>
      <c r="AH171" s="111" t="e">
        <f>VLOOKUP($A171,#REF!,5,FALSE)</f>
        <v>#REF!</v>
      </c>
      <c r="AI171" s="111" t="e">
        <f>VLOOKUP($A171,#REF!,6,FALSE)</f>
        <v>#REF!</v>
      </c>
      <c r="AJ171" s="109" t="e">
        <f t="shared" si="53"/>
        <v>#REF!</v>
      </c>
      <c r="AK171" s="109" t="e">
        <f t="shared" si="54"/>
        <v>#REF!</v>
      </c>
      <c r="AL171" s="109"/>
      <c r="AM171" s="110"/>
      <c r="AN171" s="110"/>
      <c r="AO171" s="110"/>
      <c r="AP171" s="110"/>
      <c r="AQ171" s="112"/>
      <c r="AR171" s="112"/>
      <c r="AS171" s="110"/>
      <c r="AT171" s="105"/>
      <c r="AU171" s="105"/>
      <c r="AV171" s="105"/>
      <c r="AW171" s="105"/>
      <c r="AX171" s="105"/>
      <c r="AY171" s="105"/>
    </row>
    <row r="172" spans="1:51" x14ac:dyDescent="0.15">
      <c r="A172" s="115">
        <v>294</v>
      </c>
      <c r="B172" s="98" t="e">
        <f>VLOOKUP($A172,#REF!,101,FALSE)</f>
        <v>#REF!</v>
      </c>
      <c r="C172" s="98" t="e">
        <f>VLOOKUP($A172,#REF!,102,FALSE)</f>
        <v>#REF!</v>
      </c>
      <c r="D172" s="104" t="e">
        <f>VLOOKUP($A172,#REF!,5,FALSE)</f>
        <v>#REF!</v>
      </c>
      <c r="E172" s="104" t="e">
        <f>VLOOKUP($A172,#REF!,6,FALSE)</f>
        <v>#REF!</v>
      </c>
      <c r="F172" s="105" t="e">
        <f>VLOOKUP($A172,#REF!,34,FALSE)</f>
        <v>#REF!</v>
      </c>
      <c r="G172" s="105" t="e">
        <f>VLOOKUP($A172,#REF!,29,FALSE)</f>
        <v>#REF!</v>
      </c>
      <c r="H172" s="105" t="e">
        <f>VLOOKUP($A172,#REF!,35,FALSE)+VLOOKUP($A172,#REF!,97,FALSE)</f>
        <v>#REF!</v>
      </c>
      <c r="I172" s="105" t="e">
        <f t="shared" si="38"/>
        <v>#REF!</v>
      </c>
      <c r="J172" s="105" t="e">
        <f>VLOOKUP($A172,#REF!,42,FALSE)</f>
        <v>#REF!</v>
      </c>
      <c r="K172" s="105" t="e">
        <f t="shared" si="39"/>
        <v>#REF!</v>
      </c>
      <c r="L172" s="164" t="e">
        <f t="shared" si="37"/>
        <v>#REF!</v>
      </c>
      <c r="M172" s="105" t="e">
        <f t="shared" si="40"/>
        <v>#REF!</v>
      </c>
      <c r="N172" s="105" t="e">
        <f>VLOOKUP($A172,#REF!,46,FALSE)</f>
        <v>#REF!</v>
      </c>
      <c r="O172" s="106" t="e">
        <f>VLOOKUP($A172,#REF!,9,FALSE)</f>
        <v>#REF!</v>
      </c>
      <c r="P172" s="114" t="e">
        <f>#REF!</f>
        <v>#REF!</v>
      </c>
      <c r="Q172" s="114" t="e">
        <f>VLOOKUP(A172,#REF!,17,FALSE)</f>
        <v>#REF!</v>
      </c>
      <c r="R172" s="120" t="e">
        <f>#REF!</f>
        <v>#REF!</v>
      </c>
      <c r="S172" s="114" t="e">
        <f>IF(Q172=0,#REF!,ROUND(Q172*R172,4))</f>
        <v>#REF!</v>
      </c>
      <c r="T172" s="105" t="e">
        <f>VLOOKUP($A172,#REF!,15,FALSE)</f>
        <v>#REF!</v>
      </c>
      <c r="U172" s="105" t="e">
        <f>VLOOKUP($A172,#REF!,19,FALSE)</f>
        <v>#REF!</v>
      </c>
      <c r="V172" s="109" t="e">
        <f t="shared" si="41"/>
        <v>#REF!</v>
      </c>
      <c r="W172" s="121" t="e">
        <f t="shared" si="42"/>
        <v>#REF!</v>
      </c>
      <c r="X172" s="105" t="e">
        <f t="shared" si="43"/>
        <v>#REF!</v>
      </c>
      <c r="Y172" s="109" t="e">
        <f t="shared" si="44"/>
        <v>#REF!</v>
      </c>
      <c r="Z172" s="109" t="e">
        <f t="shared" si="45"/>
        <v>#REF!</v>
      </c>
      <c r="AA172" s="113" t="e">
        <f t="shared" si="46"/>
        <v>#REF!</v>
      </c>
      <c r="AB172" s="109" t="e">
        <f t="shared" si="47"/>
        <v>#REF!</v>
      </c>
      <c r="AC172" s="113" t="e">
        <f t="shared" si="48"/>
        <v>#REF!</v>
      </c>
      <c r="AD172" s="105" t="e">
        <f t="shared" si="49"/>
        <v>#REF!</v>
      </c>
      <c r="AE172" s="105" t="e">
        <f t="shared" si="50"/>
        <v>#REF!</v>
      </c>
      <c r="AF172" s="105" t="e">
        <f t="shared" si="51"/>
        <v>#REF!</v>
      </c>
      <c r="AG172" s="105" t="e">
        <f t="shared" si="52"/>
        <v>#REF!</v>
      </c>
      <c r="AH172" s="111" t="e">
        <f>VLOOKUP($A172,#REF!,5,FALSE)</f>
        <v>#REF!</v>
      </c>
      <c r="AI172" s="111" t="e">
        <f>VLOOKUP($A172,#REF!,6,FALSE)</f>
        <v>#REF!</v>
      </c>
      <c r="AJ172" s="109" t="e">
        <f t="shared" si="53"/>
        <v>#REF!</v>
      </c>
      <c r="AK172" s="109" t="e">
        <f t="shared" si="54"/>
        <v>#REF!</v>
      </c>
      <c r="AL172" s="109"/>
      <c r="AM172" s="110"/>
      <c r="AN172" s="110"/>
      <c r="AO172" s="110"/>
      <c r="AP172" s="110"/>
      <c r="AQ172" s="112"/>
      <c r="AR172" s="112"/>
      <c r="AS172" s="110"/>
      <c r="AT172" s="105"/>
      <c r="AU172" s="105"/>
      <c r="AV172" s="105"/>
      <c r="AW172" s="105"/>
      <c r="AX172" s="105"/>
      <c r="AY172" s="105"/>
    </row>
    <row r="173" spans="1:51" x14ac:dyDescent="0.15">
      <c r="A173" s="115">
        <v>368</v>
      </c>
      <c r="B173" s="98" t="e">
        <f>VLOOKUP($A173,#REF!,101,FALSE)</f>
        <v>#REF!</v>
      </c>
      <c r="C173" s="98" t="e">
        <f>VLOOKUP($A173,#REF!,102,FALSE)</f>
        <v>#REF!</v>
      </c>
      <c r="D173" s="104" t="e">
        <f>VLOOKUP($A173,#REF!,5,FALSE)</f>
        <v>#REF!</v>
      </c>
      <c r="E173" s="104" t="e">
        <f>VLOOKUP($A173,#REF!,6,FALSE)</f>
        <v>#REF!</v>
      </c>
      <c r="F173" s="105" t="e">
        <f>VLOOKUP($A173,#REF!,34,FALSE)</f>
        <v>#REF!</v>
      </c>
      <c r="G173" s="105" t="e">
        <f>VLOOKUP($A173,#REF!,29,FALSE)</f>
        <v>#REF!</v>
      </c>
      <c r="H173" s="105" t="e">
        <f>VLOOKUP($A173,#REF!,35,FALSE)+VLOOKUP($A173,#REF!,97,FALSE)</f>
        <v>#REF!</v>
      </c>
      <c r="I173" s="105" t="e">
        <f t="shared" si="38"/>
        <v>#REF!</v>
      </c>
      <c r="J173" s="105" t="e">
        <f>VLOOKUP($A173,#REF!,42,FALSE)</f>
        <v>#REF!</v>
      </c>
      <c r="K173" s="105" t="e">
        <f t="shared" si="39"/>
        <v>#REF!</v>
      </c>
      <c r="L173" s="164" t="e">
        <f t="shared" si="37"/>
        <v>#REF!</v>
      </c>
      <c r="M173" s="105" t="e">
        <f t="shared" si="40"/>
        <v>#REF!</v>
      </c>
      <c r="N173" s="105" t="e">
        <f>VLOOKUP($A173,#REF!,46,FALSE)</f>
        <v>#REF!</v>
      </c>
      <c r="O173" s="106" t="e">
        <f>VLOOKUP($A173,#REF!,9,FALSE)</f>
        <v>#REF!</v>
      </c>
      <c r="P173" s="114" t="e">
        <f>#REF!</f>
        <v>#REF!</v>
      </c>
      <c r="Q173" s="114" t="e">
        <f>VLOOKUP(A173,#REF!,17,FALSE)</f>
        <v>#REF!</v>
      </c>
      <c r="R173" s="120" t="e">
        <f>#REF!</f>
        <v>#REF!</v>
      </c>
      <c r="S173" s="114" t="e">
        <f>IF(Q173=0,#REF!,ROUND(Q173*R173,4))</f>
        <v>#REF!</v>
      </c>
      <c r="T173" s="105" t="e">
        <f>VLOOKUP($A173,#REF!,15,FALSE)</f>
        <v>#REF!</v>
      </c>
      <c r="U173" s="105" t="e">
        <f>VLOOKUP($A173,#REF!,19,FALSE)</f>
        <v>#REF!</v>
      </c>
      <c r="V173" s="109" t="e">
        <f t="shared" si="41"/>
        <v>#REF!</v>
      </c>
      <c r="W173" s="121" t="e">
        <f t="shared" si="42"/>
        <v>#REF!</v>
      </c>
      <c r="X173" s="105" t="e">
        <f t="shared" si="43"/>
        <v>#REF!</v>
      </c>
      <c r="Y173" s="109" t="e">
        <f t="shared" si="44"/>
        <v>#REF!</v>
      </c>
      <c r="Z173" s="109" t="e">
        <f t="shared" si="45"/>
        <v>#REF!</v>
      </c>
      <c r="AA173" s="113" t="e">
        <f t="shared" si="46"/>
        <v>#REF!</v>
      </c>
      <c r="AB173" s="109" t="e">
        <f t="shared" si="47"/>
        <v>#REF!</v>
      </c>
      <c r="AC173" s="113" t="e">
        <f t="shared" si="48"/>
        <v>#REF!</v>
      </c>
      <c r="AD173" s="105" t="e">
        <f t="shared" si="49"/>
        <v>#REF!</v>
      </c>
      <c r="AE173" s="105" t="e">
        <f t="shared" si="50"/>
        <v>#REF!</v>
      </c>
      <c r="AF173" s="105" t="e">
        <f t="shared" si="51"/>
        <v>#REF!</v>
      </c>
      <c r="AG173" s="105" t="e">
        <f t="shared" si="52"/>
        <v>#REF!</v>
      </c>
      <c r="AH173" s="111" t="e">
        <f>VLOOKUP($A173,#REF!,5,FALSE)</f>
        <v>#REF!</v>
      </c>
      <c r="AI173" s="111" t="e">
        <f>VLOOKUP($A173,#REF!,6,FALSE)</f>
        <v>#REF!</v>
      </c>
      <c r="AJ173" s="109" t="e">
        <f t="shared" si="53"/>
        <v>#REF!</v>
      </c>
      <c r="AK173" s="109" t="e">
        <f t="shared" si="54"/>
        <v>#REF!</v>
      </c>
      <c r="AL173" s="109"/>
      <c r="AM173" s="110"/>
      <c r="AN173" s="110"/>
      <c r="AO173" s="110"/>
      <c r="AP173" s="110"/>
      <c r="AQ173" s="112"/>
      <c r="AR173" s="112"/>
      <c r="AS173" s="110"/>
      <c r="AT173" s="105"/>
      <c r="AU173" s="105"/>
      <c r="AV173" s="105"/>
      <c r="AW173" s="105"/>
      <c r="AX173" s="105"/>
      <c r="AY173" s="105"/>
    </row>
    <row r="174" spans="1:51" x14ac:dyDescent="0.15">
      <c r="A174" s="115">
        <v>462</v>
      </c>
      <c r="B174" s="98" t="e">
        <f>VLOOKUP($A174,#REF!,101,FALSE)</f>
        <v>#REF!</v>
      </c>
      <c r="C174" s="98" t="e">
        <f>VLOOKUP($A174,#REF!,102,FALSE)</f>
        <v>#REF!</v>
      </c>
      <c r="D174" s="104" t="e">
        <f>VLOOKUP($A174,#REF!,5,FALSE)</f>
        <v>#REF!</v>
      </c>
      <c r="E174" s="104" t="e">
        <f>VLOOKUP($A174,#REF!,6,FALSE)</f>
        <v>#REF!</v>
      </c>
      <c r="F174" s="105" t="e">
        <f>VLOOKUP($A174,#REF!,34,FALSE)</f>
        <v>#REF!</v>
      </c>
      <c r="G174" s="105" t="e">
        <f>VLOOKUP($A174,#REF!,29,FALSE)</f>
        <v>#REF!</v>
      </c>
      <c r="H174" s="105" t="e">
        <f>VLOOKUP($A174,#REF!,35,FALSE)+VLOOKUP($A174,#REF!,97,FALSE)</f>
        <v>#REF!</v>
      </c>
      <c r="I174" s="105" t="e">
        <f t="shared" si="38"/>
        <v>#REF!</v>
      </c>
      <c r="J174" s="105" t="e">
        <f>VLOOKUP($A174,#REF!,42,FALSE)</f>
        <v>#REF!</v>
      </c>
      <c r="K174" s="105" t="e">
        <f t="shared" si="39"/>
        <v>#REF!</v>
      </c>
      <c r="L174" s="164" t="e">
        <f t="shared" si="37"/>
        <v>#REF!</v>
      </c>
      <c r="M174" s="105" t="e">
        <f t="shared" si="40"/>
        <v>#REF!</v>
      </c>
      <c r="N174" s="105" t="e">
        <f>VLOOKUP($A174,#REF!,46,FALSE)</f>
        <v>#REF!</v>
      </c>
      <c r="O174" s="106" t="e">
        <f>VLOOKUP($A174,#REF!,9,FALSE)</f>
        <v>#REF!</v>
      </c>
      <c r="P174" s="114" t="e">
        <f>#REF!</f>
        <v>#REF!</v>
      </c>
      <c r="Q174" s="114" t="e">
        <f>VLOOKUP(A174,#REF!,17,FALSE)</f>
        <v>#REF!</v>
      </c>
      <c r="R174" s="120" t="e">
        <f>#REF!</f>
        <v>#REF!</v>
      </c>
      <c r="S174" s="114" t="e">
        <f>IF(Q174=0,#REF!,ROUND(Q174*R174,4))</f>
        <v>#REF!</v>
      </c>
      <c r="T174" s="105" t="e">
        <f>VLOOKUP($A174,#REF!,15,FALSE)</f>
        <v>#REF!</v>
      </c>
      <c r="U174" s="105" t="e">
        <f>VLOOKUP($A174,#REF!,19,FALSE)</f>
        <v>#REF!</v>
      </c>
      <c r="V174" s="109" t="e">
        <f t="shared" si="41"/>
        <v>#REF!</v>
      </c>
      <c r="W174" s="121" t="e">
        <f t="shared" si="42"/>
        <v>#REF!</v>
      </c>
      <c r="X174" s="105" t="e">
        <f t="shared" si="43"/>
        <v>#REF!</v>
      </c>
      <c r="Y174" s="109" t="e">
        <f t="shared" si="44"/>
        <v>#REF!</v>
      </c>
      <c r="Z174" s="109" t="e">
        <f t="shared" si="45"/>
        <v>#REF!</v>
      </c>
      <c r="AA174" s="113" t="e">
        <f t="shared" si="46"/>
        <v>#REF!</v>
      </c>
      <c r="AB174" s="109" t="e">
        <f t="shared" si="47"/>
        <v>#REF!</v>
      </c>
      <c r="AC174" s="113" t="e">
        <f t="shared" si="48"/>
        <v>#REF!</v>
      </c>
      <c r="AD174" s="105" t="e">
        <f t="shared" si="49"/>
        <v>#REF!</v>
      </c>
      <c r="AE174" s="105" t="e">
        <f t="shared" si="50"/>
        <v>#REF!</v>
      </c>
      <c r="AF174" s="105" t="e">
        <f t="shared" si="51"/>
        <v>#REF!</v>
      </c>
      <c r="AG174" s="105" t="e">
        <f t="shared" si="52"/>
        <v>#REF!</v>
      </c>
      <c r="AH174" s="111" t="e">
        <f>VLOOKUP($A174,#REF!,5,FALSE)</f>
        <v>#REF!</v>
      </c>
      <c r="AI174" s="111" t="e">
        <f>VLOOKUP($A174,#REF!,6,FALSE)</f>
        <v>#REF!</v>
      </c>
      <c r="AJ174" s="109" t="e">
        <f t="shared" si="53"/>
        <v>#REF!</v>
      </c>
      <c r="AK174" s="109" t="e">
        <f t="shared" si="54"/>
        <v>#REF!</v>
      </c>
      <c r="AL174" s="109"/>
      <c r="AM174" s="110"/>
      <c r="AN174" s="110"/>
      <c r="AO174" s="110"/>
      <c r="AP174" s="110"/>
      <c r="AQ174" s="112"/>
      <c r="AR174" s="112"/>
      <c r="AS174" s="110"/>
      <c r="AT174" s="105"/>
      <c r="AU174" s="105"/>
      <c r="AV174" s="105"/>
      <c r="AW174" s="105"/>
      <c r="AX174" s="105"/>
      <c r="AY174" s="105"/>
    </row>
    <row r="175" spans="1:51" x14ac:dyDescent="0.15">
      <c r="A175" s="115">
        <v>102</v>
      </c>
      <c r="B175" s="98" t="e">
        <f>VLOOKUP($A175,#REF!,101,FALSE)</f>
        <v>#REF!</v>
      </c>
      <c r="C175" s="98" t="e">
        <f>VLOOKUP($A175,#REF!,102,FALSE)</f>
        <v>#REF!</v>
      </c>
      <c r="D175" s="104" t="e">
        <f>VLOOKUP($A175,#REF!,5,FALSE)</f>
        <v>#REF!</v>
      </c>
      <c r="E175" s="104" t="e">
        <f>VLOOKUP($A175,#REF!,6,FALSE)</f>
        <v>#REF!</v>
      </c>
      <c r="F175" s="105" t="e">
        <f>VLOOKUP($A175,#REF!,34,FALSE)</f>
        <v>#REF!</v>
      </c>
      <c r="G175" s="105" t="e">
        <f>VLOOKUP($A175,#REF!,29,FALSE)</f>
        <v>#REF!</v>
      </c>
      <c r="H175" s="105" t="e">
        <f>VLOOKUP($A175,#REF!,35,FALSE)+VLOOKUP($A175,#REF!,97,FALSE)</f>
        <v>#REF!</v>
      </c>
      <c r="I175" s="105" t="e">
        <f t="shared" si="38"/>
        <v>#REF!</v>
      </c>
      <c r="J175" s="105" t="e">
        <f>VLOOKUP($A175,#REF!,42,FALSE)</f>
        <v>#REF!</v>
      </c>
      <c r="K175" s="105" t="e">
        <f t="shared" si="39"/>
        <v>#REF!</v>
      </c>
      <c r="L175" s="164" t="e">
        <f t="shared" si="37"/>
        <v>#REF!</v>
      </c>
      <c r="M175" s="105" t="e">
        <f t="shared" si="40"/>
        <v>#REF!</v>
      </c>
      <c r="N175" s="105" t="e">
        <f>VLOOKUP($A175,#REF!,46,FALSE)</f>
        <v>#REF!</v>
      </c>
      <c r="O175" s="106" t="e">
        <f>VLOOKUP($A175,#REF!,9,FALSE)</f>
        <v>#REF!</v>
      </c>
      <c r="P175" s="114" t="e">
        <f>#REF!</f>
        <v>#REF!</v>
      </c>
      <c r="Q175" s="114" t="e">
        <f>VLOOKUP(A175,#REF!,17,FALSE)</f>
        <v>#REF!</v>
      </c>
      <c r="R175" s="120" t="e">
        <f>#REF!</f>
        <v>#REF!</v>
      </c>
      <c r="S175" s="114" t="e">
        <f>IF(Q175=0,#REF!,ROUND(Q175*R175,4))</f>
        <v>#REF!</v>
      </c>
      <c r="T175" s="105" t="e">
        <f>VLOOKUP($A175,#REF!,15,FALSE)</f>
        <v>#REF!</v>
      </c>
      <c r="U175" s="105" t="e">
        <f>VLOOKUP($A175,#REF!,19,FALSE)</f>
        <v>#REF!</v>
      </c>
      <c r="V175" s="109" t="e">
        <f t="shared" si="41"/>
        <v>#REF!</v>
      </c>
      <c r="W175" s="121" t="e">
        <f t="shared" si="42"/>
        <v>#REF!</v>
      </c>
      <c r="X175" s="105" t="e">
        <f t="shared" si="43"/>
        <v>#REF!</v>
      </c>
      <c r="Y175" s="109" t="e">
        <f t="shared" si="44"/>
        <v>#REF!</v>
      </c>
      <c r="Z175" s="109" t="e">
        <f t="shared" si="45"/>
        <v>#REF!</v>
      </c>
      <c r="AA175" s="113" t="e">
        <f t="shared" si="46"/>
        <v>#REF!</v>
      </c>
      <c r="AB175" s="109" t="e">
        <f t="shared" si="47"/>
        <v>#REF!</v>
      </c>
      <c r="AC175" s="113" t="e">
        <f t="shared" si="48"/>
        <v>#REF!</v>
      </c>
      <c r="AD175" s="105" t="e">
        <f t="shared" si="49"/>
        <v>#REF!</v>
      </c>
      <c r="AE175" s="105" t="e">
        <f t="shared" si="50"/>
        <v>#REF!</v>
      </c>
      <c r="AF175" s="105" t="e">
        <f t="shared" si="51"/>
        <v>#REF!</v>
      </c>
      <c r="AG175" s="105" t="e">
        <f t="shared" si="52"/>
        <v>#REF!</v>
      </c>
      <c r="AH175" s="111" t="e">
        <f>VLOOKUP($A175,#REF!,5,FALSE)</f>
        <v>#REF!</v>
      </c>
      <c r="AI175" s="111" t="e">
        <f>VLOOKUP($A175,#REF!,6,FALSE)</f>
        <v>#REF!</v>
      </c>
      <c r="AJ175" s="109" t="e">
        <f t="shared" si="53"/>
        <v>#REF!</v>
      </c>
      <c r="AK175" s="109" t="e">
        <f t="shared" si="54"/>
        <v>#REF!</v>
      </c>
      <c r="AL175" s="109"/>
      <c r="AM175" s="110"/>
      <c r="AN175" s="110"/>
      <c r="AO175" s="110"/>
      <c r="AP175" s="110"/>
      <c r="AQ175" s="112"/>
      <c r="AR175" s="112"/>
      <c r="AS175" s="110"/>
      <c r="AT175" s="105"/>
      <c r="AU175" s="105"/>
      <c r="AV175" s="105"/>
      <c r="AW175" s="105"/>
      <c r="AX175" s="105"/>
      <c r="AY175" s="105"/>
    </row>
    <row r="176" spans="1:51" x14ac:dyDescent="0.15">
      <c r="A176" s="115">
        <v>1282</v>
      </c>
      <c r="B176" s="98" t="e">
        <f>VLOOKUP($A176,#REF!,101,FALSE)</f>
        <v>#REF!</v>
      </c>
      <c r="C176" s="98" t="e">
        <f>VLOOKUP($A176,#REF!,102,FALSE)</f>
        <v>#REF!</v>
      </c>
      <c r="D176" s="104" t="e">
        <f>VLOOKUP($A176,#REF!,5,FALSE)</f>
        <v>#REF!</v>
      </c>
      <c r="E176" s="104" t="e">
        <f>VLOOKUP($A176,#REF!,6,FALSE)</f>
        <v>#REF!</v>
      </c>
      <c r="F176" s="105" t="e">
        <f>VLOOKUP($A176,#REF!,34,FALSE)</f>
        <v>#REF!</v>
      </c>
      <c r="G176" s="105" t="e">
        <f>VLOOKUP($A176,#REF!,29,FALSE)</f>
        <v>#REF!</v>
      </c>
      <c r="H176" s="105" t="e">
        <f>VLOOKUP($A176,#REF!,35,FALSE)+VLOOKUP($A176,#REF!,97,FALSE)</f>
        <v>#REF!</v>
      </c>
      <c r="I176" s="105" t="e">
        <f t="shared" si="38"/>
        <v>#REF!</v>
      </c>
      <c r="J176" s="105" t="e">
        <f>VLOOKUP($A176,#REF!,42,FALSE)</f>
        <v>#REF!</v>
      </c>
      <c r="K176" s="105" t="e">
        <f t="shared" si="39"/>
        <v>#REF!</v>
      </c>
      <c r="L176" s="164" t="e">
        <f t="shared" si="37"/>
        <v>#REF!</v>
      </c>
      <c r="M176" s="105" t="e">
        <f t="shared" si="40"/>
        <v>#REF!</v>
      </c>
      <c r="N176" s="105" t="e">
        <f>VLOOKUP($A176,#REF!,46,FALSE)</f>
        <v>#REF!</v>
      </c>
      <c r="O176" s="106" t="e">
        <f>VLOOKUP($A176,#REF!,9,FALSE)</f>
        <v>#REF!</v>
      </c>
      <c r="P176" s="114" t="e">
        <f>#REF!</f>
        <v>#REF!</v>
      </c>
      <c r="Q176" s="114" t="e">
        <f>VLOOKUP(A176,#REF!,17,FALSE)</f>
        <v>#REF!</v>
      </c>
      <c r="R176" s="120" t="e">
        <f>#REF!</f>
        <v>#REF!</v>
      </c>
      <c r="S176" s="114" t="e">
        <f>IF(Q176=0,#REF!,ROUND(Q176*R176,4))</f>
        <v>#REF!</v>
      </c>
      <c r="T176" s="105" t="e">
        <f>VLOOKUP($A176,#REF!,15,FALSE)</f>
        <v>#REF!</v>
      </c>
      <c r="U176" s="105" t="e">
        <f>VLOOKUP($A176,#REF!,19,FALSE)</f>
        <v>#REF!</v>
      </c>
      <c r="V176" s="109" t="e">
        <f t="shared" si="41"/>
        <v>#REF!</v>
      </c>
      <c r="W176" s="121" t="e">
        <f t="shared" si="42"/>
        <v>#REF!</v>
      </c>
      <c r="X176" s="105" t="e">
        <f t="shared" si="43"/>
        <v>#REF!</v>
      </c>
      <c r="Y176" s="109" t="e">
        <f t="shared" si="44"/>
        <v>#REF!</v>
      </c>
      <c r="Z176" s="109" t="e">
        <f t="shared" si="45"/>
        <v>#REF!</v>
      </c>
      <c r="AA176" s="113" t="e">
        <f t="shared" si="46"/>
        <v>#REF!</v>
      </c>
      <c r="AB176" s="109" t="e">
        <f t="shared" si="47"/>
        <v>#REF!</v>
      </c>
      <c r="AC176" s="113" t="e">
        <f t="shared" si="48"/>
        <v>#REF!</v>
      </c>
      <c r="AD176" s="105" t="e">
        <f t="shared" si="49"/>
        <v>#REF!</v>
      </c>
      <c r="AE176" s="105" t="e">
        <f t="shared" si="50"/>
        <v>#REF!</v>
      </c>
      <c r="AF176" s="105" t="e">
        <f t="shared" si="51"/>
        <v>#REF!</v>
      </c>
      <c r="AG176" s="105" t="e">
        <f t="shared" si="52"/>
        <v>#REF!</v>
      </c>
      <c r="AH176" s="111" t="e">
        <f>VLOOKUP($A176,#REF!,5,FALSE)</f>
        <v>#REF!</v>
      </c>
      <c r="AI176" s="111" t="e">
        <f>VLOOKUP($A176,#REF!,6,FALSE)</f>
        <v>#REF!</v>
      </c>
      <c r="AJ176" s="109" t="e">
        <f t="shared" si="53"/>
        <v>#REF!</v>
      </c>
      <c r="AK176" s="109" t="e">
        <f t="shared" si="54"/>
        <v>#REF!</v>
      </c>
      <c r="AL176" s="109"/>
      <c r="AM176" s="110"/>
      <c r="AN176" s="110"/>
      <c r="AO176" s="110"/>
      <c r="AP176" s="110"/>
      <c r="AQ176" s="112"/>
      <c r="AR176" s="112"/>
      <c r="AS176" s="110"/>
      <c r="AT176" s="105"/>
      <c r="AU176" s="105"/>
      <c r="AV176" s="105"/>
      <c r="AW176" s="105"/>
      <c r="AX176" s="105"/>
      <c r="AY176" s="105"/>
    </row>
    <row r="177" spans="1:51" x14ac:dyDescent="0.15">
      <c r="A177" s="115">
        <v>380</v>
      </c>
      <c r="B177" s="98" t="e">
        <f>VLOOKUP($A177,#REF!,101,FALSE)</f>
        <v>#REF!</v>
      </c>
      <c r="C177" s="98" t="e">
        <f>VLOOKUP($A177,#REF!,102,FALSE)</f>
        <v>#REF!</v>
      </c>
      <c r="D177" s="104" t="e">
        <f>VLOOKUP($A177,#REF!,5,FALSE)</f>
        <v>#REF!</v>
      </c>
      <c r="E177" s="104" t="e">
        <f>VLOOKUP($A177,#REF!,6,FALSE)</f>
        <v>#REF!</v>
      </c>
      <c r="F177" s="105" t="e">
        <f>VLOOKUP($A177,#REF!,34,FALSE)</f>
        <v>#REF!</v>
      </c>
      <c r="G177" s="105" t="e">
        <f>VLOOKUP($A177,#REF!,29,FALSE)</f>
        <v>#REF!</v>
      </c>
      <c r="H177" s="105" t="e">
        <f>VLOOKUP($A177,#REF!,35,FALSE)+VLOOKUP($A177,#REF!,97,FALSE)</f>
        <v>#REF!</v>
      </c>
      <c r="I177" s="105" t="e">
        <f t="shared" si="38"/>
        <v>#REF!</v>
      </c>
      <c r="J177" s="105" t="e">
        <f>VLOOKUP($A177,#REF!,42,FALSE)</f>
        <v>#REF!</v>
      </c>
      <c r="K177" s="105" t="e">
        <f t="shared" si="39"/>
        <v>#REF!</v>
      </c>
      <c r="L177" s="164" t="e">
        <f t="shared" si="37"/>
        <v>#REF!</v>
      </c>
      <c r="M177" s="105" t="e">
        <f t="shared" si="40"/>
        <v>#REF!</v>
      </c>
      <c r="N177" s="105" t="e">
        <f>VLOOKUP($A177,#REF!,46,FALSE)</f>
        <v>#REF!</v>
      </c>
      <c r="O177" s="106" t="e">
        <f>VLOOKUP($A177,#REF!,9,FALSE)</f>
        <v>#REF!</v>
      </c>
      <c r="P177" s="114" t="e">
        <f>#REF!</f>
        <v>#REF!</v>
      </c>
      <c r="Q177" s="114" t="e">
        <f>VLOOKUP(A177,#REF!,17,FALSE)</f>
        <v>#REF!</v>
      </c>
      <c r="R177" s="120" t="e">
        <f>#REF!</f>
        <v>#REF!</v>
      </c>
      <c r="S177" s="114" t="e">
        <f>IF(Q177=0,#REF!,ROUND(Q177*R177,4))</f>
        <v>#REF!</v>
      </c>
      <c r="T177" s="105" t="e">
        <f>VLOOKUP($A177,#REF!,15,FALSE)</f>
        <v>#REF!</v>
      </c>
      <c r="U177" s="105" t="e">
        <f>VLOOKUP($A177,#REF!,19,FALSE)</f>
        <v>#REF!</v>
      </c>
      <c r="V177" s="109" t="e">
        <f t="shared" si="41"/>
        <v>#REF!</v>
      </c>
      <c r="W177" s="121" t="e">
        <f t="shared" si="42"/>
        <v>#REF!</v>
      </c>
      <c r="X177" s="105" t="e">
        <f t="shared" si="43"/>
        <v>#REF!</v>
      </c>
      <c r="Y177" s="109" t="e">
        <f t="shared" si="44"/>
        <v>#REF!</v>
      </c>
      <c r="Z177" s="109" t="e">
        <f t="shared" si="45"/>
        <v>#REF!</v>
      </c>
      <c r="AA177" s="113" t="e">
        <f t="shared" si="46"/>
        <v>#REF!</v>
      </c>
      <c r="AB177" s="109" t="e">
        <f t="shared" si="47"/>
        <v>#REF!</v>
      </c>
      <c r="AC177" s="113" t="e">
        <f t="shared" si="48"/>
        <v>#REF!</v>
      </c>
      <c r="AD177" s="105" t="e">
        <f t="shared" si="49"/>
        <v>#REF!</v>
      </c>
      <c r="AE177" s="105" t="e">
        <f t="shared" si="50"/>
        <v>#REF!</v>
      </c>
      <c r="AF177" s="105" t="e">
        <f t="shared" si="51"/>
        <v>#REF!</v>
      </c>
      <c r="AG177" s="105" t="e">
        <f t="shared" si="52"/>
        <v>#REF!</v>
      </c>
      <c r="AH177" s="111" t="e">
        <f>VLOOKUP($A177,#REF!,5,FALSE)</f>
        <v>#REF!</v>
      </c>
      <c r="AI177" s="111" t="e">
        <f>VLOOKUP($A177,#REF!,6,FALSE)</f>
        <v>#REF!</v>
      </c>
      <c r="AJ177" s="109" t="e">
        <f t="shared" si="53"/>
        <v>#REF!</v>
      </c>
      <c r="AK177" s="109" t="e">
        <f t="shared" si="54"/>
        <v>#REF!</v>
      </c>
      <c r="AL177" s="109"/>
      <c r="AM177" s="110"/>
      <c r="AN177" s="110"/>
      <c r="AO177" s="110"/>
      <c r="AP177" s="110"/>
      <c r="AQ177" s="112"/>
      <c r="AR177" s="112"/>
      <c r="AS177" s="110"/>
      <c r="AT177" s="105"/>
      <c r="AU177" s="105"/>
      <c r="AV177" s="105"/>
      <c r="AW177" s="105"/>
      <c r="AX177" s="105"/>
      <c r="AY177" s="105"/>
    </row>
    <row r="178" spans="1:51" x14ac:dyDescent="0.15">
      <c r="A178" s="115">
        <v>394</v>
      </c>
      <c r="B178" s="98" t="e">
        <f>VLOOKUP($A178,#REF!,101,FALSE)</f>
        <v>#REF!</v>
      </c>
      <c r="C178" s="98" t="e">
        <f>VLOOKUP($A178,#REF!,102,FALSE)</f>
        <v>#REF!</v>
      </c>
      <c r="D178" s="104" t="e">
        <f>VLOOKUP($A178,#REF!,5,FALSE)</f>
        <v>#REF!</v>
      </c>
      <c r="E178" s="104" t="e">
        <f>VLOOKUP($A178,#REF!,6,FALSE)</f>
        <v>#REF!</v>
      </c>
      <c r="F178" s="105" t="e">
        <f>VLOOKUP($A178,#REF!,34,FALSE)</f>
        <v>#REF!</v>
      </c>
      <c r="G178" s="105" t="e">
        <f>VLOOKUP($A178,#REF!,29,FALSE)</f>
        <v>#REF!</v>
      </c>
      <c r="H178" s="105" t="e">
        <f>VLOOKUP($A178,#REF!,35,FALSE)+VLOOKUP($A178,#REF!,97,FALSE)</f>
        <v>#REF!</v>
      </c>
      <c r="I178" s="105" t="e">
        <f t="shared" si="38"/>
        <v>#REF!</v>
      </c>
      <c r="J178" s="105" t="e">
        <f>VLOOKUP($A178,#REF!,42,FALSE)</f>
        <v>#REF!</v>
      </c>
      <c r="K178" s="105" t="e">
        <f t="shared" si="39"/>
        <v>#REF!</v>
      </c>
      <c r="L178" s="164" t="e">
        <f t="shared" si="37"/>
        <v>#REF!</v>
      </c>
      <c r="M178" s="105" t="e">
        <f t="shared" si="40"/>
        <v>#REF!</v>
      </c>
      <c r="N178" s="105" t="e">
        <f>VLOOKUP($A178,#REF!,46,FALSE)</f>
        <v>#REF!</v>
      </c>
      <c r="O178" s="106" t="e">
        <f>VLOOKUP($A178,#REF!,9,FALSE)</f>
        <v>#REF!</v>
      </c>
      <c r="P178" s="114" t="e">
        <f>#REF!</f>
        <v>#REF!</v>
      </c>
      <c r="Q178" s="114" t="e">
        <f>VLOOKUP(A178,#REF!,17,FALSE)</f>
        <v>#REF!</v>
      </c>
      <c r="R178" s="120" t="e">
        <f>#REF!</f>
        <v>#REF!</v>
      </c>
      <c r="S178" s="114" t="e">
        <f>IF(Q178=0,#REF!,ROUND(Q178*R178,4))</f>
        <v>#REF!</v>
      </c>
      <c r="T178" s="105" t="e">
        <f>VLOOKUP($A178,#REF!,15,FALSE)</f>
        <v>#REF!</v>
      </c>
      <c r="U178" s="105" t="e">
        <f>VLOOKUP($A178,#REF!,19,FALSE)</f>
        <v>#REF!</v>
      </c>
      <c r="V178" s="109" t="e">
        <f t="shared" si="41"/>
        <v>#REF!</v>
      </c>
      <c r="W178" s="121" t="e">
        <f t="shared" si="42"/>
        <v>#REF!</v>
      </c>
      <c r="X178" s="105" t="e">
        <f t="shared" si="43"/>
        <v>#REF!</v>
      </c>
      <c r="Y178" s="109" t="e">
        <f t="shared" si="44"/>
        <v>#REF!</v>
      </c>
      <c r="Z178" s="109" t="e">
        <f t="shared" si="45"/>
        <v>#REF!</v>
      </c>
      <c r="AA178" s="113" t="e">
        <f t="shared" si="46"/>
        <v>#REF!</v>
      </c>
      <c r="AB178" s="109" t="e">
        <f t="shared" si="47"/>
        <v>#REF!</v>
      </c>
      <c r="AC178" s="113" t="e">
        <f t="shared" si="48"/>
        <v>#REF!</v>
      </c>
      <c r="AD178" s="105" t="e">
        <f t="shared" si="49"/>
        <v>#REF!</v>
      </c>
      <c r="AE178" s="105" t="e">
        <f t="shared" si="50"/>
        <v>#REF!</v>
      </c>
      <c r="AF178" s="105" t="e">
        <f t="shared" si="51"/>
        <v>#REF!</v>
      </c>
      <c r="AG178" s="105" t="e">
        <f t="shared" si="52"/>
        <v>#REF!</v>
      </c>
      <c r="AH178" s="111" t="e">
        <f>VLOOKUP($A178,#REF!,5,FALSE)</f>
        <v>#REF!</v>
      </c>
      <c r="AI178" s="111" t="e">
        <f>VLOOKUP($A178,#REF!,6,FALSE)</f>
        <v>#REF!</v>
      </c>
      <c r="AJ178" s="109" t="e">
        <f t="shared" si="53"/>
        <v>#REF!</v>
      </c>
      <c r="AK178" s="109" t="e">
        <f t="shared" si="54"/>
        <v>#REF!</v>
      </c>
      <c r="AL178" s="109"/>
      <c r="AM178" s="110"/>
      <c r="AN178" s="110"/>
      <c r="AO178" s="110"/>
      <c r="AP178" s="110"/>
      <c r="AQ178" s="112"/>
      <c r="AR178" s="112"/>
      <c r="AS178" s="110"/>
      <c r="AT178" s="105"/>
      <c r="AU178" s="105"/>
      <c r="AV178" s="105"/>
      <c r="AW178" s="105"/>
      <c r="AX178" s="105"/>
      <c r="AY178" s="105"/>
    </row>
    <row r="179" spans="1:51" x14ac:dyDescent="0.15">
      <c r="A179" s="115">
        <v>92</v>
      </c>
      <c r="B179" s="98" t="e">
        <f>VLOOKUP($A179,#REF!,101,FALSE)</f>
        <v>#REF!</v>
      </c>
      <c r="C179" s="98" t="e">
        <f>VLOOKUP($A179,#REF!,102,FALSE)</f>
        <v>#REF!</v>
      </c>
      <c r="D179" s="104" t="e">
        <f>VLOOKUP($A179,#REF!,5,FALSE)</f>
        <v>#REF!</v>
      </c>
      <c r="E179" s="104" t="e">
        <f>VLOOKUP($A179,#REF!,6,FALSE)</f>
        <v>#REF!</v>
      </c>
      <c r="F179" s="105" t="e">
        <f>VLOOKUP($A179,#REF!,34,FALSE)</f>
        <v>#REF!</v>
      </c>
      <c r="G179" s="105" t="e">
        <f>VLOOKUP($A179,#REF!,29,FALSE)</f>
        <v>#REF!</v>
      </c>
      <c r="H179" s="105" t="e">
        <f>VLOOKUP($A179,#REF!,35,FALSE)+VLOOKUP($A179,#REF!,97,FALSE)</f>
        <v>#REF!</v>
      </c>
      <c r="I179" s="105" t="e">
        <f t="shared" si="38"/>
        <v>#REF!</v>
      </c>
      <c r="J179" s="105" t="e">
        <f>VLOOKUP($A179,#REF!,42,FALSE)</f>
        <v>#REF!</v>
      </c>
      <c r="K179" s="105" t="e">
        <f t="shared" si="39"/>
        <v>#REF!</v>
      </c>
      <c r="L179" s="164" t="e">
        <f t="shared" si="37"/>
        <v>#REF!</v>
      </c>
      <c r="M179" s="105" t="e">
        <f t="shared" si="40"/>
        <v>#REF!</v>
      </c>
      <c r="N179" s="105" t="e">
        <f>VLOOKUP($A179,#REF!,46,FALSE)</f>
        <v>#REF!</v>
      </c>
      <c r="O179" s="106" t="e">
        <f>VLOOKUP($A179,#REF!,9,FALSE)</f>
        <v>#REF!</v>
      </c>
      <c r="P179" s="114" t="e">
        <f>#REF!</f>
        <v>#REF!</v>
      </c>
      <c r="Q179" s="114" t="e">
        <f>VLOOKUP(A179,#REF!,17,FALSE)</f>
        <v>#REF!</v>
      </c>
      <c r="R179" s="120" t="e">
        <f>#REF!</f>
        <v>#REF!</v>
      </c>
      <c r="S179" s="114" t="e">
        <f>IF(Q179=0,#REF!,ROUND(Q179*R179,4))</f>
        <v>#REF!</v>
      </c>
      <c r="T179" s="105" t="e">
        <f>VLOOKUP($A179,#REF!,15,FALSE)</f>
        <v>#REF!</v>
      </c>
      <c r="U179" s="105" t="e">
        <f>VLOOKUP($A179,#REF!,19,FALSE)</f>
        <v>#REF!</v>
      </c>
      <c r="V179" s="109" t="e">
        <f t="shared" si="41"/>
        <v>#REF!</v>
      </c>
      <c r="W179" s="121" t="e">
        <f t="shared" si="42"/>
        <v>#REF!</v>
      </c>
      <c r="X179" s="105" t="e">
        <f t="shared" si="43"/>
        <v>#REF!</v>
      </c>
      <c r="Y179" s="109" t="e">
        <f t="shared" si="44"/>
        <v>#REF!</v>
      </c>
      <c r="Z179" s="109" t="e">
        <f t="shared" si="45"/>
        <v>#REF!</v>
      </c>
      <c r="AA179" s="113" t="e">
        <f t="shared" si="46"/>
        <v>#REF!</v>
      </c>
      <c r="AB179" s="109" t="e">
        <f t="shared" si="47"/>
        <v>#REF!</v>
      </c>
      <c r="AC179" s="113" t="e">
        <f t="shared" si="48"/>
        <v>#REF!</v>
      </c>
      <c r="AD179" s="105" t="e">
        <f t="shared" si="49"/>
        <v>#REF!</v>
      </c>
      <c r="AE179" s="105" t="e">
        <f t="shared" si="50"/>
        <v>#REF!</v>
      </c>
      <c r="AF179" s="105" t="e">
        <f t="shared" si="51"/>
        <v>#REF!</v>
      </c>
      <c r="AG179" s="105" t="e">
        <f t="shared" si="52"/>
        <v>#REF!</v>
      </c>
      <c r="AH179" s="111" t="e">
        <f>VLOOKUP($A179,#REF!,5,FALSE)</f>
        <v>#REF!</v>
      </c>
      <c r="AI179" s="111" t="e">
        <f>VLOOKUP($A179,#REF!,6,FALSE)</f>
        <v>#REF!</v>
      </c>
      <c r="AJ179" s="109" t="e">
        <f t="shared" si="53"/>
        <v>#REF!</v>
      </c>
      <c r="AK179" s="109" t="e">
        <f t="shared" si="54"/>
        <v>#REF!</v>
      </c>
      <c r="AL179" s="109"/>
      <c r="AM179" s="110"/>
      <c r="AN179" s="110"/>
      <c r="AO179" s="110"/>
      <c r="AP179" s="110"/>
      <c r="AQ179" s="112"/>
      <c r="AR179" s="112"/>
      <c r="AS179" s="110"/>
      <c r="AT179" s="105"/>
      <c r="AU179" s="105"/>
      <c r="AV179" s="105"/>
      <c r="AW179" s="105"/>
      <c r="AX179" s="105"/>
      <c r="AY179" s="105"/>
    </row>
    <row r="180" spans="1:51" x14ac:dyDescent="0.15">
      <c r="A180" s="115">
        <v>398</v>
      </c>
      <c r="B180" s="98" t="e">
        <f>VLOOKUP($A180,#REF!,101,FALSE)</f>
        <v>#REF!</v>
      </c>
      <c r="C180" s="98" t="e">
        <f>VLOOKUP($A180,#REF!,102,FALSE)</f>
        <v>#REF!</v>
      </c>
      <c r="D180" s="104" t="e">
        <f>VLOOKUP($A180,#REF!,5,FALSE)</f>
        <v>#REF!</v>
      </c>
      <c r="E180" s="104" t="e">
        <f>VLOOKUP($A180,#REF!,6,FALSE)</f>
        <v>#REF!</v>
      </c>
      <c r="F180" s="105" t="e">
        <f>VLOOKUP($A180,#REF!,34,FALSE)</f>
        <v>#REF!</v>
      </c>
      <c r="G180" s="105" t="e">
        <f>VLOOKUP($A180,#REF!,29,FALSE)</f>
        <v>#REF!</v>
      </c>
      <c r="H180" s="105" t="e">
        <f>VLOOKUP($A180,#REF!,35,FALSE)+VLOOKUP($A180,#REF!,97,FALSE)</f>
        <v>#REF!</v>
      </c>
      <c r="I180" s="105" t="e">
        <f t="shared" si="38"/>
        <v>#REF!</v>
      </c>
      <c r="J180" s="105" t="e">
        <f>VLOOKUP($A180,#REF!,42,FALSE)</f>
        <v>#REF!</v>
      </c>
      <c r="K180" s="105" t="e">
        <f t="shared" si="39"/>
        <v>#REF!</v>
      </c>
      <c r="L180" s="164" t="e">
        <f t="shared" si="37"/>
        <v>#REF!</v>
      </c>
      <c r="M180" s="105" t="e">
        <f t="shared" si="40"/>
        <v>#REF!</v>
      </c>
      <c r="N180" s="105" t="e">
        <f>VLOOKUP($A180,#REF!,46,FALSE)</f>
        <v>#REF!</v>
      </c>
      <c r="O180" s="106" t="e">
        <f>VLOOKUP($A180,#REF!,9,FALSE)</f>
        <v>#REF!</v>
      </c>
      <c r="P180" s="114" t="e">
        <f>#REF!</f>
        <v>#REF!</v>
      </c>
      <c r="Q180" s="114" t="e">
        <f>VLOOKUP(A180,#REF!,17,FALSE)</f>
        <v>#REF!</v>
      </c>
      <c r="R180" s="120" t="e">
        <f>#REF!</f>
        <v>#REF!</v>
      </c>
      <c r="S180" s="114" t="e">
        <f>IF(Q180=0,#REF!,ROUND(Q180*R180,4))</f>
        <v>#REF!</v>
      </c>
      <c r="T180" s="105" t="e">
        <f>VLOOKUP($A180,#REF!,15,FALSE)</f>
        <v>#REF!</v>
      </c>
      <c r="U180" s="105" t="e">
        <f>VLOOKUP($A180,#REF!,19,FALSE)</f>
        <v>#REF!</v>
      </c>
      <c r="V180" s="109" t="e">
        <f t="shared" si="41"/>
        <v>#REF!</v>
      </c>
      <c r="W180" s="121" t="e">
        <f t="shared" si="42"/>
        <v>#REF!</v>
      </c>
      <c r="X180" s="105" t="e">
        <f t="shared" si="43"/>
        <v>#REF!</v>
      </c>
      <c r="Y180" s="109" t="e">
        <f t="shared" si="44"/>
        <v>#REF!</v>
      </c>
      <c r="Z180" s="109" t="e">
        <f t="shared" si="45"/>
        <v>#REF!</v>
      </c>
      <c r="AA180" s="113" t="e">
        <f t="shared" si="46"/>
        <v>#REF!</v>
      </c>
      <c r="AB180" s="109" t="e">
        <f t="shared" si="47"/>
        <v>#REF!</v>
      </c>
      <c r="AC180" s="113" t="e">
        <f t="shared" si="48"/>
        <v>#REF!</v>
      </c>
      <c r="AD180" s="105" t="e">
        <f t="shared" si="49"/>
        <v>#REF!</v>
      </c>
      <c r="AE180" s="105" t="e">
        <f t="shared" si="50"/>
        <v>#REF!</v>
      </c>
      <c r="AF180" s="105" t="e">
        <f t="shared" si="51"/>
        <v>#REF!</v>
      </c>
      <c r="AG180" s="105" t="e">
        <f t="shared" si="52"/>
        <v>#REF!</v>
      </c>
      <c r="AH180" s="111" t="e">
        <f>VLOOKUP($A180,#REF!,5,FALSE)</f>
        <v>#REF!</v>
      </c>
      <c r="AI180" s="111" t="e">
        <f>VLOOKUP($A180,#REF!,6,FALSE)</f>
        <v>#REF!</v>
      </c>
      <c r="AJ180" s="109" t="e">
        <f t="shared" si="53"/>
        <v>#REF!</v>
      </c>
      <c r="AK180" s="109" t="e">
        <f t="shared" si="54"/>
        <v>#REF!</v>
      </c>
      <c r="AL180" s="109"/>
      <c r="AM180" s="110"/>
      <c r="AN180" s="110"/>
      <c r="AO180" s="110"/>
      <c r="AP180" s="110"/>
      <c r="AQ180" s="112"/>
      <c r="AR180" s="112"/>
      <c r="AS180" s="110"/>
      <c r="AT180" s="105"/>
      <c r="AU180" s="105"/>
      <c r="AV180" s="105"/>
      <c r="AW180" s="105"/>
      <c r="AX180" s="105"/>
      <c r="AY180" s="105"/>
    </row>
    <row r="181" spans="1:51" x14ac:dyDescent="0.15">
      <c r="A181" s="115">
        <v>402</v>
      </c>
      <c r="B181" s="98" t="e">
        <f>VLOOKUP($A181,#REF!,101,FALSE)</f>
        <v>#REF!</v>
      </c>
      <c r="C181" s="98" t="e">
        <f>VLOOKUP($A181,#REF!,102,FALSE)</f>
        <v>#REF!</v>
      </c>
      <c r="D181" s="104" t="e">
        <f>VLOOKUP($A181,#REF!,5,FALSE)</f>
        <v>#REF!</v>
      </c>
      <c r="E181" s="104" t="e">
        <f>VLOOKUP($A181,#REF!,6,FALSE)</f>
        <v>#REF!</v>
      </c>
      <c r="F181" s="105" t="e">
        <f>VLOOKUP($A181,#REF!,34,FALSE)</f>
        <v>#REF!</v>
      </c>
      <c r="G181" s="105" t="e">
        <f>VLOOKUP($A181,#REF!,29,FALSE)</f>
        <v>#REF!</v>
      </c>
      <c r="H181" s="105" t="e">
        <f>VLOOKUP($A181,#REF!,35,FALSE)+VLOOKUP($A181,#REF!,97,FALSE)</f>
        <v>#REF!</v>
      </c>
      <c r="I181" s="105" t="e">
        <f t="shared" si="38"/>
        <v>#REF!</v>
      </c>
      <c r="J181" s="105" t="e">
        <f>VLOOKUP($A181,#REF!,42,FALSE)</f>
        <v>#REF!</v>
      </c>
      <c r="K181" s="105" t="e">
        <f t="shared" si="39"/>
        <v>#REF!</v>
      </c>
      <c r="L181" s="164" t="e">
        <f t="shared" si="37"/>
        <v>#REF!</v>
      </c>
      <c r="M181" s="105" t="e">
        <f t="shared" si="40"/>
        <v>#REF!</v>
      </c>
      <c r="N181" s="105" t="e">
        <f>VLOOKUP($A181,#REF!,46,FALSE)</f>
        <v>#REF!</v>
      </c>
      <c r="O181" s="106" t="e">
        <f>VLOOKUP($A181,#REF!,9,FALSE)</f>
        <v>#REF!</v>
      </c>
      <c r="P181" s="114" t="e">
        <f>#REF!</f>
        <v>#REF!</v>
      </c>
      <c r="Q181" s="114" t="e">
        <f>VLOOKUP(A181,#REF!,17,FALSE)</f>
        <v>#REF!</v>
      </c>
      <c r="R181" s="120" t="e">
        <f>#REF!</f>
        <v>#REF!</v>
      </c>
      <c r="S181" s="114" t="e">
        <f>IF(Q181=0,#REF!,ROUND(Q181*R181,4))</f>
        <v>#REF!</v>
      </c>
      <c r="T181" s="105" t="e">
        <f>VLOOKUP($A181,#REF!,15,FALSE)</f>
        <v>#REF!</v>
      </c>
      <c r="U181" s="105" t="e">
        <f>VLOOKUP($A181,#REF!,19,FALSE)</f>
        <v>#REF!</v>
      </c>
      <c r="V181" s="109" t="e">
        <f t="shared" si="41"/>
        <v>#REF!</v>
      </c>
      <c r="W181" s="121" t="e">
        <f t="shared" si="42"/>
        <v>#REF!</v>
      </c>
      <c r="X181" s="105" t="e">
        <f t="shared" si="43"/>
        <v>#REF!</v>
      </c>
      <c r="Y181" s="109" t="e">
        <f t="shared" si="44"/>
        <v>#REF!</v>
      </c>
      <c r="Z181" s="109" t="e">
        <f t="shared" si="45"/>
        <v>#REF!</v>
      </c>
      <c r="AA181" s="113" t="e">
        <f t="shared" si="46"/>
        <v>#REF!</v>
      </c>
      <c r="AB181" s="109" t="e">
        <f t="shared" si="47"/>
        <v>#REF!</v>
      </c>
      <c r="AC181" s="113" t="e">
        <f t="shared" si="48"/>
        <v>#REF!</v>
      </c>
      <c r="AD181" s="105" t="e">
        <f t="shared" si="49"/>
        <v>#REF!</v>
      </c>
      <c r="AE181" s="105" t="e">
        <f t="shared" si="50"/>
        <v>#REF!</v>
      </c>
      <c r="AF181" s="105" t="e">
        <f t="shared" si="51"/>
        <v>#REF!</v>
      </c>
      <c r="AG181" s="105" t="e">
        <f t="shared" si="52"/>
        <v>#REF!</v>
      </c>
      <c r="AH181" s="111" t="e">
        <f>VLOOKUP($A181,#REF!,5,FALSE)</f>
        <v>#REF!</v>
      </c>
      <c r="AI181" s="111" t="e">
        <f>VLOOKUP($A181,#REF!,6,FALSE)</f>
        <v>#REF!</v>
      </c>
      <c r="AJ181" s="109" t="e">
        <f t="shared" si="53"/>
        <v>#REF!</v>
      </c>
      <c r="AK181" s="109" t="e">
        <f t="shared" si="54"/>
        <v>#REF!</v>
      </c>
      <c r="AL181" s="109"/>
      <c r="AM181" s="110"/>
      <c r="AN181" s="110"/>
      <c r="AO181" s="110"/>
      <c r="AP181" s="110"/>
      <c r="AQ181" s="112"/>
      <c r="AR181" s="112"/>
      <c r="AS181" s="110"/>
      <c r="AT181" s="105"/>
      <c r="AU181" s="105"/>
      <c r="AV181" s="105"/>
      <c r="AW181" s="105"/>
      <c r="AX181" s="105"/>
      <c r="AY181" s="105"/>
    </row>
    <row r="182" spans="1:51" x14ac:dyDescent="0.15">
      <c r="A182" s="115">
        <v>28</v>
      </c>
      <c r="B182" s="98" t="e">
        <f>VLOOKUP($A182,#REF!,101,FALSE)</f>
        <v>#REF!</v>
      </c>
      <c r="C182" s="98" t="e">
        <f>VLOOKUP($A182,#REF!,102,FALSE)</f>
        <v>#REF!</v>
      </c>
      <c r="D182" s="104" t="e">
        <f>VLOOKUP($A182,#REF!,5,FALSE)</f>
        <v>#REF!</v>
      </c>
      <c r="E182" s="104" t="e">
        <f>VLOOKUP($A182,#REF!,6,FALSE)</f>
        <v>#REF!</v>
      </c>
      <c r="F182" s="105" t="e">
        <f>VLOOKUP($A182,#REF!,34,FALSE)</f>
        <v>#REF!</v>
      </c>
      <c r="G182" s="105" t="e">
        <f>VLOOKUP($A182,#REF!,29,FALSE)</f>
        <v>#REF!</v>
      </c>
      <c r="H182" s="105" t="e">
        <f>VLOOKUP($A182,#REF!,35,FALSE)+VLOOKUP($A182,#REF!,97,FALSE)</f>
        <v>#REF!</v>
      </c>
      <c r="I182" s="105" t="e">
        <f t="shared" si="38"/>
        <v>#REF!</v>
      </c>
      <c r="J182" s="105" t="e">
        <f>VLOOKUP($A182,#REF!,42,FALSE)</f>
        <v>#REF!</v>
      </c>
      <c r="K182" s="105" t="e">
        <f t="shared" si="39"/>
        <v>#REF!</v>
      </c>
      <c r="L182" s="164" t="e">
        <f t="shared" si="37"/>
        <v>#REF!</v>
      </c>
      <c r="M182" s="105" t="e">
        <f t="shared" si="40"/>
        <v>#REF!</v>
      </c>
      <c r="N182" s="105" t="e">
        <f>VLOOKUP($A182,#REF!,46,FALSE)</f>
        <v>#REF!</v>
      </c>
      <c r="O182" s="106" t="e">
        <f>VLOOKUP($A182,#REF!,9,FALSE)</f>
        <v>#REF!</v>
      </c>
      <c r="P182" s="114" t="e">
        <f>#REF!</f>
        <v>#REF!</v>
      </c>
      <c r="Q182" s="114" t="e">
        <f>VLOOKUP(A182,#REF!,17,FALSE)</f>
        <v>#REF!</v>
      </c>
      <c r="R182" s="120" t="e">
        <f>#REF!</f>
        <v>#REF!</v>
      </c>
      <c r="S182" s="114" t="e">
        <f>IF(Q182=0,#REF!,ROUND(Q182*R182,4))</f>
        <v>#REF!</v>
      </c>
      <c r="T182" s="105" t="e">
        <f>VLOOKUP($A182,#REF!,15,FALSE)</f>
        <v>#REF!</v>
      </c>
      <c r="U182" s="105" t="e">
        <f>VLOOKUP($A182,#REF!,19,FALSE)</f>
        <v>#REF!</v>
      </c>
      <c r="V182" s="109" t="e">
        <f t="shared" si="41"/>
        <v>#REF!</v>
      </c>
      <c r="W182" s="121" t="e">
        <f t="shared" si="42"/>
        <v>#REF!</v>
      </c>
      <c r="X182" s="105" t="e">
        <f t="shared" si="43"/>
        <v>#REF!</v>
      </c>
      <c r="Y182" s="109" t="e">
        <f t="shared" si="44"/>
        <v>#REF!</v>
      </c>
      <c r="Z182" s="109" t="e">
        <f t="shared" si="45"/>
        <v>#REF!</v>
      </c>
      <c r="AA182" s="113" t="e">
        <f t="shared" si="46"/>
        <v>#REF!</v>
      </c>
      <c r="AB182" s="109" t="e">
        <f t="shared" si="47"/>
        <v>#REF!</v>
      </c>
      <c r="AC182" s="113" t="e">
        <f t="shared" si="48"/>
        <v>#REF!</v>
      </c>
      <c r="AD182" s="105" t="e">
        <f t="shared" si="49"/>
        <v>#REF!</v>
      </c>
      <c r="AE182" s="105" t="e">
        <f t="shared" si="50"/>
        <v>#REF!</v>
      </c>
      <c r="AF182" s="105" t="e">
        <f t="shared" si="51"/>
        <v>#REF!</v>
      </c>
      <c r="AG182" s="105" t="e">
        <f t="shared" si="52"/>
        <v>#REF!</v>
      </c>
      <c r="AH182" s="111" t="e">
        <f>VLOOKUP($A182,#REF!,5,FALSE)</f>
        <v>#REF!</v>
      </c>
      <c r="AI182" s="111" t="e">
        <f>VLOOKUP($A182,#REF!,6,FALSE)</f>
        <v>#REF!</v>
      </c>
      <c r="AJ182" s="109" t="e">
        <f t="shared" si="53"/>
        <v>#REF!</v>
      </c>
      <c r="AK182" s="109" t="e">
        <f t="shared" si="54"/>
        <v>#REF!</v>
      </c>
      <c r="AL182" s="109"/>
      <c r="AM182" s="110"/>
      <c r="AN182" s="110"/>
      <c r="AO182" s="110"/>
      <c r="AP182" s="110"/>
      <c r="AQ182" s="112"/>
      <c r="AR182" s="112"/>
      <c r="AS182" s="110"/>
      <c r="AT182" s="105"/>
      <c r="AU182" s="105"/>
      <c r="AV182" s="105"/>
      <c r="AW182" s="105"/>
      <c r="AX182" s="105"/>
      <c r="AY182" s="105"/>
    </row>
    <row r="183" spans="1:51" x14ac:dyDescent="0.15">
      <c r="A183" s="115">
        <v>709</v>
      </c>
      <c r="B183" s="98" t="e">
        <f>VLOOKUP($A183,#REF!,101,FALSE)</f>
        <v>#REF!</v>
      </c>
      <c r="C183" s="98" t="e">
        <f>VLOOKUP($A183,#REF!,102,FALSE)</f>
        <v>#REF!</v>
      </c>
      <c r="D183" s="104" t="e">
        <f>VLOOKUP($A183,#REF!,5,FALSE)</f>
        <v>#REF!</v>
      </c>
      <c r="E183" s="104" t="e">
        <f>VLOOKUP($A183,#REF!,6,FALSE)</f>
        <v>#REF!</v>
      </c>
      <c r="F183" s="105" t="e">
        <f>VLOOKUP($A183,#REF!,34,FALSE)</f>
        <v>#REF!</v>
      </c>
      <c r="G183" s="105" t="e">
        <f>VLOOKUP($A183,#REF!,29,FALSE)</f>
        <v>#REF!</v>
      </c>
      <c r="H183" s="105" t="e">
        <f>VLOOKUP($A183,#REF!,35,FALSE)+VLOOKUP($A183,#REF!,97,FALSE)</f>
        <v>#REF!</v>
      </c>
      <c r="I183" s="105" t="e">
        <f t="shared" si="38"/>
        <v>#REF!</v>
      </c>
      <c r="J183" s="105" t="e">
        <f>VLOOKUP($A183,#REF!,42,FALSE)</f>
        <v>#REF!</v>
      </c>
      <c r="K183" s="105" t="e">
        <f t="shared" si="39"/>
        <v>#REF!</v>
      </c>
      <c r="L183" s="164" t="e">
        <f t="shared" si="37"/>
        <v>#REF!</v>
      </c>
      <c r="M183" s="105" t="e">
        <f t="shared" si="40"/>
        <v>#REF!</v>
      </c>
      <c r="N183" s="105" t="e">
        <f>VLOOKUP($A183,#REF!,46,FALSE)</f>
        <v>#REF!</v>
      </c>
      <c r="O183" s="106" t="e">
        <f>VLOOKUP($A183,#REF!,9,FALSE)</f>
        <v>#REF!</v>
      </c>
      <c r="P183" s="114" t="e">
        <f>#REF!</f>
        <v>#REF!</v>
      </c>
      <c r="Q183" s="114" t="e">
        <f>VLOOKUP(A183,#REF!,17,FALSE)</f>
        <v>#REF!</v>
      </c>
      <c r="R183" s="120" t="e">
        <f>#REF!</f>
        <v>#REF!</v>
      </c>
      <c r="S183" s="114" t="e">
        <f>IF(Q183=0,#REF!,ROUND(Q183*R183,4))</f>
        <v>#REF!</v>
      </c>
      <c r="T183" s="105" t="e">
        <f>VLOOKUP($A183,#REF!,15,FALSE)</f>
        <v>#REF!</v>
      </c>
      <c r="U183" s="105" t="e">
        <f>VLOOKUP($A183,#REF!,19,FALSE)</f>
        <v>#REF!</v>
      </c>
      <c r="V183" s="109" t="e">
        <f t="shared" si="41"/>
        <v>#REF!</v>
      </c>
      <c r="W183" s="121" t="e">
        <f t="shared" si="42"/>
        <v>#REF!</v>
      </c>
      <c r="X183" s="105" t="e">
        <f t="shared" si="43"/>
        <v>#REF!</v>
      </c>
      <c r="Y183" s="109" t="e">
        <f t="shared" si="44"/>
        <v>#REF!</v>
      </c>
      <c r="Z183" s="109" t="e">
        <f t="shared" si="45"/>
        <v>#REF!</v>
      </c>
      <c r="AA183" s="113" t="e">
        <f t="shared" si="46"/>
        <v>#REF!</v>
      </c>
      <c r="AB183" s="109" t="e">
        <f t="shared" si="47"/>
        <v>#REF!</v>
      </c>
      <c r="AC183" s="113" t="e">
        <f t="shared" si="48"/>
        <v>#REF!</v>
      </c>
      <c r="AD183" s="105" t="e">
        <f t="shared" si="49"/>
        <v>#REF!</v>
      </c>
      <c r="AE183" s="105" t="e">
        <f t="shared" si="50"/>
        <v>#REF!</v>
      </c>
      <c r="AF183" s="105" t="e">
        <f t="shared" si="51"/>
        <v>#REF!</v>
      </c>
      <c r="AG183" s="105" t="e">
        <f t="shared" si="52"/>
        <v>#REF!</v>
      </c>
      <c r="AH183" s="111" t="e">
        <f>VLOOKUP($A183,#REF!,5,FALSE)</f>
        <v>#REF!</v>
      </c>
      <c r="AI183" s="111" t="e">
        <f>VLOOKUP($A183,#REF!,6,FALSE)</f>
        <v>#REF!</v>
      </c>
      <c r="AJ183" s="109" t="e">
        <f t="shared" si="53"/>
        <v>#REF!</v>
      </c>
      <c r="AK183" s="109" t="e">
        <f t="shared" si="54"/>
        <v>#REF!</v>
      </c>
      <c r="AL183" s="109"/>
      <c r="AM183" s="110"/>
      <c r="AN183" s="110"/>
      <c r="AO183" s="110"/>
      <c r="AP183" s="110"/>
      <c r="AQ183" s="112"/>
      <c r="AR183" s="112"/>
      <c r="AS183" s="110"/>
      <c r="AT183" s="105"/>
      <c r="AU183" s="105"/>
      <c r="AV183" s="105"/>
      <c r="AW183" s="105"/>
      <c r="AX183" s="105"/>
      <c r="AY183" s="105"/>
    </row>
    <row r="184" spans="1:51" x14ac:dyDescent="0.15">
      <c r="A184" s="115">
        <v>406</v>
      </c>
      <c r="B184" s="98" t="e">
        <f>VLOOKUP($A184,#REF!,101,FALSE)</f>
        <v>#REF!</v>
      </c>
      <c r="C184" s="98" t="e">
        <f>VLOOKUP($A184,#REF!,102,FALSE)</f>
        <v>#REF!</v>
      </c>
      <c r="D184" s="104" t="e">
        <f>VLOOKUP($A184,#REF!,5,FALSE)</f>
        <v>#REF!</v>
      </c>
      <c r="E184" s="104" t="e">
        <f>VLOOKUP($A184,#REF!,6,FALSE)</f>
        <v>#REF!</v>
      </c>
      <c r="F184" s="105" t="e">
        <f>VLOOKUP($A184,#REF!,34,FALSE)</f>
        <v>#REF!</v>
      </c>
      <c r="G184" s="105" t="e">
        <f>VLOOKUP($A184,#REF!,29,FALSE)</f>
        <v>#REF!</v>
      </c>
      <c r="H184" s="105" t="e">
        <f>VLOOKUP($A184,#REF!,35,FALSE)+VLOOKUP($A184,#REF!,97,FALSE)</f>
        <v>#REF!</v>
      </c>
      <c r="I184" s="105" t="e">
        <f t="shared" si="38"/>
        <v>#REF!</v>
      </c>
      <c r="J184" s="105" t="e">
        <f>VLOOKUP($A184,#REF!,42,FALSE)</f>
        <v>#REF!</v>
      </c>
      <c r="K184" s="105" t="e">
        <f t="shared" si="39"/>
        <v>#REF!</v>
      </c>
      <c r="L184" s="164" t="e">
        <f t="shared" si="37"/>
        <v>#REF!</v>
      </c>
      <c r="M184" s="105" t="e">
        <f t="shared" si="40"/>
        <v>#REF!</v>
      </c>
      <c r="N184" s="105" t="e">
        <f>VLOOKUP($A184,#REF!,46,FALSE)</f>
        <v>#REF!</v>
      </c>
      <c r="O184" s="106" t="e">
        <f>VLOOKUP($A184,#REF!,9,FALSE)</f>
        <v>#REF!</v>
      </c>
      <c r="P184" s="114" t="e">
        <f>#REF!</f>
        <v>#REF!</v>
      </c>
      <c r="Q184" s="114" t="e">
        <f>VLOOKUP(A184,#REF!,17,FALSE)</f>
        <v>#REF!</v>
      </c>
      <c r="R184" s="120" t="e">
        <f>#REF!</f>
        <v>#REF!</v>
      </c>
      <c r="S184" s="114" t="e">
        <f>IF(Q184=0,#REF!,ROUND(Q184*R184,4))</f>
        <v>#REF!</v>
      </c>
      <c r="T184" s="105" t="e">
        <f>VLOOKUP($A184,#REF!,15,FALSE)</f>
        <v>#REF!</v>
      </c>
      <c r="U184" s="105" t="e">
        <f>VLOOKUP($A184,#REF!,19,FALSE)</f>
        <v>#REF!</v>
      </c>
      <c r="V184" s="109" t="e">
        <f t="shared" si="41"/>
        <v>#REF!</v>
      </c>
      <c r="W184" s="121" t="e">
        <f t="shared" si="42"/>
        <v>#REF!</v>
      </c>
      <c r="X184" s="105" t="e">
        <f t="shared" si="43"/>
        <v>#REF!</v>
      </c>
      <c r="Y184" s="109" t="e">
        <f t="shared" si="44"/>
        <v>#REF!</v>
      </c>
      <c r="Z184" s="109" t="e">
        <f t="shared" si="45"/>
        <v>#REF!</v>
      </c>
      <c r="AA184" s="113" t="e">
        <f t="shared" si="46"/>
        <v>#REF!</v>
      </c>
      <c r="AB184" s="109" t="e">
        <f t="shared" si="47"/>
        <v>#REF!</v>
      </c>
      <c r="AC184" s="113" t="e">
        <f t="shared" si="48"/>
        <v>#REF!</v>
      </c>
      <c r="AD184" s="105" t="e">
        <f t="shared" si="49"/>
        <v>#REF!</v>
      </c>
      <c r="AE184" s="105" t="e">
        <f t="shared" si="50"/>
        <v>#REF!</v>
      </c>
      <c r="AF184" s="105" t="e">
        <f t="shared" si="51"/>
        <v>#REF!</v>
      </c>
      <c r="AG184" s="105" t="e">
        <f t="shared" si="52"/>
        <v>#REF!</v>
      </c>
      <c r="AH184" s="111" t="e">
        <f>VLOOKUP($A184,#REF!,5,FALSE)</f>
        <v>#REF!</v>
      </c>
      <c r="AI184" s="111" t="e">
        <f>VLOOKUP($A184,#REF!,6,FALSE)</f>
        <v>#REF!</v>
      </c>
      <c r="AJ184" s="109" t="e">
        <f t="shared" si="53"/>
        <v>#REF!</v>
      </c>
      <c r="AK184" s="109" t="e">
        <f t="shared" si="54"/>
        <v>#REF!</v>
      </c>
      <c r="AL184" s="109"/>
      <c r="AM184" s="110"/>
      <c r="AN184" s="110"/>
      <c r="AO184" s="110"/>
      <c r="AP184" s="110"/>
      <c r="AQ184" s="112"/>
      <c r="AR184" s="112"/>
      <c r="AS184" s="110"/>
      <c r="AT184" s="105"/>
      <c r="AU184" s="105"/>
      <c r="AV184" s="105"/>
      <c r="AW184" s="105"/>
      <c r="AX184" s="105"/>
      <c r="AY184" s="105"/>
    </row>
    <row r="185" spans="1:51" x14ac:dyDescent="0.15">
      <c r="A185" s="115">
        <v>715</v>
      </c>
      <c r="B185" s="98" t="e">
        <f>VLOOKUP($A185,#REF!,101,FALSE)</f>
        <v>#REF!</v>
      </c>
      <c r="C185" s="98" t="e">
        <f>VLOOKUP($A185,#REF!,102,FALSE)</f>
        <v>#REF!</v>
      </c>
      <c r="D185" s="104" t="e">
        <f>VLOOKUP($A185,#REF!,5,FALSE)</f>
        <v>#REF!</v>
      </c>
      <c r="E185" s="104" t="e">
        <f>VLOOKUP($A185,#REF!,6,FALSE)</f>
        <v>#REF!</v>
      </c>
      <c r="F185" s="105" t="e">
        <f>VLOOKUP($A185,#REF!,34,FALSE)</f>
        <v>#REF!</v>
      </c>
      <c r="G185" s="105" t="e">
        <f>VLOOKUP($A185,#REF!,29,FALSE)</f>
        <v>#REF!</v>
      </c>
      <c r="H185" s="105" t="e">
        <f>VLOOKUP($A185,#REF!,35,FALSE)+VLOOKUP($A185,#REF!,97,FALSE)</f>
        <v>#REF!</v>
      </c>
      <c r="I185" s="105" t="e">
        <f t="shared" si="38"/>
        <v>#REF!</v>
      </c>
      <c r="J185" s="105" t="e">
        <f>VLOOKUP($A185,#REF!,42,FALSE)</f>
        <v>#REF!</v>
      </c>
      <c r="K185" s="105" t="e">
        <f t="shared" si="39"/>
        <v>#REF!</v>
      </c>
      <c r="L185" s="164" t="e">
        <f t="shared" si="37"/>
        <v>#REF!</v>
      </c>
      <c r="M185" s="105" t="e">
        <f t="shared" si="40"/>
        <v>#REF!</v>
      </c>
      <c r="N185" s="105" t="e">
        <f>VLOOKUP($A185,#REF!,46,FALSE)</f>
        <v>#REF!</v>
      </c>
      <c r="O185" s="106" t="e">
        <f>VLOOKUP($A185,#REF!,9,FALSE)</f>
        <v>#REF!</v>
      </c>
      <c r="P185" s="114" t="e">
        <f>#REF!</f>
        <v>#REF!</v>
      </c>
      <c r="Q185" s="114" t="e">
        <f>VLOOKUP(A185,#REF!,17,FALSE)</f>
        <v>#REF!</v>
      </c>
      <c r="R185" s="120" t="e">
        <f>#REF!</f>
        <v>#REF!</v>
      </c>
      <c r="S185" s="114" t="e">
        <f>IF(Q185=0,#REF!,ROUND(Q185*R185,4))</f>
        <v>#REF!</v>
      </c>
      <c r="T185" s="105" t="e">
        <f>VLOOKUP($A185,#REF!,15,FALSE)</f>
        <v>#REF!</v>
      </c>
      <c r="U185" s="105" t="e">
        <f>VLOOKUP($A185,#REF!,19,FALSE)</f>
        <v>#REF!</v>
      </c>
      <c r="V185" s="109" t="e">
        <f t="shared" si="41"/>
        <v>#REF!</v>
      </c>
      <c r="W185" s="121" t="e">
        <f t="shared" si="42"/>
        <v>#REF!</v>
      </c>
      <c r="X185" s="105" t="e">
        <f t="shared" si="43"/>
        <v>#REF!</v>
      </c>
      <c r="Y185" s="109" t="e">
        <f t="shared" si="44"/>
        <v>#REF!</v>
      </c>
      <c r="Z185" s="109" t="e">
        <f t="shared" si="45"/>
        <v>#REF!</v>
      </c>
      <c r="AA185" s="113" t="e">
        <f t="shared" si="46"/>
        <v>#REF!</v>
      </c>
      <c r="AB185" s="109" t="e">
        <f t="shared" si="47"/>
        <v>#REF!</v>
      </c>
      <c r="AC185" s="113" t="e">
        <f t="shared" si="48"/>
        <v>#REF!</v>
      </c>
      <c r="AD185" s="105" t="e">
        <f t="shared" si="49"/>
        <v>#REF!</v>
      </c>
      <c r="AE185" s="105" t="e">
        <f t="shared" si="50"/>
        <v>#REF!</v>
      </c>
      <c r="AF185" s="105" t="e">
        <f t="shared" si="51"/>
        <v>#REF!</v>
      </c>
      <c r="AG185" s="105" t="e">
        <f t="shared" si="52"/>
        <v>#REF!</v>
      </c>
      <c r="AH185" s="111" t="e">
        <f>VLOOKUP($A185,#REF!,5,FALSE)</f>
        <v>#REF!</v>
      </c>
      <c r="AI185" s="111" t="e">
        <f>VLOOKUP($A185,#REF!,6,FALSE)</f>
        <v>#REF!</v>
      </c>
      <c r="AJ185" s="109" t="e">
        <f t="shared" si="53"/>
        <v>#REF!</v>
      </c>
      <c r="AK185" s="109" t="e">
        <f t="shared" si="54"/>
        <v>#REF!</v>
      </c>
      <c r="AL185" s="109"/>
      <c r="AM185" s="110"/>
      <c r="AN185" s="110"/>
      <c r="AO185" s="110"/>
      <c r="AP185" s="110"/>
      <c r="AQ185" s="112"/>
      <c r="AR185" s="112"/>
      <c r="AS185" s="110"/>
      <c r="AT185" s="105"/>
      <c r="AU185" s="105"/>
      <c r="AV185" s="105"/>
      <c r="AW185" s="105"/>
      <c r="AX185" s="105"/>
      <c r="AY185" s="105"/>
    </row>
    <row r="186" spans="1:51" x14ac:dyDescent="0.15">
      <c r="A186" s="115">
        <v>416</v>
      </c>
      <c r="B186" s="98" t="e">
        <f>VLOOKUP($A186,#REF!,101,FALSE)</f>
        <v>#REF!</v>
      </c>
      <c r="C186" s="98" t="e">
        <f>VLOOKUP($A186,#REF!,102,FALSE)</f>
        <v>#REF!</v>
      </c>
      <c r="D186" s="104" t="e">
        <f>VLOOKUP($A186,#REF!,5,FALSE)</f>
        <v>#REF!</v>
      </c>
      <c r="E186" s="104" t="e">
        <f>VLOOKUP($A186,#REF!,6,FALSE)</f>
        <v>#REF!</v>
      </c>
      <c r="F186" s="105" t="e">
        <f>VLOOKUP($A186,#REF!,34,FALSE)</f>
        <v>#REF!</v>
      </c>
      <c r="G186" s="105" t="e">
        <f>VLOOKUP($A186,#REF!,29,FALSE)</f>
        <v>#REF!</v>
      </c>
      <c r="H186" s="105" t="e">
        <f>VLOOKUP($A186,#REF!,35,FALSE)+VLOOKUP($A186,#REF!,97,FALSE)</f>
        <v>#REF!</v>
      </c>
      <c r="I186" s="105" t="e">
        <f t="shared" si="38"/>
        <v>#REF!</v>
      </c>
      <c r="J186" s="105" t="e">
        <f>VLOOKUP($A186,#REF!,42,FALSE)</f>
        <v>#REF!</v>
      </c>
      <c r="K186" s="105" t="e">
        <f t="shared" si="39"/>
        <v>#REF!</v>
      </c>
      <c r="L186" s="164" t="e">
        <f t="shared" si="37"/>
        <v>#REF!</v>
      </c>
      <c r="M186" s="105" t="e">
        <f t="shared" si="40"/>
        <v>#REF!</v>
      </c>
      <c r="N186" s="105" t="e">
        <f>VLOOKUP($A186,#REF!,46,FALSE)</f>
        <v>#REF!</v>
      </c>
      <c r="O186" s="106" t="e">
        <f>VLOOKUP($A186,#REF!,9,FALSE)</f>
        <v>#REF!</v>
      </c>
      <c r="P186" s="114" t="e">
        <f>#REF!</f>
        <v>#REF!</v>
      </c>
      <c r="Q186" s="114" t="e">
        <f>VLOOKUP(A186,#REF!,17,FALSE)</f>
        <v>#REF!</v>
      </c>
      <c r="R186" s="120" t="e">
        <f>#REF!</f>
        <v>#REF!</v>
      </c>
      <c r="S186" s="114" t="e">
        <f>IF(Q186=0,#REF!,ROUND(Q186*R186,4))</f>
        <v>#REF!</v>
      </c>
      <c r="T186" s="105" t="e">
        <f>VLOOKUP($A186,#REF!,15,FALSE)</f>
        <v>#REF!</v>
      </c>
      <c r="U186" s="105" t="e">
        <f>VLOOKUP($A186,#REF!,19,FALSE)</f>
        <v>#REF!</v>
      </c>
      <c r="V186" s="109" t="e">
        <f t="shared" si="41"/>
        <v>#REF!</v>
      </c>
      <c r="W186" s="121" t="e">
        <f t="shared" si="42"/>
        <v>#REF!</v>
      </c>
      <c r="X186" s="105" t="e">
        <f t="shared" si="43"/>
        <v>#REF!</v>
      </c>
      <c r="Y186" s="109" t="e">
        <f t="shared" si="44"/>
        <v>#REF!</v>
      </c>
      <c r="Z186" s="109" t="e">
        <f t="shared" si="45"/>
        <v>#REF!</v>
      </c>
      <c r="AA186" s="113" t="e">
        <f t="shared" si="46"/>
        <v>#REF!</v>
      </c>
      <c r="AB186" s="109" t="e">
        <f t="shared" si="47"/>
        <v>#REF!</v>
      </c>
      <c r="AC186" s="113" t="e">
        <f t="shared" si="48"/>
        <v>#REF!</v>
      </c>
      <c r="AD186" s="105" t="e">
        <f t="shared" si="49"/>
        <v>#REF!</v>
      </c>
      <c r="AE186" s="105" t="e">
        <f t="shared" si="50"/>
        <v>#REF!</v>
      </c>
      <c r="AF186" s="105" t="e">
        <f t="shared" si="51"/>
        <v>#REF!</v>
      </c>
      <c r="AG186" s="105" t="e">
        <f t="shared" si="52"/>
        <v>#REF!</v>
      </c>
      <c r="AH186" s="111" t="e">
        <f>VLOOKUP($A186,#REF!,5,FALSE)</f>
        <v>#REF!</v>
      </c>
      <c r="AI186" s="111" t="e">
        <f>VLOOKUP($A186,#REF!,6,FALSE)</f>
        <v>#REF!</v>
      </c>
      <c r="AJ186" s="109" t="e">
        <f t="shared" si="53"/>
        <v>#REF!</v>
      </c>
      <c r="AK186" s="109" t="e">
        <f t="shared" si="54"/>
        <v>#REF!</v>
      </c>
      <c r="AL186" s="109"/>
      <c r="AM186" s="110"/>
      <c r="AN186" s="110"/>
      <c r="AO186" s="110"/>
      <c r="AP186" s="110"/>
      <c r="AQ186" s="112"/>
      <c r="AR186" s="112"/>
      <c r="AS186" s="110"/>
      <c r="AT186" s="105"/>
      <c r="AU186" s="105"/>
      <c r="AV186" s="105"/>
      <c r="AW186" s="105"/>
      <c r="AX186" s="105"/>
      <c r="AY186" s="105"/>
    </row>
    <row r="187" spans="1:51" x14ac:dyDescent="0.15">
      <c r="A187" s="115">
        <v>418</v>
      </c>
      <c r="B187" s="98" t="e">
        <f>VLOOKUP($A187,#REF!,101,FALSE)</f>
        <v>#REF!</v>
      </c>
      <c r="C187" s="98" t="e">
        <f>VLOOKUP($A187,#REF!,102,FALSE)</f>
        <v>#REF!</v>
      </c>
      <c r="D187" s="104" t="e">
        <f>VLOOKUP($A187,#REF!,5,FALSE)</f>
        <v>#REF!</v>
      </c>
      <c r="E187" s="104" t="e">
        <f>VLOOKUP($A187,#REF!,6,FALSE)</f>
        <v>#REF!</v>
      </c>
      <c r="F187" s="105" t="e">
        <f>VLOOKUP($A187,#REF!,34,FALSE)</f>
        <v>#REF!</v>
      </c>
      <c r="G187" s="105" t="e">
        <f>VLOOKUP($A187,#REF!,29,FALSE)</f>
        <v>#REF!</v>
      </c>
      <c r="H187" s="105" t="e">
        <f>VLOOKUP($A187,#REF!,35,FALSE)+VLOOKUP($A187,#REF!,97,FALSE)</f>
        <v>#REF!</v>
      </c>
      <c r="I187" s="105" t="e">
        <f t="shared" si="38"/>
        <v>#REF!</v>
      </c>
      <c r="J187" s="105" t="e">
        <f>VLOOKUP($A187,#REF!,42,FALSE)</f>
        <v>#REF!</v>
      </c>
      <c r="K187" s="105" t="e">
        <f t="shared" si="39"/>
        <v>#REF!</v>
      </c>
      <c r="L187" s="164" t="e">
        <f t="shared" si="37"/>
        <v>#REF!</v>
      </c>
      <c r="M187" s="105" t="e">
        <f t="shared" si="40"/>
        <v>#REF!</v>
      </c>
      <c r="N187" s="105" t="e">
        <f>VLOOKUP($A187,#REF!,46,FALSE)</f>
        <v>#REF!</v>
      </c>
      <c r="O187" s="106" t="e">
        <f>VLOOKUP($A187,#REF!,9,FALSE)</f>
        <v>#REF!</v>
      </c>
      <c r="P187" s="114" t="e">
        <f>#REF!</f>
        <v>#REF!</v>
      </c>
      <c r="Q187" s="114" t="e">
        <f>VLOOKUP(A187,#REF!,17,FALSE)</f>
        <v>#REF!</v>
      </c>
      <c r="R187" s="120" t="e">
        <f>#REF!</f>
        <v>#REF!</v>
      </c>
      <c r="S187" s="114" t="e">
        <f>IF(Q187=0,#REF!,ROUND(Q187*R187,4))</f>
        <v>#REF!</v>
      </c>
      <c r="T187" s="105" t="e">
        <f>VLOOKUP($A187,#REF!,15,FALSE)</f>
        <v>#REF!</v>
      </c>
      <c r="U187" s="105" t="e">
        <f>VLOOKUP($A187,#REF!,19,FALSE)</f>
        <v>#REF!</v>
      </c>
      <c r="V187" s="109" t="e">
        <f t="shared" si="41"/>
        <v>#REF!</v>
      </c>
      <c r="W187" s="121" t="e">
        <f t="shared" si="42"/>
        <v>#REF!</v>
      </c>
      <c r="X187" s="105" t="e">
        <f t="shared" si="43"/>
        <v>#REF!</v>
      </c>
      <c r="Y187" s="109" t="e">
        <f t="shared" si="44"/>
        <v>#REF!</v>
      </c>
      <c r="Z187" s="109" t="e">
        <f t="shared" si="45"/>
        <v>#REF!</v>
      </c>
      <c r="AA187" s="113" t="e">
        <f t="shared" si="46"/>
        <v>#REF!</v>
      </c>
      <c r="AB187" s="109" t="e">
        <f t="shared" si="47"/>
        <v>#REF!</v>
      </c>
      <c r="AC187" s="113" t="e">
        <f t="shared" si="48"/>
        <v>#REF!</v>
      </c>
      <c r="AD187" s="105" t="e">
        <f t="shared" si="49"/>
        <v>#REF!</v>
      </c>
      <c r="AE187" s="105" t="e">
        <f t="shared" si="50"/>
        <v>#REF!</v>
      </c>
      <c r="AF187" s="105" t="e">
        <f t="shared" si="51"/>
        <v>#REF!</v>
      </c>
      <c r="AG187" s="105" t="e">
        <f t="shared" si="52"/>
        <v>#REF!</v>
      </c>
      <c r="AH187" s="111" t="e">
        <f>VLOOKUP($A187,#REF!,5,FALSE)</f>
        <v>#REF!</v>
      </c>
      <c r="AI187" s="111" t="e">
        <f>VLOOKUP($A187,#REF!,6,FALSE)</f>
        <v>#REF!</v>
      </c>
      <c r="AJ187" s="109" t="e">
        <f t="shared" si="53"/>
        <v>#REF!</v>
      </c>
      <c r="AK187" s="109" t="e">
        <f t="shared" si="54"/>
        <v>#REF!</v>
      </c>
      <c r="AL187" s="109"/>
      <c r="AM187" s="110"/>
      <c r="AN187" s="110"/>
      <c r="AO187" s="110"/>
      <c r="AP187" s="110"/>
      <c r="AQ187" s="112"/>
      <c r="AR187" s="112"/>
      <c r="AS187" s="110"/>
      <c r="AT187" s="105"/>
      <c r="AU187" s="105"/>
      <c r="AV187" s="105"/>
      <c r="AW187" s="105"/>
      <c r="AX187" s="105"/>
      <c r="AY187" s="105"/>
    </row>
    <row r="188" spans="1:51" x14ac:dyDescent="0.15">
      <c r="A188" s="115">
        <v>767</v>
      </c>
      <c r="B188" s="98" t="e">
        <f>VLOOKUP($A188,#REF!,101,FALSE)</f>
        <v>#REF!</v>
      </c>
      <c r="C188" s="98" t="e">
        <f>VLOOKUP($A188,#REF!,102,FALSE)</f>
        <v>#REF!</v>
      </c>
      <c r="D188" s="104" t="e">
        <f>VLOOKUP($A188,#REF!,5,FALSE)</f>
        <v>#REF!</v>
      </c>
      <c r="E188" s="104" t="e">
        <f>VLOOKUP($A188,#REF!,6,FALSE)</f>
        <v>#REF!</v>
      </c>
      <c r="F188" s="105" t="e">
        <f>VLOOKUP($A188,#REF!,34,FALSE)</f>
        <v>#REF!</v>
      </c>
      <c r="G188" s="105" t="e">
        <f>VLOOKUP($A188,#REF!,29,FALSE)</f>
        <v>#REF!</v>
      </c>
      <c r="H188" s="105" t="e">
        <f>VLOOKUP($A188,#REF!,35,FALSE)+VLOOKUP($A188,#REF!,97,FALSE)</f>
        <v>#REF!</v>
      </c>
      <c r="I188" s="105" t="e">
        <f t="shared" si="38"/>
        <v>#REF!</v>
      </c>
      <c r="J188" s="105" t="e">
        <f>VLOOKUP($A188,#REF!,42,FALSE)</f>
        <v>#REF!</v>
      </c>
      <c r="K188" s="105" t="e">
        <f t="shared" si="39"/>
        <v>#REF!</v>
      </c>
      <c r="L188" s="164" t="e">
        <f t="shared" si="37"/>
        <v>#REF!</v>
      </c>
      <c r="M188" s="105" t="e">
        <f t="shared" si="40"/>
        <v>#REF!</v>
      </c>
      <c r="N188" s="105" t="e">
        <f>VLOOKUP($A188,#REF!,46,FALSE)</f>
        <v>#REF!</v>
      </c>
      <c r="O188" s="106" t="e">
        <f>VLOOKUP($A188,#REF!,9,FALSE)</f>
        <v>#REF!</v>
      </c>
      <c r="P188" s="114" t="e">
        <f>#REF!</f>
        <v>#REF!</v>
      </c>
      <c r="Q188" s="114" t="e">
        <f>VLOOKUP(A188,#REF!,17,FALSE)</f>
        <v>#REF!</v>
      </c>
      <c r="R188" s="120" t="e">
        <f>#REF!</f>
        <v>#REF!</v>
      </c>
      <c r="S188" s="114" t="e">
        <f>IF(Q188=0,#REF!,ROUND(Q188*R188,4))</f>
        <v>#REF!</v>
      </c>
      <c r="T188" s="105" t="e">
        <f>VLOOKUP($A188,#REF!,15,FALSE)</f>
        <v>#REF!</v>
      </c>
      <c r="U188" s="105" t="e">
        <f>VLOOKUP($A188,#REF!,19,FALSE)</f>
        <v>#REF!</v>
      </c>
      <c r="V188" s="109" t="e">
        <f t="shared" si="41"/>
        <v>#REF!</v>
      </c>
      <c r="W188" s="121" t="e">
        <f t="shared" si="42"/>
        <v>#REF!</v>
      </c>
      <c r="X188" s="105" t="e">
        <f t="shared" si="43"/>
        <v>#REF!</v>
      </c>
      <c r="Y188" s="109" t="e">
        <f t="shared" si="44"/>
        <v>#REF!</v>
      </c>
      <c r="Z188" s="109" t="e">
        <f t="shared" si="45"/>
        <v>#REF!</v>
      </c>
      <c r="AA188" s="113" t="e">
        <f t="shared" si="46"/>
        <v>#REF!</v>
      </c>
      <c r="AB188" s="109" t="e">
        <f t="shared" si="47"/>
        <v>#REF!</v>
      </c>
      <c r="AC188" s="113" t="e">
        <f t="shared" si="48"/>
        <v>#REF!</v>
      </c>
      <c r="AD188" s="105" t="e">
        <f t="shared" si="49"/>
        <v>#REF!</v>
      </c>
      <c r="AE188" s="105" t="e">
        <f t="shared" si="50"/>
        <v>#REF!</v>
      </c>
      <c r="AF188" s="105" t="e">
        <f t="shared" si="51"/>
        <v>#REF!</v>
      </c>
      <c r="AG188" s="105" t="e">
        <f t="shared" si="52"/>
        <v>#REF!</v>
      </c>
      <c r="AH188" s="111" t="e">
        <f>VLOOKUP($A188,#REF!,5,FALSE)</f>
        <v>#REF!</v>
      </c>
      <c r="AI188" s="111" t="e">
        <f>VLOOKUP($A188,#REF!,6,FALSE)</f>
        <v>#REF!</v>
      </c>
      <c r="AJ188" s="109" t="e">
        <f t="shared" si="53"/>
        <v>#REF!</v>
      </c>
      <c r="AK188" s="109" t="e">
        <f t="shared" si="54"/>
        <v>#REF!</v>
      </c>
      <c r="AL188" s="109"/>
      <c r="AM188" s="110"/>
      <c r="AN188" s="110"/>
      <c r="AO188" s="110"/>
      <c r="AP188" s="110"/>
      <c r="AQ188" s="112"/>
      <c r="AR188" s="112"/>
      <c r="AS188" s="110"/>
      <c r="AT188" s="105"/>
      <c r="AU188" s="105"/>
      <c r="AV188" s="105"/>
      <c r="AW188" s="105"/>
      <c r="AX188" s="105"/>
      <c r="AY188" s="105"/>
    </row>
    <row r="189" spans="1:51" x14ac:dyDescent="0.15">
      <c r="A189" s="115">
        <v>428</v>
      </c>
      <c r="B189" s="98" t="e">
        <f>VLOOKUP($A189,#REF!,101,FALSE)</f>
        <v>#REF!</v>
      </c>
      <c r="C189" s="98" t="e">
        <f>VLOOKUP($A189,#REF!,102,FALSE)</f>
        <v>#REF!</v>
      </c>
      <c r="D189" s="104" t="e">
        <f>VLOOKUP($A189,#REF!,5,FALSE)</f>
        <v>#REF!</v>
      </c>
      <c r="E189" s="104" t="e">
        <f>VLOOKUP($A189,#REF!,6,FALSE)</f>
        <v>#REF!</v>
      </c>
      <c r="F189" s="105" t="e">
        <f>VLOOKUP($A189,#REF!,34,FALSE)</f>
        <v>#REF!</v>
      </c>
      <c r="G189" s="105" t="e">
        <f>VLOOKUP($A189,#REF!,29,FALSE)</f>
        <v>#REF!</v>
      </c>
      <c r="H189" s="105" t="e">
        <f>VLOOKUP($A189,#REF!,35,FALSE)+VLOOKUP($A189,#REF!,97,FALSE)</f>
        <v>#REF!</v>
      </c>
      <c r="I189" s="105" t="e">
        <f t="shared" si="38"/>
        <v>#REF!</v>
      </c>
      <c r="J189" s="105" t="e">
        <f>VLOOKUP($A189,#REF!,42,FALSE)</f>
        <v>#REF!</v>
      </c>
      <c r="K189" s="105" t="e">
        <f t="shared" si="39"/>
        <v>#REF!</v>
      </c>
      <c r="L189" s="164" t="e">
        <f t="shared" si="37"/>
        <v>#REF!</v>
      </c>
      <c r="M189" s="105" t="e">
        <f t="shared" si="40"/>
        <v>#REF!</v>
      </c>
      <c r="N189" s="105" t="e">
        <f>VLOOKUP($A189,#REF!,46,FALSE)</f>
        <v>#REF!</v>
      </c>
      <c r="O189" s="106" t="e">
        <f>VLOOKUP($A189,#REF!,9,FALSE)</f>
        <v>#REF!</v>
      </c>
      <c r="P189" s="114" t="e">
        <f>#REF!</f>
        <v>#REF!</v>
      </c>
      <c r="Q189" s="114" t="e">
        <f>VLOOKUP(A189,#REF!,17,FALSE)</f>
        <v>#REF!</v>
      </c>
      <c r="R189" s="120" t="e">
        <f>#REF!</f>
        <v>#REF!</v>
      </c>
      <c r="S189" s="114" t="e">
        <f>IF(Q189=0,#REF!,ROUND(Q189*R189,4))</f>
        <v>#REF!</v>
      </c>
      <c r="T189" s="105" t="e">
        <f>VLOOKUP($A189,#REF!,15,FALSE)</f>
        <v>#REF!</v>
      </c>
      <c r="U189" s="105" t="e">
        <f>VLOOKUP($A189,#REF!,19,FALSE)</f>
        <v>#REF!</v>
      </c>
      <c r="V189" s="109" t="e">
        <f t="shared" si="41"/>
        <v>#REF!</v>
      </c>
      <c r="W189" s="121" t="e">
        <f t="shared" si="42"/>
        <v>#REF!</v>
      </c>
      <c r="X189" s="105" t="e">
        <f t="shared" si="43"/>
        <v>#REF!</v>
      </c>
      <c r="Y189" s="109" t="e">
        <f t="shared" si="44"/>
        <v>#REF!</v>
      </c>
      <c r="Z189" s="109" t="e">
        <f t="shared" si="45"/>
        <v>#REF!</v>
      </c>
      <c r="AA189" s="113" t="e">
        <f t="shared" si="46"/>
        <v>#REF!</v>
      </c>
      <c r="AB189" s="109" t="e">
        <f t="shared" si="47"/>
        <v>#REF!</v>
      </c>
      <c r="AC189" s="113" t="e">
        <f t="shared" si="48"/>
        <v>#REF!</v>
      </c>
      <c r="AD189" s="105" t="e">
        <f t="shared" si="49"/>
        <v>#REF!</v>
      </c>
      <c r="AE189" s="105" t="e">
        <f t="shared" si="50"/>
        <v>#REF!</v>
      </c>
      <c r="AF189" s="105" t="e">
        <f t="shared" si="51"/>
        <v>#REF!</v>
      </c>
      <c r="AG189" s="105" t="e">
        <f t="shared" si="52"/>
        <v>#REF!</v>
      </c>
      <c r="AH189" s="111" t="e">
        <f>VLOOKUP($A189,#REF!,5,FALSE)</f>
        <v>#REF!</v>
      </c>
      <c r="AI189" s="111" t="e">
        <f>VLOOKUP($A189,#REF!,6,FALSE)</f>
        <v>#REF!</v>
      </c>
      <c r="AJ189" s="109" t="e">
        <f t="shared" si="53"/>
        <v>#REF!</v>
      </c>
      <c r="AK189" s="109" t="e">
        <f t="shared" si="54"/>
        <v>#REF!</v>
      </c>
      <c r="AL189" s="109"/>
      <c r="AM189" s="110"/>
      <c r="AN189" s="110"/>
      <c r="AO189" s="110"/>
      <c r="AP189" s="110"/>
      <c r="AQ189" s="112"/>
      <c r="AR189" s="112"/>
      <c r="AS189" s="110"/>
      <c r="AT189" s="105"/>
      <c r="AU189" s="105"/>
      <c r="AV189" s="105"/>
      <c r="AW189" s="105"/>
      <c r="AX189" s="105"/>
      <c r="AY189" s="105"/>
    </row>
    <row r="190" spans="1:51" x14ac:dyDescent="0.15">
      <c r="A190" s="115">
        <v>176</v>
      </c>
      <c r="B190" s="98" t="e">
        <f>VLOOKUP($A190,#REF!,101,FALSE)</f>
        <v>#REF!</v>
      </c>
      <c r="C190" s="98" t="e">
        <f>VLOOKUP($A190,#REF!,102,FALSE)</f>
        <v>#REF!</v>
      </c>
      <c r="D190" s="104" t="e">
        <f>VLOOKUP($A190,#REF!,5,FALSE)</f>
        <v>#REF!</v>
      </c>
      <c r="E190" s="104" t="e">
        <f>VLOOKUP($A190,#REF!,6,FALSE)</f>
        <v>#REF!</v>
      </c>
      <c r="F190" s="105" t="e">
        <f>VLOOKUP($A190,#REF!,34,FALSE)</f>
        <v>#REF!</v>
      </c>
      <c r="G190" s="105" t="e">
        <f>VLOOKUP($A190,#REF!,29,FALSE)</f>
        <v>#REF!</v>
      </c>
      <c r="H190" s="105" t="e">
        <f>VLOOKUP($A190,#REF!,35,FALSE)+VLOOKUP($A190,#REF!,97,FALSE)</f>
        <v>#REF!</v>
      </c>
      <c r="I190" s="105" t="e">
        <f t="shared" si="38"/>
        <v>#REF!</v>
      </c>
      <c r="J190" s="105" t="e">
        <f>VLOOKUP($A190,#REF!,42,FALSE)</f>
        <v>#REF!</v>
      </c>
      <c r="K190" s="105" t="e">
        <f t="shared" si="39"/>
        <v>#REF!</v>
      </c>
      <c r="L190" s="164" t="e">
        <f t="shared" si="37"/>
        <v>#REF!</v>
      </c>
      <c r="M190" s="105" t="e">
        <f t="shared" si="40"/>
        <v>#REF!</v>
      </c>
      <c r="N190" s="105" t="e">
        <f>VLOOKUP($A190,#REF!,46,FALSE)</f>
        <v>#REF!</v>
      </c>
      <c r="O190" s="106" t="e">
        <f>VLOOKUP($A190,#REF!,9,FALSE)</f>
        <v>#REF!</v>
      </c>
      <c r="P190" s="114" t="e">
        <f>#REF!</f>
        <v>#REF!</v>
      </c>
      <c r="Q190" s="114" t="e">
        <f>VLOOKUP(A190,#REF!,17,FALSE)</f>
        <v>#REF!</v>
      </c>
      <c r="R190" s="120" t="e">
        <f>#REF!</f>
        <v>#REF!</v>
      </c>
      <c r="S190" s="114" t="e">
        <f>IF(Q190=0,#REF!,ROUND(Q190*R190,4))</f>
        <v>#REF!</v>
      </c>
      <c r="T190" s="105" t="e">
        <f>VLOOKUP($A190,#REF!,15,FALSE)</f>
        <v>#REF!</v>
      </c>
      <c r="U190" s="105" t="e">
        <f>VLOOKUP($A190,#REF!,19,FALSE)</f>
        <v>#REF!</v>
      </c>
      <c r="V190" s="109" t="e">
        <f t="shared" si="41"/>
        <v>#REF!</v>
      </c>
      <c r="W190" s="121" t="e">
        <f t="shared" si="42"/>
        <v>#REF!</v>
      </c>
      <c r="X190" s="105" t="e">
        <f t="shared" si="43"/>
        <v>#REF!</v>
      </c>
      <c r="Y190" s="109" t="e">
        <f t="shared" si="44"/>
        <v>#REF!</v>
      </c>
      <c r="Z190" s="109" t="e">
        <f t="shared" si="45"/>
        <v>#REF!</v>
      </c>
      <c r="AA190" s="113" t="e">
        <f t="shared" si="46"/>
        <v>#REF!</v>
      </c>
      <c r="AB190" s="109" t="e">
        <f t="shared" si="47"/>
        <v>#REF!</v>
      </c>
      <c r="AC190" s="113" t="e">
        <f t="shared" si="48"/>
        <v>#REF!</v>
      </c>
      <c r="AD190" s="105" t="e">
        <f t="shared" si="49"/>
        <v>#REF!</v>
      </c>
      <c r="AE190" s="105" t="e">
        <f t="shared" si="50"/>
        <v>#REF!</v>
      </c>
      <c r="AF190" s="105" t="e">
        <f t="shared" si="51"/>
        <v>#REF!</v>
      </c>
      <c r="AG190" s="105" t="e">
        <f t="shared" si="52"/>
        <v>#REF!</v>
      </c>
      <c r="AH190" s="111" t="e">
        <f>VLOOKUP($A190,#REF!,5,FALSE)</f>
        <v>#REF!</v>
      </c>
      <c r="AI190" s="111" t="e">
        <f>VLOOKUP($A190,#REF!,6,FALSE)</f>
        <v>#REF!</v>
      </c>
      <c r="AJ190" s="109" t="e">
        <f t="shared" si="53"/>
        <v>#REF!</v>
      </c>
      <c r="AK190" s="109" t="e">
        <f t="shared" si="54"/>
        <v>#REF!</v>
      </c>
      <c r="AL190" s="109"/>
      <c r="AM190" s="110"/>
      <c r="AN190" s="110"/>
      <c r="AO190" s="110"/>
      <c r="AP190" s="110"/>
      <c r="AQ190" s="112"/>
      <c r="AR190" s="112"/>
      <c r="AS190" s="110"/>
      <c r="AT190" s="105"/>
      <c r="AU190" s="105"/>
      <c r="AV190" s="105"/>
      <c r="AW190" s="105"/>
      <c r="AX190" s="105"/>
      <c r="AY190" s="105"/>
    </row>
    <row r="191" spans="1:51" x14ac:dyDescent="0.15">
      <c r="A191" s="115">
        <v>378</v>
      </c>
      <c r="B191" s="98" t="e">
        <f>VLOOKUP($A191,#REF!,101,FALSE)</f>
        <v>#REF!</v>
      </c>
      <c r="C191" s="98" t="e">
        <f>VLOOKUP($A191,#REF!,102,FALSE)</f>
        <v>#REF!</v>
      </c>
      <c r="D191" s="104" t="e">
        <f>VLOOKUP($A191,#REF!,5,FALSE)</f>
        <v>#REF!</v>
      </c>
      <c r="E191" s="104" t="e">
        <f>VLOOKUP($A191,#REF!,6,FALSE)</f>
        <v>#REF!</v>
      </c>
      <c r="F191" s="105" t="e">
        <f>VLOOKUP($A191,#REF!,34,FALSE)</f>
        <v>#REF!</v>
      </c>
      <c r="G191" s="105" t="e">
        <f>VLOOKUP($A191,#REF!,29,FALSE)</f>
        <v>#REF!</v>
      </c>
      <c r="H191" s="105" t="e">
        <f>VLOOKUP($A191,#REF!,35,FALSE)+VLOOKUP($A191,#REF!,97,FALSE)</f>
        <v>#REF!</v>
      </c>
      <c r="I191" s="105" t="e">
        <f t="shared" si="38"/>
        <v>#REF!</v>
      </c>
      <c r="J191" s="105" t="e">
        <f>VLOOKUP($A191,#REF!,42,FALSE)</f>
        <v>#REF!</v>
      </c>
      <c r="K191" s="105" t="e">
        <f t="shared" si="39"/>
        <v>#REF!</v>
      </c>
      <c r="L191" s="164" t="e">
        <f t="shared" si="37"/>
        <v>#REF!</v>
      </c>
      <c r="M191" s="105" t="e">
        <f t="shared" si="40"/>
        <v>#REF!</v>
      </c>
      <c r="N191" s="105" t="e">
        <f>VLOOKUP($A191,#REF!,46,FALSE)</f>
        <v>#REF!</v>
      </c>
      <c r="O191" s="106" t="e">
        <f>VLOOKUP($A191,#REF!,9,FALSE)</f>
        <v>#REF!</v>
      </c>
      <c r="P191" s="114" t="e">
        <f>#REF!</f>
        <v>#REF!</v>
      </c>
      <c r="Q191" s="114" t="e">
        <f>VLOOKUP(A191,#REF!,17,FALSE)</f>
        <v>#REF!</v>
      </c>
      <c r="R191" s="120" t="e">
        <f>#REF!</f>
        <v>#REF!</v>
      </c>
      <c r="S191" s="114" t="e">
        <f>IF(Q191=0,#REF!,ROUND(Q191*R191,4))</f>
        <v>#REF!</v>
      </c>
      <c r="T191" s="105" t="e">
        <f>VLOOKUP($A191,#REF!,15,FALSE)</f>
        <v>#REF!</v>
      </c>
      <c r="U191" s="105" t="e">
        <f>VLOOKUP($A191,#REF!,19,FALSE)</f>
        <v>#REF!</v>
      </c>
      <c r="V191" s="109" t="e">
        <f t="shared" si="41"/>
        <v>#REF!</v>
      </c>
      <c r="W191" s="121" t="e">
        <f t="shared" si="42"/>
        <v>#REF!</v>
      </c>
      <c r="X191" s="105" t="e">
        <f t="shared" si="43"/>
        <v>#REF!</v>
      </c>
      <c r="Y191" s="109" t="e">
        <f t="shared" si="44"/>
        <v>#REF!</v>
      </c>
      <c r="Z191" s="109" t="e">
        <f t="shared" si="45"/>
        <v>#REF!</v>
      </c>
      <c r="AA191" s="113" t="e">
        <f t="shared" si="46"/>
        <v>#REF!</v>
      </c>
      <c r="AB191" s="109" t="e">
        <f t="shared" si="47"/>
        <v>#REF!</v>
      </c>
      <c r="AC191" s="113" t="e">
        <f t="shared" si="48"/>
        <v>#REF!</v>
      </c>
      <c r="AD191" s="105" t="e">
        <f t="shared" si="49"/>
        <v>#REF!</v>
      </c>
      <c r="AE191" s="105" t="e">
        <f t="shared" si="50"/>
        <v>#REF!</v>
      </c>
      <c r="AF191" s="105" t="e">
        <f t="shared" si="51"/>
        <v>#REF!</v>
      </c>
      <c r="AG191" s="105" t="e">
        <f t="shared" si="52"/>
        <v>#REF!</v>
      </c>
      <c r="AH191" s="111" t="e">
        <f>VLOOKUP($A191,#REF!,5,FALSE)</f>
        <v>#REF!</v>
      </c>
      <c r="AI191" s="111" t="e">
        <f>VLOOKUP($A191,#REF!,6,FALSE)</f>
        <v>#REF!</v>
      </c>
      <c r="AJ191" s="109" t="e">
        <f t="shared" si="53"/>
        <v>#REF!</v>
      </c>
      <c r="AK191" s="109" t="e">
        <f t="shared" si="54"/>
        <v>#REF!</v>
      </c>
      <c r="AL191" s="109"/>
      <c r="AM191" s="110"/>
      <c r="AN191" s="110"/>
      <c r="AO191" s="110"/>
      <c r="AP191" s="110"/>
      <c r="AQ191" s="112"/>
      <c r="AR191" s="112"/>
      <c r="AS191" s="110"/>
      <c r="AT191" s="105"/>
      <c r="AU191" s="105"/>
      <c r="AV191" s="105"/>
      <c r="AW191" s="105"/>
      <c r="AX191" s="105"/>
      <c r="AY191" s="105"/>
    </row>
    <row r="192" spans="1:51" x14ac:dyDescent="0.15">
      <c r="A192" s="115">
        <v>54</v>
      </c>
      <c r="B192" s="98" t="e">
        <f>VLOOKUP($A192,#REF!,101,FALSE)</f>
        <v>#REF!</v>
      </c>
      <c r="C192" s="98" t="e">
        <f>VLOOKUP($A192,#REF!,102,FALSE)</f>
        <v>#REF!</v>
      </c>
      <c r="D192" s="104" t="e">
        <f>VLOOKUP($A192,#REF!,5,FALSE)</f>
        <v>#REF!</v>
      </c>
      <c r="E192" s="104" t="e">
        <f>VLOOKUP($A192,#REF!,6,FALSE)</f>
        <v>#REF!</v>
      </c>
      <c r="F192" s="105" t="e">
        <f>VLOOKUP($A192,#REF!,34,FALSE)</f>
        <v>#REF!</v>
      </c>
      <c r="G192" s="105" t="e">
        <f>VLOOKUP($A192,#REF!,29,FALSE)</f>
        <v>#REF!</v>
      </c>
      <c r="H192" s="105" t="e">
        <f>VLOOKUP($A192,#REF!,35,FALSE)+VLOOKUP($A192,#REF!,97,FALSE)</f>
        <v>#REF!</v>
      </c>
      <c r="I192" s="105" t="e">
        <f t="shared" si="38"/>
        <v>#REF!</v>
      </c>
      <c r="J192" s="105" t="e">
        <f>VLOOKUP($A192,#REF!,42,FALSE)</f>
        <v>#REF!</v>
      </c>
      <c r="K192" s="105" t="e">
        <f t="shared" si="39"/>
        <v>#REF!</v>
      </c>
      <c r="L192" s="164" t="e">
        <f t="shared" si="37"/>
        <v>#REF!</v>
      </c>
      <c r="M192" s="105" t="e">
        <f t="shared" si="40"/>
        <v>#REF!</v>
      </c>
      <c r="N192" s="105" t="e">
        <f>VLOOKUP($A192,#REF!,46,FALSE)</f>
        <v>#REF!</v>
      </c>
      <c r="O192" s="106" t="e">
        <f>VLOOKUP($A192,#REF!,9,FALSE)</f>
        <v>#REF!</v>
      </c>
      <c r="P192" s="114" t="e">
        <f>#REF!</f>
        <v>#REF!</v>
      </c>
      <c r="Q192" s="114" t="e">
        <f>VLOOKUP(A192,#REF!,17,FALSE)</f>
        <v>#REF!</v>
      </c>
      <c r="R192" s="120" t="e">
        <f>#REF!</f>
        <v>#REF!</v>
      </c>
      <c r="S192" s="114" t="e">
        <f>IF(Q192=0,#REF!,ROUND(Q192*R192,4))</f>
        <v>#REF!</v>
      </c>
      <c r="T192" s="105" t="e">
        <f>VLOOKUP($A192,#REF!,15,FALSE)</f>
        <v>#REF!</v>
      </c>
      <c r="U192" s="105" t="e">
        <f>VLOOKUP($A192,#REF!,19,FALSE)</f>
        <v>#REF!</v>
      </c>
      <c r="V192" s="109" t="e">
        <f t="shared" si="41"/>
        <v>#REF!</v>
      </c>
      <c r="W192" s="121" t="e">
        <f t="shared" si="42"/>
        <v>#REF!</v>
      </c>
      <c r="X192" s="105" t="e">
        <f t="shared" si="43"/>
        <v>#REF!</v>
      </c>
      <c r="Y192" s="109" t="e">
        <f t="shared" si="44"/>
        <v>#REF!</v>
      </c>
      <c r="Z192" s="109" t="e">
        <f t="shared" si="45"/>
        <v>#REF!</v>
      </c>
      <c r="AA192" s="113" t="e">
        <f t="shared" si="46"/>
        <v>#REF!</v>
      </c>
      <c r="AB192" s="109" t="e">
        <f t="shared" si="47"/>
        <v>#REF!</v>
      </c>
      <c r="AC192" s="113" t="e">
        <f t="shared" si="48"/>
        <v>#REF!</v>
      </c>
      <c r="AD192" s="105" t="e">
        <f t="shared" si="49"/>
        <v>#REF!</v>
      </c>
      <c r="AE192" s="105" t="e">
        <f t="shared" si="50"/>
        <v>#REF!</v>
      </c>
      <c r="AF192" s="105" t="e">
        <f t="shared" si="51"/>
        <v>#REF!</v>
      </c>
      <c r="AG192" s="105" t="e">
        <f t="shared" si="52"/>
        <v>#REF!</v>
      </c>
      <c r="AH192" s="111" t="e">
        <f>VLOOKUP($A192,#REF!,5,FALSE)</f>
        <v>#REF!</v>
      </c>
      <c r="AI192" s="111" t="e">
        <f>VLOOKUP($A192,#REF!,6,FALSE)</f>
        <v>#REF!</v>
      </c>
      <c r="AJ192" s="109" t="e">
        <f t="shared" si="53"/>
        <v>#REF!</v>
      </c>
      <c r="AK192" s="109" t="e">
        <f t="shared" si="54"/>
        <v>#REF!</v>
      </c>
      <c r="AL192" s="109"/>
      <c r="AM192" s="110"/>
      <c r="AN192" s="110"/>
      <c r="AO192" s="110"/>
      <c r="AP192" s="110"/>
      <c r="AQ192" s="112"/>
      <c r="AR192" s="112"/>
      <c r="AS192" s="110"/>
      <c r="AT192" s="105"/>
      <c r="AU192" s="105"/>
      <c r="AV192" s="105"/>
      <c r="AW192" s="105"/>
      <c r="AX192" s="105"/>
      <c r="AY192" s="105"/>
    </row>
    <row r="193" spans="1:61" x14ac:dyDescent="0.15">
      <c r="A193" s="115">
        <v>60</v>
      </c>
      <c r="B193" s="98" t="e">
        <f>VLOOKUP($A193,#REF!,101,FALSE)</f>
        <v>#REF!</v>
      </c>
      <c r="C193" s="98" t="e">
        <f>VLOOKUP($A193,#REF!,102,FALSE)</f>
        <v>#REF!</v>
      </c>
      <c r="D193" s="104" t="e">
        <f>VLOOKUP($A193,#REF!,5,FALSE)</f>
        <v>#REF!</v>
      </c>
      <c r="E193" s="104" t="e">
        <f>VLOOKUP($A193,#REF!,6,FALSE)</f>
        <v>#REF!</v>
      </c>
      <c r="F193" s="105" t="e">
        <f>VLOOKUP($A193,#REF!,34,FALSE)</f>
        <v>#REF!</v>
      </c>
      <c r="G193" s="105" t="e">
        <f>VLOOKUP($A193,#REF!,29,FALSE)</f>
        <v>#REF!</v>
      </c>
      <c r="H193" s="105" t="e">
        <f>VLOOKUP($A193,#REF!,35,FALSE)+VLOOKUP($A193,#REF!,97,FALSE)</f>
        <v>#REF!</v>
      </c>
      <c r="I193" s="105" t="e">
        <f t="shared" si="38"/>
        <v>#REF!</v>
      </c>
      <c r="J193" s="105" t="e">
        <f>VLOOKUP($A193,#REF!,42,FALSE)</f>
        <v>#REF!</v>
      </c>
      <c r="K193" s="105" t="e">
        <f t="shared" si="39"/>
        <v>#REF!</v>
      </c>
      <c r="L193" s="164" t="e">
        <f t="shared" si="37"/>
        <v>#REF!</v>
      </c>
      <c r="M193" s="105" t="e">
        <f t="shared" si="40"/>
        <v>#REF!</v>
      </c>
      <c r="N193" s="105" t="e">
        <f>VLOOKUP($A193,#REF!,46,FALSE)</f>
        <v>#REF!</v>
      </c>
      <c r="O193" s="106" t="e">
        <f>VLOOKUP($A193,#REF!,9,FALSE)</f>
        <v>#REF!</v>
      </c>
      <c r="P193" s="114" t="e">
        <f>#REF!</f>
        <v>#REF!</v>
      </c>
      <c r="Q193" s="114" t="e">
        <f>VLOOKUP(A193,#REF!,17,FALSE)</f>
        <v>#REF!</v>
      </c>
      <c r="R193" s="120" t="e">
        <f>#REF!</f>
        <v>#REF!</v>
      </c>
      <c r="S193" s="114" t="e">
        <f>IF(Q193=0,#REF!,ROUND(Q193*R193,4))</f>
        <v>#REF!</v>
      </c>
      <c r="T193" s="105" t="e">
        <f>VLOOKUP($A193,#REF!,15,FALSE)</f>
        <v>#REF!</v>
      </c>
      <c r="U193" s="105" t="e">
        <f>VLOOKUP($A193,#REF!,19,FALSE)</f>
        <v>#REF!</v>
      </c>
      <c r="V193" s="109" t="e">
        <f t="shared" si="41"/>
        <v>#REF!</v>
      </c>
      <c r="W193" s="121" t="e">
        <f t="shared" si="42"/>
        <v>#REF!</v>
      </c>
      <c r="X193" s="105" t="e">
        <f t="shared" si="43"/>
        <v>#REF!</v>
      </c>
      <c r="Y193" s="109" t="e">
        <f t="shared" si="44"/>
        <v>#REF!</v>
      </c>
      <c r="Z193" s="109" t="e">
        <f t="shared" si="45"/>
        <v>#REF!</v>
      </c>
      <c r="AA193" s="113" t="e">
        <f t="shared" si="46"/>
        <v>#REF!</v>
      </c>
      <c r="AB193" s="109" t="e">
        <f t="shared" si="47"/>
        <v>#REF!</v>
      </c>
      <c r="AC193" s="113" t="e">
        <f t="shared" si="48"/>
        <v>#REF!</v>
      </c>
      <c r="AD193" s="105" t="e">
        <f t="shared" si="49"/>
        <v>#REF!</v>
      </c>
      <c r="AE193" s="105" t="e">
        <f t="shared" si="50"/>
        <v>#REF!</v>
      </c>
      <c r="AF193" s="105" t="e">
        <f t="shared" si="51"/>
        <v>#REF!</v>
      </c>
      <c r="AG193" s="105" t="e">
        <f t="shared" si="52"/>
        <v>#REF!</v>
      </c>
      <c r="AH193" s="111" t="e">
        <f>VLOOKUP($A193,#REF!,5,FALSE)</f>
        <v>#REF!</v>
      </c>
      <c r="AI193" s="111" t="e">
        <f>VLOOKUP($A193,#REF!,6,FALSE)</f>
        <v>#REF!</v>
      </c>
      <c r="AJ193" s="109" t="e">
        <f t="shared" si="53"/>
        <v>#REF!</v>
      </c>
      <c r="AK193" s="109" t="e">
        <f t="shared" si="54"/>
        <v>#REF!</v>
      </c>
      <c r="AL193" s="109"/>
      <c r="AM193" s="110"/>
      <c r="AN193" s="110"/>
      <c r="AO193" s="110"/>
      <c r="AP193" s="110"/>
      <c r="AQ193" s="112"/>
      <c r="AR193" s="112"/>
      <c r="AS193" s="110"/>
      <c r="AT193" s="105"/>
      <c r="AU193" s="105"/>
      <c r="AV193" s="105"/>
      <c r="AW193" s="105"/>
      <c r="AX193" s="105"/>
      <c r="AY193" s="105"/>
    </row>
    <row r="194" spans="1:61" x14ac:dyDescent="0.15">
      <c r="A194" s="115">
        <v>663</v>
      </c>
      <c r="B194" s="98" t="e">
        <f>VLOOKUP($A194,#REF!,101,FALSE)</f>
        <v>#REF!</v>
      </c>
      <c r="C194" s="98" t="e">
        <f>VLOOKUP($A194,#REF!,102,FALSE)</f>
        <v>#REF!</v>
      </c>
      <c r="D194" s="104" t="e">
        <f>VLOOKUP($A194,#REF!,5,FALSE)</f>
        <v>#REF!</v>
      </c>
      <c r="E194" s="104" t="e">
        <f>VLOOKUP($A194,#REF!,6,FALSE)</f>
        <v>#REF!</v>
      </c>
      <c r="F194" s="105" t="e">
        <f>VLOOKUP($A194,#REF!,34,FALSE)</f>
        <v>#REF!</v>
      </c>
      <c r="G194" s="105" t="e">
        <f>VLOOKUP($A194,#REF!,29,FALSE)</f>
        <v>#REF!</v>
      </c>
      <c r="H194" s="105" t="e">
        <f>VLOOKUP($A194,#REF!,35,FALSE)+VLOOKUP($A194,#REF!,97,FALSE)</f>
        <v>#REF!</v>
      </c>
      <c r="I194" s="105" t="e">
        <f t="shared" si="38"/>
        <v>#REF!</v>
      </c>
      <c r="J194" s="105" t="e">
        <f>VLOOKUP($A194,#REF!,42,FALSE)</f>
        <v>#REF!</v>
      </c>
      <c r="K194" s="105" t="e">
        <f t="shared" si="39"/>
        <v>#REF!</v>
      </c>
      <c r="L194" s="164" t="e">
        <f t="shared" si="37"/>
        <v>#REF!</v>
      </c>
      <c r="M194" s="105" t="e">
        <f t="shared" si="40"/>
        <v>#REF!</v>
      </c>
      <c r="N194" s="105" t="e">
        <f>VLOOKUP($A194,#REF!,46,FALSE)</f>
        <v>#REF!</v>
      </c>
      <c r="O194" s="106" t="e">
        <f>VLOOKUP($A194,#REF!,9,FALSE)</f>
        <v>#REF!</v>
      </c>
      <c r="P194" s="114" t="e">
        <f>#REF!</f>
        <v>#REF!</v>
      </c>
      <c r="Q194" s="114" t="e">
        <f>VLOOKUP(A194,#REF!,17,FALSE)</f>
        <v>#REF!</v>
      </c>
      <c r="R194" s="120" t="e">
        <f>#REF!</f>
        <v>#REF!</v>
      </c>
      <c r="S194" s="114" t="e">
        <f>IF(Q194=0,#REF!,ROUND(Q194*R194,4))</f>
        <v>#REF!</v>
      </c>
      <c r="T194" s="105" t="e">
        <f>VLOOKUP($A194,#REF!,15,FALSE)</f>
        <v>#REF!</v>
      </c>
      <c r="U194" s="105" t="e">
        <f>VLOOKUP($A194,#REF!,19,FALSE)</f>
        <v>#REF!</v>
      </c>
      <c r="V194" s="109" t="e">
        <f t="shared" si="41"/>
        <v>#REF!</v>
      </c>
      <c r="W194" s="121" t="e">
        <f t="shared" si="42"/>
        <v>#REF!</v>
      </c>
      <c r="X194" s="105" t="e">
        <f t="shared" si="43"/>
        <v>#REF!</v>
      </c>
      <c r="Y194" s="109" t="e">
        <f t="shared" si="44"/>
        <v>#REF!</v>
      </c>
      <c r="Z194" s="109" t="e">
        <f t="shared" si="45"/>
        <v>#REF!</v>
      </c>
      <c r="AA194" s="113" t="e">
        <f t="shared" si="46"/>
        <v>#REF!</v>
      </c>
      <c r="AB194" s="109" t="e">
        <f t="shared" si="47"/>
        <v>#REF!</v>
      </c>
      <c r="AC194" s="113" t="e">
        <f t="shared" si="48"/>
        <v>#REF!</v>
      </c>
      <c r="AD194" s="105" t="e">
        <f t="shared" si="49"/>
        <v>#REF!</v>
      </c>
      <c r="AE194" s="105" t="e">
        <f t="shared" si="50"/>
        <v>#REF!</v>
      </c>
      <c r="AF194" s="105" t="e">
        <f t="shared" si="51"/>
        <v>#REF!</v>
      </c>
      <c r="AG194" s="105" t="e">
        <f t="shared" si="52"/>
        <v>#REF!</v>
      </c>
      <c r="AH194" s="111" t="e">
        <f>VLOOKUP($A194,#REF!,5,FALSE)</f>
        <v>#REF!</v>
      </c>
      <c r="AI194" s="111" t="e">
        <f>VLOOKUP($A194,#REF!,6,FALSE)</f>
        <v>#REF!</v>
      </c>
      <c r="AJ194" s="109" t="e">
        <f t="shared" si="53"/>
        <v>#REF!</v>
      </c>
      <c r="AK194" s="109" t="e">
        <f t="shared" si="54"/>
        <v>#REF!</v>
      </c>
      <c r="AL194" s="109"/>
      <c r="AM194" s="110"/>
      <c r="AN194" s="110"/>
      <c r="AO194" s="110"/>
      <c r="AP194" s="110"/>
      <c r="AQ194" s="112"/>
      <c r="AR194" s="112"/>
      <c r="AS194" s="110"/>
      <c r="AT194" s="105"/>
      <c r="AU194" s="105"/>
      <c r="AV194" s="105"/>
      <c r="AW194" s="105"/>
      <c r="AX194" s="105"/>
      <c r="AY194" s="105"/>
    </row>
    <row r="195" spans="1:61" x14ac:dyDescent="0.15">
      <c r="A195" s="115">
        <v>236</v>
      </c>
      <c r="B195" s="98" t="e">
        <f>VLOOKUP($A195,#REF!,101,FALSE)</f>
        <v>#REF!</v>
      </c>
      <c r="C195" s="98" t="e">
        <f>VLOOKUP($A195,#REF!,102,FALSE)</f>
        <v>#REF!</v>
      </c>
      <c r="D195" s="104" t="e">
        <f>VLOOKUP($A195,#REF!,5,FALSE)</f>
        <v>#REF!</v>
      </c>
      <c r="E195" s="104" t="e">
        <f>VLOOKUP($A195,#REF!,6,FALSE)</f>
        <v>#REF!</v>
      </c>
      <c r="F195" s="105" t="e">
        <f>VLOOKUP($A195,#REF!,34,FALSE)</f>
        <v>#REF!</v>
      </c>
      <c r="G195" s="105" t="e">
        <f>VLOOKUP($A195,#REF!,29,FALSE)</f>
        <v>#REF!</v>
      </c>
      <c r="H195" s="105" t="e">
        <f>VLOOKUP($A195,#REF!,35,FALSE)+VLOOKUP($A195,#REF!,97,FALSE)</f>
        <v>#REF!</v>
      </c>
      <c r="I195" s="105" t="e">
        <f t="shared" si="38"/>
        <v>#REF!</v>
      </c>
      <c r="J195" s="105" t="e">
        <f>VLOOKUP($A195,#REF!,42,FALSE)</f>
        <v>#REF!</v>
      </c>
      <c r="K195" s="105" t="e">
        <f t="shared" si="39"/>
        <v>#REF!</v>
      </c>
      <c r="L195" s="164" t="e">
        <f t="shared" ref="L195:L206" si="55">+BAF</f>
        <v>#REF!</v>
      </c>
      <c r="M195" s="105" t="e">
        <f t="shared" si="40"/>
        <v>#REF!</v>
      </c>
      <c r="N195" s="105" t="e">
        <f>VLOOKUP($A195,#REF!,46,FALSE)</f>
        <v>#REF!</v>
      </c>
      <c r="O195" s="106" t="e">
        <f>VLOOKUP($A195,#REF!,9,FALSE)</f>
        <v>#REF!</v>
      </c>
      <c r="P195" s="114" t="e">
        <f>#REF!</f>
        <v>#REF!</v>
      </c>
      <c r="Q195" s="114" t="e">
        <f>VLOOKUP(A195,#REF!,17,FALSE)</f>
        <v>#REF!</v>
      </c>
      <c r="R195" s="120" t="e">
        <f>#REF!</f>
        <v>#REF!</v>
      </c>
      <c r="S195" s="114" t="e">
        <f>IF(Q195=0,#REF!,ROUND(Q195*R195,4))</f>
        <v>#REF!</v>
      </c>
      <c r="T195" s="105" t="e">
        <f>VLOOKUP($A195,#REF!,15,FALSE)</f>
        <v>#REF!</v>
      </c>
      <c r="U195" s="105" t="e">
        <f>VLOOKUP($A195,#REF!,19,FALSE)</f>
        <v>#REF!</v>
      </c>
      <c r="V195" s="109" t="e">
        <f t="shared" si="41"/>
        <v>#REF!</v>
      </c>
      <c r="W195" s="121" t="e">
        <f t="shared" si="42"/>
        <v>#REF!</v>
      </c>
      <c r="X195" s="105" t="e">
        <f t="shared" si="43"/>
        <v>#REF!</v>
      </c>
      <c r="Y195" s="109" t="e">
        <f t="shared" si="44"/>
        <v>#REF!</v>
      </c>
      <c r="Z195" s="109" t="e">
        <f t="shared" si="45"/>
        <v>#REF!</v>
      </c>
      <c r="AA195" s="113" t="e">
        <f t="shared" si="46"/>
        <v>#REF!</v>
      </c>
      <c r="AB195" s="109" t="e">
        <f t="shared" si="47"/>
        <v>#REF!</v>
      </c>
      <c r="AC195" s="113" t="e">
        <f t="shared" si="48"/>
        <v>#REF!</v>
      </c>
      <c r="AD195" s="105" t="e">
        <f t="shared" si="49"/>
        <v>#REF!</v>
      </c>
      <c r="AE195" s="105" t="e">
        <f t="shared" si="50"/>
        <v>#REF!</v>
      </c>
      <c r="AF195" s="105" t="e">
        <f t="shared" si="51"/>
        <v>#REF!</v>
      </c>
      <c r="AG195" s="105" t="e">
        <f t="shared" si="52"/>
        <v>#REF!</v>
      </c>
      <c r="AH195" s="111" t="e">
        <f>VLOOKUP($A195,#REF!,5,FALSE)</f>
        <v>#REF!</v>
      </c>
      <c r="AI195" s="111" t="e">
        <f>VLOOKUP($A195,#REF!,6,FALSE)</f>
        <v>#REF!</v>
      </c>
      <c r="AJ195" s="109" t="e">
        <f t="shared" si="53"/>
        <v>#REF!</v>
      </c>
      <c r="AK195" s="109" t="e">
        <f t="shared" si="54"/>
        <v>#REF!</v>
      </c>
      <c r="AL195" s="109"/>
      <c r="AM195" s="110"/>
      <c r="AN195" s="110"/>
      <c r="AO195" s="110"/>
      <c r="AP195" s="110"/>
      <c r="AQ195" s="112"/>
      <c r="AR195" s="112"/>
      <c r="AS195" s="110"/>
      <c r="AT195" s="105"/>
      <c r="AU195" s="105"/>
      <c r="AV195" s="105"/>
      <c r="AW195" s="105"/>
      <c r="AX195" s="105"/>
      <c r="AY195" s="105"/>
    </row>
    <row r="196" spans="1:61" x14ac:dyDescent="0.15">
      <c r="A196" s="115">
        <v>288</v>
      </c>
      <c r="B196" s="98" t="e">
        <f>VLOOKUP($A196,#REF!,101,FALSE)</f>
        <v>#REF!</v>
      </c>
      <c r="C196" s="98" t="e">
        <f>VLOOKUP($A196,#REF!,102,FALSE)</f>
        <v>#REF!</v>
      </c>
      <c r="D196" s="104" t="e">
        <f>VLOOKUP($A196,#REF!,5,FALSE)</f>
        <v>#REF!</v>
      </c>
      <c r="E196" s="104" t="e">
        <f>VLOOKUP($A196,#REF!,6,FALSE)</f>
        <v>#REF!</v>
      </c>
      <c r="F196" s="105" t="e">
        <f>VLOOKUP($A196,#REF!,34,FALSE)</f>
        <v>#REF!</v>
      </c>
      <c r="G196" s="105" t="e">
        <f>VLOOKUP($A196,#REF!,29,FALSE)</f>
        <v>#REF!</v>
      </c>
      <c r="H196" s="105" t="e">
        <f>VLOOKUP($A196,#REF!,35,FALSE)+VLOOKUP($A196,#REF!,97,FALSE)</f>
        <v>#REF!</v>
      </c>
      <c r="I196" s="105" t="e">
        <f t="shared" ref="I196:I206" si="56">+Y196</f>
        <v>#REF!</v>
      </c>
      <c r="J196" s="105" t="e">
        <f>VLOOKUP($A196,#REF!,42,FALSE)</f>
        <v>#REF!</v>
      </c>
      <c r="K196" s="105" t="e">
        <f t="shared" ref="K196:K206" si="57">SUM(F196:J196)</f>
        <v>#REF!</v>
      </c>
      <c r="L196" s="164" t="e">
        <f t="shared" si="55"/>
        <v>#REF!</v>
      </c>
      <c r="M196" s="105" t="e">
        <f t="shared" ref="M196:M206" si="58">ROUND(K196*L196,2)</f>
        <v>#REF!</v>
      </c>
      <c r="N196" s="105" t="e">
        <f>VLOOKUP($A196,#REF!,46,FALSE)</f>
        <v>#REF!</v>
      </c>
      <c r="O196" s="106" t="e">
        <f>VLOOKUP($A196,#REF!,9,FALSE)</f>
        <v>#REF!</v>
      </c>
      <c r="P196" s="114" t="e">
        <f>#REF!</f>
        <v>#REF!</v>
      </c>
      <c r="Q196" s="114" t="e">
        <f>VLOOKUP(A196,#REF!,17,FALSE)</f>
        <v>#REF!</v>
      </c>
      <c r="R196" s="120" t="e">
        <f>#REF!</f>
        <v>#REF!</v>
      </c>
      <c r="S196" s="114" t="e">
        <f>IF(Q196=0,#REF!,ROUND(Q196*R196,4))</f>
        <v>#REF!</v>
      </c>
      <c r="T196" s="105" t="e">
        <f>VLOOKUP($A196,#REF!,15,FALSE)</f>
        <v>#REF!</v>
      </c>
      <c r="U196" s="105" t="e">
        <f>VLOOKUP($A196,#REF!,19,FALSE)</f>
        <v>#REF!</v>
      </c>
      <c r="V196" s="109" t="e">
        <f t="shared" ref="V196:V206" si="59">IF($O196="NA","NA",ROUND(U196*(O196/P196),2))</f>
        <v>#REF!</v>
      </c>
      <c r="W196" s="121" t="e">
        <f t="shared" ref="W196:W206" si="60">IF($O196="NA",ROUND(U196*S196,2),ROUND(V196*(S196/O196),2))</f>
        <v>#REF!</v>
      </c>
      <c r="X196" s="105" t="e">
        <f t="shared" ref="X196:X206" si="61">IF(O196="NA","NA",ROUND(MAX(0,AB196)*-1,2))</f>
        <v>#REF!</v>
      </c>
      <c r="Y196" s="109" t="e">
        <f t="shared" ref="Y196:Y206" si="62">IF($O196="NA",W196,W196+X196)</f>
        <v>#REF!</v>
      </c>
      <c r="Z196" s="109" t="e">
        <f t="shared" ref="Z196:Z206" si="63">IF(O196="NA","NA",ROUND(T196*(S196/O196),2))</f>
        <v>#REF!</v>
      </c>
      <c r="AA196" s="113" t="e">
        <f t="shared" ref="AA196:AA206" si="64">IF(O196="NA","NA",ROUND(W196*0.95,2))</f>
        <v>#REF!</v>
      </c>
      <c r="AB196" s="109" t="e">
        <f t="shared" ref="AB196:AB206" si="65">IF(O196="NA","NA",AA196-Z196)</f>
        <v>#REF!</v>
      </c>
      <c r="AC196" s="113" t="e">
        <f t="shared" ref="AC196:AC206" si="66">+F196+G196+H196+ROUND((I196*0.5),2)+J196</f>
        <v>#REF!</v>
      </c>
      <c r="AD196" s="105" t="e">
        <f t="shared" ref="AD196:AD206" si="67">+F196+G196+H196+J196</f>
        <v>#REF!</v>
      </c>
      <c r="AE196" s="105" t="e">
        <f t="shared" ref="AE196:AE206" si="68">+M196+N196</f>
        <v>#REF!</v>
      </c>
      <c r="AF196" s="105" t="e">
        <f t="shared" ref="AF196:AF206" si="69">+AC196+N196</f>
        <v>#REF!</v>
      </c>
      <c r="AG196" s="105" t="e">
        <f t="shared" ref="AG196:AG206" si="70">+AD196+N196</f>
        <v>#REF!</v>
      </c>
      <c r="AH196" s="111" t="e">
        <f>VLOOKUP($A196,#REF!,5,FALSE)</f>
        <v>#REF!</v>
      </c>
      <c r="AI196" s="111" t="e">
        <f>VLOOKUP($A196,#REF!,6,FALSE)</f>
        <v>#REF!</v>
      </c>
      <c r="AJ196" s="109" t="e">
        <f t="shared" ref="AJ196:AJ206" si="71">ROUND((AH196*0.5)+(AE196*0.5),2)</f>
        <v>#REF!</v>
      </c>
      <c r="AK196" s="109" t="e">
        <f t="shared" ref="AK196:AK206" si="72">ROUND((AI196*0.5)+(AF196*0.5),2)</f>
        <v>#REF!</v>
      </c>
      <c r="AL196" s="109"/>
      <c r="AM196" s="110"/>
      <c r="AN196" s="110"/>
      <c r="AO196" s="110"/>
      <c r="AP196" s="110"/>
      <c r="AQ196" s="112"/>
      <c r="AR196" s="112"/>
      <c r="AS196" s="110"/>
      <c r="AT196" s="105"/>
      <c r="AU196" s="105"/>
      <c r="AV196" s="105"/>
      <c r="AW196" s="105"/>
      <c r="AX196" s="105"/>
      <c r="AY196" s="105"/>
    </row>
    <row r="197" spans="1:61" x14ac:dyDescent="0.15">
      <c r="A197" s="115">
        <v>388</v>
      </c>
      <c r="B197" s="98" t="e">
        <f>VLOOKUP($A197,#REF!,101,FALSE)</f>
        <v>#REF!</v>
      </c>
      <c r="C197" s="98" t="e">
        <f>VLOOKUP($A197,#REF!,102,FALSE)</f>
        <v>#REF!</v>
      </c>
      <c r="D197" s="104" t="e">
        <f>VLOOKUP($A197,#REF!,5,FALSE)</f>
        <v>#REF!</v>
      </c>
      <c r="E197" s="104" t="e">
        <f>VLOOKUP($A197,#REF!,6,FALSE)</f>
        <v>#REF!</v>
      </c>
      <c r="F197" s="105" t="e">
        <f>VLOOKUP($A197,#REF!,34,FALSE)</f>
        <v>#REF!</v>
      </c>
      <c r="G197" s="105" t="e">
        <f>VLOOKUP($A197,#REF!,29,FALSE)</f>
        <v>#REF!</v>
      </c>
      <c r="H197" s="105" t="e">
        <f>VLOOKUP($A197,#REF!,35,FALSE)+VLOOKUP($A197,#REF!,97,FALSE)</f>
        <v>#REF!</v>
      </c>
      <c r="I197" s="105" t="e">
        <f t="shared" si="56"/>
        <v>#REF!</v>
      </c>
      <c r="J197" s="105" t="e">
        <f>VLOOKUP($A197,#REF!,42,FALSE)</f>
        <v>#REF!</v>
      </c>
      <c r="K197" s="105" t="e">
        <f t="shared" si="57"/>
        <v>#REF!</v>
      </c>
      <c r="L197" s="164" t="e">
        <f t="shared" si="55"/>
        <v>#REF!</v>
      </c>
      <c r="M197" s="105" t="e">
        <f t="shared" si="58"/>
        <v>#REF!</v>
      </c>
      <c r="N197" s="105" t="e">
        <f>VLOOKUP($A197,#REF!,46,FALSE)</f>
        <v>#REF!</v>
      </c>
      <c r="O197" s="106" t="e">
        <f>VLOOKUP($A197,#REF!,9,FALSE)</f>
        <v>#REF!</v>
      </c>
      <c r="P197" s="114" t="e">
        <f>#REF!</f>
        <v>#REF!</v>
      </c>
      <c r="Q197" s="114" t="e">
        <f>VLOOKUP(A197,#REF!,17,FALSE)</f>
        <v>#REF!</v>
      </c>
      <c r="R197" s="120" t="e">
        <f>#REF!</f>
        <v>#REF!</v>
      </c>
      <c r="S197" s="114" t="e">
        <f>IF(Q197=0,#REF!,ROUND(Q197*R197,4))</f>
        <v>#REF!</v>
      </c>
      <c r="T197" s="105" t="e">
        <f>VLOOKUP($A197,#REF!,15,FALSE)</f>
        <v>#REF!</v>
      </c>
      <c r="U197" s="105" t="e">
        <f>VLOOKUP($A197,#REF!,19,FALSE)</f>
        <v>#REF!</v>
      </c>
      <c r="V197" s="109" t="e">
        <f t="shared" si="59"/>
        <v>#REF!</v>
      </c>
      <c r="W197" s="121" t="e">
        <f t="shared" si="60"/>
        <v>#REF!</v>
      </c>
      <c r="X197" s="105" t="e">
        <f t="shared" si="61"/>
        <v>#REF!</v>
      </c>
      <c r="Y197" s="109" t="e">
        <f t="shared" si="62"/>
        <v>#REF!</v>
      </c>
      <c r="Z197" s="109" t="e">
        <f t="shared" si="63"/>
        <v>#REF!</v>
      </c>
      <c r="AA197" s="113" t="e">
        <f t="shared" si="64"/>
        <v>#REF!</v>
      </c>
      <c r="AB197" s="109" t="e">
        <f t="shared" si="65"/>
        <v>#REF!</v>
      </c>
      <c r="AC197" s="113" t="e">
        <f t="shared" si="66"/>
        <v>#REF!</v>
      </c>
      <c r="AD197" s="105" t="e">
        <f t="shared" si="67"/>
        <v>#REF!</v>
      </c>
      <c r="AE197" s="105" t="e">
        <f t="shared" si="68"/>
        <v>#REF!</v>
      </c>
      <c r="AF197" s="105" t="e">
        <f t="shared" si="69"/>
        <v>#REF!</v>
      </c>
      <c r="AG197" s="105" t="e">
        <f t="shared" si="70"/>
        <v>#REF!</v>
      </c>
      <c r="AH197" s="111" t="e">
        <f>VLOOKUP($A197,#REF!,5,FALSE)</f>
        <v>#REF!</v>
      </c>
      <c r="AI197" s="111" t="e">
        <f>VLOOKUP($A197,#REF!,6,FALSE)</f>
        <v>#REF!</v>
      </c>
      <c r="AJ197" s="109" t="e">
        <f t="shared" si="71"/>
        <v>#REF!</v>
      </c>
      <c r="AK197" s="109" t="e">
        <f t="shared" si="72"/>
        <v>#REF!</v>
      </c>
      <c r="AL197" s="109"/>
      <c r="AM197" s="110"/>
      <c r="AN197" s="110"/>
      <c r="AO197" s="110"/>
      <c r="AP197" s="110"/>
      <c r="AQ197" s="112"/>
      <c r="AR197" s="112"/>
      <c r="AS197" s="110"/>
      <c r="AT197" s="105"/>
      <c r="AU197" s="105"/>
      <c r="AV197" s="105"/>
      <c r="AW197" s="105"/>
      <c r="AX197" s="105"/>
      <c r="AY197" s="105"/>
    </row>
    <row r="198" spans="1:61" x14ac:dyDescent="0.15">
      <c r="A198" s="115">
        <v>1203</v>
      </c>
      <c r="B198" s="98" t="e">
        <f>VLOOKUP($A198,#REF!,101,FALSE)</f>
        <v>#REF!</v>
      </c>
      <c r="C198" s="98" t="e">
        <f>VLOOKUP($A198,#REF!,102,FALSE)</f>
        <v>#REF!</v>
      </c>
      <c r="D198" s="104" t="e">
        <f>VLOOKUP($A198,#REF!,5,FALSE)</f>
        <v>#REF!</v>
      </c>
      <c r="E198" s="104" t="e">
        <f>VLOOKUP($A198,#REF!,6,FALSE)</f>
        <v>#REF!</v>
      </c>
      <c r="F198" s="105" t="e">
        <f>VLOOKUP($A198,#REF!,34,FALSE)</f>
        <v>#REF!</v>
      </c>
      <c r="G198" s="105" t="e">
        <f>VLOOKUP($A198,#REF!,29,FALSE)</f>
        <v>#REF!</v>
      </c>
      <c r="H198" s="105" t="e">
        <f>VLOOKUP($A198,#REF!,35,FALSE)+VLOOKUP($A198,#REF!,97,FALSE)</f>
        <v>#REF!</v>
      </c>
      <c r="I198" s="105" t="e">
        <f t="shared" si="56"/>
        <v>#REF!</v>
      </c>
      <c r="J198" s="105" t="e">
        <f>VLOOKUP($A198,#REF!,42,FALSE)</f>
        <v>#REF!</v>
      </c>
      <c r="K198" s="105" t="e">
        <f t="shared" si="57"/>
        <v>#REF!</v>
      </c>
      <c r="L198" s="164" t="e">
        <f t="shared" si="55"/>
        <v>#REF!</v>
      </c>
      <c r="M198" s="105" t="e">
        <f t="shared" si="58"/>
        <v>#REF!</v>
      </c>
      <c r="N198" s="105" t="e">
        <f>VLOOKUP($A198,#REF!,46,FALSE)</f>
        <v>#REF!</v>
      </c>
      <c r="O198" s="106" t="e">
        <f>VLOOKUP($A198,#REF!,9,FALSE)</f>
        <v>#REF!</v>
      </c>
      <c r="P198" s="114" t="e">
        <f>#REF!</f>
        <v>#REF!</v>
      </c>
      <c r="Q198" s="114" t="e">
        <f>VLOOKUP(A198,#REF!,17,FALSE)</f>
        <v>#REF!</v>
      </c>
      <c r="R198" s="120" t="e">
        <f>#REF!</f>
        <v>#REF!</v>
      </c>
      <c r="S198" s="114" t="e">
        <f>IF(Q198=0,#REF!,ROUND(Q198*R198,4))</f>
        <v>#REF!</v>
      </c>
      <c r="T198" s="105" t="e">
        <f>VLOOKUP($A198,#REF!,15,FALSE)</f>
        <v>#REF!</v>
      </c>
      <c r="U198" s="105" t="e">
        <f>VLOOKUP($A198,#REF!,19,FALSE)</f>
        <v>#REF!</v>
      </c>
      <c r="V198" s="109" t="e">
        <f t="shared" si="59"/>
        <v>#REF!</v>
      </c>
      <c r="W198" s="121" t="e">
        <f t="shared" si="60"/>
        <v>#REF!</v>
      </c>
      <c r="X198" s="105" t="e">
        <f t="shared" si="61"/>
        <v>#REF!</v>
      </c>
      <c r="Y198" s="109" t="e">
        <f t="shared" si="62"/>
        <v>#REF!</v>
      </c>
      <c r="Z198" s="109" t="e">
        <f t="shared" si="63"/>
        <v>#REF!</v>
      </c>
      <c r="AA198" s="113" t="e">
        <f t="shared" si="64"/>
        <v>#REF!</v>
      </c>
      <c r="AB198" s="109" t="e">
        <f t="shared" si="65"/>
        <v>#REF!</v>
      </c>
      <c r="AC198" s="113" t="e">
        <f t="shared" si="66"/>
        <v>#REF!</v>
      </c>
      <c r="AD198" s="105" t="e">
        <f t="shared" si="67"/>
        <v>#REF!</v>
      </c>
      <c r="AE198" s="105" t="e">
        <f t="shared" si="68"/>
        <v>#REF!</v>
      </c>
      <c r="AF198" s="105" t="e">
        <f t="shared" si="69"/>
        <v>#REF!</v>
      </c>
      <c r="AG198" s="105" t="e">
        <f t="shared" si="70"/>
        <v>#REF!</v>
      </c>
      <c r="AH198" s="111" t="e">
        <f>VLOOKUP($A198,#REF!,5,FALSE)</f>
        <v>#REF!</v>
      </c>
      <c r="AI198" s="111" t="e">
        <f>VLOOKUP($A198,#REF!,6,FALSE)</f>
        <v>#REF!</v>
      </c>
      <c r="AJ198" s="109" t="e">
        <f t="shared" si="71"/>
        <v>#REF!</v>
      </c>
      <c r="AK198" s="109" t="e">
        <f t="shared" si="72"/>
        <v>#REF!</v>
      </c>
      <c r="AL198" s="109"/>
      <c r="AM198" s="110"/>
      <c r="AN198" s="110"/>
      <c r="AO198" s="110"/>
      <c r="AP198" s="110"/>
      <c r="AQ198" s="112"/>
      <c r="AR198" s="112"/>
      <c r="AS198" s="110"/>
      <c r="AT198" s="105"/>
      <c r="AU198" s="105"/>
      <c r="AV198" s="105"/>
      <c r="AW198" s="105"/>
      <c r="AX198" s="105"/>
      <c r="AY198" s="105"/>
    </row>
    <row r="199" spans="1:61" x14ac:dyDescent="0.15">
      <c r="A199" s="115">
        <v>344</v>
      </c>
      <c r="B199" s="98" t="e">
        <f>VLOOKUP($A199,#REF!,101,FALSE)</f>
        <v>#REF!</v>
      </c>
      <c r="C199" s="98" t="e">
        <f>VLOOKUP($A199,#REF!,102,FALSE)</f>
        <v>#REF!</v>
      </c>
      <c r="D199" s="104" t="e">
        <f>VLOOKUP($A199,#REF!,5,FALSE)</f>
        <v>#REF!</v>
      </c>
      <c r="E199" s="104" t="e">
        <f>VLOOKUP($A199,#REF!,6,FALSE)</f>
        <v>#REF!</v>
      </c>
      <c r="F199" s="105" t="e">
        <f>VLOOKUP($A199,#REF!,34,FALSE)</f>
        <v>#REF!</v>
      </c>
      <c r="G199" s="105" t="e">
        <f>VLOOKUP($A199,#REF!,29,FALSE)</f>
        <v>#REF!</v>
      </c>
      <c r="H199" s="105" t="e">
        <f>VLOOKUP($A199,#REF!,35,FALSE)+VLOOKUP($A199,#REF!,97,FALSE)</f>
        <v>#REF!</v>
      </c>
      <c r="I199" s="105" t="e">
        <f t="shared" si="56"/>
        <v>#REF!</v>
      </c>
      <c r="J199" s="105" t="e">
        <f>VLOOKUP($A199,#REF!,42,FALSE)</f>
        <v>#REF!</v>
      </c>
      <c r="K199" s="105" t="e">
        <f t="shared" si="57"/>
        <v>#REF!</v>
      </c>
      <c r="L199" s="164" t="e">
        <f t="shared" si="55"/>
        <v>#REF!</v>
      </c>
      <c r="M199" s="105" t="e">
        <f t="shared" si="58"/>
        <v>#REF!</v>
      </c>
      <c r="N199" s="105" t="e">
        <f>VLOOKUP($A199,#REF!,46,FALSE)</f>
        <v>#REF!</v>
      </c>
      <c r="O199" s="106" t="e">
        <f>VLOOKUP($A199,#REF!,9,FALSE)</f>
        <v>#REF!</v>
      </c>
      <c r="P199" s="114" t="e">
        <f>#REF!</f>
        <v>#REF!</v>
      </c>
      <c r="Q199" s="114" t="e">
        <f>VLOOKUP(A199,#REF!,17,FALSE)</f>
        <v>#REF!</v>
      </c>
      <c r="R199" s="120" t="e">
        <f>#REF!</f>
        <v>#REF!</v>
      </c>
      <c r="S199" s="114" t="e">
        <f>IF(Q199=0,#REF!,ROUND(Q199*R199,4))</f>
        <v>#REF!</v>
      </c>
      <c r="T199" s="105" t="e">
        <f>VLOOKUP($A199,#REF!,15,FALSE)</f>
        <v>#REF!</v>
      </c>
      <c r="U199" s="105" t="e">
        <f>VLOOKUP($A199,#REF!,19,FALSE)</f>
        <v>#REF!</v>
      </c>
      <c r="V199" s="109" t="e">
        <f t="shared" si="59"/>
        <v>#REF!</v>
      </c>
      <c r="W199" s="121" t="e">
        <f t="shared" si="60"/>
        <v>#REF!</v>
      </c>
      <c r="X199" s="105" t="e">
        <f t="shared" si="61"/>
        <v>#REF!</v>
      </c>
      <c r="Y199" s="109" t="e">
        <f t="shared" si="62"/>
        <v>#REF!</v>
      </c>
      <c r="Z199" s="109" t="e">
        <f t="shared" si="63"/>
        <v>#REF!</v>
      </c>
      <c r="AA199" s="113" t="e">
        <f t="shared" si="64"/>
        <v>#REF!</v>
      </c>
      <c r="AB199" s="109" t="e">
        <f t="shared" si="65"/>
        <v>#REF!</v>
      </c>
      <c r="AC199" s="113" t="e">
        <f t="shared" si="66"/>
        <v>#REF!</v>
      </c>
      <c r="AD199" s="105" t="e">
        <f t="shared" si="67"/>
        <v>#REF!</v>
      </c>
      <c r="AE199" s="105" t="e">
        <f t="shared" si="68"/>
        <v>#REF!</v>
      </c>
      <c r="AF199" s="105" t="e">
        <f t="shared" si="69"/>
        <v>#REF!</v>
      </c>
      <c r="AG199" s="105" t="e">
        <f t="shared" si="70"/>
        <v>#REF!</v>
      </c>
      <c r="AH199" s="111" t="e">
        <f>VLOOKUP($A199,#REF!,5,FALSE)</f>
        <v>#REF!</v>
      </c>
      <c r="AI199" s="111" t="e">
        <f>VLOOKUP($A199,#REF!,6,FALSE)</f>
        <v>#REF!</v>
      </c>
      <c r="AJ199" s="109" t="e">
        <f t="shared" si="71"/>
        <v>#REF!</v>
      </c>
      <c r="AK199" s="109" t="e">
        <f t="shared" si="72"/>
        <v>#REF!</v>
      </c>
      <c r="AL199" s="109"/>
      <c r="AM199" s="110"/>
      <c r="AN199" s="110"/>
      <c r="AO199" s="110"/>
      <c r="AP199" s="110"/>
      <c r="AQ199" s="112"/>
      <c r="AR199" s="112"/>
      <c r="AS199" s="110"/>
      <c r="AT199" s="105"/>
      <c r="AU199" s="105"/>
      <c r="AV199" s="105"/>
      <c r="AW199" s="105"/>
      <c r="AX199" s="105"/>
      <c r="AY199" s="105"/>
    </row>
    <row r="200" spans="1:61" x14ac:dyDescent="0.15">
      <c r="A200" s="115">
        <v>703</v>
      </c>
      <c r="B200" s="98" t="e">
        <f>VLOOKUP($A200,#REF!,101,FALSE)</f>
        <v>#REF!</v>
      </c>
      <c r="C200" s="98" t="e">
        <f>VLOOKUP($A200,#REF!,102,FALSE)</f>
        <v>#REF!</v>
      </c>
      <c r="D200" s="104" t="e">
        <f>VLOOKUP($A200,#REF!,5,FALSE)</f>
        <v>#REF!</v>
      </c>
      <c r="E200" s="104" t="e">
        <f>VLOOKUP($A200,#REF!,6,FALSE)</f>
        <v>#REF!</v>
      </c>
      <c r="F200" s="105" t="e">
        <f>VLOOKUP($A200,#REF!,34,FALSE)</f>
        <v>#REF!</v>
      </c>
      <c r="G200" s="105" t="e">
        <f>VLOOKUP($A200,#REF!,29,FALSE)</f>
        <v>#REF!</v>
      </c>
      <c r="H200" s="105" t="e">
        <f>VLOOKUP($A200,#REF!,35,FALSE)+VLOOKUP($A200,#REF!,97,FALSE)</f>
        <v>#REF!</v>
      </c>
      <c r="I200" s="105" t="e">
        <f t="shared" si="56"/>
        <v>#REF!</v>
      </c>
      <c r="J200" s="105" t="e">
        <f>VLOOKUP($A200,#REF!,42,FALSE)</f>
        <v>#REF!</v>
      </c>
      <c r="K200" s="105" t="e">
        <f t="shared" si="57"/>
        <v>#REF!</v>
      </c>
      <c r="L200" s="164" t="e">
        <f t="shared" si="55"/>
        <v>#REF!</v>
      </c>
      <c r="M200" s="105" t="e">
        <f t="shared" si="58"/>
        <v>#REF!</v>
      </c>
      <c r="N200" s="105" t="e">
        <f>VLOOKUP($A200,#REF!,46,FALSE)</f>
        <v>#REF!</v>
      </c>
      <c r="O200" s="106" t="e">
        <f>VLOOKUP($A200,#REF!,9,FALSE)</f>
        <v>#REF!</v>
      </c>
      <c r="P200" s="114" t="e">
        <f>#REF!</f>
        <v>#REF!</v>
      </c>
      <c r="Q200" s="114" t="e">
        <f>VLOOKUP(A200,#REF!,17,FALSE)</f>
        <v>#REF!</v>
      </c>
      <c r="R200" s="120" t="e">
        <f>#REF!</f>
        <v>#REF!</v>
      </c>
      <c r="S200" s="114" t="e">
        <f>IF(Q200=0,#REF!,ROUND(Q200*R200,4))</f>
        <v>#REF!</v>
      </c>
      <c r="T200" s="105" t="e">
        <f>VLOOKUP($A200,#REF!,15,FALSE)</f>
        <v>#REF!</v>
      </c>
      <c r="U200" s="105" t="e">
        <f>VLOOKUP($A200,#REF!,19,FALSE)</f>
        <v>#REF!</v>
      </c>
      <c r="V200" s="109" t="e">
        <f t="shared" si="59"/>
        <v>#REF!</v>
      </c>
      <c r="W200" s="121" t="e">
        <f t="shared" si="60"/>
        <v>#REF!</v>
      </c>
      <c r="X200" s="105" t="e">
        <f t="shared" si="61"/>
        <v>#REF!</v>
      </c>
      <c r="Y200" s="109" t="e">
        <f t="shared" si="62"/>
        <v>#REF!</v>
      </c>
      <c r="Z200" s="109" t="e">
        <f t="shared" si="63"/>
        <v>#REF!</v>
      </c>
      <c r="AA200" s="113" t="e">
        <f t="shared" si="64"/>
        <v>#REF!</v>
      </c>
      <c r="AB200" s="109" t="e">
        <f t="shared" si="65"/>
        <v>#REF!</v>
      </c>
      <c r="AC200" s="113" t="e">
        <f t="shared" si="66"/>
        <v>#REF!</v>
      </c>
      <c r="AD200" s="105" t="e">
        <f t="shared" si="67"/>
        <v>#REF!</v>
      </c>
      <c r="AE200" s="105" t="e">
        <f t="shared" si="68"/>
        <v>#REF!</v>
      </c>
      <c r="AF200" s="105" t="e">
        <f t="shared" si="69"/>
        <v>#REF!</v>
      </c>
      <c r="AG200" s="105" t="e">
        <f t="shared" si="70"/>
        <v>#REF!</v>
      </c>
      <c r="AH200" s="111" t="e">
        <f>VLOOKUP($A200,#REF!,5,FALSE)</f>
        <v>#REF!</v>
      </c>
      <c r="AI200" s="111" t="e">
        <f>VLOOKUP($A200,#REF!,6,FALSE)</f>
        <v>#REF!</v>
      </c>
      <c r="AJ200" s="109" t="e">
        <f t="shared" si="71"/>
        <v>#REF!</v>
      </c>
      <c r="AK200" s="109" t="e">
        <f t="shared" si="72"/>
        <v>#REF!</v>
      </c>
      <c r="AL200" s="109"/>
      <c r="AM200" s="110"/>
      <c r="AN200" s="110"/>
      <c r="AO200" s="110"/>
      <c r="AP200" s="110"/>
      <c r="AQ200" s="112"/>
      <c r="AR200" s="112"/>
      <c r="AS200" s="110"/>
      <c r="AT200" s="105"/>
      <c r="AU200" s="105"/>
      <c r="AV200" s="105"/>
      <c r="AW200" s="105"/>
      <c r="AX200" s="105"/>
      <c r="AY200" s="105"/>
    </row>
    <row r="201" spans="1:61" x14ac:dyDescent="0.15">
      <c r="A201" s="115">
        <v>444</v>
      </c>
      <c r="B201" s="98" t="e">
        <f>VLOOKUP($A201,#REF!,101,FALSE)</f>
        <v>#REF!</v>
      </c>
      <c r="C201" s="98" t="e">
        <f>VLOOKUP($A201,#REF!,102,FALSE)</f>
        <v>#REF!</v>
      </c>
      <c r="D201" s="104" t="e">
        <f>VLOOKUP($A201,#REF!,5,FALSE)</f>
        <v>#REF!</v>
      </c>
      <c r="E201" s="104" t="e">
        <f>VLOOKUP($A201,#REF!,6,FALSE)</f>
        <v>#REF!</v>
      </c>
      <c r="F201" s="105" t="e">
        <f>VLOOKUP($A201,#REF!,34,FALSE)</f>
        <v>#REF!</v>
      </c>
      <c r="G201" s="105" t="e">
        <f>VLOOKUP($A201,#REF!,29,FALSE)</f>
        <v>#REF!</v>
      </c>
      <c r="H201" s="105" t="e">
        <f>VLOOKUP($A201,#REF!,35,FALSE)+VLOOKUP($A201,#REF!,97,FALSE)</f>
        <v>#REF!</v>
      </c>
      <c r="I201" s="105" t="e">
        <f t="shared" si="56"/>
        <v>#REF!</v>
      </c>
      <c r="J201" s="105" t="e">
        <f>VLOOKUP($A201,#REF!,42,FALSE)</f>
        <v>#REF!</v>
      </c>
      <c r="K201" s="105" t="e">
        <f t="shared" si="57"/>
        <v>#REF!</v>
      </c>
      <c r="L201" s="164" t="e">
        <f t="shared" si="55"/>
        <v>#REF!</v>
      </c>
      <c r="M201" s="105" t="e">
        <f t="shared" si="58"/>
        <v>#REF!</v>
      </c>
      <c r="N201" s="105" t="e">
        <f>VLOOKUP($A201,#REF!,46,FALSE)</f>
        <v>#REF!</v>
      </c>
      <c r="O201" s="106" t="e">
        <f>VLOOKUP($A201,#REF!,9,FALSE)</f>
        <v>#REF!</v>
      </c>
      <c r="P201" s="114" t="e">
        <f>#REF!</f>
        <v>#REF!</v>
      </c>
      <c r="Q201" s="114" t="e">
        <f>VLOOKUP(A201,#REF!,17,FALSE)</f>
        <v>#REF!</v>
      </c>
      <c r="R201" s="120" t="e">
        <f>#REF!</f>
        <v>#REF!</v>
      </c>
      <c r="S201" s="114" t="e">
        <f>IF(Q201=0,#REF!,ROUND(Q201*R201,4))</f>
        <v>#REF!</v>
      </c>
      <c r="T201" s="105" t="e">
        <f>VLOOKUP($A201,#REF!,15,FALSE)</f>
        <v>#REF!</v>
      </c>
      <c r="U201" s="105" t="e">
        <f>VLOOKUP($A201,#REF!,19,FALSE)</f>
        <v>#REF!</v>
      </c>
      <c r="V201" s="109" t="e">
        <f t="shared" si="59"/>
        <v>#REF!</v>
      </c>
      <c r="W201" s="121" t="e">
        <f t="shared" si="60"/>
        <v>#REF!</v>
      </c>
      <c r="X201" s="105" t="e">
        <f t="shared" si="61"/>
        <v>#REF!</v>
      </c>
      <c r="Y201" s="109" t="e">
        <f t="shared" si="62"/>
        <v>#REF!</v>
      </c>
      <c r="Z201" s="109" t="e">
        <f t="shared" si="63"/>
        <v>#REF!</v>
      </c>
      <c r="AA201" s="113" t="e">
        <f t="shared" si="64"/>
        <v>#REF!</v>
      </c>
      <c r="AB201" s="109" t="e">
        <f t="shared" si="65"/>
        <v>#REF!</v>
      </c>
      <c r="AC201" s="113" t="e">
        <f t="shared" si="66"/>
        <v>#REF!</v>
      </c>
      <c r="AD201" s="105" t="e">
        <f t="shared" si="67"/>
        <v>#REF!</v>
      </c>
      <c r="AE201" s="105" t="e">
        <f t="shared" si="68"/>
        <v>#REF!</v>
      </c>
      <c r="AF201" s="105" t="e">
        <f t="shared" si="69"/>
        <v>#REF!</v>
      </c>
      <c r="AG201" s="105" t="e">
        <f t="shared" si="70"/>
        <v>#REF!</v>
      </c>
      <c r="AH201" s="111" t="e">
        <f>VLOOKUP($A201,#REF!,5,FALSE)</f>
        <v>#REF!</v>
      </c>
      <c r="AI201" s="111" t="e">
        <f>VLOOKUP($A201,#REF!,6,FALSE)</f>
        <v>#REF!</v>
      </c>
      <c r="AJ201" s="109" t="e">
        <f t="shared" si="71"/>
        <v>#REF!</v>
      </c>
      <c r="AK201" s="109" t="e">
        <f t="shared" si="72"/>
        <v>#REF!</v>
      </c>
      <c r="AL201" s="109"/>
      <c r="AM201" s="110"/>
      <c r="AN201" s="110"/>
      <c r="AO201" s="110"/>
      <c r="AP201" s="110"/>
      <c r="AQ201" s="112"/>
      <c r="AR201" s="112"/>
      <c r="AS201" s="110"/>
      <c r="AT201" s="105"/>
      <c r="AU201" s="105"/>
      <c r="AV201" s="105"/>
      <c r="AW201" s="105"/>
      <c r="AX201" s="105"/>
      <c r="AY201" s="105"/>
    </row>
    <row r="202" spans="1:61" x14ac:dyDescent="0.15">
      <c r="A202" s="98">
        <v>448</v>
      </c>
      <c r="B202" s="98" t="e">
        <f>VLOOKUP($A202,#REF!,101,FALSE)</f>
        <v>#REF!</v>
      </c>
      <c r="C202" s="98" t="e">
        <f>VLOOKUP($A202,#REF!,102,FALSE)</f>
        <v>#REF!</v>
      </c>
      <c r="D202" s="104" t="e">
        <f>VLOOKUP($A202,#REF!,5,FALSE)</f>
        <v>#REF!</v>
      </c>
      <c r="E202" s="104" t="e">
        <f>VLOOKUP($A202,#REF!,6,FALSE)</f>
        <v>#REF!</v>
      </c>
      <c r="F202" s="105" t="e">
        <f>VLOOKUP($A202,#REF!,34,FALSE)</f>
        <v>#REF!</v>
      </c>
      <c r="G202" s="105" t="e">
        <f>VLOOKUP($A202,#REF!,29,FALSE)</f>
        <v>#REF!</v>
      </c>
      <c r="H202" s="105" t="e">
        <f>VLOOKUP($A202,#REF!,35,FALSE)+VLOOKUP($A202,#REF!,97,FALSE)</f>
        <v>#REF!</v>
      </c>
      <c r="I202" s="105" t="e">
        <f t="shared" si="56"/>
        <v>#REF!</v>
      </c>
      <c r="J202" s="105" t="e">
        <f>VLOOKUP($A202,#REF!,42,FALSE)</f>
        <v>#REF!</v>
      </c>
      <c r="K202" s="105" t="e">
        <f t="shared" si="57"/>
        <v>#REF!</v>
      </c>
      <c r="L202" s="164" t="e">
        <f t="shared" si="55"/>
        <v>#REF!</v>
      </c>
      <c r="M202" s="105" t="e">
        <f t="shared" si="58"/>
        <v>#REF!</v>
      </c>
      <c r="N202" s="105" t="e">
        <f>VLOOKUP($A202,#REF!,46,FALSE)</f>
        <v>#REF!</v>
      </c>
      <c r="O202" s="106" t="e">
        <f>VLOOKUP($A202,#REF!,9,FALSE)</f>
        <v>#REF!</v>
      </c>
      <c r="P202" s="114" t="e">
        <f>#REF!</f>
        <v>#REF!</v>
      </c>
      <c r="Q202" s="114" t="e">
        <f>VLOOKUP(A202,#REF!,17,FALSE)</f>
        <v>#REF!</v>
      </c>
      <c r="R202" s="120" t="e">
        <f>#REF!</f>
        <v>#REF!</v>
      </c>
      <c r="S202" s="114" t="e">
        <f>IF(Q202=0,#REF!,ROUND(Q202*R202,4))</f>
        <v>#REF!</v>
      </c>
      <c r="T202" s="105" t="e">
        <f>VLOOKUP($A202,#REF!,15,FALSE)</f>
        <v>#REF!</v>
      </c>
      <c r="U202" s="105" t="e">
        <f>VLOOKUP($A202,#REF!,19,FALSE)</f>
        <v>#REF!</v>
      </c>
      <c r="V202" s="109" t="e">
        <f>IF($O202="NA","NA",ROUND(U202*(O202/P202),2))</f>
        <v>#REF!</v>
      </c>
      <c r="W202" s="121" t="e">
        <f t="shared" si="60"/>
        <v>#REF!</v>
      </c>
      <c r="X202" s="105" t="e">
        <f t="shared" si="61"/>
        <v>#REF!</v>
      </c>
      <c r="Y202" s="109" t="e">
        <f t="shared" si="62"/>
        <v>#REF!</v>
      </c>
      <c r="Z202" s="109" t="e">
        <f t="shared" si="63"/>
        <v>#REF!</v>
      </c>
      <c r="AA202" s="113" t="e">
        <f t="shared" si="64"/>
        <v>#REF!</v>
      </c>
      <c r="AB202" s="109" t="e">
        <f t="shared" si="65"/>
        <v>#REF!</v>
      </c>
      <c r="AC202" s="113" t="e">
        <f t="shared" si="66"/>
        <v>#REF!</v>
      </c>
      <c r="AD202" s="105" t="e">
        <f t="shared" si="67"/>
        <v>#REF!</v>
      </c>
      <c r="AE202" s="105" t="e">
        <f t="shared" si="68"/>
        <v>#REF!</v>
      </c>
      <c r="AF202" s="105" t="e">
        <f t="shared" si="69"/>
        <v>#REF!</v>
      </c>
      <c r="AG202" s="105" t="e">
        <f t="shared" si="70"/>
        <v>#REF!</v>
      </c>
      <c r="AH202" s="111" t="e">
        <f>VLOOKUP($A202,#REF!,5,FALSE)</f>
        <v>#REF!</v>
      </c>
      <c r="AI202" s="111" t="e">
        <f>VLOOKUP($A202,#REF!,6,FALSE)</f>
        <v>#REF!</v>
      </c>
      <c r="AJ202" s="109" t="e">
        <f t="shared" si="71"/>
        <v>#REF!</v>
      </c>
      <c r="AK202" s="109" t="e">
        <f t="shared" si="72"/>
        <v>#REF!</v>
      </c>
      <c r="AL202" s="109"/>
      <c r="AM202" s="110"/>
      <c r="AN202" s="110"/>
      <c r="AO202" s="110"/>
      <c r="AP202" s="110"/>
      <c r="AQ202" s="112"/>
      <c r="AR202" s="112"/>
      <c r="AS202" s="110"/>
      <c r="AT202" s="105"/>
      <c r="AU202" s="105"/>
      <c r="AV202" s="105"/>
      <c r="AW202" s="105"/>
      <c r="AX202" s="105"/>
      <c r="AY202" s="105"/>
    </row>
    <row r="203" spans="1:61" x14ac:dyDescent="0.15">
      <c r="A203" s="115">
        <v>386</v>
      </c>
      <c r="B203" s="98" t="e">
        <f>VLOOKUP($A203,#REF!,101,FALSE)</f>
        <v>#REF!</v>
      </c>
      <c r="C203" s="98" t="e">
        <f>VLOOKUP($A203,#REF!,102,FALSE)</f>
        <v>#REF!</v>
      </c>
      <c r="D203" s="104" t="e">
        <f>VLOOKUP($A203,#REF!,5,FALSE)</f>
        <v>#REF!</v>
      </c>
      <c r="E203" s="104" t="e">
        <f>VLOOKUP($A203,#REF!,6,FALSE)</f>
        <v>#REF!</v>
      </c>
      <c r="F203" s="105" t="e">
        <f>VLOOKUP($A203,#REF!,34,FALSE)</f>
        <v>#REF!</v>
      </c>
      <c r="G203" s="105" t="e">
        <f>VLOOKUP($A203,#REF!,29,FALSE)</f>
        <v>#REF!</v>
      </c>
      <c r="H203" s="105" t="e">
        <f>VLOOKUP($A203,#REF!,35,FALSE)+VLOOKUP($A203,#REF!,97,FALSE)</f>
        <v>#REF!</v>
      </c>
      <c r="I203" s="105" t="e">
        <f t="shared" si="56"/>
        <v>#REF!</v>
      </c>
      <c r="J203" s="105" t="e">
        <f>VLOOKUP($A203,#REF!,42,FALSE)</f>
        <v>#REF!</v>
      </c>
      <c r="K203" s="105" t="e">
        <f t="shared" si="57"/>
        <v>#REF!</v>
      </c>
      <c r="L203" s="164" t="e">
        <f t="shared" si="55"/>
        <v>#REF!</v>
      </c>
      <c r="M203" s="105" t="e">
        <f t="shared" si="58"/>
        <v>#REF!</v>
      </c>
      <c r="N203" s="105" t="e">
        <f>VLOOKUP($A203,#REF!,46,FALSE)</f>
        <v>#REF!</v>
      </c>
      <c r="O203" s="106" t="e">
        <f>VLOOKUP($A203,#REF!,9,FALSE)</f>
        <v>#REF!</v>
      </c>
      <c r="P203" s="114" t="e">
        <f>#REF!</f>
        <v>#REF!</v>
      </c>
      <c r="Q203" s="114" t="e">
        <f>VLOOKUP(A203,#REF!,17,FALSE)</f>
        <v>#REF!</v>
      </c>
      <c r="R203" s="120" t="e">
        <f>#REF!</f>
        <v>#REF!</v>
      </c>
      <c r="S203" s="114" t="e">
        <f>IF(Q203=0,#REF!,ROUND(Q203*R203,4))</f>
        <v>#REF!</v>
      </c>
      <c r="T203" s="105" t="e">
        <f>VLOOKUP($A203,#REF!,15,FALSE)</f>
        <v>#REF!</v>
      </c>
      <c r="U203" s="105" t="e">
        <f>VLOOKUP($A203,#REF!,19,FALSE)</f>
        <v>#REF!</v>
      </c>
      <c r="V203" s="109" t="e">
        <f t="shared" si="59"/>
        <v>#REF!</v>
      </c>
      <c r="W203" s="121" t="e">
        <f t="shared" si="60"/>
        <v>#REF!</v>
      </c>
      <c r="X203" s="105" t="e">
        <f t="shared" si="61"/>
        <v>#REF!</v>
      </c>
      <c r="Y203" s="109" t="e">
        <f t="shared" si="62"/>
        <v>#REF!</v>
      </c>
      <c r="Z203" s="109" t="e">
        <f t="shared" si="63"/>
        <v>#REF!</v>
      </c>
      <c r="AA203" s="113" t="e">
        <f t="shared" si="64"/>
        <v>#REF!</v>
      </c>
      <c r="AB203" s="109" t="e">
        <f t="shared" si="65"/>
        <v>#REF!</v>
      </c>
      <c r="AC203" s="113" t="e">
        <f t="shared" si="66"/>
        <v>#REF!</v>
      </c>
      <c r="AD203" s="105" t="e">
        <f t="shared" si="67"/>
        <v>#REF!</v>
      </c>
      <c r="AE203" s="105" t="e">
        <f t="shared" si="68"/>
        <v>#REF!</v>
      </c>
      <c r="AF203" s="105" t="e">
        <f t="shared" si="69"/>
        <v>#REF!</v>
      </c>
      <c r="AG203" s="105" t="e">
        <f t="shared" si="70"/>
        <v>#REF!</v>
      </c>
      <c r="AH203" s="111" t="e">
        <f>VLOOKUP($A203,#REF!,5,FALSE)</f>
        <v>#REF!</v>
      </c>
      <c r="AI203" s="111" t="e">
        <f>VLOOKUP($A203,#REF!,6,FALSE)</f>
        <v>#REF!</v>
      </c>
      <c r="AJ203" s="109" t="e">
        <f t="shared" si="71"/>
        <v>#REF!</v>
      </c>
      <c r="AK203" s="109" t="e">
        <f t="shared" si="72"/>
        <v>#REF!</v>
      </c>
      <c r="AL203" s="109"/>
      <c r="AM203" s="110"/>
      <c r="AN203" s="110"/>
      <c r="AO203" s="110"/>
      <c r="AP203" s="110"/>
      <c r="AQ203" s="112"/>
      <c r="AR203" s="112"/>
      <c r="AS203" s="110"/>
      <c r="AT203" s="105"/>
      <c r="AU203" s="105"/>
      <c r="AV203" s="105"/>
      <c r="AW203" s="105"/>
      <c r="AX203" s="105"/>
      <c r="AY203" s="105"/>
    </row>
    <row r="204" spans="1:61" x14ac:dyDescent="0.15">
      <c r="A204" s="115">
        <v>452</v>
      </c>
      <c r="B204" s="98" t="e">
        <f>VLOOKUP($A204,#REF!,101,FALSE)</f>
        <v>#REF!</v>
      </c>
      <c r="C204" s="98" t="e">
        <f>VLOOKUP($A204,#REF!,102,FALSE)</f>
        <v>#REF!</v>
      </c>
      <c r="D204" s="104" t="e">
        <f>VLOOKUP($A204,#REF!,5,FALSE)</f>
        <v>#REF!</v>
      </c>
      <c r="E204" s="104" t="e">
        <f>VLOOKUP($A204,#REF!,6,FALSE)</f>
        <v>#REF!</v>
      </c>
      <c r="F204" s="105" t="e">
        <f>VLOOKUP($A204,#REF!,34,FALSE)</f>
        <v>#REF!</v>
      </c>
      <c r="G204" s="105" t="e">
        <f>VLOOKUP($A204,#REF!,29,FALSE)</f>
        <v>#REF!</v>
      </c>
      <c r="H204" s="105" t="e">
        <f>VLOOKUP($A204,#REF!,35,FALSE)+VLOOKUP($A204,#REF!,97,FALSE)</f>
        <v>#REF!</v>
      </c>
      <c r="I204" s="105" t="e">
        <f t="shared" si="56"/>
        <v>#REF!</v>
      </c>
      <c r="J204" s="105" t="e">
        <f>VLOOKUP($A204,#REF!,42,FALSE)</f>
        <v>#REF!</v>
      </c>
      <c r="K204" s="105" t="e">
        <f t="shared" si="57"/>
        <v>#REF!</v>
      </c>
      <c r="L204" s="164" t="e">
        <f t="shared" si="55"/>
        <v>#REF!</v>
      </c>
      <c r="M204" s="105" t="e">
        <f t="shared" si="58"/>
        <v>#REF!</v>
      </c>
      <c r="N204" s="105" t="e">
        <f>VLOOKUP($A204,#REF!,46,FALSE)</f>
        <v>#REF!</v>
      </c>
      <c r="O204" s="106" t="e">
        <f>VLOOKUP($A204,#REF!,9,FALSE)</f>
        <v>#REF!</v>
      </c>
      <c r="P204" s="114" t="e">
        <f>#REF!</f>
        <v>#REF!</v>
      </c>
      <c r="Q204" s="114" t="e">
        <f>VLOOKUP(A204,#REF!,17,FALSE)</f>
        <v>#REF!</v>
      </c>
      <c r="R204" s="120" t="e">
        <f>#REF!</f>
        <v>#REF!</v>
      </c>
      <c r="S204" s="114" t="e">
        <f>IF(Q204=0,#REF!,ROUND(Q204*R204,4))</f>
        <v>#REF!</v>
      </c>
      <c r="T204" s="105" t="e">
        <f>VLOOKUP($A204,#REF!,15,FALSE)</f>
        <v>#REF!</v>
      </c>
      <c r="U204" s="105" t="e">
        <f>VLOOKUP($A204,#REF!,19,FALSE)</f>
        <v>#REF!</v>
      </c>
      <c r="V204" s="109" t="e">
        <f t="shared" si="59"/>
        <v>#REF!</v>
      </c>
      <c r="W204" s="121" t="e">
        <f t="shared" si="60"/>
        <v>#REF!</v>
      </c>
      <c r="X204" s="105" t="e">
        <f t="shared" si="61"/>
        <v>#REF!</v>
      </c>
      <c r="Y204" s="109" t="e">
        <f t="shared" si="62"/>
        <v>#REF!</v>
      </c>
      <c r="Z204" s="109" t="e">
        <f t="shared" si="63"/>
        <v>#REF!</v>
      </c>
      <c r="AA204" s="113" t="e">
        <f t="shared" si="64"/>
        <v>#REF!</v>
      </c>
      <c r="AB204" s="109" t="e">
        <f t="shared" si="65"/>
        <v>#REF!</v>
      </c>
      <c r="AC204" s="113" t="e">
        <f t="shared" si="66"/>
        <v>#REF!</v>
      </c>
      <c r="AD204" s="105" t="e">
        <f t="shared" si="67"/>
        <v>#REF!</v>
      </c>
      <c r="AE204" s="105" t="e">
        <f t="shared" si="68"/>
        <v>#REF!</v>
      </c>
      <c r="AF204" s="105" t="e">
        <f t="shared" si="69"/>
        <v>#REF!</v>
      </c>
      <c r="AG204" s="105" t="e">
        <f t="shared" si="70"/>
        <v>#REF!</v>
      </c>
      <c r="AH204" s="111" t="e">
        <f>VLOOKUP($A204,#REF!,5,FALSE)</f>
        <v>#REF!</v>
      </c>
      <c r="AI204" s="111" t="e">
        <f>VLOOKUP($A204,#REF!,6,FALSE)</f>
        <v>#REF!</v>
      </c>
      <c r="AJ204" s="109" t="e">
        <f t="shared" si="71"/>
        <v>#REF!</v>
      </c>
      <c r="AK204" s="109" t="e">
        <f t="shared" si="72"/>
        <v>#REF!</v>
      </c>
      <c r="AL204" s="109"/>
      <c r="AM204" s="110"/>
      <c r="AN204" s="110"/>
      <c r="AO204" s="110"/>
      <c r="AP204" s="110"/>
      <c r="AQ204" s="112"/>
      <c r="AR204" s="112"/>
      <c r="AS204" s="110"/>
      <c r="AT204" s="105"/>
      <c r="AU204" s="105"/>
      <c r="AV204" s="105"/>
      <c r="AW204" s="105"/>
      <c r="AX204" s="105"/>
      <c r="AY204" s="105"/>
    </row>
    <row r="205" spans="1:61" x14ac:dyDescent="0.15">
      <c r="A205" s="115">
        <v>454</v>
      </c>
      <c r="B205" s="98" t="e">
        <f>VLOOKUP($A205,#REF!,101,FALSE)</f>
        <v>#REF!</v>
      </c>
      <c r="C205" s="98" t="e">
        <f>VLOOKUP($A205,#REF!,102,FALSE)</f>
        <v>#REF!</v>
      </c>
      <c r="D205" s="104" t="e">
        <f>VLOOKUP($A205,#REF!,5,FALSE)</f>
        <v>#REF!</v>
      </c>
      <c r="E205" s="104" t="e">
        <f>VLOOKUP($A205,#REF!,6,FALSE)</f>
        <v>#REF!</v>
      </c>
      <c r="F205" s="105" t="e">
        <f>VLOOKUP($A205,#REF!,34,FALSE)</f>
        <v>#REF!</v>
      </c>
      <c r="G205" s="105" t="e">
        <f>VLOOKUP($A205,#REF!,29,FALSE)</f>
        <v>#REF!</v>
      </c>
      <c r="H205" s="105" t="e">
        <f>VLOOKUP($A205,#REF!,35,FALSE)+VLOOKUP($A205,#REF!,97,FALSE)</f>
        <v>#REF!</v>
      </c>
      <c r="I205" s="105" t="e">
        <f t="shared" si="56"/>
        <v>#REF!</v>
      </c>
      <c r="J205" s="105" t="e">
        <f>VLOOKUP($A205,#REF!,42,FALSE)</f>
        <v>#REF!</v>
      </c>
      <c r="K205" s="105" t="e">
        <f t="shared" si="57"/>
        <v>#REF!</v>
      </c>
      <c r="L205" s="164" t="e">
        <f t="shared" si="55"/>
        <v>#REF!</v>
      </c>
      <c r="M205" s="105" t="e">
        <f t="shared" si="58"/>
        <v>#REF!</v>
      </c>
      <c r="N205" s="105" t="e">
        <f>VLOOKUP($A205,#REF!,46,FALSE)</f>
        <v>#REF!</v>
      </c>
      <c r="O205" s="106" t="e">
        <f>VLOOKUP($A205,#REF!,9,FALSE)</f>
        <v>#REF!</v>
      </c>
      <c r="P205" s="114" t="e">
        <f>#REF!</f>
        <v>#REF!</v>
      </c>
      <c r="Q205" s="114" t="e">
        <f>VLOOKUP(A205,#REF!,17,FALSE)</f>
        <v>#REF!</v>
      </c>
      <c r="R205" s="120" t="e">
        <f>#REF!</f>
        <v>#REF!</v>
      </c>
      <c r="S205" s="114" t="e">
        <f>IF(Q205=0,#REF!,ROUND(Q205*R205,4))</f>
        <v>#REF!</v>
      </c>
      <c r="T205" s="105" t="e">
        <f>VLOOKUP($A205,#REF!,15,FALSE)</f>
        <v>#REF!</v>
      </c>
      <c r="U205" s="105" t="e">
        <f>VLOOKUP($A205,#REF!,19,FALSE)</f>
        <v>#REF!</v>
      </c>
      <c r="V205" s="109" t="e">
        <f t="shared" si="59"/>
        <v>#REF!</v>
      </c>
      <c r="W205" s="121" t="e">
        <f t="shared" si="60"/>
        <v>#REF!</v>
      </c>
      <c r="X205" s="105" t="e">
        <f t="shared" si="61"/>
        <v>#REF!</v>
      </c>
      <c r="Y205" s="109" t="e">
        <f t="shared" si="62"/>
        <v>#REF!</v>
      </c>
      <c r="Z205" s="109" t="e">
        <f t="shared" si="63"/>
        <v>#REF!</v>
      </c>
      <c r="AA205" s="113" t="e">
        <f t="shared" si="64"/>
        <v>#REF!</v>
      </c>
      <c r="AB205" s="109" t="e">
        <f t="shared" si="65"/>
        <v>#REF!</v>
      </c>
      <c r="AC205" s="113" t="e">
        <f t="shared" si="66"/>
        <v>#REF!</v>
      </c>
      <c r="AD205" s="105" t="e">
        <f t="shared" si="67"/>
        <v>#REF!</v>
      </c>
      <c r="AE205" s="105" t="e">
        <f t="shared" si="68"/>
        <v>#REF!</v>
      </c>
      <c r="AF205" s="105" t="e">
        <f t="shared" si="69"/>
        <v>#REF!</v>
      </c>
      <c r="AG205" s="105" t="e">
        <f t="shared" si="70"/>
        <v>#REF!</v>
      </c>
      <c r="AH205" s="111" t="e">
        <f>VLOOKUP($A205,#REF!,5,FALSE)</f>
        <v>#REF!</v>
      </c>
      <c r="AI205" s="111" t="e">
        <f>VLOOKUP($A205,#REF!,6,FALSE)</f>
        <v>#REF!</v>
      </c>
      <c r="AJ205" s="109" t="e">
        <f t="shared" si="71"/>
        <v>#REF!</v>
      </c>
      <c r="AK205" s="109" t="e">
        <f t="shared" si="72"/>
        <v>#REF!</v>
      </c>
      <c r="AL205" s="109"/>
      <c r="AM205" s="110"/>
      <c r="AN205" s="110"/>
      <c r="AO205" s="110"/>
      <c r="AP205" s="110"/>
      <c r="AQ205" s="112"/>
      <c r="AR205" s="112"/>
      <c r="AS205" s="110"/>
      <c r="AT205" s="105"/>
      <c r="AU205" s="105"/>
      <c r="AV205" s="105"/>
      <c r="AW205" s="105"/>
      <c r="AX205" s="105"/>
      <c r="AY205" s="105"/>
    </row>
    <row r="206" spans="1:61" x14ac:dyDescent="0.15">
      <c r="A206" s="115">
        <v>458</v>
      </c>
      <c r="B206" s="98" t="e">
        <f>VLOOKUP($A206,#REF!,101,FALSE)</f>
        <v>#REF!</v>
      </c>
      <c r="C206" s="98" t="e">
        <f>VLOOKUP($A206,#REF!,102,FALSE)</f>
        <v>#REF!</v>
      </c>
      <c r="D206" s="104" t="e">
        <f>VLOOKUP($A206,#REF!,5,FALSE)</f>
        <v>#REF!</v>
      </c>
      <c r="E206" s="104" t="e">
        <f>VLOOKUP($A206,#REF!,6,FALSE)</f>
        <v>#REF!</v>
      </c>
      <c r="F206" s="105" t="e">
        <f>VLOOKUP($A206,#REF!,34,FALSE)</f>
        <v>#REF!</v>
      </c>
      <c r="G206" s="105" t="e">
        <f>VLOOKUP($A206,#REF!,29,FALSE)</f>
        <v>#REF!</v>
      </c>
      <c r="H206" s="105" t="e">
        <f>VLOOKUP($A206,#REF!,35,FALSE)+VLOOKUP($A206,#REF!,97,FALSE)</f>
        <v>#REF!</v>
      </c>
      <c r="I206" s="105" t="e">
        <f t="shared" si="56"/>
        <v>#REF!</v>
      </c>
      <c r="J206" s="105" t="e">
        <f>VLOOKUP($A206,#REF!,42,FALSE)</f>
        <v>#REF!</v>
      </c>
      <c r="K206" s="105" t="e">
        <f t="shared" si="57"/>
        <v>#REF!</v>
      </c>
      <c r="L206" s="164" t="e">
        <f t="shared" si="55"/>
        <v>#REF!</v>
      </c>
      <c r="M206" s="105" t="e">
        <f t="shared" si="58"/>
        <v>#REF!</v>
      </c>
      <c r="N206" s="105" t="e">
        <f>VLOOKUP($A206,#REF!,46,FALSE)</f>
        <v>#REF!</v>
      </c>
      <c r="O206" s="106" t="e">
        <f>VLOOKUP($A206,#REF!,9,FALSE)</f>
        <v>#REF!</v>
      </c>
      <c r="P206" s="114" t="e">
        <f>#REF!</f>
        <v>#REF!</v>
      </c>
      <c r="Q206" s="114" t="e">
        <f>VLOOKUP(A206,#REF!,17,FALSE)</f>
        <v>#REF!</v>
      </c>
      <c r="R206" s="120" t="e">
        <f>#REF!</f>
        <v>#REF!</v>
      </c>
      <c r="S206" s="114" t="e">
        <f>IF(Q206=0,#REF!,ROUND(Q206*R206,4))</f>
        <v>#REF!</v>
      </c>
      <c r="T206" s="105" t="e">
        <f>VLOOKUP($A206,#REF!,15,FALSE)</f>
        <v>#REF!</v>
      </c>
      <c r="U206" s="105" t="e">
        <f>VLOOKUP($A206,#REF!,19,FALSE)</f>
        <v>#REF!</v>
      </c>
      <c r="V206" s="109" t="e">
        <f t="shared" si="59"/>
        <v>#REF!</v>
      </c>
      <c r="W206" s="121" t="e">
        <f t="shared" si="60"/>
        <v>#REF!</v>
      </c>
      <c r="X206" s="105" t="e">
        <f t="shared" si="61"/>
        <v>#REF!</v>
      </c>
      <c r="Y206" s="109" t="e">
        <f t="shared" si="62"/>
        <v>#REF!</v>
      </c>
      <c r="Z206" s="109" t="e">
        <f t="shared" si="63"/>
        <v>#REF!</v>
      </c>
      <c r="AA206" s="113" t="e">
        <f t="shared" si="64"/>
        <v>#REF!</v>
      </c>
      <c r="AB206" s="109" t="e">
        <f t="shared" si="65"/>
        <v>#REF!</v>
      </c>
      <c r="AC206" s="113" t="e">
        <f t="shared" si="66"/>
        <v>#REF!</v>
      </c>
      <c r="AD206" s="105" t="e">
        <f t="shared" si="67"/>
        <v>#REF!</v>
      </c>
      <c r="AE206" s="105" t="e">
        <f t="shared" si="68"/>
        <v>#REF!</v>
      </c>
      <c r="AF206" s="105" t="e">
        <f t="shared" si="69"/>
        <v>#REF!</v>
      </c>
      <c r="AG206" s="105" t="e">
        <f t="shared" si="70"/>
        <v>#REF!</v>
      </c>
      <c r="AH206" s="111" t="e">
        <f>VLOOKUP($A206,#REF!,5,FALSE)</f>
        <v>#REF!</v>
      </c>
      <c r="AI206" s="111" t="e">
        <f>VLOOKUP($A206,#REF!,6,FALSE)</f>
        <v>#REF!</v>
      </c>
      <c r="AJ206" s="109" t="e">
        <f t="shared" si="71"/>
        <v>#REF!</v>
      </c>
      <c r="AK206" s="109" t="e">
        <f t="shared" si="72"/>
        <v>#REF!</v>
      </c>
      <c r="AL206" s="109"/>
      <c r="AM206" s="110"/>
      <c r="AN206" s="110"/>
      <c r="AO206" s="110"/>
      <c r="AP206" s="110"/>
      <c r="AQ206" s="112"/>
      <c r="AR206" s="112"/>
      <c r="AS206" s="110"/>
      <c r="AT206" s="105"/>
      <c r="AU206" s="105"/>
      <c r="AV206" s="105"/>
      <c r="AW206" s="105"/>
      <c r="AX206" s="105"/>
      <c r="AY206" s="105"/>
    </row>
    <row r="207" spans="1:61" x14ac:dyDescent="0.15">
      <c r="A207" s="103"/>
      <c r="D207" s="104"/>
      <c r="E207" s="104"/>
      <c r="W207" s="104"/>
      <c r="Z207" s="105"/>
      <c r="AB207" s="108"/>
      <c r="AC207" s="108"/>
      <c r="AD207" s="107"/>
      <c r="AE207" s="105"/>
      <c r="AF207" s="106"/>
      <c r="AG207" s="106"/>
      <c r="AH207" s="111"/>
      <c r="AI207" s="105"/>
      <c r="AJ207" s="105"/>
      <c r="AK207" s="109"/>
      <c r="AL207" s="109"/>
      <c r="AM207" s="111"/>
      <c r="AN207" s="109"/>
      <c r="AO207" s="109"/>
      <c r="AP207" s="105"/>
      <c r="AQ207" s="105"/>
      <c r="AR207" s="109"/>
      <c r="AS207" s="110"/>
      <c r="AT207" s="110"/>
      <c r="AU207" s="110"/>
      <c r="AV207" s="110"/>
      <c r="AW207" s="110"/>
      <c r="AX207" s="112"/>
      <c r="AY207" s="112"/>
      <c r="AZ207" s="110"/>
      <c r="BA207" s="105"/>
      <c r="BB207" s="105"/>
      <c r="BC207" s="105"/>
      <c r="BD207" s="105"/>
      <c r="BE207" s="105"/>
      <c r="BF207" s="105"/>
    </row>
    <row r="208" spans="1:61" x14ac:dyDescent="0.15">
      <c r="E208" s="104"/>
      <c r="AB208" s="108"/>
      <c r="AC208" s="108"/>
      <c r="AD208" s="107"/>
      <c r="AH208" s="111"/>
      <c r="AI208" s="105"/>
      <c r="AJ208" s="105"/>
      <c r="AK208" s="109"/>
      <c r="AL208" s="109"/>
      <c r="AN208" s="107"/>
      <c r="AO208" s="107"/>
      <c r="AR208" s="107"/>
      <c r="AS208" s="107"/>
      <c r="AT208" s="105"/>
      <c r="AU208" s="105"/>
      <c r="AV208" s="105"/>
      <c r="AX208" s="108"/>
      <c r="AY208" s="108"/>
      <c r="AZ208" s="107"/>
      <c r="BG208" s="98">
        <f>SUM(AZ3:AZ206)</f>
        <v>0</v>
      </c>
      <c r="BH208" s="98">
        <f>SUM(BA3:BA206)</f>
        <v>0</v>
      </c>
      <c r="BI208" s="98">
        <f>SUM(BB3:BB206)</f>
        <v>0</v>
      </c>
    </row>
    <row r="209" spans="1:38" ht="140" x14ac:dyDescent="0.15">
      <c r="B209" s="354" t="s">
        <v>815</v>
      </c>
      <c r="C209" s="354"/>
      <c r="D209" s="99" t="s">
        <v>320</v>
      </c>
      <c r="E209" s="99" t="s">
        <v>321</v>
      </c>
      <c r="F209" s="99" t="str">
        <f>VLOOKUP(F210,'Vent Profile'!$A$224:$E$251,2,FALSE)</f>
        <v>Administrative and Routine (See July 2024 Rate Letter)</v>
      </c>
      <c r="G209" s="99" t="str">
        <f>VLOOKUP(G210,'Vent Profile'!$A$224:$E$251,2,FALSE)</f>
        <v>Other Patient Care (See July 2024 Rate Letter)</v>
      </c>
      <c r="H209" s="99" t="str">
        <f>VLOOKUP(H210,'Vent Profile'!$A$224:$E$251,2,FALSE)</f>
        <v>Capital (See July 2024 Rate Letter)</v>
      </c>
      <c r="I209" s="99" t="str">
        <f>VLOOKUP(I210,'Vent Profile'!$A$224:$E$251,2,FALSE)</f>
        <v>Nursing Service (Line 18)</v>
      </c>
      <c r="J209" s="99" t="str">
        <f>VLOOKUP(J210,'Vent Profile'!$A$224:$E$251,2,FALSE)</f>
        <v>Total Kosher Kitchen Add On (See July 2024 Rate Letter)</v>
      </c>
      <c r="K209" s="99" t="str">
        <f>VLOOKUP(K210,'Vent Profile'!$A$224:$E$251,2,FALSE)</f>
        <v xml:space="preserve">   Total Rate for All Levels (Sum of Lines 1 - 5) </v>
      </c>
      <c r="L209" s="99" t="str">
        <f>VLOOKUP(L210,'Vent Profile'!$A$224:$E$251,2,FALSE)</f>
        <v>Budget Adjustment Factor</v>
      </c>
      <c r="M209" s="99" t="str">
        <f>VLOOKUP(M210,'Vent Profile'!$A$224:$E$251,2,FALSE)</f>
        <v xml:space="preserve">   Final Adjusted Rate  (Line 6 x Line 7)</v>
      </c>
      <c r="N209" s="99" t="s">
        <v>313</v>
      </c>
      <c r="O209" s="99" t="s">
        <v>314</v>
      </c>
      <c r="P209" s="99" t="str">
        <f>VLOOKUP(P210,'Vent Profile'!$A$224:$E$251,2,FALSE)</f>
        <v>Quality Assessment Add On</v>
      </c>
      <c r="Q209" s="99" t="str">
        <f>VLOOKUP(Q210,'Vent Profile'!$A$224:$E$251,2,FALSE)</f>
        <v>Cost Report Period CMI (See July 2024 letter)</v>
      </c>
      <c r="R209" s="99" t="str">
        <f>VLOOKUP(R210,'Vent Profile'!$A$224:$E$251,2,FALSE)</f>
        <v>Statewide Average CMI</v>
      </c>
      <c r="S209" s="99" t="str">
        <f>VLOOKUP(S210,'Vent Profile'!$A$224:$E$251,2,FALSE)</f>
        <v>Quarter Ending 12/31/2024 Facility Average Medicaid CMI</v>
      </c>
      <c r="T209" s="99" t="str">
        <f>VLOOKUP(T210,'Vent Profile'!$A$224:$E$251,2,FALSE)</f>
        <v>Indexed Nursing Service Cost Per Diem (See July 2024 Rate Letter)</v>
      </c>
      <c r="U209" s="99" t="str">
        <f>VLOOKUP(U210,'Vent Profile'!$A$224:$E$251,2,FALSE)</f>
        <v>Indexed Regional Price (See July 2024 Rate Letter)</v>
      </c>
      <c r="V209" s="99" t="str">
        <f>VLOOKUP(V210,'Vent Profile'!$A$224:$E$251,2,FALSE)</f>
        <v>Adjusted to Facility Total Facility CMI (Line 14 x Line 10 ÷ Line 11)</v>
      </c>
      <c r="W209" s="99" t="str">
        <f>VLOOKUP(W210,'Vent Profile'!$A$224:$E$251,2,FALSE)</f>
        <v>Initial Nursing Service Rate (Line 15 x Line 12 ÷ Line 10)</v>
      </c>
      <c r="X209" s="99" t="str">
        <f>VLOOKUP(X210,'Vent Profile'!$A$224:$E$251,2,FALSE)</f>
        <v>Less Positive Difference Between Line 20 and Initial Nursing Service Rate (max(0,Line 21))</v>
      </c>
      <c r="Y209" s="99" t="str">
        <f>VLOOKUP(Y210,'Vent Profile'!$A$224:$E$251,2,FALSE)</f>
        <v>Final Nursing Service Rate Per Day (Line 16 + Line 17)</v>
      </c>
      <c r="Z209" s="99" t="str">
        <f>VLOOKUP(Z210,'Vent Profile'!$A$224:$E$251,2,FALSE)</f>
        <v>Medicaid Adjusted Nursing Service Cost Per Diem (Line 13 x Line 12 ÷ Line 10)</v>
      </c>
      <c r="AA209" s="99" t="str">
        <f>VLOOKUP(AA210,'Vent Profile'!$A$224:$E$251,2,FALSE)</f>
        <v>95% of Initial Nursing Service Rate (Line 16 x .95)</v>
      </c>
      <c r="AB209" s="99" t="str">
        <f>VLOOKUP(AB210,'Vent Profile'!$A$224:$E$251,2,FALSE)</f>
        <v>Difference Between Line 20 and Medicaid Adjusted Nursing Service Cost Per Diem (Line 20 - Line 19)</v>
      </c>
      <c r="AC209" s="99" t="s">
        <v>807</v>
      </c>
      <c r="AD209" s="99" t="s">
        <v>797</v>
      </c>
      <c r="AE209" s="99" t="s">
        <v>808</v>
      </c>
      <c r="AF209" s="99"/>
      <c r="AG209" s="99"/>
      <c r="AH209" s="111"/>
      <c r="AI209" s="105"/>
      <c r="AJ209" s="105"/>
      <c r="AK209" s="109"/>
      <c r="AL209" s="109"/>
    </row>
    <row r="210" spans="1:38" x14ac:dyDescent="0.15">
      <c r="A210" s="101" t="s">
        <v>145</v>
      </c>
      <c r="B210" s="101" t="s">
        <v>325</v>
      </c>
      <c r="C210" s="101" t="s">
        <v>265</v>
      </c>
      <c r="D210" s="101"/>
      <c r="E210" s="104" t="s">
        <v>326</v>
      </c>
      <c r="F210" s="101">
        <v>1</v>
      </c>
      <c r="G210" s="101">
        <f>+F210+1</f>
        <v>2</v>
      </c>
      <c r="H210" s="101">
        <f t="shared" ref="H210:K210" si="73">+G210+1</f>
        <v>3</v>
      </c>
      <c r="I210" s="101">
        <f t="shared" si="73"/>
        <v>4</v>
      </c>
      <c r="J210" s="101">
        <f t="shared" si="73"/>
        <v>5</v>
      </c>
      <c r="K210" s="101">
        <f t="shared" si="73"/>
        <v>6</v>
      </c>
      <c r="L210" s="101">
        <v>7</v>
      </c>
      <c r="M210" s="101">
        <v>8</v>
      </c>
      <c r="N210" s="101" t="s">
        <v>538</v>
      </c>
      <c r="O210" s="101" t="s">
        <v>539</v>
      </c>
      <c r="P210" s="101">
        <v>9</v>
      </c>
      <c r="Q210" s="101">
        <f>+P210+1</f>
        <v>10</v>
      </c>
      <c r="R210" s="101">
        <f t="shared" ref="R210:AB210" si="74">+Q210+1</f>
        <v>11</v>
      </c>
      <c r="S210" s="101">
        <f>+R210+1</f>
        <v>12</v>
      </c>
      <c r="T210" s="101">
        <f t="shared" si="74"/>
        <v>13</v>
      </c>
      <c r="U210" s="101">
        <f t="shared" si="74"/>
        <v>14</v>
      </c>
      <c r="V210" s="101">
        <f t="shared" si="74"/>
        <v>15</v>
      </c>
      <c r="W210" s="101">
        <f t="shared" si="74"/>
        <v>16</v>
      </c>
      <c r="X210" s="101">
        <f t="shared" si="74"/>
        <v>17</v>
      </c>
      <c r="Y210" s="101">
        <f t="shared" si="74"/>
        <v>18</v>
      </c>
      <c r="Z210" s="101">
        <f t="shared" si="74"/>
        <v>19</v>
      </c>
      <c r="AA210" s="101">
        <f t="shared" si="74"/>
        <v>20</v>
      </c>
      <c r="AB210" s="101">
        <f t="shared" si="74"/>
        <v>21</v>
      </c>
      <c r="AH210" s="111"/>
      <c r="AI210" s="105"/>
      <c r="AJ210" s="105"/>
      <c r="AK210" s="109"/>
      <c r="AL210" s="109"/>
    </row>
    <row r="211" spans="1:38" x14ac:dyDescent="0.15">
      <c r="A211" s="115">
        <v>741</v>
      </c>
      <c r="B211" s="98" t="e">
        <f>VLOOKUP($A211,#REF!,101,FALSE)</f>
        <v>#REF!</v>
      </c>
      <c r="C211" s="98" t="e">
        <f>VLOOKUP($A211,#REF!,102,FALSE)</f>
        <v>#REF!</v>
      </c>
      <c r="D211" s="98" t="e">
        <f>VLOOKUP($A211,#REF!,5,FALSE)</f>
        <v>#REF!</v>
      </c>
      <c r="E211" s="98" t="e">
        <f>VLOOKUP($A211,#REF!,6,FALSE)</f>
        <v>#REF!</v>
      </c>
      <c r="F211" s="105" t="e">
        <f>VLOOKUP($A211,#REF!,34,FALSE)</f>
        <v>#REF!</v>
      </c>
      <c r="G211" s="105" t="e">
        <f>VLOOKUP($A211,#REF!,29,FALSE)</f>
        <v>#REF!</v>
      </c>
      <c r="H211" s="105" t="e">
        <f>VLOOKUP($A211,#REF!,35,FALSE)+VLOOKUP($A211,#REF!,97,FALSE)</f>
        <v>#REF!</v>
      </c>
      <c r="I211" s="105" t="e">
        <f>+Y211</f>
        <v>#REF!</v>
      </c>
      <c r="J211" s="105" t="e">
        <f>VLOOKUP($A211,#REF!,42,FALSE)</f>
        <v>#REF!</v>
      </c>
      <c r="K211" s="105" t="e">
        <f>SUM(F211:J211)</f>
        <v>#REF!</v>
      </c>
      <c r="L211" s="164" t="e">
        <f t="shared" ref="L211:L228" si="75">+BAF</f>
        <v>#REF!</v>
      </c>
      <c r="M211" s="105" t="e">
        <f>ROUND(K211*L211,2)</f>
        <v>#REF!</v>
      </c>
      <c r="N211" s="105">
        <v>285</v>
      </c>
      <c r="O211" s="105" t="e">
        <f>+M211+N211</f>
        <v>#REF!</v>
      </c>
      <c r="P211" s="105" t="e">
        <f>VLOOKUP($A211,#REF!,46,FALSE)</f>
        <v>#REF!</v>
      </c>
      <c r="Q211" s="106" t="e">
        <f>VLOOKUP($A211,#REF!,9,FALSE)</f>
        <v>#REF!</v>
      </c>
      <c r="R211" s="114" t="e">
        <f>#REF!</f>
        <v>#REF!</v>
      </c>
      <c r="S211" s="114" t="e">
        <f>VLOOKUP($A211,#REF!,21,FALSE)</f>
        <v>#REF!</v>
      </c>
      <c r="T211" s="105" t="e">
        <f>VLOOKUP($A211,#REF!,15,FALSE)</f>
        <v>#REF!</v>
      </c>
      <c r="U211" s="105" t="e">
        <f>VLOOKUP($A211,#REF!,19,FALSE)</f>
        <v>#REF!</v>
      </c>
      <c r="V211" s="109" t="e">
        <f>IF($Q211="NA","NA",ROUND(U211*(Q211/R211),2))</f>
        <v>#REF!</v>
      </c>
      <c r="W211" s="121" t="e">
        <f>IF(Q211="NA",ROUND(U211*S211,2),ROUND(V211*(S211/Q211),2))</f>
        <v>#REF!</v>
      </c>
      <c r="X211" s="105" t="e">
        <f>IF(Q211="NA","NA",ROUND(MAX(0,AB211)*-1,2))</f>
        <v>#REF!</v>
      </c>
      <c r="Y211" s="113" t="e">
        <f>IF(Q211="NA",W211,W211+X211)</f>
        <v>#REF!</v>
      </c>
      <c r="Z211" s="109" t="e">
        <f>IF(Q211="NA","NA",ROUND(T211*(S211/Q211),2))</f>
        <v>#REF!</v>
      </c>
      <c r="AA211" s="113" t="e">
        <f>IF(Q211="NA","NA",ROUND(W211*0.95,2))</f>
        <v>#REF!</v>
      </c>
      <c r="AB211" s="109" t="e">
        <f>IF(Q211="NA","NA",AA211-Z211)</f>
        <v>#REF!</v>
      </c>
      <c r="AC211" s="109" t="e">
        <f>+O211+P211</f>
        <v>#REF!</v>
      </c>
      <c r="AD211" s="110" t="e">
        <f>VLOOKUP(A211,#REF!,5,FALSE)</f>
        <v>#REF!</v>
      </c>
      <c r="AE211" s="111" t="e">
        <f>ROUND((AD211*0.5)+(AC211*0.5),2)</f>
        <v>#REF!</v>
      </c>
      <c r="AG211" s="105"/>
      <c r="AH211" s="111"/>
      <c r="AI211" s="105"/>
      <c r="AJ211" s="105"/>
      <c r="AK211" s="109"/>
      <c r="AL211" s="109"/>
    </row>
    <row r="212" spans="1:38" x14ac:dyDescent="0.15">
      <c r="A212" s="115">
        <v>58</v>
      </c>
      <c r="B212" s="98" t="e">
        <f>VLOOKUP($A212,#REF!,101,FALSE)</f>
        <v>#REF!</v>
      </c>
      <c r="C212" s="98" t="e">
        <f>VLOOKUP($A212,#REF!,102,FALSE)</f>
        <v>#REF!</v>
      </c>
      <c r="D212" s="98" t="e">
        <f>VLOOKUP($A212,#REF!,5,FALSE)</f>
        <v>#REF!</v>
      </c>
      <c r="E212" s="98" t="e">
        <f>VLOOKUP($A212,#REF!,6,FALSE)</f>
        <v>#REF!</v>
      </c>
      <c r="F212" s="105" t="e">
        <f>VLOOKUP($A212,#REF!,34,FALSE)</f>
        <v>#REF!</v>
      </c>
      <c r="G212" s="105" t="e">
        <f>VLOOKUP($A212,#REF!,29,FALSE)</f>
        <v>#REF!</v>
      </c>
      <c r="H212" s="105" t="e">
        <f>VLOOKUP($A212,#REF!,35,FALSE)+VLOOKUP($A212,#REF!,97,FALSE)</f>
        <v>#REF!</v>
      </c>
      <c r="I212" s="105" t="e">
        <f t="shared" ref="I212:I228" si="76">+Y212</f>
        <v>#REF!</v>
      </c>
      <c r="J212" s="105" t="e">
        <f>VLOOKUP($A212,#REF!,42,FALSE)</f>
        <v>#REF!</v>
      </c>
      <c r="K212" s="105" t="e">
        <f t="shared" ref="K212:K228" si="77">SUM(F212:J212)</f>
        <v>#REF!</v>
      </c>
      <c r="L212" s="164" t="e">
        <f t="shared" si="75"/>
        <v>#REF!</v>
      </c>
      <c r="M212" s="105" t="e">
        <f t="shared" ref="M212:M228" si="78">ROUND(K212*L212,2)</f>
        <v>#REF!</v>
      </c>
      <c r="N212" s="105">
        <v>285</v>
      </c>
      <c r="O212" s="105" t="e">
        <f t="shared" ref="O212:O228" si="79">+M212+N212</f>
        <v>#REF!</v>
      </c>
      <c r="P212" s="105" t="e">
        <f>VLOOKUP($A212,#REF!,46,FALSE)</f>
        <v>#REF!</v>
      </c>
      <c r="Q212" s="106" t="e">
        <f>VLOOKUP($A212,#REF!,9,FALSE)</f>
        <v>#REF!</v>
      </c>
      <c r="R212" s="114" t="e">
        <f>#REF!</f>
        <v>#REF!</v>
      </c>
      <c r="S212" s="114" t="e">
        <f>VLOOKUP($A212,#REF!,21,FALSE)</f>
        <v>#REF!</v>
      </c>
      <c r="T212" s="105" t="e">
        <f>VLOOKUP($A212,#REF!,15,FALSE)</f>
        <v>#REF!</v>
      </c>
      <c r="U212" s="105" t="e">
        <f>VLOOKUP($A212,#REF!,19,FALSE)</f>
        <v>#REF!</v>
      </c>
      <c r="V212" s="109" t="e">
        <f t="shared" ref="V212:V228" si="80">IF($Q212="NA","NA",ROUND(U212*(Q212/R212),2))</f>
        <v>#REF!</v>
      </c>
      <c r="W212" s="121" t="e">
        <f t="shared" ref="W212:W228" si="81">IF(Q212="NA",ROUND(U212*S212,2),ROUND(V212*(S212/Q212),2))</f>
        <v>#REF!</v>
      </c>
      <c r="X212" s="105" t="e">
        <f t="shared" ref="X212:X228" si="82">IF(Q212="NA","NA",ROUND(MAX(0,AB212)*-1,2))</f>
        <v>#REF!</v>
      </c>
      <c r="Y212" s="113" t="e">
        <f t="shared" ref="Y212:Y228" si="83">IF(Q212="NA",W212,W212+X212)</f>
        <v>#REF!</v>
      </c>
      <c r="Z212" s="109" t="e">
        <f t="shared" ref="Z212:Z228" si="84">IF(Q212="NA","NA",ROUND(T212*(S212/Q212),2))</f>
        <v>#REF!</v>
      </c>
      <c r="AA212" s="113" t="e">
        <f t="shared" ref="AA212:AA228" si="85">IF(Q212="NA","NA",ROUND(W212*0.95,2))</f>
        <v>#REF!</v>
      </c>
      <c r="AB212" s="109" t="e">
        <f t="shared" ref="AB212:AB228" si="86">IF(Q212="NA","NA",AA212-Z212)</f>
        <v>#REF!</v>
      </c>
      <c r="AC212" s="109" t="e">
        <f t="shared" ref="AC212:AC228" si="87">+O212+P212</f>
        <v>#REF!</v>
      </c>
      <c r="AD212" s="110" t="e">
        <f>VLOOKUP(A212,#REF!,5,FALSE)</f>
        <v>#REF!</v>
      </c>
      <c r="AE212" s="111" t="e">
        <f t="shared" ref="AE212:AE228" si="88">ROUND((AD212*0.5)+(AC212*0.5),2)</f>
        <v>#REF!</v>
      </c>
      <c r="AG212" s="105"/>
      <c r="AH212" s="111"/>
      <c r="AI212" s="105"/>
      <c r="AJ212" s="105"/>
      <c r="AK212" s="109"/>
      <c r="AL212" s="109"/>
    </row>
    <row r="213" spans="1:38" x14ac:dyDescent="0.15">
      <c r="A213" s="115">
        <v>108</v>
      </c>
      <c r="B213" s="98" t="e">
        <f>VLOOKUP($A213,#REF!,101,FALSE)</f>
        <v>#REF!</v>
      </c>
      <c r="C213" s="98" t="e">
        <f>VLOOKUP($A213,#REF!,102,FALSE)</f>
        <v>#REF!</v>
      </c>
      <c r="D213" s="98" t="e">
        <f>VLOOKUP($A213,#REF!,5,FALSE)</f>
        <v>#REF!</v>
      </c>
      <c r="E213" s="98" t="e">
        <f>VLOOKUP($A213,#REF!,6,FALSE)</f>
        <v>#REF!</v>
      </c>
      <c r="F213" s="105" t="e">
        <f>VLOOKUP($A213,#REF!,34,FALSE)</f>
        <v>#REF!</v>
      </c>
      <c r="G213" s="105" t="e">
        <f>VLOOKUP($A213,#REF!,29,FALSE)</f>
        <v>#REF!</v>
      </c>
      <c r="H213" s="105" t="e">
        <f>VLOOKUP($A213,#REF!,35,FALSE)+VLOOKUP($A213,#REF!,97,FALSE)</f>
        <v>#REF!</v>
      </c>
      <c r="I213" s="105" t="e">
        <f t="shared" si="76"/>
        <v>#REF!</v>
      </c>
      <c r="J213" s="105" t="e">
        <f>VLOOKUP($A213,#REF!,42,FALSE)</f>
        <v>#REF!</v>
      </c>
      <c r="K213" s="105" t="e">
        <f t="shared" si="77"/>
        <v>#REF!</v>
      </c>
      <c r="L213" s="164" t="e">
        <f t="shared" si="75"/>
        <v>#REF!</v>
      </c>
      <c r="M213" s="105" t="e">
        <f t="shared" si="78"/>
        <v>#REF!</v>
      </c>
      <c r="N213" s="105">
        <v>285</v>
      </c>
      <c r="O213" s="105" t="e">
        <f t="shared" si="79"/>
        <v>#REF!</v>
      </c>
      <c r="P213" s="105" t="e">
        <f>VLOOKUP($A213,#REF!,46,FALSE)</f>
        <v>#REF!</v>
      </c>
      <c r="Q213" s="106" t="e">
        <f>VLOOKUP($A213,#REF!,9,FALSE)</f>
        <v>#REF!</v>
      </c>
      <c r="R213" s="114" t="e">
        <f>#REF!</f>
        <v>#REF!</v>
      </c>
      <c r="S213" s="114" t="e">
        <f>VLOOKUP($A213,#REF!,21,FALSE)</f>
        <v>#REF!</v>
      </c>
      <c r="T213" s="105" t="e">
        <f>VLOOKUP($A213,#REF!,15,FALSE)</f>
        <v>#REF!</v>
      </c>
      <c r="U213" s="105" t="e">
        <f>VLOOKUP($A213,#REF!,19,FALSE)</f>
        <v>#REF!</v>
      </c>
      <c r="V213" s="109" t="e">
        <f t="shared" si="80"/>
        <v>#REF!</v>
      </c>
      <c r="W213" s="121" t="e">
        <f t="shared" si="81"/>
        <v>#REF!</v>
      </c>
      <c r="X213" s="105" t="e">
        <f t="shared" si="82"/>
        <v>#REF!</v>
      </c>
      <c r="Y213" s="113" t="e">
        <f t="shared" si="83"/>
        <v>#REF!</v>
      </c>
      <c r="Z213" s="109" t="e">
        <f t="shared" si="84"/>
        <v>#REF!</v>
      </c>
      <c r="AA213" s="113" t="e">
        <f t="shared" si="85"/>
        <v>#REF!</v>
      </c>
      <c r="AB213" s="109" t="e">
        <f t="shared" si="86"/>
        <v>#REF!</v>
      </c>
      <c r="AC213" s="109" t="e">
        <f t="shared" si="87"/>
        <v>#REF!</v>
      </c>
      <c r="AD213" s="110" t="e">
        <f>VLOOKUP(A213,#REF!,5,FALSE)</f>
        <v>#REF!</v>
      </c>
      <c r="AE213" s="111" t="e">
        <f t="shared" si="88"/>
        <v>#REF!</v>
      </c>
      <c r="AG213" s="105"/>
      <c r="AH213" s="111"/>
      <c r="AI213" s="105"/>
      <c r="AJ213" s="105"/>
      <c r="AK213" s="109"/>
      <c r="AL213" s="109"/>
    </row>
    <row r="214" spans="1:38" x14ac:dyDescent="0.15">
      <c r="A214" s="115">
        <v>118</v>
      </c>
      <c r="B214" s="98" t="e">
        <f>VLOOKUP($A214,#REF!,101,FALSE)</f>
        <v>#REF!</v>
      </c>
      <c r="C214" s="98" t="e">
        <f>VLOOKUP($A214,#REF!,102,FALSE)</f>
        <v>#REF!</v>
      </c>
      <c r="D214" s="98" t="e">
        <f>VLOOKUP($A214,#REF!,5,FALSE)</f>
        <v>#REF!</v>
      </c>
      <c r="E214" s="98" t="e">
        <f>VLOOKUP($A214,#REF!,6,FALSE)</f>
        <v>#REF!</v>
      </c>
      <c r="F214" s="105" t="e">
        <f>VLOOKUP($A214,#REF!,34,FALSE)</f>
        <v>#REF!</v>
      </c>
      <c r="G214" s="105" t="e">
        <f>VLOOKUP($A214,#REF!,29,FALSE)</f>
        <v>#REF!</v>
      </c>
      <c r="H214" s="105" t="e">
        <f>VLOOKUP($A214,#REF!,35,FALSE)+VLOOKUP($A214,#REF!,97,FALSE)</f>
        <v>#REF!</v>
      </c>
      <c r="I214" s="105" t="e">
        <f t="shared" si="76"/>
        <v>#REF!</v>
      </c>
      <c r="J214" s="105" t="e">
        <f>VLOOKUP($A214,#REF!,42,FALSE)</f>
        <v>#REF!</v>
      </c>
      <c r="K214" s="105" t="e">
        <f t="shared" si="77"/>
        <v>#REF!</v>
      </c>
      <c r="L214" s="164" t="e">
        <f t="shared" si="75"/>
        <v>#REF!</v>
      </c>
      <c r="M214" s="105" t="e">
        <f t="shared" si="78"/>
        <v>#REF!</v>
      </c>
      <c r="N214" s="105">
        <v>285</v>
      </c>
      <c r="O214" s="105" t="e">
        <f t="shared" si="79"/>
        <v>#REF!</v>
      </c>
      <c r="P214" s="105" t="e">
        <f>VLOOKUP($A214,#REF!,46,FALSE)</f>
        <v>#REF!</v>
      </c>
      <c r="Q214" s="106" t="e">
        <f>VLOOKUP($A214,#REF!,9,FALSE)</f>
        <v>#REF!</v>
      </c>
      <c r="R214" s="114" t="e">
        <f>#REF!</f>
        <v>#REF!</v>
      </c>
      <c r="S214" s="114" t="e">
        <f>VLOOKUP($A214,#REF!,21,FALSE)</f>
        <v>#REF!</v>
      </c>
      <c r="T214" s="105" t="e">
        <f>VLOOKUP($A214,#REF!,15,FALSE)</f>
        <v>#REF!</v>
      </c>
      <c r="U214" s="105" t="e">
        <f>VLOOKUP($A214,#REF!,19,FALSE)</f>
        <v>#REF!</v>
      </c>
      <c r="V214" s="109" t="e">
        <f t="shared" si="80"/>
        <v>#REF!</v>
      </c>
      <c r="W214" s="121" t="e">
        <f t="shared" si="81"/>
        <v>#REF!</v>
      </c>
      <c r="X214" s="105" t="e">
        <f t="shared" si="82"/>
        <v>#REF!</v>
      </c>
      <c r="Y214" s="113" t="e">
        <f t="shared" si="83"/>
        <v>#REF!</v>
      </c>
      <c r="Z214" s="109" t="e">
        <f t="shared" si="84"/>
        <v>#REF!</v>
      </c>
      <c r="AA214" s="113" t="e">
        <f t="shared" si="85"/>
        <v>#REF!</v>
      </c>
      <c r="AB214" s="109" t="e">
        <f t="shared" si="86"/>
        <v>#REF!</v>
      </c>
      <c r="AC214" s="109" t="e">
        <f t="shared" si="87"/>
        <v>#REF!</v>
      </c>
      <c r="AD214" s="110" t="e">
        <f>VLOOKUP(A214,#REF!,5,FALSE)</f>
        <v>#REF!</v>
      </c>
      <c r="AE214" s="111" t="e">
        <f t="shared" si="88"/>
        <v>#REF!</v>
      </c>
      <c r="AG214" s="105"/>
      <c r="AH214" s="111"/>
      <c r="AI214" s="105"/>
      <c r="AJ214" s="105"/>
      <c r="AK214" s="109"/>
      <c r="AL214" s="109"/>
    </row>
    <row r="215" spans="1:38" x14ac:dyDescent="0.15">
      <c r="A215" s="115">
        <v>665</v>
      </c>
      <c r="B215" s="98" t="e">
        <f>VLOOKUP($A215,#REF!,101,FALSE)</f>
        <v>#REF!</v>
      </c>
      <c r="C215" s="98" t="e">
        <f>VLOOKUP($A215,#REF!,102,FALSE)</f>
        <v>#REF!</v>
      </c>
      <c r="D215" s="98" t="e">
        <f>VLOOKUP($A215,#REF!,5,FALSE)</f>
        <v>#REF!</v>
      </c>
      <c r="E215" s="98" t="e">
        <f>VLOOKUP($A215,#REF!,6,FALSE)</f>
        <v>#REF!</v>
      </c>
      <c r="F215" s="105" t="e">
        <f>VLOOKUP($A215,#REF!,34,FALSE)</f>
        <v>#REF!</v>
      </c>
      <c r="G215" s="105" t="e">
        <f>VLOOKUP($A215,#REF!,29,FALSE)</f>
        <v>#REF!</v>
      </c>
      <c r="H215" s="105" t="e">
        <f>VLOOKUP($A215,#REF!,35,FALSE)+VLOOKUP($A215,#REF!,97,FALSE)</f>
        <v>#REF!</v>
      </c>
      <c r="I215" s="105" t="e">
        <f t="shared" si="76"/>
        <v>#REF!</v>
      </c>
      <c r="J215" s="105" t="e">
        <f>VLOOKUP($A215,#REF!,42,FALSE)</f>
        <v>#REF!</v>
      </c>
      <c r="K215" s="105" t="e">
        <f t="shared" si="77"/>
        <v>#REF!</v>
      </c>
      <c r="L215" s="164" t="e">
        <f t="shared" si="75"/>
        <v>#REF!</v>
      </c>
      <c r="M215" s="105" t="e">
        <f t="shared" si="78"/>
        <v>#REF!</v>
      </c>
      <c r="N215" s="105">
        <v>285</v>
      </c>
      <c r="O215" s="105" t="e">
        <f t="shared" si="79"/>
        <v>#REF!</v>
      </c>
      <c r="P215" s="105" t="e">
        <f>VLOOKUP($A215,#REF!,46,FALSE)</f>
        <v>#REF!</v>
      </c>
      <c r="Q215" s="106" t="e">
        <f>VLOOKUP($A215,#REF!,9,FALSE)</f>
        <v>#REF!</v>
      </c>
      <c r="R215" s="114" t="e">
        <f>#REF!</f>
        <v>#REF!</v>
      </c>
      <c r="S215" s="114" t="e">
        <f>VLOOKUP($A215,#REF!,21,FALSE)</f>
        <v>#REF!</v>
      </c>
      <c r="T215" s="105" t="e">
        <f>VLOOKUP($A215,#REF!,15,FALSE)</f>
        <v>#REF!</v>
      </c>
      <c r="U215" s="105" t="e">
        <f>VLOOKUP($A215,#REF!,19,FALSE)</f>
        <v>#REF!</v>
      </c>
      <c r="V215" s="109" t="e">
        <f t="shared" si="80"/>
        <v>#REF!</v>
      </c>
      <c r="W215" s="121" t="e">
        <f t="shared" si="81"/>
        <v>#REF!</v>
      </c>
      <c r="X215" s="105" t="e">
        <f t="shared" si="82"/>
        <v>#REF!</v>
      </c>
      <c r="Y215" s="113" t="e">
        <f t="shared" si="83"/>
        <v>#REF!</v>
      </c>
      <c r="Z215" s="109" t="e">
        <f t="shared" si="84"/>
        <v>#REF!</v>
      </c>
      <c r="AA215" s="113" t="e">
        <f t="shared" si="85"/>
        <v>#REF!</v>
      </c>
      <c r="AB215" s="109" t="e">
        <f t="shared" si="86"/>
        <v>#REF!</v>
      </c>
      <c r="AC215" s="109" t="e">
        <f t="shared" si="87"/>
        <v>#REF!</v>
      </c>
      <c r="AD215" s="110" t="e">
        <f>VLOOKUP(A215,#REF!,5,FALSE)</f>
        <v>#REF!</v>
      </c>
      <c r="AE215" s="111" t="e">
        <f t="shared" si="88"/>
        <v>#REF!</v>
      </c>
      <c r="AG215" s="105"/>
      <c r="AH215" s="111"/>
      <c r="AI215" s="105"/>
      <c r="AJ215" s="105"/>
      <c r="AK215" s="109"/>
      <c r="AL215" s="109"/>
    </row>
    <row r="216" spans="1:38" x14ac:dyDescent="0.15">
      <c r="A216" s="115">
        <v>48</v>
      </c>
      <c r="B216" s="98" t="e">
        <f>VLOOKUP($A216,#REF!,101,FALSE)</f>
        <v>#REF!</v>
      </c>
      <c r="C216" s="98" t="e">
        <f>VLOOKUP($A216,#REF!,102,FALSE)</f>
        <v>#REF!</v>
      </c>
      <c r="D216" s="98" t="e">
        <f>VLOOKUP($A216,#REF!,5,FALSE)</f>
        <v>#REF!</v>
      </c>
      <c r="E216" s="98" t="e">
        <f>VLOOKUP($A216,#REF!,6,FALSE)</f>
        <v>#REF!</v>
      </c>
      <c r="F216" s="105" t="e">
        <f>VLOOKUP($A216,#REF!,34,FALSE)</f>
        <v>#REF!</v>
      </c>
      <c r="G216" s="105" t="e">
        <f>VLOOKUP($A216,#REF!,29,FALSE)</f>
        <v>#REF!</v>
      </c>
      <c r="H216" s="105" t="e">
        <f>VLOOKUP($A216,#REF!,35,FALSE)+VLOOKUP($A216,#REF!,97,FALSE)</f>
        <v>#REF!</v>
      </c>
      <c r="I216" s="105" t="e">
        <f t="shared" si="76"/>
        <v>#REF!</v>
      </c>
      <c r="J216" s="105" t="e">
        <f>VLOOKUP($A216,#REF!,42,FALSE)</f>
        <v>#REF!</v>
      </c>
      <c r="K216" s="105" t="e">
        <f t="shared" si="77"/>
        <v>#REF!</v>
      </c>
      <c r="L216" s="164" t="e">
        <f t="shared" si="75"/>
        <v>#REF!</v>
      </c>
      <c r="M216" s="105" t="e">
        <f t="shared" si="78"/>
        <v>#REF!</v>
      </c>
      <c r="N216" s="105">
        <v>285</v>
      </c>
      <c r="O216" s="105" t="e">
        <f t="shared" si="79"/>
        <v>#REF!</v>
      </c>
      <c r="P216" s="105" t="e">
        <f>VLOOKUP($A216,#REF!,46,FALSE)</f>
        <v>#REF!</v>
      </c>
      <c r="Q216" s="106" t="e">
        <f>VLOOKUP($A216,#REF!,9,FALSE)</f>
        <v>#REF!</v>
      </c>
      <c r="R216" s="114" t="e">
        <f>#REF!</f>
        <v>#REF!</v>
      </c>
      <c r="S216" s="114" t="e">
        <f>VLOOKUP($A216,#REF!,21,FALSE)</f>
        <v>#REF!</v>
      </c>
      <c r="T216" s="105" t="e">
        <f>VLOOKUP($A216,#REF!,15,FALSE)</f>
        <v>#REF!</v>
      </c>
      <c r="U216" s="105" t="e">
        <f>VLOOKUP($A216,#REF!,19,FALSE)</f>
        <v>#REF!</v>
      </c>
      <c r="V216" s="109" t="e">
        <f t="shared" si="80"/>
        <v>#REF!</v>
      </c>
      <c r="W216" s="121" t="e">
        <f t="shared" si="81"/>
        <v>#REF!</v>
      </c>
      <c r="X216" s="105" t="e">
        <f t="shared" si="82"/>
        <v>#REF!</v>
      </c>
      <c r="Y216" s="113" t="e">
        <f t="shared" si="83"/>
        <v>#REF!</v>
      </c>
      <c r="Z216" s="109" t="e">
        <f t="shared" si="84"/>
        <v>#REF!</v>
      </c>
      <c r="AA216" s="113" t="e">
        <f t="shared" si="85"/>
        <v>#REF!</v>
      </c>
      <c r="AB216" s="109" t="e">
        <f t="shared" si="86"/>
        <v>#REF!</v>
      </c>
      <c r="AC216" s="109" t="e">
        <f t="shared" si="87"/>
        <v>#REF!</v>
      </c>
      <c r="AD216" s="110" t="e">
        <f>VLOOKUP(A216,#REF!,5,FALSE)</f>
        <v>#REF!</v>
      </c>
      <c r="AE216" s="111" t="e">
        <f t="shared" si="88"/>
        <v>#REF!</v>
      </c>
      <c r="AG216" s="105"/>
      <c r="AH216" s="111"/>
      <c r="AI216" s="105"/>
      <c r="AJ216" s="105"/>
      <c r="AK216" s="109"/>
      <c r="AL216" s="109"/>
    </row>
    <row r="217" spans="1:38" x14ac:dyDescent="0.15">
      <c r="A217" s="98">
        <v>735</v>
      </c>
      <c r="B217" s="98" t="e">
        <f>VLOOKUP($A217,#REF!,101,FALSE)</f>
        <v>#REF!</v>
      </c>
      <c r="C217" s="98" t="e">
        <f>VLOOKUP($A217,#REF!,102,FALSE)</f>
        <v>#REF!</v>
      </c>
      <c r="D217" s="98" t="e">
        <f>VLOOKUP($A217,#REF!,5,FALSE)</f>
        <v>#REF!</v>
      </c>
      <c r="E217" s="98" t="e">
        <f>VLOOKUP($A217,#REF!,6,FALSE)</f>
        <v>#REF!</v>
      </c>
      <c r="F217" s="105" t="e">
        <f>VLOOKUP($A217,#REF!,34,FALSE)</f>
        <v>#REF!</v>
      </c>
      <c r="G217" s="105" t="e">
        <f>VLOOKUP($A217,#REF!,29,FALSE)</f>
        <v>#REF!</v>
      </c>
      <c r="H217" s="105" t="e">
        <f>VLOOKUP($A217,#REF!,35,FALSE)+VLOOKUP($A217,#REF!,97,FALSE)</f>
        <v>#REF!</v>
      </c>
      <c r="I217" s="105" t="e">
        <f t="shared" si="76"/>
        <v>#REF!</v>
      </c>
      <c r="J217" s="105" t="e">
        <f>VLOOKUP($A217,#REF!,42,FALSE)</f>
        <v>#REF!</v>
      </c>
      <c r="K217" s="105" t="e">
        <f t="shared" si="77"/>
        <v>#REF!</v>
      </c>
      <c r="L217" s="164" t="e">
        <f t="shared" si="75"/>
        <v>#REF!</v>
      </c>
      <c r="M217" s="105" t="e">
        <f t="shared" si="78"/>
        <v>#REF!</v>
      </c>
      <c r="N217" s="105">
        <v>285</v>
      </c>
      <c r="O217" s="105" t="e">
        <f t="shared" si="79"/>
        <v>#REF!</v>
      </c>
      <c r="P217" s="105" t="e">
        <f>VLOOKUP($A217,#REF!,46,FALSE)</f>
        <v>#REF!</v>
      </c>
      <c r="Q217" s="106" t="e">
        <f>VLOOKUP($A217,#REF!,9,FALSE)</f>
        <v>#REF!</v>
      </c>
      <c r="R217" s="114" t="e">
        <f>#REF!</f>
        <v>#REF!</v>
      </c>
      <c r="S217" s="114" t="e">
        <f>VLOOKUP($A217,#REF!,21,FALSE)</f>
        <v>#REF!</v>
      </c>
      <c r="T217" s="105" t="e">
        <f>VLOOKUP($A217,#REF!,15,FALSE)</f>
        <v>#REF!</v>
      </c>
      <c r="U217" s="105" t="e">
        <f>VLOOKUP($A217,#REF!,19,FALSE)</f>
        <v>#REF!</v>
      </c>
      <c r="V217" s="109" t="e">
        <f t="shared" si="80"/>
        <v>#REF!</v>
      </c>
      <c r="W217" s="121" t="e">
        <f t="shared" si="81"/>
        <v>#REF!</v>
      </c>
      <c r="X217" s="105" t="e">
        <f t="shared" si="82"/>
        <v>#REF!</v>
      </c>
      <c r="Y217" s="113" t="e">
        <f t="shared" si="83"/>
        <v>#REF!</v>
      </c>
      <c r="Z217" s="109" t="e">
        <f t="shared" si="84"/>
        <v>#REF!</v>
      </c>
      <c r="AA217" s="113" t="e">
        <f t="shared" si="85"/>
        <v>#REF!</v>
      </c>
      <c r="AB217" s="109" t="e">
        <f t="shared" si="86"/>
        <v>#REF!</v>
      </c>
      <c r="AC217" s="109" t="e">
        <f t="shared" si="87"/>
        <v>#REF!</v>
      </c>
      <c r="AD217" s="110" t="e">
        <f>VLOOKUP(A217,#REF!,5,FALSE)</f>
        <v>#REF!</v>
      </c>
      <c r="AE217" s="111" t="e">
        <f t="shared" si="88"/>
        <v>#REF!</v>
      </c>
      <c r="AG217" s="105"/>
      <c r="AH217" s="111"/>
      <c r="AI217" s="105"/>
      <c r="AJ217" s="105"/>
      <c r="AK217" s="109"/>
      <c r="AL217" s="109"/>
    </row>
    <row r="218" spans="1:38" x14ac:dyDescent="0.15">
      <c r="A218" s="115">
        <v>342</v>
      </c>
      <c r="B218" s="98" t="e">
        <f>VLOOKUP($A218,#REF!,101,FALSE)</f>
        <v>#REF!</v>
      </c>
      <c r="C218" s="98" t="e">
        <f>VLOOKUP($A218,#REF!,102,FALSE)</f>
        <v>#REF!</v>
      </c>
      <c r="D218" s="98" t="e">
        <f>VLOOKUP($A218,#REF!,5,FALSE)</f>
        <v>#REF!</v>
      </c>
      <c r="E218" s="98" t="e">
        <f>VLOOKUP($A218,#REF!,6,FALSE)</f>
        <v>#REF!</v>
      </c>
      <c r="F218" s="105" t="e">
        <f>VLOOKUP($A218,#REF!,34,FALSE)</f>
        <v>#REF!</v>
      </c>
      <c r="G218" s="105" t="e">
        <f>VLOOKUP($A218,#REF!,29,FALSE)</f>
        <v>#REF!</v>
      </c>
      <c r="H218" s="105" t="e">
        <f>VLOOKUP($A218,#REF!,35,FALSE)+VLOOKUP($A218,#REF!,97,FALSE)</f>
        <v>#REF!</v>
      </c>
      <c r="I218" s="105" t="e">
        <f t="shared" si="76"/>
        <v>#REF!</v>
      </c>
      <c r="J218" s="105" t="e">
        <f>VLOOKUP($A218,#REF!,42,FALSE)</f>
        <v>#REF!</v>
      </c>
      <c r="K218" s="105" t="e">
        <f t="shared" si="77"/>
        <v>#REF!</v>
      </c>
      <c r="L218" s="164" t="e">
        <f t="shared" si="75"/>
        <v>#REF!</v>
      </c>
      <c r="M218" s="105" t="e">
        <f t="shared" si="78"/>
        <v>#REF!</v>
      </c>
      <c r="N218" s="105">
        <v>285</v>
      </c>
      <c r="O218" s="105" t="e">
        <f t="shared" si="79"/>
        <v>#REF!</v>
      </c>
      <c r="P218" s="105" t="e">
        <f>VLOOKUP($A218,#REF!,46,FALSE)</f>
        <v>#REF!</v>
      </c>
      <c r="Q218" s="106" t="e">
        <f>VLOOKUP($A218,#REF!,9,FALSE)</f>
        <v>#REF!</v>
      </c>
      <c r="R218" s="114" t="e">
        <f>#REF!</f>
        <v>#REF!</v>
      </c>
      <c r="S218" s="114" t="e">
        <f>VLOOKUP($A218,#REF!,21,FALSE)</f>
        <v>#REF!</v>
      </c>
      <c r="T218" s="105" t="e">
        <f>VLOOKUP($A218,#REF!,15,FALSE)</f>
        <v>#REF!</v>
      </c>
      <c r="U218" s="105" t="e">
        <f>VLOOKUP($A218,#REF!,19,FALSE)</f>
        <v>#REF!</v>
      </c>
      <c r="V218" s="109" t="e">
        <f t="shared" si="80"/>
        <v>#REF!</v>
      </c>
      <c r="W218" s="121" t="e">
        <f t="shared" si="81"/>
        <v>#REF!</v>
      </c>
      <c r="X218" s="105" t="e">
        <f t="shared" si="82"/>
        <v>#REF!</v>
      </c>
      <c r="Y218" s="113" t="e">
        <f t="shared" si="83"/>
        <v>#REF!</v>
      </c>
      <c r="Z218" s="109" t="e">
        <f t="shared" si="84"/>
        <v>#REF!</v>
      </c>
      <c r="AA218" s="113" t="e">
        <f t="shared" si="85"/>
        <v>#REF!</v>
      </c>
      <c r="AB218" s="109" t="e">
        <f t="shared" si="86"/>
        <v>#REF!</v>
      </c>
      <c r="AC218" s="109" t="e">
        <f t="shared" si="87"/>
        <v>#REF!</v>
      </c>
      <c r="AD218" s="110" t="e">
        <f>VLOOKUP(A218,#REF!,5,FALSE)</f>
        <v>#REF!</v>
      </c>
      <c r="AE218" s="111" t="e">
        <f t="shared" si="88"/>
        <v>#REF!</v>
      </c>
      <c r="AG218" s="105"/>
      <c r="AH218" s="111"/>
      <c r="AI218" s="105"/>
      <c r="AJ218" s="105"/>
      <c r="AK218" s="109"/>
      <c r="AL218" s="109"/>
    </row>
    <row r="219" spans="1:38" x14ac:dyDescent="0.15">
      <c r="A219" s="115">
        <v>26</v>
      </c>
      <c r="B219" s="98" t="e">
        <f>VLOOKUP($A219,#REF!,101,FALSE)</f>
        <v>#REF!</v>
      </c>
      <c r="C219" s="98" t="e">
        <f>VLOOKUP($A219,#REF!,102,FALSE)</f>
        <v>#REF!</v>
      </c>
      <c r="D219" s="98" t="e">
        <f>VLOOKUP($A219,#REF!,5,FALSE)</f>
        <v>#REF!</v>
      </c>
      <c r="E219" s="98" t="e">
        <f>VLOOKUP($A219,#REF!,6,FALSE)</f>
        <v>#REF!</v>
      </c>
      <c r="F219" s="105" t="e">
        <f>VLOOKUP($A219,#REF!,34,FALSE)</f>
        <v>#REF!</v>
      </c>
      <c r="G219" s="105" t="e">
        <f>VLOOKUP($A219,#REF!,29,FALSE)</f>
        <v>#REF!</v>
      </c>
      <c r="H219" s="105" t="e">
        <f>VLOOKUP($A219,#REF!,35,FALSE)+VLOOKUP($A219,#REF!,97,FALSE)</f>
        <v>#REF!</v>
      </c>
      <c r="I219" s="105" t="e">
        <f t="shared" si="76"/>
        <v>#REF!</v>
      </c>
      <c r="J219" s="105" t="e">
        <f>VLOOKUP($A219,#REF!,42,FALSE)</f>
        <v>#REF!</v>
      </c>
      <c r="K219" s="105" t="e">
        <f t="shared" si="77"/>
        <v>#REF!</v>
      </c>
      <c r="L219" s="164" t="e">
        <f t="shared" si="75"/>
        <v>#REF!</v>
      </c>
      <c r="M219" s="105" t="e">
        <f t="shared" si="78"/>
        <v>#REF!</v>
      </c>
      <c r="N219" s="105">
        <v>285</v>
      </c>
      <c r="O219" s="105" t="e">
        <f t="shared" si="79"/>
        <v>#REF!</v>
      </c>
      <c r="P219" s="105" t="e">
        <f>VLOOKUP($A219,#REF!,46,FALSE)</f>
        <v>#REF!</v>
      </c>
      <c r="Q219" s="106" t="e">
        <f>VLOOKUP($A219,#REF!,9,FALSE)</f>
        <v>#REF!</v>
      </c>
      <c r="R219" s="114" t="e">
        <f>#REF!</f>
        <v>#REF!</v>
      </c>
      <c r="S219" s="114" t="e">
        <f>VLOOKUP($A219,#REF!,21,FALSE)</f>
        <v>#REF!</v>
      </c>
      <c r="T219" s="105" t="e">
        <f>VLOOKUP($A219,#REF!,15,FALSE)</f>
        <v>#REF!</v>
      </c>
      <c r="U219" s="105" t="e">
        <f>VLOOKUP($A219,#REF!,19,FALSE)</f>
        <v>#REF!</v>
      </c>
      <c r="V219" s="109" t="e">
        <f t="shared" si="80"/>
        <v>#REF!</v>
      </c>
      <c r="W219" s="121" t="e">
        <f t="shared" si="81"/>
        <v>#REF!</v>
      </c>
      <c r="X219" s="105" t="e">
        <f t="shared" si="82"/>
        <v>#REF!</v>
      </c>
      <c r="Y219" s="113" t="e">
        <f t="shared" si="83"/>
        <v>#REF!</v>
      </c>
      <c r="Z219" s="109" t="e">
        <f t="shared" si="84"/>
        <v>#REF!</v>
      </c>
      <c r="AA219" s="113" t="e">
        <f t="shared" si="85"/>
        <v>#REF!</v>
      </c>
      <c r="AB219" s="109" t="e">
        <f t="shared" si="86"/>
        <v>#REF!</v>
      </c>
      <c r="AC219" s="109" t="e">
        <f t="shared" si="87"/>
        <v>#REF!</v>
      </c>
      <c r="AD219" s="110" t="e">
        <f>VLOOKUP(A219,#REF!,5,FALSE)</f>
        <v>#REF!</v>
      </c>
      <c r="AE219" s="111" t="e">
        <f t="shared" si="88"/>
        <v>#REF!</v>
      </c>
      <c r="AG219" s="105"/>
      <c r="AH219" s="111"/>
      <c r="AI219" s="105"/>
      <c r="AJ219" s="105"/>
      <c r="AK219" s="109"/>
      <c r="AL219" s="109"/>
    </row>
    <row r="220" spans="1:38" x14ac:dyDescent="0.15">
      <c r="A220" s="115">
        <v>1366</v>
      </c>
      <c r="B220" s="98" t="e">
        <f>VLOOKUP($A220,#REF!,101,FALSE)</f>
        <v>#REF!</v>
      </c>
      <c r="C220" s="98" t="e">
        <f>VLOOKUP($A220,#REF!,102,FALSE)</f>
        <v>#REF!</v>
      </c>
      <c r="D220" s="98" t="e">
        <f>VLOOKUP($A220,#REF!,5,FALSE)</f>
        <v>#REF!</v>
      </c>
      <c r="E220" s="98" t="e">
        <f>VLOOKUP($A220,#REF!,6,FALSE)</f>
        <v>#REF!</v>
      </c>
      <c r="F220" s="105" t="e">
        <f>VLOOKUP($A220,#REF!,34,FALSE)</f>
        <v>#REF!</v>
      </c>
      <c r="G220" s="105" t="e">
        <f>VLOOKUP($A220,#REF!,29,FALSE)</f>
        <v>#REF!</v>
      </c>
      <c r="H220" s="105" t="e">
        <f>VLOOKUP($A220,#REF!,35,FALSE)+VLOOKUP($A220,#REF!,97,FALSE)</f>
        <v>#REF!</v>
      </c>
      <c r="I220" s="105" t="e">
        <f t="shared" si="76"/>
        <v>#REF!</v>
      </c>
      <c r="J220" s="105" t="e">
        <f>VLOOKUP($A220,#REF!,42,FALSE)</f>
        <v>#REF!</v>
      </c>
      <c r="K220" s="105" t="e">
        <f t="shared" si="77"/>
        <v>#REF!</v>
      </c>
      <c r="L220" s="164" t="e">
        <f t="shared" si="75"/>
        <v>#REF!</v>
      </c>
      <c r="M220" s="105" t="e">
        <f t="shared" si="78"/>
        <v>#REF!</v>
      </c>
      <c r="N220" s="105">
        <v>285</v>
      </c>
      <c r="O220" s="105" t="e">
        <f t="shared" si="79"/>
        <v>#REF!</v>
      </c>
      <c r="P220" s="105" t="e">
        <f>VLOOKUP($A220,#REF!,46,FALSE)</f>
        <v>#REF!</v>
      </c>
      <c r="Q220" s="106" t="e">
        <f>VLOOKUP($A220,#REF!,9,FALSE)</f>
        <v>#REF!</v>
      </c>
      <c r="R220" s="114" t="e">
        <f>#REF!</f>
        <v>#REF!</v>
      </c>
      <c r="S220" s="114" t="e">
        <f>VLOOKUP($A220,#REF!,21,FALSE)</f>
        <v>#REF!</v>
      </c>
      <c r="T220" s="105" t="e">
        <f>VLOOKUP($A220,#REF!,15,FALSE)</f>
        <v>#REF!</v>
      </c>
      <c r="U220" s="105" t="e">
        <f>VLOOKUP($A220,#REF!,19,FALSE)</f>
        <v>#REF!</v>
      </c>
      <c r="V220" s="109" t="e">
        <f t="shared" si="80"/>
        <v>#REF!</v>
      </c>
      <c r="W220" s="121" t="e">
        <f t="shared" si="81"/>
        <v>#REF!</v>
      </c>
      <c r="X220" s="105" t="e">
        <f t="shared" si="82"/>
        <v>#REF!</v>
      </c>
      <c r="Y220" s="113" t="e">
        <f t="shared" si="83"/>
        <v>#REF!</v>
      </c>
      <c r="Z220" s="109" t="e">
        <f t="shared" si="84"/>
        <v>#REF!</v>
      </c>
      <c r="AA220" s="113" t="e">
        <f t="shared" si="85"/>
        <v>#REF!</v>
      </c>
      <c r="AB220" s="109" t="e">
        <f t="shared" si="86"/>
        <v>#REF!</v>
      </c>
      <c r="AC220" s="109" t="e">
        <f t="shared" si="87"/>
        <v>#REF!</v>
      </c>
      <c r="AD220" s="110" t="e">
        <f>VLOOKUP(A220,#REF!,5,FALSE)</f>
        <v>#REF!</v>
      </c>
      <c r="AE220" s="111" t="e">
        <f t="shared" si="88"/>
        <v>#REF!</v>
      </c>
      <c r="AG220" s="105"/>
      <c r="AH220" s="111"/>
      <c r="AI220" s="105"/>
      <c r="AJ220" s="105"/>
      <c r="AK220" s="109"/>
      <c r="AL220" s="109"/>
    </row>
    <row r="221" spans="1:38" x14ac:dyDescent="0.15">
      <c r="A221" s="115">
        <v>186</v>
      </c>
      <c r="B221" s="98" t="e">
        <f>VLOOKUP($A221,#REF!,101,FALSE)</f>
        <v>#REF!</v>
      </c>
      <c r="C221" s="98" t="e">
        <f>VLOOKUP($A221,#REF!,102,FALSE)</f>
        <v>#REF!</v>
      </c>
      <c r="D221" s="98" t="e">
        <f>VLOOKUP($A221,#REF!,5,FALSE)</f>
        <v>#REF!</v>
      </c>
      <c r="E221" s="98" t="e">
        <f>VLOOKUP($A221,#REF!,6,FALSE)</f>
        <v>#REF!</v>
      </c>
      <c r="F221" s="105" t="e">
        <f>VLOOKUP($A221,#REF!,34,FALSE)</f>
        <v>#REF!</v>
      </c>
      <c r="G221" s="105" t="e">
        <f>VLOOKUP($A221,#REF!,29,FALSE)</f>
        <v>#REF!</v>
      </c>
      <c r="H221" s="105" t="e">
        <f>VLOOKUP($A221,#REF!,35,FALSE)+VLOOKUP($A221,#REF!,97,FALSE)</f>
        <v>#REF!</v>
      </c>
      <c r="I221" s="105" t="e">
        <f t="shared" si="76"/>
        <v>#REF!</v>
      </c>
      <c r="J221" s="105" t="e">
        <f>VLOOKUP($A221,#REF!,42,FALSE)</f>
        <v>#REF!</v>
      </c>
      <c r="K221" s="105" t="e">
        <f t="shared" si="77"/>
        <v>#REF!</v>
      </c>
      <c r="L221" s="164" t="e">
        <f t="shared" si="75"/>
        <v>#REF!</v>
      </c>
      <c r="M221" s="105" t="e">
        <f t="shared" si="78"/>
        <v>#REF!</v>
      </c>
      <c r="N221" s="105">
        <v>285</v>
      </c>
      <c r="O221" s="105" t="e">
        <f t="shared" si="79"/>
        <v>#REF!</v>
      </c>
      <c r="P221" s="105" t="e">
        <f>VLOOKUP($A221,#REF!,46,FALSE)</f>
        <v>#REF!</v>
      </c>
      <c r="Q221" s="106" t="e">
        <f>VLOOKUP($A221,#REF!,9,FALSE)</f>
        <v>#REF!</v>
      </c>
      <c r="R221" s="114" t="e">
        <f>#REF!</f>
        <v>#REF!</v>
      </c>
      <c r="S221" s="114" t="e">
        <f>VLOOKUP($A221,#REF!,21,FALSE)</f>
        <v>#REF!</v>
      </c>
      <c r="T221" s="105" t="e">
        <f>VLOOKUP($A221,#REF!,15,FALSE)</f>
        <v>#REF!</v>
      </c>
      <c r="U221" s="105" t="e">
        <f>VLOOKUP($A221,#REF!,19,FALSE)</f>
        <v>#REF!</v>
      </c>
      <c r="V221" s="109" t="e">
        <f t="shared" si="80"/>
        <v>#REF!</v>
      </c>
      <c r="W221" s="121" t="e">
        <f t="shared" si="81"/>
        <v>#REF!</v>
      </c>
      <c r="X221" s="105" t="e">
        <f t="shared" si="82"/>
        <v>#REF!</v>
      </c>
      <c r="Y221" s="113" t="e">
        <f t="shared" si="83"/>
        <v>#REF!</v>
      </c>
      <c r="Z221" s="109" t="e">
        <f t="shared" si="84"/>
        <v>#REF!</v>
      </c>
      <c r="AA221" s="113" t="e">
        <f t="shared" si="85"/>
        <v>#REF!</v>
      </c>
      <c r="AB221" s="109" t="e">
        <f t="shared" si="86"/>
        <v>#REF!</v>
      </c>
      <c r="AC221" s="109" t="e">
        <f t="shared" si="87"/>
        <v>#REF!</v>
      </c>
      <c r="AD221" s="110" t="e">
        <f>VLOOKUP(A221,#REF!,5,FALSE)</f>
        <v>#REF!</v>
      </c>
      <c r="AE221" s="111" t="e">
        <f t="shared" si="88"/>
        <v>#REF!</v>
      </c>
      <c r="AG221" s="105"/>
      <c r="AH221" s="111"/>
      <c r="AI221" s="105"/>
      <c r="AJ221" s="105"/>
      <c r="AK221" s="109"/>
      <c r="AL221" s="109"/>
    </row>
    <row r="222" spans="1:38" x14ac:dyDescent="0.15">
      <c r="A222" s="115">
        <v>713</v>
      </c>
      <c r="B222" s="98" t="e">
        <f>VLOOKUP($A222,#REF!,101,FALSE)</f>
        <v>#REF!</v>
      </c>
      <c r="C222" s="98" t="e">
        <f>VLOOKUP($A222,#REF!,102,FALSE)</f>
        <v>#REF!</v>
      </c>
      <c r="D222" s="98" t="e">
        <f>VLOOKUP($A222,#REF!,5,FALSE)</f>
        <v>#REF!</v>
      </c>
      <c r="E222" s="98" t="e">
        <f>VLOOKUP($A222,#REF!,6,FALSE)</f>
        <v>#REF!</v>
      </c>
      <c r="F222" s="105" t="e">
        <f>VLOOKUP($A222,#REF!,34,FALSE)</f>
        <v>#REF!</v>
      </c>
      <c r="G222" s="105" t="e">
        <f>VLOOKUP($A222,#REF!,29,FALSE)</f>
        <v>#REF!</v>
      </c>
      <c r="H222" s="105" t="e">
        <f>VLOOKUP($A222,#REF!,35,FALSE)+VLOOKUP($A222,#REF!,97,FALSE)</f>
        <v>#REF!</v>
      </c>
      <c r="I222" s="105" t="e">
        <f t="shared" si="76"/>
        <v>#REF!</v>
      </c>
      <c r="J222" s="105" t="e">
        <f>VLOOKUP($A222,#REF!,42,FALSE)</f>
        <v>#REF!</v>
      </c>
      <c r="K222" s="105" t="e">
        <f t="shared" si="77"/>
        <v>#REF!</v>
      </c>
      <c r="L222" s="164" t="e">
        <f t="shared" si="75"/>
        <v>#REF!</v>
      </c>
      <c r="M222" s="105" t="e">
        <f t="shared" si="78"/>
        <v>#REF!</v>
      </c>
      <c r="N222" s="105">
        <v>285</v>
      </c>
      <c r="O222" s="105" t="e">
        <f t="shared" si="79"/>
        <v>#REF!</v>
      </c>
      <c r="P222" s="105" t="e">
        <f>VLOOKUP($A222,#REF!,46,FALSE)</f>
        <v>#REF!</v>
      </c>
      <c r="Q222" s="106" t="e">
        <f>VLOOKUP($A222,#REF!,9,FALSE)</f>
        <v>#REF!</v>
      </c>
      <c r="R222" s="114" t="e">
        <f>#REF!</f>
        <v>#REF!</v>
      </c>
      <c r="S222" s="114" t="e">
        <f>VLOOKUP($A222,#REF!,21,FALSE)</f>
        <v>#REF!</v>
      </c>
      <c r="T222" s="105" t="e">
        <f>VLOOKUP($A222,#REF!,15,FALSE)</f>
        <v>#REF!</v>
      </c>
      <c r="U222" s="105" t="e">
        <f>VLOOKUP($A222,#REF!,19,FALSE)</f>
        <v>#REF!</v>
      </c>
      <c r="V222" s="109" t="e">
        <f t="shared" si="80"/>
        <v>#REF!</v>
      </c>
      <c r="W222" s="121" t="e">
        <f t="shared" si="81"/>
        <v>#REF!</v>
      </c>
      <c r="X222" s="105" t="e">
        <f t="shared" si="82"/>
        <v>#REF!</v>
      </c>
      <c r="Y222" s="113" t="e">
        <f t="shared" si="83"/>
        <v>#REF!</v>
      </c>
      <c r="Z222" s="109" t="e">
        <f t="shared" si="84"/>
        <v>#REF!</v>
      </c>
      <c r="AA222" s="113" t="e">
        <f t="shared" si="85"/>
        <v>#REF!</v>
      </c>
      <c r="AB222" s="109" t="e">
        <f t="shared" si="86"/>
        <v>#REF!</v>
      </c>
      <c r="AC222" s="109" t="e">
        <f t="shared" si="87"/>
        <v>#REF!</v>
      </c>
      <c r="AD222" s="110" t="e">
        <f>VLOOKUP(A222,#REF!,5,FALSE)</f>
        <v>#REF!</v>
      </c>
      <c r="AE222" s="111" t="e">
        <f t="shared" si="88"/>
        <v>#REF!</v>
      </c>
      <c r="AG222" s="105"/>
      <c r="AH222" s="111"/>
      <c r="AI222" s="105"/>
      <c r="AJ222" s="105"/>
      <c r="AK222" s="109"/>
      <c r="AL222" s="109"/>
    </row>
    <row r="223" spans="1:38" x14ac:dyDescent="0.15">
      <c r="A223" s="115">
        <v>192</v>
      </c>
      <c r="B223" s="98" t="e">
        <f>VLOOKUP($A223,#REF!,101,FALSE)</f>
        <v>#REF!</v>
      </c>
      <c r="C223" s="98" t="e">
        <f>VLOOKUP($A223,#REF!,102,FALSE)</f>
        <v>#REF!</v>
      </c>
      <c r="D223" s="98" t="e">
        <f>VLOOKUP($A223,#REF!,5,FALSE)</f>
        <v>#REF!</v>
      </c>
      <c r="E223" s="98" t="e">
        <f>VLOOKUP($A223,#REF!,6,FALSE)</f>
        <v>#REF!</v>
      </c>
      <c r="F223" s="105" t="e">
        <f>VLOOKUP($A223,#REF!,34,FALSE)</f>
        <v>#REF!</v>
      </c>
      <c r="G223" s="105" t="e">
        <f>VLOOKUP($A223,#REF!,29,FALSE)</f>
        <v>#REF!</v>
      </c>
      <c r="H223" s="105" t="e">
        <f>VLOOKUP($A223,#REF!,35,FALSE)+VLOOKUP($A223,#REF!,97,FALSE)</f>
        <v>#REF!</v>
      </c>
      <c r="I223" s="105" t="e">
        <f t="shared" si="76"/>
        <v>#REF!</v>
      </c>
      <c r="J223" s="105" t="e">
        <f>VLOOKUP($A223,#REF!,42,FALSE)</f>
        <v>#REF!</v>
      </c>
      <c r="K223" s="105" t="e">
        <f t="shared" si="77"/>
        <v>#REF!</v>
      </c>
      <c r="L223" s="164" t="e">
        <f t="shared" si="75"/>
        <v>#REF!</v>
      </c>
      <c r="M223" s="105" t="e">
        <f t="shared" si="78"/>
        <v>#REF!</v>
      </c>
      <c r="N223" s="105">
        <v>285</v>
      </c>
      <c r="O223" s="105" t="e">
        <f t="shared" si="79"/>
        <v>#REF!</v>
      </c>
      <c r="P223" s="105" t="e">
        <f>VLOOKUP($A223,#REF!,46,FALSE)</f>
        <v>#REF!</v>
      </c>
      <c r="Q223" s="106" t="e">
        <f>VLOOKUP($A223,#REF!,9,FALSE)</f>
        <v>#REF!</v>
      </c>
      <c r="R223" s="114" t="e">
        <f>#REF!</f>
        <v>#REF!</v>
      </c>
      <c r="S223" s="114" t="e">
        <f>VLOOKUP($A223,#REF!,21,FALSE)</f>
        <v>#REF!</v>
      </c>
      <c r="T223" s="105" t="e">
        <f>VLOOKUP($A223,#REF!,15,FALSE)</f>
        <v>#REF!</v>
      </c>
      <c r="U223" s="105" t="e">
        <f>VLOOKUP($A223,#REF!,19,FALSE)</f>
        <v>#REF!</v>
      </c>
      <c r="V223" s="109" t="e">
        <f t="shared" si="80"/>
        <v>#REF!</v>
      </c>
      <c r="W223" s="121" t="e">
        <f t="shared" si="81"/>
        <v>#REF!</v>
      </c>
      <c r="X223" s="105" t="e">
        <f t="shared" si="82"/>
        <v>#REF!</v>
      </c>
      <c r="Y223" s="113" t="e">
        <f t="shared" si="83"/>
        <v>#REF!</v>
      </c>
      <c r="Z223" s="109" t="e">
        <f t="shared" si="84"/>
        <v>#REF!</v>
      </c>
      <c r="AA223" s="113" t="e">
        <f t="shared" si="85"/>
        <v>#REF!</v>
      </c>
      <c r="AB223" s="109" t="e">
        <f t="shared" si="86"/>
        <v>#REF!</v>
      </c>
      <c r="AC223" s="109" t="e">
        <f t="shared" si="87"/>
        <v>#REF!</v>
      </c>
      <c r="AD223" s="110" t="e">
        <f>VLOOKUP(A223,#REF!,5,FALSE)</f>
        <v>#REF!</v>
      </c>
      <c r="AE223" s="111" t="e">
        <f t="shared" si="88"/>
        <v>#REF!</v>
      </c>
      <c r="AG223" s="105"/>
      <c r="AH223" s="111"/>
      <c r="AI223" s="105"/>
      <c r="AJ223" s="105"/>
      <c r="AK223" s="109"/>
      <c r="AL223" s="109"/>
    </row>
    <row r="224" spans="1:38" x14ac:dyDescent="0.15">
      <c r="A224" s="115">
        <v>270</v>
      </c>
      <c r="B224" s="98" t="e">
        <f>VLOOKUP($A224,#REF!,101,FALSE)</f>
        <v>#REF!</v>
      </c>
      <c r="C224" s="98" t="e">
        <f>VLOOKUP($A224,#REF!,102,FALSE)</f>
        <v>#REF!</v>
      </c>
      <c r="D224" s="98" t="e">
        <f>VLOOKUP($A224,#REF!,5,FALSE)</f>
        <v>#REF!</v>
      </c>
      <c r="E224" s="98" t="e">
        <f>VLOOKUP($A224,#REF!,6,FALSE)</f>
        <v>#REF!</v>
      </c>
      <c r="F224" s="105" t="e">
        <f>VLOOKUP($A224,#REF!,34,FALSE)</f>
        <v>#REF!</v>
      </c>
      <c r="G224" s="105" t="e">
        <f>VLOOKUP($A224,#REF!,29,FALSE)</f>
        <v>#REF!</v>
      </c>
      <c r="H224" s="105" t="e">
        <f>VLOOKUP($A224,#REF!,35,FALSE)+VLOOKUP($A224,#REF!,97,FALSE)</f>
        <v>#REF!</v>
      </c>
      <c r="I224" s="105" t="e">
        <f t="shared" si="76"/>
        <v>#REF!</v>
      </c>
      <c r="J224" s="105" t="e">
        <f>VLOOKUP($A224,#REF!,42,FALSE)</f>
        <v>#REF!</v>
      </c>
      <c r="K224" s="105" t="e">
        <f t="shared" si="77"/>
        <v>#REF!</v>
      </c>
      <c r="L224" s="164" t="e">
        <f t="shared" si="75"/>
        <v>#REF!</v>
      </c>
      <c r="M224" s="105" t="e">
        <f t="shared" si="78"/>
        <v>#REF!</v>
      </c>
      <c r="N224" s="105">
        <v>285</v>
      </c>
      <c r="O224" s="105" t="e">
        <f t="shared" si="79"/>
        <v>#REF!</v>
      </c>
      <c r="P224" s="105" t="e">
        <f>VLOOKUP($A224,#REF!,46,FALSE)</f>
        <v>#REF!</v>
      </c>
      <c r="Q224" s="106" t="e">
        <f>VLOOKUP($A224,#REF!,9,FALSE)</f>
        <v>#REF!</v>
      </c>
      <c r="R224" s="114" t="e">
        <f>#REF!</f>
        <v>#REF!</v>
      </c>
      <c r="S224" s="114" t="e">
        <f>VLOOKUP($A224,#REF!,21,FALSE)</f>
        <v>#REF!</v>
      </c>
      <c r="T224" s="105" t="e">
        <f>VLOOKUP($A224,#REF!,15,FALSE)</f>
        <v>#REF!</v>
      </c>
      <c r="U224" s="105" t="e">
        <f>VLOOKUP($A224,#REF!,19,FALSE)</f>
        <v>#REF!</v>
      </c>
      <c r="V224" s="109" t="e">
        <f t="shared" si="80"/>
        <v>#REF!</v>
      </c>
      <c r="W224" s="121" t="e">
        <f t="shared" si="81"/>
        <v>#REF!</v>
      </c>
      <c r="X224" s="105" t="e">
        <f t="shared" si="82"/>
        <v>#REF!</v>
      </c>
      <c r="Y224" s="113" t="e">
        <f t="shared" si="83"/>
        <v>#REF!</v>
      </c>
      <c r="Z224" s="109" t="e">
        <f t="shared" si="84"/>
        <v>#REF!</v>
      </c>
      <c r="AA224" s="113" t="e">
        <f t="shared" si="85"/>
        <v>#REF!</v>
      </c>
      <c r="AB224" s="109" t="e">
        <f t="shared" si="86"/>
        <v>#REF!</v>
      </c>
      <c r="AC224" s="109" t="e">
        <f t="shared" si="87"/>
        <v>#REF!</v>
      </c>
      <c r="AD224" s="110" t="e">
        <f>VLOOKUP(A224,#REF!,5,FALSE)</f>
        <v>#REF!</v>
      </c>
      <c r="AE224" s="111" t="e">
        <f t="shared" si="88"/>
        <v>#REF!</v>
      </c>
      <c r="AG224" s="105"/>
      <c r="AH224" s="111"/>
      <c r="AI224" s="105"/>
      <c r="AJ224" s="105"/>
      <c r="AK224" s="109"/>
      <c r="AL224" s="109"/>
    </row>
    <row r="225" spans="1:64" x14ac:dyDescent="0.15">
      <c r="A225" s="115">
        <v>1232</v>
      </c>
      <c r="B225" s="98" t="e">
        <f>VLOOKUP($A225,#REF!,101,FALSE)</f>
        <v>#REF!</v>
      </c>
      <c r="C225" s="98" t="e">
        <f>VLOOKUP($A225,#REF!,102,FALSE)</f>
        <v>#REF!</v>
      </c>
      <c r="D225" s="98" t="e">
        <f>VLOOKUP($A225,#REF!,5,FALSE)</f>
        <v>#REF!</v>
      </c>
      <c r="E225" s="98" t="e">
        <f>VLOOKUP($A225,#REF!,6,FALSE)</f>
        <v>#REF!</v>
      </c>
      <c r="F225" s="105" t="e">
        <f>VLOOKUP($A225,#REF!,34,FALSE)</f>
        <v>#REF!</v>
      </c>
      <c r="G225" s="105" t="e">
        <f>VLOOKUP($A225,#REF!,29,FALSE)</f>
        <v>#REF!</v>
      </c>
      <c r="H225" s="105" t="e">
        <f>VLOOKUP($A225,#REF!,35,FALSE)+VLOOKUP($A225,#REF!,97,FALSE)</f>
        <v>#REF!</v>
      </c>
      <c r="I225" s="105" t="e">
        <f t="shared" si="76"/>
        <v>#REF!</v>
      </c>
      <c r="J225" s="105" t="e">
        <f>VLOOKUP($A225,#REF!,42,FALSE)</f>
        <v>#REF!</v>
      </c>
      <c r="K225" s="105" t="e">
        <f t="shared" si="77"/>
        <v>#REF!</v>
      </c>
      <c r="L225" s="164" t="e">
        <f t="shared" si="75"/>
        <v>#REF!</v>
      </c>
      <c r="M225" s="105" t="e">
        <f t="shared" si="78"/>
        <v>#REF!</v>
      </c>
      <c r="N225" s="105">
        <v>285</v>
      </c>
      <c r="O225" s="105" t="e">
        <f t="shared" si="79"/>
        <v>#REF!</v>
      </c>
      <c r="P225" s="105" t="e">
        <f>VLOOKUP($A225,#REF!,46,FALSE)</f>
        <v>#REF!</v>
      </c>
      <c r="Q225" s="106" t="e">
        <f>VLOOKUP($A225,#REF!,9,FALSE)</f>
        <v>#REF!</v>
      </c>
      <c r="R225" s="114" t="e">
        <f>#REF!</f>
        <v>#REF!</v>
      </c>
      <c r="S225" s="114" t="e">
        <f>VLOOKUP($A225,#REF!,21,FALSE)</f>
        <v>#REF!</v>
      </c>
      <c r="T225" s="105" t="e">
        <f>VLOOKUP($A225,#REF!,15,FALSE)</f>
        <v>#REF!</v>
      </c>
      <c r="U225" s="105" t="e">
        <f>VLOOKUP($A225,#REF!,19,FALSE)</f>
        <v>#REF!</v>
      </c>
      <c r="V225" s="109" t="e">
        <f t="shared" si="80"/>
        <v>#REF!</v>
      </c>
      <c r="W225" s="121" t="e">
        <f t="shared" si="81"/>
        <v>#REF!</v>
      </c>
      <c r="X225" s="105" t="e">
        <f t="shared" si="82"/>
        <v>#REF!</v>
      </c>
      <c r="Y225" s="113" t="e">
        <f t="shared" si="83"/>
        <v>#REF!</v>
      </c>
      <c r="Z225" s="109" t="e">
        <f t="shared" si="84"/>
        <v>#REF!</v>
      </c>
      <c r="AA225" s="113" t="e">
        <f t="shared" si="85"/>
        <v>#REF!</v>
      </c>
      <c r="AB225" s="109" t="e">
        <f t="shared" si="86"/>
        <v>#REF!</v>
      </c>
      <c r="AC225" s="109" t="e">
        <f t="shared" si="87"/>
        <v>#REF!</v>
      </c>
      <c r="AD225" s="110" t="e">
        <f>VLOOKUP(A225,#REF!,5,FALSE)</f>
        <v>#REF!</v>
      </c>
      <c r="AE225" s="111" t="e">
        <f t="shared" si="88"/>
        <v>#REF!</v>
      </c>
      <c r="AG225" s="105"/>
      <c r="AH225" s="111"/>
      <c r="AI225" s="105"/>
      <c r="AJ225" s="105"/>
      <c r="AK225" s="109"/>
      <c r="AL225" s="109"/>
    </row>
    <row r="226" spans="1:64" x14ac:dyDescent="0.15">
      <c r="A226" s="115">
        <v>290</v>
      </c>
      <c r="B226" s="98" t="e">
        <f>VLOOKUP($A226,#REF!,101,FALSE)</f>
        <v>#REF!</v>
      </c>
      <c r="C226" s="98" t="e">
        <f>VLOOKUP($A226,#REF!,102,FALSE)</f>
        <v>#REF!</v>
      </c>
      <c r="D226" s="98" t="e">
        <f>VLOOKUP($A226,#REF!,5,FALSE)</f>
        <v>#REF!</v>
      </c>
      <c r="E226" s="98" t="e">
        <f>VLOOKUP($A226,#REF!,6,FALSE)</f>
        <v>#REF!</v>
      </c>
      <c r="F226" s="105" t="e">
        <f>VLOOKUP($A226,#REF!,34,FALSE)</f>
        <v>#REF!</v>
      </c>
      <c r="G226" s="105" t="e">
        <f>VLOOKUP($A226,#REF!,29,FALSE)</f>
        <v>#REF!</v>
      </c>
      <c r="H226" s="105" t="e">
        <f>VLOOKUP($A226,#REF!,35,FALSE)+VLOOKUP($A226,#REF!,97,FALSE)</f>
        <v>#REF!</v>
      </c>
      <c r="I226" s="105" t="e">
        <f t="shared" si="76"/>
        <v>#REF!</v>
      </c>
      <c r="J226" s="105" t="e">
        <f>VLOOKUP($A226,#REF!,42,FALSE)</f>
        <v>#REF!</v>
      </c>
      <c r="K226" s="105" t="e">
        <f t="shared" si="77"/>
        <v>#REF!</v>
      </c>
      <c r="L226" s="164" t="e">
        <f t="shared" si="75"/>
        <v>#REF!</v>
      </c>
      <c r="M226" s="105" t="e">
        <f t="shared" si="78"/>
        <v>#REF!</v>
      </c>
      <c r="N226" s="105">
        <v>285</v>
      </c>
      <c r="O226" s="105" t="e">
        <f t="shared" si="79"/>
        <v>#REF!</v>
      </c>
      <c r="P226" s="105" t="e">
        <f>VLOOKUP($A226,#REF!,46,FALSE)</f>
        <v>#REF!</v>
      </c>
      <c r="Q226" s="106" t="e">
        <f>VLOOKUP($A226,#REF!,9,FALSE)</f>
        <v>#REF!</v>
      </c>
      <c r="R226" s="114" t="e">
        <f>#REF!</f>
        <v>#REF!</v>
      </c>
      <c r="S226" s="114" t="e">
        <f>VLOOKUP($A226,#REF!,21,FALSE)</f>
        <v>#REF!</v>
      </c>
      <c r="T226" s="105" t="e">
        <f>VLOOKUP($A226,#REF!,15,FALSE)</f>
        <v>#REF!</v>
      </c>
      <c r="U226" s="105" t="e">
        <f>VLOOKUP($A226,#REF!,19,FALSE)</f>
        <v>#REF!</v>
      </c>
      <c r="V226" s="109" t="e">
        <f t="shared" si="80"/>
        <v>#REF!</v>
      </c>
      <c r="W226" s="121" t="e">
        <f t="shared" si="81"/>
        <v>#REF!</v>
      </c>
      <c r="X226" s="105" t="e">
        <f t="shared" si="82"/>
        <v>#REF!</v>
      </c>
      <c r="Y226" s="113" t="e">
        <f t="shared" si="83"/>
        <v>#REF!</v>
      </c>
      <c r="Z226" s="109" t="e">
        <f t="shared" si="84"/>
        <v>#REF!</v>
      </c>
      <c r="AA226" s="113" t="e">
        <f t="shared" si="85"/>
        <v>#REF!</v>
      </c>
      <c r="AB226" s="109" t="e">
        <f t="shared" si="86"/>
        <v>#REF!</v>
      </c>
      <c r="AC226" s="109" t="e">
        <f t="shared" si="87"/>
        <v>#REF!</v>
      </c>
      <c r="AD226" s="110" t="e">
        <f>VLOOKUP(A226,#REF!,5,FALSE)</f>
        <v>#REF!</v>
      </c>
      <c r="AE226" s="111" t="e">
        <f t="shared" si="88"/>
        <v>#REF!</v>
      </c>
      <c r="AG226" s="105"/>
      <c r="AH226" s="111"/>
      <c r="AI226" s="105"/>
      <c r="AJ226" s="105"/>
      <c r="AK226" s="109"/>
      <c r="AL226" s="109"/>
      <c r="AP226" s="107"/>
      <c r="AQ226" s="107"/>
      <c r="AT226" s="107"/>
      <c r="AU226" s="107"/>
      <c r="AV226" s="105"/>
      <c r="AW226" s="105"/>
      <c r="AX226" s="105"/>
      <c r="AZ226" s="108"/>
      <c r="BA226" s="108"/>
      <c r="BB226" s="107"/>
    </row>
    <row r="227" spans="1:64" x14ac:dyDescent="0.15">
      <c r="A227" s="115">
        <v>286</v>
      </c>
      <c r="B227" s="98" t="e">
        <f>VLOOKUP($A227,#REF!,101,FALSE)</f>
        <v>#REF!</v>
      </c>
      <c r="C227" s="98" t="e">
        <f>VLOOKUP($A227,#REF!,102,FALSE)</f>
        <v>#REF!</v>
      </c>
      <c r="D227" s="98" t="e">
        <f>VLOOKUP($A227,#REF!,5,FALSE)</f>
        <v>#REF!</v>
      </c>
      <c r="E227" s="98" t="e">
        <f>VLOOKUP($A227,#REF!,6,FALSE)</f>
        <v>#REF!</v>
      </c>
      <c r="F227" s="105" t="e">
        <f>VLOOKUP($A227,#REF!,34,FALSE)</f>
        <v>#REF!</v>
      </c>
      <c r="G227" s="105" t="e">
        <f>VLOOKUP($A227,#REF!,29,FALSE)</f>
        <v>#REF!</v>
      </c>
      <c r="H227" s="105" t="e">
        <f>VLOOKUP($A227,#REF!,35,FALSE)+VLOOKUP($A227,#REF!,97,FALSE)</f>
        <v>#REF!</v>
      </c>
      <c r="I227" s="105" t="e">
        <f t="shared" si="76"/>
        <v>#REF!</v>
      </c>
      <c r="J227" s="105" t="e">
        <f>VLOOKUP($A227,#REF!,42,FALSE)</f>
        <v>#REF!</v>
      </c>
      <c r="K227" s="105" t="e">
        <f t="shared" si="77"/>
        <v>#REF!</v>
      </c>
      <c r="L227" s="164" t="e">
        <f t="shared" si="75"/>
        <v>#REF!</v>
      </c>
      <c r="M227" s="105" t="e">
        <f t="shared" si="78"/>
        <v>#REF!</v>
      </c>
      <c r="N227" s="105">
        <v>285</v>
      </c>
      <c r="O227" s="105" t="e">
        <f t="shared" si="79"/>
        <v>#REF!</v>
      </c>
      <c r="P227" s="105" t="e">
        <f>VLOOKUP($A227,#REF!,46,FALSE)</f>
        <v>#REF!</v>
      </c>
      <c r="Q227" s="106" t="e">
        <f>VLOOKUP($A227,#REF!,9,FALSE)</f>
        <v>#REF!</v>
      </c>
      <c r="R227" s="114" t="e">
        <f>#REF!</f>
        <v>#REF!</v>
      </c>
      <c r="S227" s="114" t="e">
        <f>VLOOKUP($A227,#REF!,21,FALSE)</f>
        <v>#REF!</v>
      </c>
      <c r="T227" s="105" t="e">
        <f>VLOOKUP($A227,#REF!,15,FALSE)</f>
        <v>#REF!</v>
      </c>
      <c r="U227" s="105" t="e">
        <f>VLOOKUP($A227,#REF!,19,FALSE)</f>
        <v>#REF!</v>
      </c>
      <c r="V227" s="109" t="e">
        <f t="shared" si="80"/>
        <v>#REF!</v>
      </c>
      <c r="W227" s="121" t="e">
        <f t="shared" si="81"/>
        <v>#REF!</v>
      </c>
      <c r="X227" s="105" t="e">
        <f t="shared" si="82"/>
        <v>#REF!</v>
      </c>
      <c r="Y227" s="113" t="e">
        <f t="shared" si="83"/>
        <v>#REF!</v>
      </c>
      <c r="Z227" s="109" t="e">
        <f t="shared" si="84"/>
        <v>#REF!</v>
      </c>
      <c r="AA227" s="113" t="e">
        <f t="shared" si="85"/>
        <v>#REF!</v>
      </c>
      <c r="AB227" s="109" t="e">
        <f t="shared" si="86"/>
        <v>#REF!</v>
      </c>
      <c r="AC227" s="109" t="e">
        <f t="shared" si="87"/>
        <v>#REF!</v>
      </c>
      <c r="AD227" s="110" t="e">
        <f>VLOOKUP(A227,#REF!,5,FALSE)</f>
        <v>#REF!</v>
      </c>
      <c r="AE227" s="111" t="e">
        <f t="shared" si="88"/>
        <v>#REF!</v>
      </c>
      <c r="AF227" s="107"/>
      <c r="AH227" s="107"/>
      <c r="AI227" s="107"/>
      <c r="AJ227" s="107"/>
      <c r="AK227" s="107"/>
      <c r="AL227" s="107"/>
      <c r="AZ227" s="107"/>
      <c r="BA227" s="107"/>
      <c r="BD227" s="107"/>
      <c r="BE227" s="107"/>
      <c r="BF227" s="105"/>
      <c r="BG227" s="105"/>
      <c r="BH227" s="105"/>
      <c r="BJ227" s="108"/>
      <c r="BK227" s="108"/>
      <c r="BL227" s="107"/>
    </row>
    <row r="228" spans="1:64" x14ac:dyDescent="0.15">
      <c r="A228" s="98">
        <v>294</v>
      </c>
      <c r="B228" s="98" t="e">
        <f>VLOOKUP($A228,#REF!,101,FALSE)</f>
        <v>#REF!</v>
      </c>
      <c r="C228" s="98" t="e">
        <f>VLOOKUP($A228,#REF!,102,FALSE)</f>
        <v>#REF!</v>
      </c>
      <c r="D228" s="98" t="e">
        <f>VLOOKUP($A228,#REF!,5,FALSE)</f>
        <v>#REF!</v>
      </c>
      <c r="E228" s="98" t="e">
        <f>VLOOKUP($A228,#REF!,6,FALSE)</f>
        <v>#REF!</v>
      </c>
      <c r="F228" s="105" t="e">
        <f>VLOOKUP($A228,#REF!,34,FALSE)</f>
        <v>#REF!</v>
      </c>
      <c r="G228" s="105" t="e">
        <f>VLOOKUP($A228,#REF!,29,FALSE)</f>
        <v>#REF!</v>
      </c>
      <c r="H228" s="105" t="e">
        <f>VLOOKUP($A228,#REF!,35,FALSE)+VLOOKUP($A228,#REF!,97,FALSE)</f>
        <v>#REF!</v>
      </c>
      <c r="I228" s="105" t="e">
        <f t="shared" si="76"/>
        <v>#REF!</v>
      </c>
      <c r="J228" s="105" t="e">
        <f>VLOOKUP($A228,#REF!,42,FALSE)</f>
        <v>#REF!</v>
      </c>
      <c r="K228" s="105" t="e">
        <f t="shared" si="77"/>
        <v>#REF!</v>
      </c>
      <c r="L228" s="164" t="e">
        <f t="shared" si="75"/>
        <v>#REF!</v>
      </c>
      <c r="M228" s="105" t="e">
        <f t="shared" si="78"/>
        <v>#REF!</v>
      </c>
      <c r="N228" s="105">
        <v>285</v>
      </c>
      <c r="O228" s="105" t="e">
        <f t="shared" si="79"/>
        <v>#REF!</v>
      </c>
      <c r="P228" s="105" t="e">
        <f>VLOOKUP($A228,#REF!,46,FALSE)</f>
        <v>#REF!</v>
      </c>
      <c r="Q228" s="106" t="e">
        <f>VLOOKUP($A228,#REF!,9,FALSE)</f>
        <v>#REF!</v>
      </c>
      <c r="R228" s="114" t="e">
        <f>#REF!</f>
        <v>#REF!</v>
      </c>
      <c r="S228" s="114" t="e">
        <f>VLOOKUP($A228,#REF!,21,FALSE)</f>
        <v>#REF!</v>
      </c>
      <c r="T228" s="105" t="e">
        <f>VLOOKUP($A228,#REF!,15,FALSE)</f>
        <v>#REF!</v>
      </c>
      <c r="U228" s="105" t="e">
        <f>VLOOKUP($A228,#REF!,19,FALSE)</f>
        <v>#REF!</v>
      </c>
      <c r="V228" s="109" t="e">
        <f t="shared" si="80"/>
        <v>#REF!</v>
      </c>
      <c r="W228" s="121" t="e">
        <f t="shared" si="81"/>
        <v>#REF!</v>
      </c>
      <c r="X228" s="105" t="e">
        <f t="shared" si="82"/>
        <v>#REF!</v>
      </c>
      <c r="Y228" s="113" t="e">
        <f t="shared" si="83"/>
        <v>#REF!</v>
      </c>
      <c r="Z228" s="109" t="e">
        <f t="shared" si="84"/>
        <v>#REF!</v>
      </c>
      <c r="AA228" s="113" t="e">
        <f t="shared" si="85"/>
        <v>#REF!</v>
      </c>
      <c r="AB228" s="109" t="e">
        <f t="shared" si="86"/>
        <v>#REF!</v>
      </c>
      <c r="AC228" s="109" t="e">
        <f t="shared" si="87"/>
        <v>#REF!</v>
      </c>
      <c r="AD228" s="110" t="e">
        <f>VLOOKUP(A228,#REF!,5,FALSE)</f>
        <v>#REF!</v>
      </c>
      <c r="AE228" s="111" t="e">
        <f t="shared" si="88"/>
        <v>#REF!</v>
      </c>
      <c r="AF228" s="107"/>
      <c r="AH228" s="107"/>
      <c r="AI228" s="107"/>
      <c r="AJ228" s="107"/>
      <c r="AK228" s="107"/>
      <c r="AL228" s="107"/>
      <c r="AZ228" s="107"/>
      <c r="BA228" s="107"/>
      <c r="BD228" s="107"/>
      <c r="BE228" s="107"/>
      <c r="BF228" s="105"/>
      <c r="BG228" s="105"/>
      <c r="BH228" s="105"/>
      <c r="BJ228" s="108"/>
      <c r="BK228" s="108"/>
      <c r="BL228" s="107"/>
    </row>
    <row r="229" spans="1:64" x14ac:dyDescent="0.15">
      <c r="AB229" s="108"/>
      <c r="AC229" s="108"/>
      <c r="AD229" s="107"/>
      <c r="AE229" s="107"/>
      <c r="AF229" s="107"/>
      <c r="AH229" s="107"/>
      <c r="AI229" s="107"/>
      <c r="AJ229" s="107"/>
      <c r="AK229" s="107"/>
      <c r="AL229" s="107"/>
      <c r="AZ229" s="107"/>
      <c r="BA229" s="107"/>
      <c r="BD229" s="107"/>
      <c r="BE229" s="107"/>
      <c r="BF229" s="105"/>
      <c r="BG229" s="105"/>
      <c r="BH229" s="105"/>
      <c r="BJ229" s="108"/>
      <c r="BK229" s="108"/>
      <c r="BL229" s="107"/>
    </row>
    <row r="230" spans="1:64" x14ac:dyDescent="0.15">
      <c r="AB230" s="108"/>
      <c r="AC230" s="108"/>
      <c r="AD230" s="107"/>
      <c r="AE230" s="107"/>
      <c r="AF230" s="107"/>
      <c r="AH230" s="107"/>
      <c r="AI230" s="107"/>
      <c r="AJ230" s="107"/>
      <c r="AK230" s="107"/>
      <c r="AL230" s="107"/>
      <c r="AZ230" s="107"/>
      <c r="BA230" s="107"/>
      <c r="BD230" s="107"/>
      <c r="BE230" s="107"/>
      <c r="BF230" s="105"/>
      <c r="BG230" s="105"/>
      <c r="BH230" s="105"/>
      <c r="BJ230" s="108"/>
      <c r="BK230" s="108"/>
      <c r="BL230" s="107"/>
    </row>
    <row r="231" spans="1:64" x14ac:dyDescent="0.15">
      <c r="AB231" s="108"/>
      <c r="AC231" s="108"/>
      <c r="AD231" s="107"/>
      <c r="AE231" s="107"/>
      <c r="AF231" s="107"/>
      <c r="AH231" s="107"/>
      <c r="AI231" s="107"/>
      <c r="AJ231" s="107"/>
      <c r="AK231" s="107"/>
      <c r="AL231" s="107"/>
      <c r="AZ231" s="107"/>
      <c r="BA231" s="107"/>
      <c r="BD231" s="107"/>
      <c r="BE231" s="107"/>
      <c r="BF231" s="105"/>
      <c r="BG231" s="105"/>
      <c r="BH231" s="105"/>
      <c r="BJ231" s="108"/>
      <c r="BK231" s="108"/>
      <c r="BL231" s="107"/>
    </row>
    <row r="232" spans="1:64" x14ac:dyDescent="0.15">
      <c r="AB232" s="108"/>
      <c r="AC232" s="108"/>
      <c r="AD232" s="107"/>
      <c r="AE232" s="107"/>
      <c r="AF232" s="107"/>
      <c r="AH232" s="107"/>
      <c r="AI232" s="107"/>
      <c r="AJ232" s="107"/>
      <c r="AK232" s="107"/>
      <c r="AL232" s="107"/>
      <c r="AZ232" s="107"/>
      <c r="BA232" s="107"/>
      <c r="BD232" s="107"/>
      <c r="BE232" s="107"/>
      <c r="BF232" s="105"/>
      <c r="BG232" s="105"/>
      <c r="BH232" s="105"/>
      <c r="BJ232" s="108"/>
      <c r="BK232" s="108"/>
      <c r="BL232" s="107"/>
    </row>
    <row r="233" spans="1:64" x14ac:dyDescent="0.15">
      <c r="AB233" s="108"/>
      <c r="AC233" s="108"/>
      <c r="AD233" s="107"/>
      <c r="AE233" s="107"/>
      <c r="AF233" s="107"/>
      <c r="AH233" s="107"/>
      <c r="AI233" s="107"/>
      <c r="AJ233" s="107"/>
      <c r="AK233" s="107"/>
      <c r="AL233" s="107"/>
      <c r="AZ233" s="107"/>
      <c r="BA233" s="107"/>
      <c r="BD233" s="107"/>
      <c r="BE233" s="107"/>
      <c r="BF233" s="105"/>
      <c r="BG233" s="105"/>
      <c r="BH233" s="105"/>
      <c r="BJ233" s="108"/>
      <c r="BK233" s="108"/>
      <c r="BL233" s="107"/>
    </row>
    <row r="234" spans="1:64" x14ac:dyDescent="0.15">
      <c r="AB234" s="108"/>
      <c r="AC234" s="108"/>
      <c r="AD234" s="107"/>
      <c r="AE234" s="107"/>
      <c r="AF234" s="107"/>
      <c r="AH234" s="107"/>
      <c r="AI234" s="107"/>
      <c r="AJ234" s="107"/>
      <c r="AK234" s="107"/>
      <c r="AL234" s="107"/>
      <c r="AZ234" s="107"/>
      <c r="BA234" s="107"/>
      <c r="BD234" s="107"/>
      <c r="BE234" s="107"/>
      <c r="BF234" s="105"/>
      <c r="BG234" s="105"/>
      <c r="BH234" s="105"/>
      <c r="BJ234" s="108"/>
      <c r="BK234" s="108"/>
      <c r="BL234" s="107"/>
    </row>
    <row r="235" spans="1:64" x14ac:dyDescent="0.15">
      <c r="AB235" s="108"/>
      <c r="AC235" s="108"/>
      <c r="AD235" s="107"/>
      <c r="AE235" s="107"/>
      <c r="AF235" s="107"/>
      <c r="AH235" s="107"/>
      <c r="AI235" s="107"/>
      <c r="AJ235" s="107"/>
      <c r="AK235" s="107"/>
      <c r="AL235" s="107"/>
      <c r="AZ235" s="107"/>
      <c r="BA235" s="107"/>
      <c r="BD235" s="107"/>
      <c r="BE235" s="107"/>
      <c r="BF235" s="105"/>
      <c r="BG235" s="105"/>
      <c r="BH235" s="105"/>
      <c r="BJ235" s="108"/>
      <c r="BK235" s="108"/>
      <c r="BL235" s="107"/>
    </row>
    <row r="236" spans="1:64" x14ac:dyDescent="0.15">
      <c r="AB236" s="108"/>
      <c r="AC236" s="108"/>
      <c r="AD236" s="107"/>
      <c r="AE236" s="107"/>
      <c r="AF236" s="107"/>
      <c r="AH236" s="107"/>
      <c r="AI236" s="107"/>
      <c r="AJ236" s="107"/>
      <c r="AK236" s="107"/>
      <c r="AL236" s="107"/>
      <c r="AZ236" s="107"/>
      <c r="BA236" s="107"/>
      <c r="BD236" s="107"/>
      <c r="BE236" s="107"/>
      <c r="BF236" s="105"/>
      <c r="BG236" s="105"/>
      <c r="BH236" s="105"/>
      <c r="BJ236" s="108"/>
      <c r="BK236" s="108"/>
      <c r="BL236" s="107"/>
    </row>
    <row r="237" spans="1:64" x14ac:dyDescent="0.15">
      <c r="AB237" s="108"/>
      <c r="AC237" s="108"/>
      <c r="AD237" s="107"/>
      <c r="AE237" s="107"/>
      <c r="AF237" s="107"/>
      <c r="AH237" s="107"/>
      <c r="AI237" s="107"/>
      <c r="AJ237" s="107"/>
      <c r="AK237" s="107"/>
      <c r="AL237" s="107"/>
      <c r="AZ237" s="107"/>
      <c r="BA237" s="107"/>
      <c r="BD237" s="107"/>
      <c r="BE237" s="107"/>
      <c r="BF237" s="105"/>
      <c r="BG237" s="105"/>
      <c r="BH237" s="105"/>
      <c r="BJ237" s="108"/>
      <c r="BK237" s="108"/>
      <c r="BL237" s="107"/>
    </row>
    <row r="238" spans="1:64" x14ac:dyDescent="0.15">
      <c r="AB238" s="108"/>
      <c r="AC238" s="108"/>
      <c r="AD238" s="107"/>
      <c r="AE238" s="107"/>
      <c r="AF238" s="107"/>
      <c r="AH238" s="107"/>
      <c r="AI238" s="107"/>
      <c r="AJ238" s="107"/>
      <c r="AK238" s="107"/>
      <c r="AL238" s="107"/>
      <c r="AZ238" s="107"/>
      <c r="BA238" s="107"/>
      <c r="BD238" s="107"/>
      <c r="BE238" s="107"/>
      <c r="BF238" s="105"/>
      <c r="BG238" s="105"/>
      <c r="BH238" s="105"/>
      <c r="BJ238" s="108"/>
      <c r="BK238" s="108"/>
      <c r="BL238" s="107"/>
    </row>
    <row r="239" spans="1:64" x14ac:dyDescent="0.15">
      <c r="AB239" s="108"/>
      <c r="AC239" s="108"/>
      <c r="AD239" s="107"/>
      <c r="AE239" s="107"/>
      <c r="AF239" s="107"/>
      <c r="AH239" s="107"/>
      <c r="AI239" s="107"/>
      <c r="AJ239" s="107"/>
      <c r="AK239" s="107"/>
      <c r="AL239" s="107"/>
      <c r="AZ239" s="107"/>
      <c r="BA239" s="107"/>
      <c r="BD239" s="107"/>
      <c r="BE239" s="107"/>
      <c r="BF239" s="105"/>
      <c r="BG239" s="105"/>
      <c r="BH239" s="105"/>
      <c r="BJ239" s="108"/>
      <c r="BK239" s="108"/>
      <c r="BL239" s="107"/>
    </row>
    <row r="240" spans="1:64" x14ac:dyDescent="0.15">
      <c r="AB240" s="108"/>
      <c r="AC240" s="108"/>
      <c r="AD240" s="107"/>
      <c r="AE240" s="107"/>
      <c r="AF240" s="107"/>
      <c r="AH240" s="107"/>
      <c r="AI240" s="107"/>
      <c r="AJ240" s="107"/>
      <c r="AK240" s="107"/>
      <c r="AL240" s="107"/>
      <c r="AZ240" s="107"/>
      <c r="BA240" s="107"/>
      <c r="BD240" s="107"/>
      <c r="BE240" s="107"/>
      <c r="BF240" s="105"/>
      <c r="BG240" s="105"/>
      <c r="BH240" s="105"/>
      <c r="BJ240" s="108"/>
      <c r="BK240" s="108"/>
      <c r="BL240" s="107"/>
    </row>
    <row r="241" spans="28:64" x14ac:dyDescent="0.15">
      <c r="AB241" s="108"/>
      <c r="AC241" s="108"/>
      <c r="AD241" s="107"/>
      <c r="AE241" s="107"/>
      <c r="AF241" s="107"/>
      <c r="AH241" s="107"/>
      <c r="AI241" s="107"/>
      <c r="AJ241" s="107"/>
      <c r="AK241" s="107"/>
      <c r="AL241" s="107"/>
      <c r="AZ241" s="107"/>
      <c r="BA241" s="107"/>
      <c r="BD241" s="107"/>
      <c r="BE241" s="107"/>
      <c r="BF241" s="105"/>
      <c r="BG241" s="105"/>
      <c r="BH241" s="105"/>
      <c r="BJ241" s="108"/>
      <c r="BK241" s="108"/>
      <c r="BL241" s="107"/>
    </row>
    <row r="242" spans="28:64" x14ac:dyDescent="0.15">
      <c r="AB242" s="108"/>
      <c r="AC242" s="108"/>
      <c r="AD242" s="107"/>
      <c r="AE242" s="107"/>
      <c r="AF242" s="107"/>
      <c r="AH242" s="107"/>
      <c r="AI242" s="107"/>
      <c r="AJ242" s="107"/>
      <c r="AK242" s="107"/>
      <c r="AL242" s="107"/>
      <c r="AZ242" s="107"/>
      <c r="BA242" s="107"/>
      <c r="BD242" s="107"/>
      <c r="BE242" s="107"/>
      <c r="BF242" s="105"/>
      <c r="BG242" s="105"/>
      <c r="BH242" s="105"/>
      <c r="BJ242" s="108"/>
      <c r="BK242" s="108"/>
      <c r="BL242" s="107"/>
    </row>
    <row r="243" spans="28:64" x14ac:dyDescent="0.15">
      <c r="AB243" s="108"/>
      <c r="AC243" s="108"/>
      <c r="AD243" s="107"/>
      <c r="AE243" s="107"/>
      <c r="AF243" s="107"/>
      <c r="AH243" s="107"/>
      <c r="AI243" s="107"/>
      <c r="AJ243" s="107"/>
      <c r="AK243" s="107"/>
      <c r="AL243" s="107"/>
      <c r="AZ243" s="107"/>
      <c r="BA243" s="107"/>
      <c r="BD243" s="107"/>
      <c r="BE243" s="107"/>
      <c r="BF243" s="105"/>
      <c r="BG243" s="105"/>
      <c r="BH243" s="105"/>
      <c r="BJ243" s="108"/>
      <c r="BK243" s="108"/>
      <c r="BL243" s="107"/>
    </row>
    <row r="244" spans="28:64" x14ac:dyDescent="0.15">
      <c r="AB244" s="108"/>
      <c r="AC244" s="108"/>
      <c r="AD244" s="107"/>
      <c r="AE244" s="107"/>
      <c r="AF244" s="107"/>
      <c r="AH244" s="107"/>
      <c r="AI244" s="107"/>
      <c r="AJ244" s="107"/>
      <c r="AK244" s="107"/>
      <c r="AL244" s="107"/>
      <c r="AZ244" s="107"/>
      <c r="BA244" s="107"/>
      <c r="BD244" s="107"/>
      <c r="BE244" s="107"/>
      <c r="BF244" s="105"/>
      <c r="BG244" s="105"/>
      <c r="BH244" s="105"/>
      <c r="BJ244" s="108"/>
      <c r="BK244" s="108"/>
      <c r="BL244" s="107"/>
    </row>
    <row r="245" spans="28:64" x14ac:dyDescent="0.15">
      <c r="AB245" s="108"/>
      <c r="AC245" s="108"/>
      <c r="AD245" s="107"/>
      <c r="AE245" s="107"/>
      <c r="AF245" s="107"/>
      <c r="AH245" s="107"/>
      <c r="AI245" s="107"/>
      <c r="AJ245" s="107"/>
      <c r="AK245" s="107"/>
      <c r="AL245" s="107"/>
      <c r="AZ245" s="107"/>
      <c r="BA245" s="107"/>
      <c r="BD245" s="107"/>
      <c r="BE245" s="107"/>
      <c r="BF245" s="105"/>
      <c r="BG245" s="105"/>
      <c r="BH245" s="105"/>
      <c r="BJ245" s="108"/>
      <c r="BK245" s="108"/>
      <c r="BL245" s="107"/>
    </row>
    <row r="246" spans="28:64" x14ac:dyDescent="0.15">
      <c r="AB246" s="108"/>
      <c r="AC246" s="108"/>
      <c r="AD246" s="107"/>
      <c r="AE246" s="107"/>
      <c r="AF246" s="107"/>
      <c r="AH246" s="107"/>
      <c r="AI246" s="107"/>
      <c r="AJ246" s="107"/>
      <c r="AK246" s="107"/>
      <c r="AL246" s="107"/>
      <c r="AZ246" s="107"/>
      <c r="BA246" s="107"/>
      <c r="BD246" s="107"/>
      <c r="BE246" s="107"/>
      <c r="BF246" s="105"/>
      <c r="BG246" s="105"/>
      <c r="BH246" s="105"/>
      <c r="BJ246" s="108"/>
      <c r="BK246" s="108"/>
      <c r="BL246" s="107"/>
    </row>
    <row r="247" spans="28:64" x14ac:dyDescent="0.15">
      <c r="AB247" s="108"/>
      <c r="AC247" s="108"/>
      <c r="AD247" s="107"/>
      <c r="AE247" s="107"/>
      <c r="AF247" s="107"/>
      <c r="AH247" s="107"/>
      <c r="AI247" s="107"/>
      <c r="AJ247" s="107"/>
      <c r="AK247" s="107"/>
      <c r="AL247" s="107"/>
      <c r="AZ247" s="107"/>
      <c r="BA247" s="107"/>
      <c r="BD247" s="107"/>
      <c r="BE247" s="107"/>
      <c r="BF247" s="105"/>
      <c r="BG247" s="105"/>
      <c r="BH247" s="105"/>
      <c r="BJ247" s="108"/>
      <c r="BK247" s="108"/>
      <c r="BL247" s="107"/>
    </row>
    <row r="248" spans="28:64" x14ac:dyDescent="0.15">
      <c r="AB248" s="108"/>
      <c r="AC248" s="108"/>
      <c r="AD248" s="107"/>
      <c r="AE248" s="107"/>
      <c r="AF248" s="107"/>
      <c r="AH248" s="107"/>
      <c r="AI248" s="107"/>
      <c r="AJ248" s="107"/>
      <c r="AK248" s="107"/>
      <c r="AL248" s="107"/>
      <c r="AZ248" s="107"/>
      <c r="BA248" s="107"/>
      <c r="BD248" s="107"/>
      <c r="BE248" s="107"/>
      <c r="BF248" s="105"/>
      <c r="BG248" s="105"/>
      <c r="BH248" s="105"/>
      <c r="BJ248" s="108"/>
      <c r="BK248" s="108"/>
      <c r="BL248" s="107"/>
    </row>
    <row r="249" spans="28:64" x14ac:dyDescent="0.15">
      <c r="AB249" s="108"/>
      <c r="AC249" s="108"/>
      <c r="AD249" s="107"/>
      <c r="AE249" s="107"/>
      <c r="AF249" s="107"/>
      <c r="AH249" s="107"/>
      <c r="AI249" s="107"/>
      <c r="AJ249" s="107"/>
      <c r="AK249" s="107"/>
      <c r="AL249" s="107"/>
      <c r="AZ249" s="107"/>
      <c r="BA249" s="107"/>
      <c r="BD249" s="107"/>
      <c r="BE249" s="107"/>
      <c r="BF249" s="105"/>
      <c r="BG249" s="105"/>
      <c r="BH249" s="105"/>
      <c r="BJ249" s="108"/>
      <c r="BK249" s="108"/>
      <c r="BL249" s="107"/>
    </row>
    <row r="250" spans="28:64" x14ac:dyDescent="0.15">
      <c r="AB250" s="108"/>
      <c r="AC250" s="108"/>
      <c r="AD250" s="107"/>
      <c r="AE250" s="107"/>
      <c r="AF250" s="107"/>
      <c r="AH250" s="107"/>
      <c r="AI250" s="107"/>
      <c r="AJ250" s="107"/>
      <c r="AK250" s="107"/>
      <c r="AL250" s="107"/>
      <c r="AZ250" s="107"/>
      <c r="BA250" s="107"/>
      <c r="BD250" s="107"/>
      <c r="BE250" s="107"/>
      <c r="BF250" s="105"/>
      <c r="BG250" s="105"/>
      <c r="BH250" s="105"/>
      <c r="BJ250" s="108"/>
      <c r="BK250" s="108"/>
      <c r="BL250" s="107"/>
    </row>
    <row r="251" spans="28:64" x14ac:dyDescent="0.15">
      <c r="AB251" s="108"/>
      <c r="AC251" s="108"/>
      <c r="AD251" s="107"/>
      <c r="AE251" s="107"/>
      <c r="AF251" s="107"/>
      <c r="AH251" s="107"/>
      <c r="AI251" s="107"/>
      <c r="AJ251" s="107"/>
      <c r="AK251" s="107"/>
      <c r="AL251" s="107"/>
      <c r="AZ251" s="107"/>
      <c r="BA251" s="107"/>
      <c r="BD251" s="107"/>
      <c r="BE251" s="107"/>
      <c r="BF251" s="105"/>
      <c r="BG251" s="105"/>
      <c r="BH251" s="105"/>
      <c r="BJ251" s="108"/>
      <c r="BK251" s="108"/>
      <c r="BL251" s="107"/>
    </row>
    <row r="252" spans="28:64" x14ac:dyDescent="0.15">
      <c r="AB252" s="108"/>
      <c r="AC252" s="108"/>
      <c r="AD252" s="107"/>
      <c r="AE252" s="107"/>
      <c r="AF252" s="107"/>
      <c r="AH252" s="107"/>
      <c r="AI252" s="107"/>
      <c r="AJ252" s="107"/>
      <c r="AK252" s="107"/>
      <c r="AL252" s="107"/>
      <c r="AZ252" s="107"/>
      <c r="BA252" s="107"/>
      <c r="BD252" s="107"/>
      <c r="BE252" s="107"/>
      <c r="BF252" s="105"/>
      <c r="BG252" s="105"/>
      <c r="BH252" s="105"/>
      <c r="BJ252" s="108"/>
      <c r="BK252" s="108"/>
      <c r="BL252" s="107"/>
    </row>
    <row r="253" spans="28:64" x14ac:dyDescent="0.15">
      <c r="AB253" s="108"/>
      <c r="AC253" s="108"/>
      <c r="AD253" s="107"/>
      <c r="AE253" s="107"/>
      <c r="AF253" s="107"/>
      <c r="AH253" s="107"/>
      <c r="AI253" s="107"/>
      <c r="AJ253" s="107"/>
      <c r="AK253" s="107"/>
      <c r="AL253" s="107"/>
      <c r="AZ253" s="107"/>
      <c r="BA253" s="107"/>
      <c r="BD253" s="107"/>
      <c r="BE253" s="107"/>
      <c r="BF253" s="105"/>
      <c r="BG253" s="105"/>
      <c r="BH253" s="105"/>
      <c r="BJ253" s="108"/>
      <c r="BK253" s="108"/>
      <c r="BL253" s="107"/>
    </row>
  </sheetData>
  <mergeCells count="2">
    <mergeCell ref="B1:C1"/>
    <mergeCell ref="B209:C209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1"/>
  <dimension ref="A1:K5"/>
  <sheetViews>
    <sheetView workbookViewId="0">
      <selection activeCell="H3" sqref="H3"/>
    </sheetView>
  </sheetViews>
  <sheetFormatPr baseColWidth="10" defaultColWidth="9.3984375" defaultRowHeight="13" x14ac:dyDescent="0.15"/>
  <cols>
    <col min="1" max="1" width="10.19921875" style="76" bestFit="1" customWidth="1"/>
    <col min="2" max="2" width="55.3984375" style="76" customWidth="1"/>
    <col min="3" max="3" width="13" style="76" customWidth="1"/>
    <col min="4" max="4" width="11" style="76" bestFit="1" customWidth="1"/>
    <col min="5" max="5" width="12.19921875" style="76" bestFit="1" customWidth="1"/>
    <col min="6" max="6" width="11" style="76" bestFit="1" customWidth="1"/>
    <col min="7" max="7" width="12.19921875" style="76" bestFit="1" customWidth="1"/>
    <col min="8" max="8" width="14" style="76" customWidth="1"/>
    <col min="9" max="9" width="20.59765625" style="76" bestFit="1" customWidth="1"/>
    <col min="10" max="10" width="12.19921875" style="76" bestFit="1" customWidth="1"/>
    <col min="11" max="12" width="10.3984375" style="76" bestFit="1" customWidth="1"/>
    <col min="13" max="16384" width="9.3984375" style="76"/>
  </cols>
  <sheetData>
    <row r="1" spans="1:11" x14ac:dyDescent="0.15">
      <c r="A1" s="144">
        <v>45839</v>
      </c>
      <c r="C1" s="76">
        <v>1</v>
      </c>
      <c r="D1" s="76">
        <v>2</v>
      </c>
      <c r="E1" s="76">
        <v>3</v>
      </c>
      <c r="F1" s="76">
        <v>4</v>
      </c>
      <c r="G1" s="76">
        <v>5</v>
      </c>
      <c r="H1" s="76">
        <v>6</v>
      </c>
      <c r="I1" s="76">
        <v>7</v>
      </c>
    </row>
    <row r="2" spans="1:11" ht="42" x14ac:dyDescent="0.15">
      <c r="A2" s="91" t="s">
        <v>145</v>
      </c>
      <c r="B2" s="91" t="s">
        <v>331</v>
      </c>
      <c r="C2" s="91" t="s">
        <v>342</v>
      </c>
      <c r="D2" s="91" t="s">
        <v>332</v>
      </c>
      <c r="E2" s="91" t="s">
        <v>333</v>
      </c>
      <c r="F2" s="91" t="s">
        <v>242</v>
      </c>
      <c r="G2" s="91" t="s">
        <v>162</v>
      </c>
      <c r="H2" s="91" t="s">
        <v>344</v>
      </c>
      <c r="I2" s="91" t="s">
        <v>45</v>
      </c>
      <c r="J2" s="91" t="s">
        <v>343</v>
      </c>
      <c r="K2" s="91" t="s">
        <v>145</v>
      </c>
    </row>
    <row r="3" spans="1:11" x14ac:dyDescent="0.15">
      <c r="A3" s="90">
        <v>743</v>
      </c>
      <c r="B3" s="76" t="s">
        <v>213</v>
      </c>
      <c r="C3" s="126" t="str">
        <f>A3&amp;G3</f>
        <v>74344742</v>
      </c>
      <c r="D3" s="126">
        <v>45740</v>
      </c>
      <c r="E3" s="126">
        <v>46104</v>
      </c>
      <c r="F3" s="126">
        <v>44378</v>
      </c>
      <c r="G3" s="126">
        <v>44742</v>
      </c>
      <c r="H3" s="4">
        <v>25520</v>
      </c>
      <c r="I3" s="145">
        <v>25520</v>
      </c>
      <c r="J3" s="76">
        <v>33580</v>
      </c>
      <c r="K3" s="76">
        <v>743</v>
      </c>
    </row>
    <row r="4" spans="1:11" x14ac:dyDescent="0.15">
      <c r="A4" s="90">
        <v>743</v>
      </c>
      <c r="B4" s="76" t="s">
        <v>213</v>
      </c>
      <c r="C4" s="126" t="str">
        <f>A4&amp;G4</f>
        <v>74345107</v>
      </c>
      <c r="D4" s="126">
        <v>45740</v>
      </c>
      <c r="E4" s="126">
        <v>46104</v>
      </c>
      <c r="F4" s="126">
        <v>44743</v>
      </c>
      <c r="G4" s="126">
        <v>45107</v>
      </c>
      <c r="H4" s="4">
        <v>25520</v>
      </c>
      <c r="I4" s="145">
        <v>25520</v>
      </c>
      <c r="J4" s="76">
        <v>33580</v>
      </c>
      <c r="K4" s="76">
        <v>743</v>
      </c>
    </row>
    <row r="5" spans="1:11" x14ac:dyDescent="0.15">
      <c r="A5" s="90">
        <v>743</v>
      </c>
      <c r="B5" s="76" t="s">
        <v>213</v>
      </c>
      <c r="C5" s="126" t="str">
        <f>A5&amp;G5</f>
        <v>74345473</v>
      </c>
      <c r="D5" s="126">
        <v>45740</v>
      </c>
      <c r="E5" s="126">
        <v>46104</v>
      </c>
      <c r="F5" s="126">
        <v>45108</v>
      </c>
      <c r="G5" s="126">
        <v>45473</v>
      </c>
      <c r="H5" s="4">
        <v>25520</v>
      </c>
      <c r="I5" s="145">
        <v>25520</v>
      </c>
      <c r="J5" s="76">
        <v>33580</v>
      </c>
      <c r="K5" s="76">
        <v>743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4">
    <pageSetUpPr fitToPage="1"/>
  </sheetPr>
  <dimension ref="A1:P102"/>
  <sheetViews>
    <sheetView topLeftCell="A51" workbookViewId="0">
      <selection activeCell="F69" sqref="F69"/>
    </sheetView>
  </sheetViews>
  <sheetFormatPr baseColWidth="10" defaultColWidth="9.3984375" defaultRowHeight="12" x14ac:dyDescent="0.15"/>
  <cols>
    <col min="1" max="1" width="21.3984375" style="23" customWidth="1"/>
    <col min="2" max="2" width="28.59765625" style="23" customWidth="1"/>
    <col min="3" max="3" width="25.3984375" style="23" customWidth="1"/>
    <col min="4" max="4" width="21.796875" style="23" customWidth="1"/>
    <col min="5" max="6" width="16.19921875" style="23" customWidth="1"/>
    <col min="7" max="7" width="23.796875" style="23" customWidth="1"/>
    <col min="8" max="8" width="11.796875" style="23" customWidth="1"/>
    <col min="9" max="9" width="18" style="23" customWidth="1"/>
    <col min="10" max="12" width="11.796875" style="23" customWidth="1"/>
    <col min="13" max="13" width="11.3984375" style="23" bestFit="1" customWidth="1"/>
    <col min="14" max="14" width="12" style="23" bestFit="1" customWidth="1"/>
    <col min="15" max="15" width="10.796875" style="23" bestFit="1" customWidth="1"/>
    <col min="16" max="16384" width="9.3984375" style="23"/>
  </cols>
  <sheetData>
    <row r="1" spans="1:4" x14ac:dyDescent="0.15">
      <c r="A1" s="208" t="s">
        <v>956</v>
      </c>
    </row>
    <row r="2" spans="1:4" x14ac:dyDescent="0.15">
      <c r="A2" s="25" t="s">
        <v>151</v>
      </c>
    </row>
    <row r="3" spans="1:4" ht="13" x14ac:dyDescent="0.15">
      <c r="A3" s="25"/>
      <c r="B3" s="209" t="s">
        <v>104</v>
      </c>
      <c r="C3" s="189" t="s">
        <v>142</v>
      </c>
      <c r="D3" s="189" t="s">
        <v>508</v>
      </c>
    </row>
    <row r="4" spans="1:4" x14ac:dyDescent="0.15">
      <c r="A4" s="25"/>
      <c r="B4" s="189" t="s">
        <v>102</v>
      </c>
      <c r="C4" s="189" t="s">
        <v>132</v>
      </c>
      <c r="D4" s="189" t="s">
        <v>134</v>
      </c>
    </row>
    <row r="5" spans="1:4" x14ac:dyDescent="0.15">
      <c r="A5" s="25"/>
      <c r="B5" s="189" t="s">
        <v>107</v>
      </c>
      <c r="C5" s="189" t="s">
        <v>134</v>
      </c>
      <c r="D5" s="189" t="s">
        <v>134</v>
      </c>
    </row>
    <row r="6" spans="1:4" x14ac:dyDescent="0.15">
      <c r="B6" s="189" t="s">
        <v>116</v>
      </c>
      <c r="C6" s="189" t="s">
        <v>134</v>
      </c>
      <c r="D6" s="189" t="s">
        <v>134</v>
      </c>
    </row>
    <row r="7" spans="1:4" x14ac:dyDescent="0.15">
      <c r="B7" s="189" t="s">
        <v>106</v>
      </c>
      <c r="C7" s="189" t="s">
        <v>134</v>
      </c>
      <c r="D7" s="189" t="s">
        <v>134</v>
      </c>
    </row>
    <row r="8" spans="1:4" x14ac:dyDescent="0.15">
      <c r="B8" s="189" t="s">
        <v>110</v>
      </c>
      <c r="C8" s="189" t="s">
        <v>134</v>
      </c>
      <c r="D8" s="189" t="s">
        <v>134</v>
      </c>
    </row>
    <row r="9" spans="1:4" x14ac:dyDescent="0.15">
      <c r="B9" s="189" t="s">
        <v>117</v>
      </c>
      <c r="C9" s="189" t="s">
        <v>134</v>
      </c>
      <c r="D9" s="189" t="s">
        <v>134</v>
      </c>
    </row>
    <row r="10" spans="1:4" x14ac:dyDescent="0.15">
      <c r="B10" s="189" t="s">
        <v>123</v>
      </c>
      <c r="C10" s="189" t="s">
        <v>29</v>
      </c>
      <c r="D10" s="189" t="s">
        <v>483</v>
      </c>
    </row>
    <row r="11" spans="1:4" x14ac:dyDescent="0.15">
      <c r="B11" s="189" t="s">
        <v>126</v>
      </c>
      <c r="C11" s="189" t="s">
        <v>29</v>
      </c>
      <c r="D11" s="189" t="s">
        <v>483</v>
      </c>
    </row>
    <row r="12" spans="1:4" x14ac:dyDescent="0.15">
      <c r="B12" s="189" t="s">
        <v>108</v>
      </c>
      <c r="C12" s="189" t="s">
        <v>29</v>
      </c>
      <c r="D12" s="189" t="s">
        <v>141</v>
      </c>
    </row>
    <row r="13" spans="1:4" x14ac:dyDescent="0.15">
      <c r="B13" s="189" t="s">
        <v>127</v>
      </c>
      <c r="C13" s="189" t="s">
        <v>29</v>
      </c>
      <c r="D13" s="189" t="s">
        <v>483</v>
      </c>
    </row>
    <row r="14" spans="1:4" x14ac:dyDescent="0.15">
      <c r="B14" s="189" t="s">
        <v>111</v>
      </c>
      <c r="C14" s="189" t="s">
        <v>29</v>
      </c>
      <c r="D14" s="189" t="s">
        <v>134</v>
      </c>
    </row>
    <row r="15" spans="1:4" x14ac:dyDescent="0.15">
      <c r="B15" s="189" t="s">
        <v>109</v>
      </c>
      <c r="C15" s="189" t="s">
        <v>29</v>
      </c>
      <c r="D15" s="189" t="s">
        <v>483</v>
      </c>
    </row>
    <row r="16" spans="1:4" x14ac:dyDescent="0.15">
      <c r="B16" s="189" t="s">
        <v>122</v>
      </c>
      <c r="C16" s="189" t="s">
        <v>29</v>
      </c>
      <c r="D16" s="189" t="s">
        <v>141</v>
      </c>
    </row>
    <row r="17" spans="1:6" x14ac:dyDescent="0.15">
      <c r="B17" s="189" t="s">
        <v>113</v>
      </c>
      <c r="C17" s="189" t="s">
        <v>29</v>
      </c>
      <c r="D17" s="189" t="s">
        <v>483</v>
      </c>
    </row>
    <row r="18" spans="1:6" x14ac:dyDescent="0.15">
      <c r="B18" s="189" t="s">
        <v>118</v>
      </c>
      <c r="C18" s="189" t="s">
        <v>29</v>
      </c>
      <c r="D18" s="189" t="s">
        <v>483</v>
      </c>
    </row>
    <row r="19" spans="1:6" x14ac:dyDescent="0.15">
      <c r="B19" s="189" t="s">
        <v>121</v>
      </c>
      <c r="C19" s="189" t="s">
        <v>29</v>
      </c>
      <c r="D19" s="189" t="s">
        <v>483</v>
      </c>
    </row>
    <row r="20" spans="1:6" x14ac:dyDescent="0.15">
      <c r="B20" s="189" t="s">
        <v>124</v>
      </c>
      <c r="C20" s="189" t="s">
        <v>29</v>
      </c>
      <c r="D20" s="189" t="s">
        <v>483</v>
      </c>
    </row>
    <row r="21" spans="1:6" x14ac:dyDescent="0.15">
      <c r="B21" s="189" t="s">
        <v>119</v>
      </c>
      <c r="C21" s="189" t="s">
        <v>141</v>
      </c>
      <c r="D21" s="189" t="s">
        <v>141</v>
      </c>
    </row>
    <row r="22" spans="1:6" x14ac:dyDescent="0.15">
      <c r="B22" s="189" t="s">
        <v>120</v>
      </c>
      <c r="C22" s="189" t="s">
        <v>141</v>
      </c>
      <c r="D22" s="189" t="s">
        <v>141</v>
      </c>
    </row>
    <row r="23" spans="1:6" x14ac:dyDescent="0.15">
      <c r="B23" s="189" t="s">
        <v>112</v>
      </c>
      <c r="C23" s="189" t="s">
        <v>141</v>
      </c>
      <c r="D23" s="189" t="s">
        <v>141</v>
      </c>
    </row>
    <row r="24" spans="1:6" x14ac:dyDescent="0.15">
      <c r="B24" s="189" t="s">
        <v>114</v>
      </c>
      <c r="C24" s="189" t="s">
        <v>29</v>
      </c>
      <c r="D24" s="189" t="s">
        <v>141</v>
      </c>
    </row>
    <row r="25" spans="1:6" x14ac:dyDescent="0.15">
      <c r="B25" s="189" t="s">
        <v>125</v>
      </c>
      <c r="C25" s="189" t="s">
        <v>29</v>
      </c>
      <c r="D25" s="189" t="s">
        <v>482</v>
      </c>
    </row>
    <row r="26" spans="1:6" x14ac:dyDescent="0.15">
      <c r="B26" s="189" t="s">
        <v>115</v>
      </c>
      <c r="C26" s="189" t="s">
        <v>29</v>
      </c>
      <c r="D26" s="189" t="s">
        <v>482</v>
      </c>
    </row>
    <row r="27" spans="1:6" x14ac:dyDescent="0.15">
      <c r="B27" s="189" t="s">
        <v>105</v>
      </c>
      <c r="C27" s="189" t="s">
        <v>29</v>
      </c>
      <c r="D27" s="189" t="s">
        <v>482</v>
      </c>
    </row>
    <row r="28" spans="1:6" x14ac:dyDescent="0.15">
      <c r="A28" s="26"/>
      <c r="B28" s="24"/>
      <c r="C28" s="24"/>
      <c r="D28" s="24"/>
      <c r="E28" s="24"/>
      <c r="F28" s="24"/>
    </row>
    <row r="29" spans="1:6" x14ac:dyDescent="0.15">
      <c r="A29" s="25" t="s">
        <v>154</v>
      </c>
      <c r="B29" s="23" t="s">
        <v>155</v>
      </c>
      <c r="D29" s="87"/>
      <c r="E29" s="31"/>
    </row>
    <row r="30" spans="1:6" x14ac:dyDescent="0.15">
      <c r="A30" s="26"/>
      <c r="B30" s="23" t="s">
        <v>358</v>
      </c>
      <c r="D30" s="24"/>
      <c r="E30" s="31"/>
    </row>
    <row r="31" spans="1:6" x14ac:dyDescent="0.15">
      <c r="A31" s="26"/>
      <c r="D31" s="87"/>
      <c r="E31" s="31"/>
    </row>
    <row r="32" spans="1:6" x14ac:dyDescent="0.15">
      <c r="A32" s="28" t="s">
        <v>159</v>
      </c>
      <c r="B32" s="24" t="s">
        <v>761</v>
      </c>
      <c r="D32" s="87"/>
      <c r="E32" s="31"/>
    </row>
    <row r="33" spans="1:14" x14ac:dyDescent="0.15">
      <c r="A33" s="26"/>
      <c r="D33" s="87"/>
      <c r="E33" s="24"/>
    </row>
    <row r="34" spans="1:14" x14ac:dyDescent="0.15">
      <c r="A34" s="28" t="s">
        <v>53</v>
      </c>
      <c r="B34" s="23" t="s">
        <v>160</v>
      </c>
      <c r="D34" s="87"/>
      <c r="E34" s="31"/>
    </row>
    <row r="35" spans="1:14" x14ac:dyDescent="0.15">
      <c r="A35" s="26"/>
      <c r="D35" s="87"/>
      <c r="E35" s="31"/>
    </row>
    <row r="36" spans="1:14" s="24" customFormat="1" ht="26" x14ac:dyDescent="0.15">
      <c r="A36" s="209" t="s">
        <v>152</v>
      </c>
      <c r="B36" s="209" t="s">
        <v>153</v>
      </c>
      <c r="C36" s="210" t="s">
        <v>719</v>
      </c>
      <c r="D36" s="210" t="s">
        <v>720</v>
      </c>
      <c r="E36" s="210" t="s">
        <v>721</v>
      </c>
      <c r="F36" s="210" t="s">
        <v>722</v>
      </c>
      <c r="G36" s="210" t="s">
        <v>716</v>
      </c>
      <c r="H36" s="210" t="s">
        <v>717</v>
      </c>
      <c r="I36" s="210" t="s">
        <v>718</v>
      </c>
      <c r="J36" s="209" t="s">
        <v>434</v>
      </c>
      <c r="K36" s="209" t="s">
        <v>161</v>
      </c>
    </row>
    <row r="37" spans="1:14" s="24" customFormat="1" x14ac:dyDescent="0.15">
      <c r="A37" s="187">
        <v>44256</v>
      </c>
      <c r="B37" s="187">
        <v>44620</v>
      </c>
      <c r="C37" s="188" t="s">
        <v>36</v>
      </c>
      <c r="D37" s="188" t="s">
        <v>36</v>
      </c>
      <c r="E37" s="188" t="s">
        <v>36</v>
      </c>
      <c r="F37" s="188" t="s">
        <v>36</v>
      </c>
      <c r="G37" s="188"/>
      <c r="H37" s="188"/>
      <c r="I37" s="188"/>
      <c r="J37" s="187" t="s">
        <v>723</v>
      </c>
      <c r="K37" s="189">
        <v>1</v>
      </c>
      <c r="M37" s="93"/>
      <c r="N37" s="93"/>
    </row>
    <row r="38" spans="1:14" s="24" customFormat="1" x14ac:dyDescent="0.15">
      <c r="A38" s="187">
        <v>44287</v>
      </c>
      <c r="B38" s="187">
        <v>44651</v>
      </c>
      <c r="C38" s="188" t="s">
        <v>36</v>
      </c>
      <c r="D38" s="188" t="s">
        <v>36</v>
      </c>
      <c r="E38" s="188" t="s">
        <v>36</v>
      </c>
      <c r="F38" s="188" t="s">
        <v>36</v>
      </c>
      <c r="G38" s="188"/>
      <c r="H38" s="188"/>
      <c r="I38" s="188"/>
      <c r="J38" s="187" t="s">
        <v>724</v>
      </c>
      <c r="K38" s="189">
        <v>1</v>
      </c>
      <c r="M38" s="93"/>
      <c r="N38" s="93"/>
    </row>
    <row r="39" spans="1:14" s="24" customFormat="1" x14ac:dyDescent="0.15">
      <c r="A39" s="187">
        <v>44348</v>
      </c>
      <c r="B39" s="187">
        <v>44712</v>
      </c>
      <c r="C39" s="188"/>
      <c r="D39" s="188" t="s">
        <v>36</v>
      </c>
      <c r="E39" s="188" t="s">
        <v>36</v>
      </c>
      <c r="F39" s="188" t="s">
        <v>36</v>
      </c>
      <c r="G39" s="188" t="s">
        <v>36</v>
      </c>
      <c r="H39" s="188"/>
      <c r="I39" s="188"/>
      <c r="J39" s="187" t="s">
        <v>725</v>
      </c>
      <c r="K39" s="189">
        <v>2</v>
      </c>
      <c r="M39" s="93"/>
      <c r="N39" s="93"/>
    </row>
    <row r="40" spans="1:14" s="24" customFormat="1" x14ac:dyDescent="0.15">
      <c r="A40" s="187">
        <v>44378</v>
      </c>
      <c r="B40" s="187">
        <v>44742</v>
      </c>
      <c r="C40" s="188"/>
      <c r="D40" s="188" t="s">
        <v>36</v>
      </c>
      <c r="E40" s="188" t="s">
        <v>36</v>
      </c>
      <c r="F40" s="188" t="s">
        <v>36</v>
      </c>
      <c r="G40" s="188" t="s">
        <v>36</v>
      </c>
      <c r="H40" s="188"/>
      <c r="I40" s="188"/>
      <c r="J40" s="187" t="s">
        <v>726</v>
      </c>
      <c r="K40" s="189">
        <v>2</v>
      </c>
      <c r="M40" s="93"/>
      <c r="N40" s="93"/>
    </row>
    <row r="41" spans="1:14" s="24" customFormat="1" x14ac:dyDescent="0.15">
      <c r="A41" s="187">
        <v>44562</v>
      </c>
      <c r="B41" s="187">
        <v>44742</v>
      </c>
      <c r="C41" s="188"/>
      <c r="D41" s="188"/>
      <c r="E41" s="188"/>
      <c r="F41" s="188" t="s">
        <v>36</v>
      </c>
      <c r="G41" s="188" t="s">
        <v>36</v>
      </c>
      <c r="H41" s="188"/>
      <c r="I41" s="188"/>
      <c r="J41" s="187" t="s">
        <v>727</v>
      </c>
      <c r="K41" s="189">
        <v>3</v>
      </c>
      <c r="M41" s="93"/>
      <c r="N41" s="93"/>
    </row>
    <row r="42" spans="1:14" s="24" customFormat="1" x14ac:dyDescent="0.15">
      <c r="A42" s="187">
        <v>44470</v>
      </c>
      <c r="B42" s="187">
        <v>44834</v>
      </c>
      <c r="C42" s="188"/>
      <c r="D42" s="188"/>
      <c r="E42" s="188" t="s">
        <v>36</v>
      </c>
      <c r="F42" s="188" t="s">
        <v>36</v>
      </c>
      <c r="G42" s="188" t="s">
        <v>36</v>
      </c>
      <c r="H42" s="188" t="s">
        <v>36</v>
      </c>
      <c r="I42" s="188"/>
      <c r="J42" s="187" t="s">
        <v>728</v>
      </c>
      <c r="K42" s="189">
        <v>4</v>
      </c>
    </row>
    <row r="43" spans="1:14" s="24" customFormat="1" x14ac:dyDescent="0.15">
      <c r="A43" s="187">
        <v>44562</v>
      </c>
      <c r="B43" s="187">
        <v>44865</v>
      </c>
      <c r="C43" s="188"/>
      <c r="D43" s="188"/>
      <c r="E43" s="188"/>
      <c r="F43" s="188" t="s">
        <v>36</v>
      </c>
      <c r="G43" s="188" t="s">
        <v>36</v>
      </c>
      <c r="H43" s="188" t="s">
        <v>36</v>
      </c>
      <c r="I43" s="188"/>
      <c r="J43" s="187" t="s">
        <v>729</v>
      </c>
      <c r="K43" s="189">
        <v>5</v>
      </c>
    </row>
    <row r="44" spans="1:14" s="24" customFormat="1" x14ac:dyDescent="0.15">
      <c r="A44" s="187">
        <v>44743</v>
      </c>
      <c r="B44" s="187">
        <v>44865</v>
      </c>
      <c r="C44" s="188"/>
      <c r="D44" s="188"/>
      <c r="E44" s="188"/>
      <c r="F44" s="188"/>
      <c r="G44" s="188"/>
      <c r="H44" s="188" t="s">
        <v>36</v>
      </c>
      <c r="I44" s="188"/>
      <c r="J44" s="187" t="s">
        <v>730</v>
      </c>
      <c r="K44" s="189">
        <v>6</v>
      </c>
    </row>
    <row r="45" spans="1:14" s="24" customFormat="1" x14ac:dyDescent="0.15">
      <c r="A45" s="187">
        <v>44562</v>
      </c>
      <c r="B45" s="187">
        <v>44926</v>
      </c>
      <c r="C45" s="188"/>
      <c r="D45" s="188"/>
      <c r="E45" s="188"/>
      <c r="F45" s="188" t="s">
        <v>36</v>
      </c>
      <c r="G45" s="188" t="s">
        <v>36</v>
      </c>
      <c r="H45" s="188" t="s">
        <v>36</v>
      </c>
      <c r="I45" s="188" t="s">
        <v>36</v>
      </c>
      <c r="J45" s="187" t="s">
        <v>731</v>
      </c>
      <c r="K45" s="189">
        <v>7</v>
      </c>
    </row>
    <row r="46" spans="1:14" s="24" customFormat="1" x14ac:dyDescent="0.15">
      <c r="A46" s="187">
        <v>44593</v>
      </c>
      <c r="B46" s="187">
        <v>44926</v>
      </c>
      <c r="C46" s="188"/>
      <c r="D46" s="188"/>
      <c r="E46" s="188"/>
      <c r="F46" s="188" t="s">
        <v>36</v>
      </c>
      <c r="G46" s="188" t="s">
        <v>36</v>
      </c>
      <c r="H46" s="188" t="s">
        <v>36</v>
      </c>
      <c r="I46" s="188" t="s">
        <v>36</v>
      </c>
      <c r="J46" s="187" t="s">
        <v>732</v>
      </c>
      <c r="K46" s="189">
        <v>7</v>
      </c>
    </row>
    <row r="47" spans="1:14" s="24" customFormat="1" x14ac:dyDescent="0.15">
      <c r="A47" s="187">
        <v>44621</v>
      </c>
      <c r="B47" s="187">
        <v>44926</v>
      </c>
      <c r="C47" s="188"/>
      <c r="D47" s="188"/>
      <c r="E47" s="188"/>
      <c r="F47" s="188"/>
      <c r="G47" s="188" t="s">
        <v>36</v>
      </c>
      <c r="H47" s="188" t="s">
        <v>36</v>
      </c>
      <c r="I47" s="188" t="s">
        <v>36</v>
      </c>
      <c r="J47" s="187" t="s">
        <v>733</v>
      </c>
      <c r="K47" s="189">
        <v>8</v>
      </c>
    </row>
    <row r="48" spans="1:14" s="24" customFormat="1" x14ac:dyDescent="0.15">
      <c r="A48" s="187">
        <v>44713</v>
      </c>
      <c r="B48" s="187">
        <v>44926</v>
      </c>
      <c r="C48" s="188"/>
      <c r="D48" s="188"/>
      <c r="E48" s="188"/>
      <c r="F48" s="188"/>
      <c r="G48" s="188"/>
      <c r="H48" s="188" t="s">
        <v>36</v>
      </c>
      <c r="I48" s="188" t="s">
        <v>36</v>
      </c>
      <c r="J48" s="187" t="s">
        <v>734</v>
      </c>
      <c r="K48" s="189">
        <v>9</v>
      </c>
    </row>
    <row r="49" spans="1:16" s="24" customFormat="1" x14ac:dyDescent="0.15">
      <c r="A49" s="187">
        <v>44774</v>
      </c>
      <c r="B49" s="187">
        <v>44926</v>
      </c>
      <c r="C49" s="188"/>
      <c r="D49" s="188"/>
      <c r="E49" s="188"/>
      <c r="F49" s="188"/>
      <c r="G49" s="188"/>
      <c r="H49" s="188" t="s">
        <v>36</v>
      </c>
      <c r="I49" s="188" t="s">
        <v>36</v>
      </c>
      <c r="J49" s="187" t="s">
        <v>735</v>
      </c>
      <c r="K49" s="189">
        <v>9</v>
      </c>
    </row>
    <row r="50" spans="1:16" s="24" customFormat="1" x14ac:dyDescent="0.15">
      <c r="A50" s="187">
        <v>44835</v>
      </c>
      <c r="B50" s="187">
        <v>44926</v>
      </c>
      <c r="C50" s="188"/>
      <c r="D50" s="188"/>
      <c r="E50" s="188"/>
      <c r="F50" s="188"/>
      <c r="G50" s="188"/>
      <c r="H50" s="188"/>
      <c r="I50" s="188" t="s">
        <v>36</v>
      </c>
      <c r="J50" s="187" t="s">
        <v>736</v>
      </c>
      <c r="K50" s="189">
        <v>10</v>
      </c>
    </row>
    <row r="51" spans="1:16" s="24" customFormat="1" x14ac:dyDescent="0.15">
      <c r="A51" s="187">
        <v>44866</v>
      </c>
      <c r="B51" s="187">
        <v>44926</v>
      </c>
      <c r="C51" s="188"/>
      <c r="D51" s="188"/>
      <c r="E51" s="188"/>
      <c r="F51" s="188"/>
      <c r="G51" s="188"/>
      <c r="H51" s="188"/>
      <c r="I51" s="188" t="s">
        <v>36</v>
      </c>
      <c r="J51" s="187" t="s">
        <v>737</v>
      </c>
      <c r="K51" s="189">
        <v>10</v>
      </c>
    </row>
    <row r="52" spans="1:16" s="24" customFormat="1" x14ac:dyDescent="0.15">
      <c r="A52" s="187">
        <v>44562</v>
      </c>
      <c r="B52" s="187">
        <v>44957</v>
      </c>
      <c r="C52" s="188"/>
      <c r="D52" s="188"/>
      <c r="E52" s="188"/>
      <c r="F52" s="188" t="s">
        <v>36</v>
      </c>
      <c r="G52" s="188" t="s">
        <v>36</v>
      </c>
      <c r="H52" s="188" t="s">
        <v>36</v>
      </c>
      <c r="I52" s="188" t="s">
        <v>36</v>
      </c>
      <c r="J52" s="187" t="s">
        <v>738</v>
      </c>
      <c r="K52" s="189">
        <v>7</v>
      </c>
    </row>
    <row r="53" spans="1:16" s="24" customFormat="1" x14ac:dyDescent="0.15">
      <c r="A53" s="93"/>
      <c r="B53" s="211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23"/>
      <c r="P53" s="23"/>
    </row>
    <row r="54" spans="1:16" s="24" customFormat="1" x14ac:dyDescent="0.15">
      <c r="A54" s="245" t="s">
        <v>1861</v>
      </c>
      <c r="C54" s="87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23"/>
      <c r="P54" s="23"/>
    </row>
    <row r="55" spans="1:16" x14ac:dyDescent="0.15">
      <c r="D55" s="87"/>
      <c r="E55" s="31"/>
      <c r="I55" s="24"/>
      <c r="J55" s="24"/>
    </row>
    <row r="56" spans="1:16" x14ac:dyDescent="0.15">
      <c r="A56" s="26"/>
      <c r="D56" s="87"/>
      <c r="E56" s="31"/>
    </row>
    <row r="57" spans="1:16" x14ac:dyDescent="0.15">
      <c r="A57" s="28" t="s">
        <v>55</v>
      </c>
      <c r="B57" s="23" t="s">
        <v>1821</v>
      </c>
      <c r="D57" s="87"/>
      <c r="E57" s="31"/>
    </row>
    <row r="58" spans="1:16" x14ac:dyDescent="0.15">
      <c r="A58" s="26"/>
      <c r="D58" s="87"/>
      <c r="E58" s="24"/>
    </row>
    <row r="59" spans="1:16" x14ac:dyDescent="0.15">
      <c r="A59" s="25" t="s">
        <v>129</v>
      </c>
      <c r="B59" s="23" t="s">
        <v>1822</v>
      </c>
    </row>
    <row r="60" spans="1:16" x14ac:dyDescent="0.15">
      <c r="A60" s="25"/>
    </row>
    <row r="61" spans="1:16" x14ac:dyDescent="0.15">
      <c r="A61" s="25"/>
    </row>
    <row r="63" spans="1:16" x14ac:dyDescent="0.15">
      <c r="A63" s="25" t="s">
        <v>65</v>
      </c>
      <c r="B63" s="33" t="s">
        <v>1823</v>
      </c>
      <c r="C63" s="33"/>
      <c r="D63" s="33"/>
      <c r="H63" s="24"/>
    </row>
    <row r="64" spans="1:16" ht="13" thickBot="1" x14ac:dyDescent="0.2">
      <c r="B64" s="33"/>
      <c r="C64" s="33"/>
      <c r="D64" s="33"/>
    </row>
    <row r="65" spans="1:7" x14ac:dyDescent="0.15">
      <c r="B65" s="34" t="s">
        <v>145</v>
      </c>
      <c r="C65" s="34" t="s">
        <v>128</v>
      </c>
      <c r="D65" s="33"/>
      <c r="F65" s="161" t="s">
        <v>531</v>
      </c>
      <c r="G65" s="162" t="s">
        <v>530</v>
      </c>
    </row>
    <row r="66" spans="1:7" ht="13" thickBot="1" x14ac:dyDescent="0.2">
      <c r="B66" s="63">
        <v>717</v>
      </c>
      <c r="C66" s="24" t="s">
        <v>190</v>
      </c>
      <c r="D66" s="33"/>
      <c r="E66" s="24"/>
      <c r="F66" s="242">
        <v>32.92</v>
      </c>
      <c r="G66" s="243">
        <v>3.04</v>
      </c>
    </row>
    <row r="67" spans="1:7" x14ac:dyDescent="0.15">
      <c r="B67" s="63">
        <v>384</v>
      </c>
      <c r="C67" s="24" t="s">
        <v>493</v>
      </c>
      <c r="D67" s="33"/>
      <c r="E67" s="24"/>
      <c r="F67" s="24"/>
      <c r="G67" s="24"/>
    </row>
    <row r="68" spans="1:7" x14ac:dyDescent="0.15">
      <c r="B68" s="63">
        <v>294</v>
      </c>
      <c r="C68" s="24" t="s">
        <v>468</v>
      </c>
      <c r="D68" s="33"/>
      <c r="E68" s="24"/>
      <c r="F68" s="24"/>
      <c r="G68" s="24"/>
    </row>
    <row r="69" spans="1:7" x14ac:dyDescent="0.15">
      <c r="B69" s="63">
        <v>428</v>
      </c>
      <c r="C69" s="24" t="s">
        <v>517</v>
      </c>
      <c r="D69" s="33"/>
      <c r="E69" s="24"/>
      <c r="F69" s="24"/>
      <c r="G69" s="24"/>
    </row>
    <row r="70" spans="1:7" x14ac:dyDescent="0.15">
      <c r="B70" s="63">
        <v>230</v>
      </c>
      <c r="C70" s="24" t="s">
        <v>183</v>
      </c>
      <c r="D70" s="33"/>
      <c r="E70" s="24"/>
      <c r="F70" s="24"/>
      <c r="G70" s="24"/>
    </row>
    <row r="72" spans="1:7" x14ac:dyDescent="0.15">
      <c r="A72" s="25" t="s">
        <v>632</v>
      </c>
      <c r="B72" s="23" t="s">
        <v>359</v>
      </c>
      <c r="D72" s="24"/>
      <c r="G72" s="35"/>
    </row>
    <row r="74" spans="1:7" x14ac:dyDescent="0.15">
      <c r="A74" s="28"/>
    </row>
    <row r="75" spans="1:7" x14ac:dyDescent="0.15">
      <c r="A75" s="64" t="s">
        <v>401</v>
      </c>
      <c r="B75" s="23" t="s">
        <v>446</v>
      </c>
    </row>
    <row r="76" spans="1:7" x14ac:dyDescent="0.15">
      <c r="A76" s="28"/>
      <c r="B76" s="23" t="s">
        <v>444</v>
      </c>
    </row>
    <row r="77" spans="1:7" x14ac:dyDescent="0.15">
      <c r="A77" s="28"/>
      <c r="B77" s="23" t="s">
        <v>813</v>
      </c>
    </row>
    <row r="78" spans="1:7" x14ac:dyDescent="0.15">
      <c r="A78" s="28"/>
    </row>
    <row r="79" spans="1:7" x14ac:dyDescent="0.15">
      <c r="A79" s="64"/>
    </row>
    <row r="80" spans="1:7" x14ac:dyDescent="0.15">
      <c r="A80" s="64" t="s">
        <v>476</v>
      </c>
    </row>
    <row r="82" spans="1:6" x14ac:dyDescent="0.15">
      <c r="B82" s="92"/>
    </row>
    <row r="83" spans="1:6" x14ac:dyDescent="0.15">
      <c r="B83" s="92"/>
    </row>
    <row r="84" spans="1:6" x14ac:dyDescent="0.15">
      <c r="B84" s="30"/>
      <c r="F84" s="25"/>
    </row>
    <row r="85" spans="1:6" x14ac:dyDescent="0.15">
      <c r="A85" s="25" t="s">
        <v>529</v>
      </c>
      <c r="F85" s="156"/>
    </row>
    <row r="86" spans="1:6" x14ac:dyDescent="0.15">
      <c r="A86" s="23" t="s">
        <v>1824</v>
      </c>
      <c r="B86" s="63"/>
      <c r="C86" s="173" t="s">
        <v>643</v>
      </c>
      <c r="F86" s="156"/>
    </row>
    <row r="87" spans="1:6" x14ac:dyDescent="0.15">
      <c r="B87" s="63" t="s">
        <v>521</v>
      </c>
      <c r="C87" s="156">
        <f>SUMPRODUCT('Phase In Option'!D16:D241,'Phase In Option'!H16:H241)</f>
        <v>1801516662.29</v>
      </c>
      <c r="F87" s="156"/>
    </row>
    <row r="88" spans="1:6" x14ac:dyDescent="0.15">
      <c r="B88" s="63" t="s">
        <v>311</v>
      </c>
      <c r="C88" s="156">
        <f>'Phase In Option'!G9</f>
        <v>8131219</v>
      </c>
      <c r="F88" s="156"/>
    </row>
    <row r="89" spans="1:6" x14ac:dyDescent="0.15">
      <c r="B89" s="26" t="s">
        <v>522</v>
      </c>
      <c r="C89" s="156">
        <f>SUMPRODUCT('Phase In Option'!L16:L220,'Phase In Option'!M16:M220)</f>
        <v>338858.44</v>
      </c>
      <c r="F89" s="156"/>
    </row>
    <row r="90" spans="1:6" x14ac:dyDescent="0.15">
      <c r="B90" s="26" t="s">
        <v>523</v>
      </c>
      <c r="C90" s="156">
        <f>SUMPRODUCT('Phase In Option'!I16:I220,'Phase In Option'!J16:J220)</f>
        <v>1450230.48</v>
      </c>
      <c r="F90" s="156"/>
    </row>
    <row r="91" spans="1:6" x14ac:dyDescent="0.15">
      <c r="B91" s="26" t="s">
        <v>524</v>
      </c>
      <c r="C91" s="156">
        <f>SUMPRODUCT('Phase In Option'!M16:M220,'Phase In Option'!N16:N220)</f>
        <v>50414.55</v>
      </c>
      <c r="F91" s="156"/>
    </row>
    <row r="92" spans="1:6" x14ac:dyDescent="0.15">
      <c r="B92" s="26" t="s">
        <v>525</v>
      </c>
      <c r="C92" s="156">
        <f>SUMPRODUCT('Phase In Option'!J16:J220,'Phase In Option'!N16:N220)</f>
        <v>134257.82</v>
      </c>
      <c r="F92" s="156"/>
    </row>
    <row r="93" spans="1:6" x14ac:dyDescent="0.15">
      <c r="A93" s="93"/>
      <c r="B93" s="26" t="s">
        <v>526</v>
      </c>
      <c r="C93" s="157">
        <f>SUM(C87:C92)</f>
        <v>1811621642.5799999</v>
      </c>
      <c r="F93" s="157"/>
    </row>
    <row r="94" spans="1:6" x14ac:dyDescent="0.15">
      <c r="B94" s="26" t="s">
        <v>527</v>
      </c>
      <c r="C94" s="27">
        <f>SUM('Phase In Option'!D16:D241,'Phase In Option'!J16:J220,'Phase In Option'!M16:M220)</f>
        <v>4952982</v>
      </c>
      <c r="F94" s="27"/>
    </row>
    <row r="95" spans="1:6" x14ac:dyDescent="0.15">
      <c r="B95" s="26" t="s">
        <v>528</v>
      </c>
      <c r="C95" s="23">
        <f>+ROUND(C93/C94,2)</f>
        <v>365.76</v>
      </c>
      <c r="F95" s="216"/>
    </row>
    <row r="98" spans="1:3" x14ac:dyDescent="0.15">
      <c r="A98" s="25"/>
    </row>
    <row r="99" spans="1:3" x14ac:dyDescent="0.15">
      <c r="B99" s="33"/>
    </row>
    <row r="101" spans="1:3" x14ac:dyDescent="0.15">
      <c r="C101" s="163"/>
    </row>
    <row r="102" spans="1:3" x14ac:dyDescent="0.15">
      <c r="A102" s="25"/>
      <c r="B102" s="92"/>
      <c r="C102" s="163"/>
    </row>
  </sheetData>
  <phoneticPr fontId="0" type="noConversion"/>
  <conditionalFormatting sqref="A36:A52">
    <cfRule type="expression" dxfId="1" priority="1" stopIfTrue="1">
      <formula>$X36&lt;=-15</formula>
    </cfRule>
    <cfRule type="expression" dxfId="0" priority="2" stopIfTrue="1">
      <formula>$X36&gt;=15</formula>
    </cfRule>
  </conditionalFormatting>
  <printOptions gridLines="1"/>
  <pageMargins left="0.2" right="0.27" top="0.34" bottom="0.45" header="0.17" footer="0.3"/>
  <pageSetup scale="4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/>
  <dimension ref="A1:AH244"/>
  <sheetViews>
    <sheetView workbookViewId="0">
      <selection activeCell="B8" sqref="B8:B9"/>
    </sheetView>
  </sheetViews>
  <sheetFormatPr baseColWidth="10" defaultColWidth="9" defaultRowHeight="13" x14ac:dyDescent="0.15"/>
  <cols>
    <col min="2" max="2" width="50.3984375" bestFit="1" customWidth="1"/>
    <col min="3" max="3" width="23.796875" customWidth="1"/>
    <col min="4" max="4" width="16" customWidth="1"/>
    <col min="5" max="5" width="14.3984375" customWidth="1"/>
    <col min="6" max="6" width="12.796875" customWidth="1"/>
    <col min="7" max="7" width="17" bestFit="1" customWidth="1"/>
    <col min="8" max="8" width="11.59765625" bestFit="1" customWidth="1"/>
    <col min="9" max="9" width="10" bestFit="1" customWidth="1"/>
    <col min="10" max="10" width="10.59765625" bestFit="1" customWidth="1"/>
    <col min="11" max="11" width="11.796875" bestFit="1" customWidth="1"/>
    <col min="12" max="12" width="14.796875" customWidth="1"/>
    <col min="13" max="14" width="13.3984375" customWidth="1"/>
    <col min="15" max="15" width="12.3984375" customWidth="1"/>
    <col min="16" max="16" width="10" bestFit="1" customWidth="1"/>
    <col min="17" max="17" width="17" bestFit="1" customWidth="1"/>
    <col min="18" max="18" width="14.3984375" customWidth="1"/>
    <col min="19" max="19" width="10" bestFit="1" customWidth="1"/>
    <col min="20" max="20" width="14.3984375" customWidth="1"/>
    <col min="21" max="21" width="12.19921875" customWidth="1"/>
    <col min="22" max="22" width="24.19921875" bestFit="1" customWidth="1"/>
    <col min="23" max="23" width="18.796875" customWidth="1"/>
    <col min="24" max="24" width="15.3984375" customWidth="1"/>
    <col min="25" max="27" width="14.3984375" customWidth="1"/>
    <col min="28" max="28" width="19.59765625" customWidth="1"/>
    <col min="29" max="29" width="19" customWidth="1"/>
    <col min="30" max="30" width="16.59765625" customWidth="1"/>
    <col min="31" max="31" width="14.19921875" customWidth="1"/>
    <col min="32" max="32" width="15" customWidth="1"/>
  </cols>
  <sheetData>
    <row r="1" spans="1:34" x14ac:dyDescent="0.15">
      <c r="A1" s="1">
        <v>1</v>
      </c>
      <c r="B1" s="1">
        <f>+A1+1</f>
        <v>2</v>
      </c>
      <c r="C1" s="1">
        <f t="shared" ref="C1:AF1" si="0">+B1+1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E1" s="1">
        <f t="shared" si="0"/>
        <v>31</v>
      </c>
      <c r="AF1" s="1">
        <f t="shared" si="0"/>
        <v>32</v>
      </c>
    </row>
    <row r="2" spans="1:34" x14ac:dyDescent="0.1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4" ht="14" thickBot="1" x14ac:dyDescent="0.2">
      <c r="A3" s="1"/>
      <c r="B3" s="1"/>
      <c r="C3" s="1"/>
      <c r="D3" s="1"/>
      <c r="E3" s="310" t="s">
        <v>1815</v>
      </c>
      <c r="F3" s="310"/>
      <c r="G3" s="310"/>
      <c r="H3" s="310"/>
      <c r="I3" s="310"/>
      <c r="J3" s="59" t="s">
        <v>346</v>
      </c>
      <c r="K3" s="60" t="s">
        <v>347</v>
      </c>
      <c r="L3" s="61"/>
      <c r="M3" s="61"/>
      <c r="N3" s="61"/>
      <c r="O3" s="311" t="s">
        <v>1816</v>
      </c>
      <c r="P3" s="311"/>
      <c r="Q3" s="311"/>
      <c r="R3" s="311"/>
      <c r="S3" s="116" t="s">
        <v>346</v>
      </c>
      <c r="T3" s="172" t="s">
        <v>347</v>
      </c>
      <c r="U3" s="312" t="s">
        <v>753</v>
      </c>
      <c r="V3" s="312"/>
      <c r="W3" s="312"/>
      <c r="X3" s="312"/>
      <c r="Y3" s="124" t="s">
        <v>346</v>
      </c>
      <c r="Z3" s="125" t="s">
        <v>347</v>
      </c>
      <c r="AA3" s="313" t="s">
        <v>754</v>
      </c>
      <c r="AB3" s="313"/>
      <c r="AC3" s="313"/>
      <c r="AD3" s="313"/>
      <c r="AE3" s="116" t="s">
        <v>346</v>
      </c>
      <c r="AF3" s="116" t="s">
        <v>347</v>
      </c>
    </row>
    <row r="4" spans="1:34" ht="15" x14ac:dyDescent="0.2">
      <c r="A4" s="302">
        <v>130</v>
      </c>
      <c r="B4" s="303">
        <v>0.99705999999999995</v>
      </c>
      <c r="C4" s="1"/>
      <c r="D4" s="1"/>
      <c r="E4" s="1"/>
      <c r="F4" s="69" t="s">
        <v>132</v>
      </c>
      <c r="G4" s="73" cm="1">
        <f t="array" ref="G4">ROUND(SUMPRODUCT(--($C$16:$C$242=F4),--($G$16:$G$242*$D$16:$D$242))/SUMIF($C$16:$C$242,F4,$D$16:$D$242),2)</f>
        <v>386.93</v>
      </c>
      <c r="H4" s="6"/>
      <c r="I4" s="6"/>
      <c r="J4" s="6">
        <f>ROUND(SUMPRODUCT(--($C$16:$C$220=F4),--($I$16:$I$220*$J$16:$J$220))/SUMIF($C$16:$C$220,F4,$J$16:$J$220),2)</f>
        <v>293.49</v>
      </c>
      <c r="K4" s="6">
        <f>ROUND(SUMPRODUCT(--($C$16:$C$220=$F4),--($L$16:$L$220*$M$16:$M$220))/SUMIF($C$16:$C$220,$F4,$M$16:$M$220),2)</f>
        <v>188.05</v>
      </c>
      <c r="L4" s="6"/>
      <c r="M4" s="1"/>
      <c r="N4" s="1"/>
      <c r="O4" s="1"/>
      <c r="P4" s="69" t="s">
        <v>132</v>
      </c>
      <c r="Q4" s="73" t="e">
        <f>ROUND(SUMPRODUCT(--($C$16:$C$242=P4),--($Q$16:$Q$242*$D$16:$D$242))/SUMIF($C$16:$C$242,P4,$D$16:$D$242),2)</f>
        <v>#DIV/0!</v>
      </c>
      <c r="R4" s="6"/>
      <c r="S4" s="6" t="e">
        <f>ROUND(SUMPRODUCT(--($C$16:$C$220=$P$4),--(S$16:S$220*J$16:J$220))/SUMIFS($J$16:$J$220,$C$16:$C$220,$P$4,$S$16:$S$220,"&gt;0"),2)</f>
        <v>#REF!</v>
      </c>
      <c r="T4" s="6" t="e">
        <f>ROUND(SUMPRODUCT(--($C$16:$C$220=$P4),--(T$16:T$220*M$16:M$220))/SUMIFS($M$16:$M$220,$C$16:$C$220,$P4,$T$16:$T$220,"&gt;0"),2)</f>
        <v>#REF!</v>
      </c>
      <c r="U4" s="1"/>
      <c r="V4" s="69" t="s">
        <v>132</v>
      </c>
      <c r="W4" s="73" t="e">
        <f>ROUND(SUMPRODUCT(--($C$16:$C$242=V4),--($W$16:$W$242*$D$16:$D$242))/SUMIF($C$16:$C$242,V4,$D$16:$D$242),2)</f>
        <v>#DIV/0!</v>
      </c>
      <c r="X4" s="6"/>
      <c r="Y4" s="6" t="e">
        <f>ROUND(SUMPRODUCT(--($C$16:$C$220=$V4),--(Y$16:Y$220*J$16:J$220))/SUMIFS($J$16:$J$220,$C$16:$C$220,$V4,$Y$16:$Y$220,"&gt;0"),2)</f>
        <v>#REF!</v>
      </c>
      <c r="Z4" s="6" t="e">
        <f>ROUND(SUMPRODUCT(--($C$16:$C$220=$V4),--(Z$16:Z$220*M$16:M$220))/SUMIFS($M$16:$M$220,$C$16:$C$220,$V4,$Z$16:$Z$220,"&gt;0"),2)</f>
        <v>#REF!</v>
      </c>
      <c r="AA4" s="1"/>
      <c r="AB4" s="69" t="s">
        <v>132</v>
      </c>
      <c r="AC4" s="73">
        <f>ROUND(SUMPRODUCT(--($C$16:$C$242=AB4),--($AC$16:$AC$242*$D$16:$D$242))/SUMIF($C$16:$C$242,AB4,$D$16:$D$242),2)</f>
        <v>7.91</v>
      </c>
      <c r="AD4" s="6"/>
      <c r="AE4" s="6" t="e">
        <f>ROUND(SUMPRODUCT(--($C$16:$C$220=$AB4),--(AE$16:AE$220*J$16:J$220))/SUMIFS($J$16:$J$220,$C$16:$C$220,$AB4,$AE$16:$AE$220,"&gt;0"),2)</f>
        <v>#REF!</v>
      </c>
      <c r="AF4" s="6" t="e">
        <f>ROUND(SUMPRODUCT(--($C$16:$C$220=$AB4),--(AF$16:AF$220*M$16:M$220))/SUMIFS($M$16:$M$220,$C$16:$C$220,$AB4,$AF$16:$AF$220,"&gt;0"),2)</f>
        <v>#DIV/0!</v>
      </c>
    </row>
    <row r="5" spans="1:34" ht="15" x14ac:dyDescent="0.2">
      <c r="A5" s="285">
        <v>140</v>
      </c>
      <c r="B5" s="304">
        <v>0.99355000000000004</v>
      </c>
      <c r="C5" s="1"/>
      <c r="D5" s="1"/>
      <c r="E5" s="1"/>
      <c r="F5" s="69" t="s">
        <v>134</v>
      </c>
      <c r="G5" s="73" cm="1">
        <f t="array" ref="G5">ROUND(SUMPRODUCT(--($C$16:$C$242=F5),--($G$16:$G$242*$D$16:$D$242))/SUMIF($C$16:$C$242,F5,$D$16:$D$242),2)</f>
        <v>342.7</v>
      </c>
      <c r="H5" s="6"/>
      <c r="I5" s="6"/>
      <c r="J5" s="6">
        <f>ROUND(SUMPRODUCT(--($C$16:$C$220=F5),--($I$16:$I$220*$J$16:$J$220))/SUMIF($C$16:$C$220,F5,$J$16:$J$220),2)</f>
        <v>251.93</v>
      </c>
      <c r="K5" s="6">
        <f>ROUND(SUMPRODUCT(--($C$16:$C$220=$F5),--($L$16:$L$220*$M$16:$M$220))/SUMIF($C$16:$C$220,$F5,$M$16:$M$220),2)</f>
        <v>162.01</v>
      </c>
      <c r="L5" s="6"/>
      <c r="M5" s="1"/>
      <c r="N5" s="1"/>
      <c r="O5" s="1"/>
      <c r="P5" s="69" t="s">
        <v>134</v>
      </c>
      <c r="Q5" s="73" t="e">
        <f>ROUND(SUMPRODUCT(--($C$16:$C$242=P5),--($Q$16:$Q$242*$D$16:$D$242))/SUMIF($C$16:$C$242,P5,$D$16:$D$242),2)</f>
        <v>#DIV/0!</v>
      </c>
      <c r="R5" s="6"/>
      <c r="S5" s="6" t="e">
        <f>ROUND(SUMPRODUCT(--($C$16:$C$220=P5),--(S$16:S$220*J$16:J$220))/SUMIFS($J$16:$J$220,$C$16:$C$220,P5,$S$16:$S$220,"&gt;0"),2)</f>
        <v>#REF!</v>
      </c>
      <c r="T5" s="6" t="e">
        <f>ROUND(SUMPRODUCT(--($C$16:$C$220=$P5),--(T$16:T$220*M$16:M$220))/SUMIFS($M$16:$M$220,$C$16:$C$220,$P5,$T$16:$T$220,"&gt;0"),2)</f>
        <v>#REF!</v>
      </c>
      <c r="U5" s="1"/>
      <c r="V5" s="69" t="s">
        <v>134</v>
      </c>
      <c r="W5" s="73" t="e">
        <f>ROUND(SUMPRODUCT(--($C$16:$C$242=V5),--($W$16:$W$242*$D$16:$D$242))/SUMIF($C$16:$C$242,V5,$D$16:$D$242),2)</f>
        <v>#DIV/0!</v>
      </c>
      <c r="X5" s="6"/>
      <c r="Y5" s="6" t="e">
        <f>ROUND(SUMPRODUCT(--($C$16:$C$220=$V5),--(Y$16:Y$220*J$16:J$220))/SUMIFS($J$16:$J$220,$C$16:$C$220,$V5,$Y$16:$Y$220,"&gt;0"),2)</f>
        <v>#REF!</v>
      </c>
      <c r="Z5" s="6" t="e">
        <f>ROUND(SUMPRODUCT(--($C$16:$C$220=$V5),--(Z$16:Z$220*M$16:M$220))/SUMIFS($M$16:$M$220,$C$16:$C$220,$V5,$Z$16:$Z$220,"&gt;0"),2)</f>
        <v>#REF!</v>
      </c>
      <c r="AA5" s="1"/>
      <c r="AB5" s="69" t="s">
        <v>134</v>
      </c>
      <c r="AC5" s="73">
        <f>ROUND(SUMPRODUCT(--($C$16:$C$242=AB5),--($AC$16:$AC$242*$D$16:$D$242))/SUMIF($C$16:$C$242,AB5,$D$16:$D$242),2)</f>
        <v>0.95</v>
      </c>
      <c r="AD5" s="6"/>
      <c r="AE5" s="6" t="e">
        <f>ROUND(SUMPRODUCT(--($C$16:$C$220=$AB5),--(AE$16:AE$220*J$16:J$220))/SUMIFS($J$16:$J$220,$C$16:$C$220,$AB5,$AE$16:$AE$220,"&gt;0"),2)</f>
        <v>#REF!</v>
      </c>
      <c r="AF5" s="6" t="e">
        <f>ROUND(SUMPRODUCT(--($C$16:$C$220=$AB5),--(AF$16:AF$220*M$16:M$220))/SUMIFS($M$16:$M$220,$C$16:$C$220,$AB5,$AF$16:$AF$220,"&gt;0"),2)</f>
        <v>#DIV/0!</v>
      </c>
    </row>
    <row r="6" spans="1:34" ht="15" x14ac:dyDescent="0.2">
      <c r="A6" s="285">
        <v>150</v>
      </c>
      <c r="B6" s="305">
        <v>0.99080000000000001</v>
      </c>
      <c r="C6" s="1"/>
      <c r="D6" s="1"/>
      <c r="E6" s="1"/>
      <c r="F6" s="69" t="s">
        <v>29</v>
      </c>
      <c r="G6" s="73" cm="1">
        <f t="array" ref="G6">ROUND(SUMPRODUCT(--($C$16:$C$242=F6),--($G$16:$G$242*$D$16:$D$242))/SUMIF($C$16:$C$242,F6,$D$16:$D$242),2)</f>
        <v>312.7</v>
      </c>
      <c r="H6" s="6"/>
      <c r="I6" s="6"/>
      <c r="J6" s="6">
        <f>ROUND(SUMPRODUCT(--($C$16:$C$220=F6),--($I$16:$I$220*$J$16:$J$220))/SUMIF($C$16:$C$220,F6,$J$16:$J$220),2)</f>
        <v>228.72</v>
      </c>
      <c r="K6" s="6">
        <f>ROUND(SUMPRODUCT(--($C$16:$C$220=$F6),--($L$16:$L$220*$M$16:$M$220))/SUMIF($C$16:$C$220,$F6,$M$16:$M$220),2)</f>
        <v>150.38</v>
      </c>
      <c r="L6" s="6"/>
      <c r="M6" s="1"/>
      <c r="N6" s="1"/>
      <c r="O6" s="1"/>
      <c r="P6" s="69" t="s">
        <v>29</v>
      </c>
      <c r="Q6" s="73" t="e">
        <f>ROUND(SUMPRODUCT(--($C$16:$C$242=P6),--($Q$16:$Q$242*$D$16:$D$242))/SUMIF($C$16:$C$242,P6,$D$16:$D$242),2)</f>
        <v>#DIV/0!</v>
      </c>
      <c r="R6" s="6"/>
      <c r="S6" s="6" t="e">
        <f>ROUND(SUMPRODUCT(--($C$16:$C$220=P6),--(S$16:S$220*J$16:J$220))/SUMIFS($J$16:$J$220,$C$16:$C$220,P6,$S$16:$S$220,"&gt;0"),2)</f>
        <v>#REF!</v>
      </c>
      <c r="T6" s="6" t="e">
        <f>ROUND(SUMPRODUCT(--($C$16:$C$220=$P6),--(T$16:T$220*M$16:M$220))/SUMIFS($M$16:$M$220,$C$16:$C$220,$P6,$T$16:$T$220,"&gt;0"),2)</f>
        <v>#REF!</v>
      </c>
      <c r="U6" s="1"/>
      <c r="V6" s="69" t="s">
        <v>29</v>
      </c>
      <c r="W6" s="73" t="e">
        <f>ROUND(SUMPRODUCT(--($C$16:$C$242=V6),--($W$16:$W$242*$D$16:$D$242))/SUMIF($C$16:$C$242,V6,$D$16:$D$242),2)</f>
        <v>#DIV/0!</v>
      </c>
      <c r="X6" s="6"/>
      <c r="Y6" s="6" t="e">
        <f>ROUND(SUMPRODUCT(--($C$16:$C$220=$V6),--(Y$16:Y$220*J$16:J$220))/SUMIFS($J$16:$J$220,$C$16:$C$220,$V6,$Y$16:$Y$220,"&gt;0"),2)</f>
        <v>#REF!</v>
      </c>
      <c r="Z6" s="6" t="e">
        <f>ROUND(SUMPRODUCT(--($C$16:$C$220=$V6),--(Z$16:Z$220*M$16:M$220))/SUMIFS($M$16:$M$220,$C$16:$C$220,$V6,$Z$16:$Z$220,"&gt;0"),2)</f>
        <v>#REF!</v>
      </c>
      <c r="AA6" s="1"/>
      <c r="AB6" s="69" t="s">
        <v>29</v>
      </c>
      <c r="AC6" s="73">
        <f>ROUND(SUMPRODUCT(--($C$16:$C$242=AB6),--($AC$16:$AC$242*$D$16:$D$242))/SUMIF($C$16:$C$242,AB6,$D$16:$D$242),2)</f>
        <v>1.45</v>
      </c>
      <c r="AD6" s="6"/>
      <c r="AE6" s="6" t="e">
        <f>ROUND(SUMPRODUCT(--($C$16:$C$220=$AB6),--(AE$16:AE$220*J$16:J$220))/SUMIFS($J$16:$J$220,$C$16:$C$220,$AB6,$AE$16:$AE$220,"&gt;0"),2)</f>
        <v>#REF!</v>
      </c>
      <c r="AF6" s="6" t="e">
        <f>ROUND(SUMPRODUCT(--($C$16:$C$220=$AB6),--(AF$16:AF$220*M$16:M$220))/SUMIFS($M$16:$M$220,$C$16:$C$220,$AB6,$AF$16:$AF$220,"&gt;0"),2)</f>
        <v>#DIV/0!</v>
      </c>
    </row>
    <row r="7" spans="1:34" ht="15" x14ac:dyDescent="0.2">
      <c r="A7" s="285">
        <v>160</v>
      </c>
      <c r="B7" s="305">
        <v>0.98862000000000005</v>
      </c>
      <c r="C7" s="1"/>
      <c r="D7" s="1"/>
      <c r="E7" s="1"/>
      <c r="F7" s="69" t="s">
        <v>141</v>
      </c>
      <c r="G7" s="73" cm="1">
        <f t="array" ref="G7">ROUND(SUMPRODUCT(--($C$16:$C$242=F7),--($G$16:$G$242*$D$16:$D$242))/SUMIF($C$16:$C$242,F7,$D$16:$D$242),2)</f>
        <v>333.74</v>
      </c>
      <c r="H7" s="74"/>
      <c r="I7" s="75"/>
      <c r="J7" s="6">
        <f>ROUND(SUMPRODUCT(--($C$16:$C$220=F7),--($I$16:$I$220*$J$16:$J$220))/SUMIF($C$16:$C$220,F7,$J$16:$J$220),2)</f>
        <v>261.02999999999997</v>
      </c>
      <c r="K7" s="6">
        <f>ROUND(SUMPRODUCT(--($C$16:$C$220=$F7),--($L$16:$L$220*$M$16:$M$220))/SUMIF($C$16:$C$220,$F7,$M$16:$M$220),2)</f>
        <v>160.35</v>
      </c>
      <c r="L7" s="6"/>
      <c r="M7" s="1"/>
      <c r="N7" s="1"/>
      <c r="O7" s="1"/>
      <c r="P7" s="69" t="s">
        <v>141</v>
      </c>
      <c r="Q7" s="73" t="e">
        <f>ROUND(SUMPRODUCT(--($C$16:$C$242=P7),--($Q$16:$Q$242*$D$16:$D$242))/SUMIF($C$16:$C$242,P7,$D$16:$D$242),2)</f>
        <v>#DIV/0!</v>
      </c>
      <c r="R7" s="74"/>
      <c r="S7" s="6" t="e">
        <f>ROUND(SUMPRODUCT(--($C$16:$C$220=P7),--(S$16:S$220*J$16:J$220))/SUMIFS($J$16:$J$220,$C$16:$C$220,P7,$S$16:$S$220,"&gt;0"),2)</f>
        <v>#REF!</v>
      </c>
      <c r="T7" s="6" t="e">
        <f>ROUND(SUMPRODUCT(--($C$16:$C$220=$P7),--(T$16:T$220*M$16:M$220))/SUMIFS($M$16:$M$220,$C$16:$C$220,$P7,$T$16:$T$220,"&gt;0"),2)</f>
        <v>#REF!</v>
      </c>
      <c r="U7" s="1"/>
      <c r="V7" s="69" t="s">
        <v>141</v>
      </c>
      <c r="W7" s="73" t="e">
        <f>ROUND(SUMPRODUCT(--($C$16:$C$242=V7),--($W$16:$W$242*$D$16:$D$242))/SUMIF($C$16:$C$242,V7,$D$16:$D$242),2)</f>
        <v>#DIV/0!</v>
      </c>
      <c r="X7" s="74"/>
      <c r="Y7" s="6" t="e">
        <f>ROUND(SUMPRODUCT(--($C$16:$C$220=$V7),--(Y$16:Y$220*J$16:J$220))/SUMIFS($J$16:$J$220,$C$16:$C$220,$V7,$Y$16:$Y$220,"&gt;0"),2)</f>
        <v>#REF!</v>
      </c>
      <c r="Z7" s="6" t="e">
        <f>ROUND(SUMPRODUCT(--($C$16:$C$220=$V7),--(Z$16:Z$220*M$16:M$220))/SUMIFS($M$16:$M$220,$C$16:$C$220,$V7,$Z$16:$Z$220,"&gt;0"),2)</f>
        <v>#REF!</v>
      </c>
      <c r="AA7" s="1"/>
      <c r="AB7" s="69" t="s">
        <v>141</v>
      </c>
      <c r="AC7" s="73">
        <f>ROUND(SUMPRODUCT(--($C$16:$C$242=AB7),--($AC$16:$AC$242*$D$16:$D$242))/SUMIF($C$16:$C$242,AB7,$D$16:$D$242),2)</f>
        <v>4.4400000000000004</v>
      </c>
      <c r="AD7" s="74"/>
      <c r="AE7" s="6" t="e">
        <f>ROUND(SUMPRODUCT(--($C$16:$C$220=$AB7),--(AE$16:AE$220*J$16:J$220))/SUMIFS($J$16:$J$220,$C$16:$C$220,$AB7,$AE$16:$AE$220,"&gt;0"),2)</f>
        <v>#REF!</v>
      </c>
      <c r="AF7" s="6" t="e">
        <f>ROUND(SUMPRODUCT(--($C$16:$C$220=$AB7),--(AF$16:AF$220*M$16:M$220))/SUMIFS($M$16:$M$220,$C$16:$C$220,$AB7,$AF$16:$AF$220,"&gt;0"),2)</f>
        <v>#DIV/0!</v>
      </c>
    </row>
    <row r="8" spans="1:34" ht="15" x14ac:dyDescent="0.2">
      <c r="A8" s="306">
        <v>164737</v>
      </c>
      <c r="B8" s="305">
        <v>0.98772000000000004</v>
      </c>
      <c r="C8" s="1"/>
      <c r="D8" s="1"/>
      <c r="E8" s="1"/>
      <c r="F8" s="69" t="s">
        <v>312</v>
      </c>
      <c r="G8" s="77">
        <f>SUMPRODUCT(G16:G242,$D$16:$D$242)</f>
        <v>1685908978</v>
      </c>
      <c r="H8" s="69"/>
      <c r="I8" s="75"/>
      <c r="J8" s="1"/>
      <c r="K8" s="1"/>
      <c r="L8" s="6"/>
      <c r="M8" s="1"/>
      <c r="N8" s="1"/>
      <c r="O8" s="1"/>
      <c r="P8" s="69" t="s">
        <v>312</v>
      </c>
      <c r="Q8" s="77" t="e">
        <f>SUMPRODUCT(Q16:Q242,$D$16:$D$242)</f>
        <v>#DIV/0!</v>
      </c>
      <c r="R8" s="69"/>
      <c r="S8" s="1"/>
      <c r="T8" s="1"/>
      <c r="U8" s="1"/>
      <c r="V8" s="69" t="s">
        <v>312</v>
      </c>
      <c r="W8" s="77" t="e">
        <f>SUMPRODUCT(W16:W242,$D$16:$D$242)</f>
        <v>#DIV/0!</v>
      </c>
      <c r="X8" s="69"/>
      <c r="Y8" s="1"/>
      <c r="Z8" s="1"/>
      <c r="AA8" s="1"/>
      <c r="AB8" s="69" t="s">
        <v>312</v>
      </c>
      <c r="AC8" s="77">
        <f>SUMPRODUCT(AC16:AC242,$D$16:$D$242)</f>
        <v>15807810</v>
      </c>
      <c r="AD8" s="69"/>
      <c r="AE8" s="1"/>
      <c r="AF8" s="1"/>
    </row>
    <row r="9" spans="1:34" ht="15" x14ac:dyDescent="0.2">
      <c r="A9" s="306">
        <v>167437</v>
      </c>
      <c r="B9" s="305">
        <v>0.98721999999999999</v>
      </c>
      <c r="C9" s="1"/>
      <c r="D9" s="1"/>
      <c r="E9" s="1"/>
      <c r="F9" s="69" t="s">
        <v>311</v>
      </c>
      <c r="G9" s="77">
        <f>SUM(K16:K220)</f>
        <v>8131219</v>
      </c>
      <c r="H9" s="1"/>
      <c r="I9" s="1"/>
      <c r="J9" s="1"/>
      <c r="K9" s="1"/>
      <c r="L9" s="6"/>
      <c r="M9" s="77"/>
      <c r="N9" s="77"/>
      <c r="O9" s="1"/>
      <c r="P9" s="69" t="s">
        <v>311</v>
      </c>
      <c r="Q9" s="77">
        <f>SUM(K16:K220)</f>
        <v>8131219</v>
      </c>
      <c r="R9" s="1"/>
      <c r="S9" s="1"/>
      <c r="T9" s="1"/>
      <c r="U9" s="1"/>
      <c r="V9" s="69" t="s">
        <v>311</v>
      </c>
      <c r="W9" s="77">
        <f>SUM(K16:K220)</f>
        <v>8131219</v>
      </c>
      <c r="X9" s="1"/>
      <c r="Y9" s="1"/>
      <c r="Z9" s="1"/>
      <c r="AA9" s="1"/>
      <c r="AB9" s="69" t="s">
        <v>311</v>
      </c>
      <c r="AC9" s="77">
        <f>SUM(K16:K220)</f>
        <v>8131219</v>
      </c>
      <c r="AD9" s="1"/>
      <c r="AE9" s="1"/>
      <c r="AF9" s="1"/>
    </row>
    <row r="10" spans="1:34" ht="15" x14ac:dyDescent="0.2">
      <c r="A10" s="285">
        <v>170</v>
      </c>
      <c r="B10" s="169">
        <v>0.98678999999999994</v>
      </c>
      <c r="C10" s="1"/>
      <c r="D10" s="1"/>
      <c r="E10" s="1"/>
      <c r="F10" s="69" t="s">
        <v>310</v>
      </c>
      <c r="G10" s="6">
        <f>ROUND((G9+G8)/SUM($D$16:$D$242),2)</f>
        <v>342.54</v>
      </c>
      <c r="H10" s="6"/>
      <c r="I10" s="6"/>
      <c r="J10" s="6">
        <f>ROUND(SUMPRODUCT($J$16:$J$220,$I$16:$I$220)/SUM($J$16:$J$220),2)</f>
        <v>270.41000000000003</v>
      </c>
      <c r="K10" s="6">
        <f>ROUND(SUMPRODUCT($M$16:$M$220,$L$16:$L$220)/SUM($M$16:$M$220),2)</f>
        <v>160.97999999999999</v>
      </c>
      <c r="L10" s="6"/>
      <c r="M10" s="1"/>
      <c r="N10" s="1"/>
      <c r="O10" s="1"/>
      <c r="P10" s="69" t="s">
        <v>310</v>
      </c>
      <c r="Q10" s="6" t="e">
        <f>ROUND((Q9+Q8)/SUM($D$16:$D$242),2)</f>
        <v>#DIV/0!</v>
      </c>
      <c r="R10" s="6"/>
      <c r="S10" s="6" t="e">
        <f>ROUND(SUMPRODUCT($J$16:$J$220,$S$16:$S$220)/SUMIF($S$16:$S$220,"&gt;0",$J$16:$J$220),2)</f>
        <v>#REF!</v>
      </c>
      <c r="T10" s="6" t="e">
        <f>ROUND(SUMPRODUCT($M$16:$M$220,$T$16:$T$220)/SUMIF($T$16:$T$220,"&gt;0",$M$16:$M$220),2)</f>
        <v>#REF!</v>
      </c>
      <c r="U10" s="1"/>
      <c r="V10" s="69" t="s">
        <v>310</v>
      </c>
      <c r="W10" s="6" t="e">
        <f>ROUND((W9+W8)/SUM($D$16:$D$242),2)</f>
        <v>#DIV/0!</v>
      </c>
      <c r="X10" s="6"/>
      <c r="Y10" s="6" t="e">
        <f>ROUND(SUMPRODUCT($J$16:$J$220,$Y$16:$Y$220)/SUMIF($Y$16:$Y$220,"&gt;0",$J$16:$J$220),2)</f>
        <v>#REF!</v>
      </c>
      <c r="Z10" s="6" t="e">
        <f>ROUND(SUMPRODUCT($M$16:$M$220,$Z$16:$Z$220)/SUMIF($Z$16:$Z$220,"&gt;0",$M$16:$M$220),2)</f>
        <v>#REF!</v>
      </c>
      <c r="AA10" s="1"/>
      <c r="AB10" s="69" t="s">
        <v>310</v>
      </c>
      <c r="AC10" s="6">
        <f>ROUND((AC9+AC8)/SUM($D$16:$D$242),2)</f>
        <v>4.84</v>
      </c>
      <c r="AD10" s="6"/>
      <c r="AE10" s="6" t="e">
        <f>ROUND(SUMPRODUCT($J$16:$J$220,$AE$16:$AE$220)/SUMIF($AE$16:$AE$220,"&gt;0",$J$16:$J$220),2)</f>
        <v>#REF!</v>
      </c>
      <c r="AF10" s="6" t="e">
        <f>ROUND(SUMPRODUCT($M$16:$M$220,$AF$16:$AF$220)/SUMIF($AF$16:$AF$220,"&gt;0",$M$16:$M$220),2)</f>
        <v>#DIV/0!</v>
      </c>
    </row>
    <row r="11" spans="1:34" ht="15" x14ac:dyDescent="0.2">
      <c r="A11" s="285">
        <v>180</v>
      </c>
      <c r="B11" s="305">
        <v>0.98531000000000002</v>
      </c>
      <c r="C11" s="1"/>
      <c r="D11" s="1"/>
      <c r="E11" s="1"/>
      <c r="F11" s="69" t="s">
        <v>355</v>
      </c>
      <c r="G11" s="6">
        <f>+ROUND(365.76*1,2)</f>
        <v>365.76</v>
      </c>
      <c r="H11" s="6"/>
      <c r="I11" s="6"/>
      <c r="J11" s="6"/>
      <c r="K11" s="6"/>
      <c r="L11" s="6"/>
      <c r="M11" s="1"/>
      <c r="N11" s="1"/>
      <c r="O11" s="1"/>
      <c r="P11" s="69"/>
      <c r="Q11" s="6"/>
      <c r="R11" s="6"/>
      <c r="S11" s="6"/>
      <c r="T11" s="6"/>
      <c r="U11" s="1"/>
      <c r="V11" s="69"/>
      <c r="W11" s="6"/>
      <c r="X11" s="6"/>
      <c r="Y11" s="6"/>
      <c r="Z11" s="6"/>
      <c r="AA11" s="1"/>
      <c r="AB11" s="69"/>
      <c r="AC11" s="6"/>
      <c r="AD11" s="6"/>
      <c r="AE11" s="6"/>
      <c r="AF11" s="6"/>
    </row>
    <row r="12" spans="1:34" x14ac:dyDescent="0.15">
      <c r="A12" s="307">
        <v>190</v>
      </c>
      <c r="B12" s="305">
        <v>0.98414000000000001</v>
      </c>
      <c r="C12" s="1"/>
      <c r="D12" s="1"/>
      <c r="E12" s="1"/>
      <c r="F12" s="69" t="s">
        <v>442</v>
      </c>
      <c r="G12" s="65" cm="1">
        <f t="array" ref="G12">_xlfn.IFS(FRV_amt=167437,0.98722,FRV_amt=164737,0.98772,FRV_amt=130000,0.99706,FRV_amt=140000,0.99355,FRV_amt=150000,0.9908,FRV_amt=160000,0.98862,FRV_amt=170000,0.98679,FRV_amt=180000,0.98531,FRV_amt=190000,0.98414,FRV_amt=200000,0.98312)</f>
        <v>0.98772000000000004</v>
      </c>
      <c r="H12" s="6"/>
      <c r="I12" s="6"/>
      <c r="J12" s="6"/>
      <c r="K12" s="6"/>
      <c r="L12" s="6"/>
      <c r="M12" s="1"/>
      <c r="N12" s="1"/>
      <c r="O12" s="1"/>
      <c r="P12" s="69"/>
      <c r="Q12" s="65"/>
      <c r="R12" s="65"/>
      <c r="S12" s="6"/>
      <c r="T12" s="6"/>
      <c r="U12" s="1"/>
      <c r="V12" s="69"/>
      <c r="W12" s="65"/>
      <c r="X12" s="65"/>
      <c r="Y12" s="6"/>
      <c r="Z12" s="6"/>
      <c r="AA12" s="1"/>
      <c r="AB12" s="69"/>
      <c r="AC12" s="65"/>
      <c r="AD12" s="65"/>
      <c r="AE12" s="6"/>
      <c r="AF12" s="6"/>
    </row>
    <row r="13" spans="1:34" ht="14" thickBot="1" x14ac:dyDescent="0.2">
      <c r="A13" s="308">
        <v>200</v>
      </c>
      <c r="B13" s="309">
        <v>0.98311999999999999</v>
      </c>
      <c r="C13" s="1"/>
      <c r="D13" s="1"/>
      <c r="E13" s="1"/>
      <c r="F13" s="69" t="s">
        <v>356</v>
      </c>
      <c r="G13" s="6">
        <f>Documentation!$C$95</f>
        <v>365.76</v>
      </c>
      <c r="H13" s="83"/>
      <c r="I13" s="6"/>
      <c r="J13" s="6"/>
      <c r="K13" s="1"/>
      <c r="L13" s="6"/>
      <c r="M13" s="1"/>
      <c r="N13" s="1"/>
      <c r="O13" s="1"/>
      <c r="P13" s="69"/>
      <c r="Q13" s="6"/>
      <c r="R13" s="6"/>
      <c r="S13" s="6"/>
      <c r="T13" s="6"/>
      <c r="U13" s="1"/>
      <c r="V13" s="69"/>
      <c r="W13" s="6"/>
      <c r="X13" s="83"/>
      <c r="Y13" s="6"/>
      <c r="Z13" s="6"/>
      <c r="AA13" s="1"/>
      <c r="AB13" s="69"/>
      <c r="AC13" s="6"/>
      <c r="AD13" s="83"/>
      <c r="AE13" s="6"/>
      <c r="AF13" s="6"/>
    </row>
    <row r="14" spans="1:34" x14ac:dyDescent="0.15">
      <c r="A14" s="1"/>
      <c r="B14" s="1"/>
      <c r="C14" s="1"/>
      <c r="D14" s="1"/>
      <c r="E14" s="1"/>
      <c r="F14" s="69" t="s">
        <v>357</v>
      </c>
      <c r="G14" s="6">
        <f>+G11-G13</f>
        <v>0</v>
      </c>
      <c r="H14" s="174"/>
      <c r="I14" s="6"/>
      <c r="J14" s="6"/>
      <c r="K14" s="1"/>
      <c r="L14" s="6"/>
      <c r="M14" s="1"/>
      <c r="N14" s="1"/>
      <c r="O14" s="1"/>
      <c r="P14" s="69"/>
      <c r="Q14" s="6"/>
      <c r="R14" s="6"/>
      <c r="S14" s="6"/>
      <c r="T14" s="6"/>
      <c r="U14" s="1"/>
      <c r="V14" s="69"/>
      <c r="W14" s="6"/>
      <c r="X14" s="6"/>
      <c r="Y14" s="6"/>
      <c r="Z14" s="6"/>
      <c r="AA14" s="1"/>
      <c r="AB14" s="69"/>
      <c r="AC14" s="6"/>
      <c r="AD14" s="6"/>
      <c r="AE14" s="6"/>
      <c r="AF14" s="6"/>
    </row>
    <row r="15" spans="1:34" ht="78" x14ac:dyDescent="0.15">
      <c r="A15" s="3" t="s">
        <v>145</v>
      </c>
      <c r="B15" s="2" t="s">
        <v>128</v>
      </c>
      <c r="C15" s="2" t="s">
        <v>103</v>
      </c>
      <c r="D15" s="2" t="s">
        <v>1817</v>
      </c>
      <c r="E15" s="2" t="s">
        <v>533</v>
      </c>
      <c r="F15" s="2" t="s">
        <v>363</v>
      </c>
      <c r="G15" s="2" t="s">
        <v>360</v>
      </c>
      <c r="H15" s="2" t="s">
        <v>354</v>
      </c>
      <c r="I15" s="2" t="s">
        <v>309</v>
      </c>
      <c r="J15" s="131" t="s">
        <v>1818</v>
      </c>
      <c r="K15" s="2" t="s">
        <v>1819</v>
      </c>
      <c r="L15" s="131" t="s">
        <v>335</v>
      </c>
      <c r="M15" s="131" t="s">
        <v>1820</v>
      </c>
      <c r="N15" s="131" t="s">
        <v>218</v>
      </c>
      <c r="O15" s="2" t="s">
        <v>478</v>
      </c>
      <c r="P15" s="2" t="s">
        <v>363</v>
      </c>
      <c r="Q15" s="2" t="s">
        <v>360</v>
      </c>
      <c r="R15" s="2" t="s">
        <v>354</v>
      </c>
      <c r="S15" s="2" t="s">
        <v>309</v>
      </c>
      <c r="T15" s="131" t="s">
        <v>335</v>
      </c>
      <c r="U15" s="2" t="s">
        <v>478</v>
      </c>
      <c r="V15" s="2" t="s">
        <v>363</v>
      </c>
      <c r="W15" s="2" t="s">
        <v>360</v>
      </c>
      <c r="X15" s="2" t="s">
        <v>354</v>
      </c>
      <c r="Y15" s="2" t="s">
        <v>309</v>
      </c>
      <c r="Z15" s="131" t="s">
        <v>335</v>
      </c>
      <c r="AA15" s="2" t="s">
        <v>478</v>
      </c>
      <c r="AB15" s="2" t="s">
        <v>363</v>
      </c>
      <c r="AC15" s="2" t="s">
        <v>360</v>
      </c>
      <c r="AD15" s="2" t="s">
        <v>354</v>
      </c>
      <c r="AE15" s="2" t="s">
        <v>309</v>
      </c>
      <c r="AF15" s="131" t="s">
        <v>335</v>
      </c>
    </row>
    <row r="16" spans="1:34" x14ac:dyDescent="0.15">
      <c r="A16" s="130">
        <v>228</v>
      </c>
      <c r="B16" s="37" t="s">
        <v>495</v>
      </c>
      <c r="C16" s="1" t="str">
        <f>VLOOKUP(A16,'Rate Calculation'!$A$4:$F$210,6,FALSE)</f>
        <v>WASHINGTON METRO</v>
      </c>
      <c r="D16" s="4">
        <v>19680</v>
      </c>
      <c r="E16" s="6">
        <f>VLOOKUP(A16,'Rate Calculation'!$A$4:$AM$208,39,FALSE)</f>
        <v>306.05</v>
      </c>
      <c r="F16" s="6">
        <f>ROUND(E16*$G$12,2)</f>
        <v>302.29000000000002</v>
      </c>
      <c r="G16" s="6">
        <f>+F16</f>
        <v>302.29000000000002</v>
      </c>
      <c r="H16" s="6">
        <f>VLOOKUP(A16,'Rate Calculation'!$A$4:$AL$208,38,FALSE)+G16</f>
        <v>331.01</v>
      </c>
      <c r="I16" s="6">
        <f>VLOOKUP(A16,'Rate Calculation'!$A$4:$AN$208,40,FALSE)</f>
        <v>228.94</v>
      </c>
      <c r="J16" s="1">
        <v>0</v>
      </c>
      <c r="K16" s="217">
        <v>61423</v>
      </c>
      <c r="L16" s="6">
        <f>VLOOKUP(A16,'Rate Calculation'!$A$4:$AO$208,41,FALSE)</f>
        <v>151.83000000000001</v>
      </c>
      <c r="M16" s="1">
        <v>41</v>
      </c>
      <c r="N16" s="182">
        <f>VLOOKUP(A16,'Rate Calculation'!$A$4:$AL$208,38,FALSE)</f>
        <v>28.72</v>
      </c>
      <c r="O16" s="6" t="e">
        <f>VLOOKUP($A16,'Rate Calculation'!$A$3:$BR$210,65,FALSE)</f>
        <v>#DIV/0!</v>
      </c>
      <c r="P16" s="6" t="e">
        <f>ROUND(O16*$G$12,2)</f>
        <v>#DIV/0!</v>
      </c>
      <c r="Q16" s="6" t="e">
        <f t="shared" ref="Q16:Q80" si="1">+P16</f>
        <v>#DIV/0!</v>
      </c>
      <c r="R16" s="6" t="e">
        <f>VLOOKUP($A16,'Rate Calculation'!$A$3:$AR$210,47,FALSE)+Q16</f>
        <v>#REF!</v>
      </c>
      <c r="S16" s="6" t="e">
        <f>VLOOKUP($A16,'Rate Calculation'!$A$4:$CQ$211,66,FALSE)</f>
        <v>#REF!</v>
      </c>
      <c r="T16" s="6" t="e">
        <f>VLOOKUP($A16,'Rate Calculation'!$A$3:$CQ$210,67,FALSE)</f>
        <v>#REF!</v>
      </c>
      <c r="U16" s="6" t="e">
        <f>VLOOKUP($A16,'Rate Calculation'!$A$3:$DE$210,82,FALSE)</f>
        <v>#DIV/0!</v>
      </c>
      <c r="V16" s="6" t="e">
        <f>ROUND(U16*$G$12,2)</f>
        <v>#DIV/0!</v>
      </c>
      <c r="W16" s="6" t="e">
        <f t="shared" ref="W16:W80" si="2">+V16</f>
        <v>#DIV/0!</v>
      </c>
      <c r="X16" s="6" t="e">
        <f>VLOOKUP($A16,'Rate Calculation'!$A$3:$AR$210,47,FALSE)+W16</f>
        <v>#REF!</v>
      </c>
      <c r="Y16" s="6" t="e">
        <f>VLOOKUP($A16,'Rate Calculation'!$A$4:$CQ$210,83,FALSE)</f>
        <v>#REF!</v>
      </c>
      <c r="Z16" s="6" t="e">
        <f>VLOOKUP($A16,'Rate Calculation'!$A$3:$DE$210,84,FALSE)</f>
        <v>#REF!</v>
      </c>
      <c r="AA16" s="6">
        <f>VLOOKUP($A16,'Rate Calculation'!$A$3:$DE$210,99,FALSE)</f>
        <v>0</v>
      </c>
      <c r="AB16" s="6">
        <f>ROUND(AA16*$G$12,2)</f>
        <v>0</v>
      </c>
      <c r="AC16" s="6">
        <f>+AB16</f>
        <v>0</v>
      </c>
      <c r="AD16" s="6" t="e">
        <f>VLOOKUP($A16,'Rate Calculation'!$A$3:$AR$210,47,FALSE)+AC16</f>
        <v>#REF!</v>
      </c>
      <c r="AE16" s="6" t="e">
        <f>VLOOKUP($A16,'Rate Calculation'!$A$3:$CQ$210,100,FALSE)</f>
        <v>#REF!</v>
      </c>
      <c r="AF16" s="6">
        <f>VLOOKUP($A16,'Rate Calculation'!$A$3:$DE$210,101,FALSE)</f>
        <v>0</v>
      </c>
      <c r="AH16" s="175"/>
    </row>
    <row r="17" spans="1:34" x14ac:dyDescent="0.15">
      <c r="A17" s="130">
        <v>70</v>
      </c>
      <c r="B17" s="37" t="s">
        <v>697</v>
      </c>
      <c r="C17" s="1" t="str">
        <f>VLOOKUP(A17,'Rate Calculation'!$A$4:$F$210,6,FALSE)</f>
        <v>BALTIMORE METRO</v>
      </c>
      <c r="D17" s="4">
        <v>6265</v>
      </c>
      <c r="E17" s="6">
        <f>VLOOKUP(A17,'Rate Calculation'!$A$4:$AM$208,39,FALSE)</f>
        <v>387.9</v>
      </c>
      <c r="F17" s="6">
        <f t="shared" ref="F17:F81" si="3">ROUND(E17*$G$12,2)</f>
        <v>383.14</v>
      </c>
      <c r="G17" s="6">
        <f t="shared" ref="G17:G81" si="4">+F17</f>
        <v>383.14</v>
      </c>
      <c r="H17" s="6">
        <f>VLOOKUP(A17,'Rate Calculation'!$A$4:$AL$208,38,FALSE)+G17</f>
        <v>390.74</v>
      </c>
      <c r="I17" s="6">
        <f>VLOOKUP(A17,'Rate Calculation'!$A$4:$AN$208,40,FALSE)</f>
        <v>280.68</v>
      </c>
      <c r="J17" s="1">
        <v>0</v>
      </c>
      <c r="K17" s="217">
        <v>2016</v>
      </c>
      <c r="L17" s="6">
        <f>VLOOKUP(A17,'Rate Calculation'!$A$4:$AO$208,41,FALSE)</f>
        <v>173.45</v>
      </c>
      <c r="M17" s="1">
        <v>0</v>
      </c>
      <c r="N17" s="182">
        <f>VLOOKUP(A17,'Rate Calculation'!$A$4:$AL$208,38,FALSE)</f>
        <v>7.6</v>
      </c>
      <c r="O17" s="6" t="e">
        <f>VLOOKUP($A17,'Rate Calculation'!$A$3:$BR$210,65,FALSE)</f>
        <v>#DIV/0!</v>
      </c>
      <c r="P17" s="6" t="e">
        <f t="shared" ref="P17:P81" si="5">ROUND(O17*$G$12,2)</f>
        <v>#DIV/0!</v>
      </c>
      <c r="Q17" s="6" t="e">
        <f t="shared" si="1"/>
        <v>#DIV/0!</v>
      </c>
      <c r="R17" s="6" t="e">
        <f>VLOOKUP($A17,'Rate Calculation'!$A$3:$AR$210,47,FALSE)+Q17</f>
        <v>#REF!</v>
      </c>
      <c r="S17" s="6" t="e">
        <f>VLOOKUP($A17,'Rate Calculation'!$A$4:$CQ$211,66,FALSE)</f>
        <v>#REF!</v>
      </c>
      <c r="T17" s="6" t="e">
        <f>VLOOKUP($A17,'Rate Calculation'!$A$3:$CQ$210,67,FALSE)</f>
        <v>#REF!</v>
      </c>
      <c r="U17" s="6" t="e">
        <f>VLOOKUP($A17,'Rate Calculation'!$A$3:$DE$210,82,FALSE)</f>
        <v>#DIV/0!</v>
      </c>
      <c r="V17" s="6" t="e">
        <f t="shared" ref="V17:V81" si="6">ROUND(U17*$G$12,2)</f>
        <v>#DIV/0!</v>
      </c>
      <c r="W17" s="6" t="e">
        <f t="shared" si="2"/>
        <v>#DIV/0!</v>
      </c>
      <c r="X17" s="6" t="e">
        <f>VLOOKUP($A17,'Rate Calculation'!$A$3:$AR$210,47,FALSE)+W17</f>
        <v>#REF!</v>
      </c>
      <c r="Y17" s="6" t="e">
        <f>VLOOKUP($A17,'Rate Calculation'!$A$4:$CQ$210,83,FALSE)</f>
        <v>#REF!</v>
      </c>
      <c r="Z17" s="6" t="e">
        <f>VLOOKUP($A17,'Rate Calculation'!$A$3:$DE$210,84,FALSE)</f>
        <v>#REF!</v>
      </c>
      <c r="AA17" s="6">
        <f>VLOOKUP($A17,'Rate Calculation'!$A$3:$DE$210,99,FALSE)</f>
        <v>0</v>
      </c>
      <c r="AB17" s="6">
        <f t="shared" ref="AB17:AB81" si="7">ROUND(AA17*$G$12,2)</f>
        <v>0</v>
      </c>
      <c r="AC17" s="6">
        <f t="shared" ref="AC17:AC80" si="8">+AB17</f>
        <v>0</v>
      </c>
      <c r="AD17" s="6" t="e">
        <f>VLOOKUP($A17,'Rate Calculation'!$A$3:$AR$210,47,FALSE)+AC17</f>
        <v>#REF!</v>
      </c>
      <c r="AE17" s="6" t="e">
        <f>VLOOKUP($A17,'Rate Calculation'!$A$3:$CQ$210,100,FALSE)</f>
        <v>#REF!</v>
      </c>
      <c r="AF17" s="6">
        <f>VLOOKUP($A17,'Rate Calculation'!$A$3:$DE$210,101,FALSE)</f>
        <v>0</v>
      </c>
      <c r="AH17" s="175"/>
    </row>
    <row r="18" spans="1:34" x14ac:dyDescent="0.15">
      <c r="A18" s="130">
        <v>30</v>
      </c>
      <c r="B18" s="37" t="s">
        <v>223</v>
      </c>
      <c r="C18" s="1" t="str">
        <f>VLOOKUP(A18,'Rate Calculation'!$A$4:$F$210,6,FALSE)</f>
        <v>NON METRO</v>
      </c>
      <c r="D18" s="4">
        <v>16482</v>
      </c>
      <c r="E18" s="6">
        <f>VLOOKUP(A18,'Rate Calculation'!$A$4:$AM$208,39,FALSE)</f>
        <v>318.86</v>
      </c>
      <c r="F18" s="6">
        <f t="shared" si="3"/>
        <v>314.94</v>
      </c>
      <c r="G18" s="6">
        <f t="shared" si="4"/>
        <v>314.94</v>
      </c>
      <c r="H18" s="6">
        <f>VLOOKUP(A18,'Rate Calculation'!$A$4:$AL$208,38,FALSE)+G18</f>
        <v>344.17</v>
      </c>
      <c r="I18" s="6">
        <f>VLOOKUP(A18,'Rate Calculation'!$A$4:$AN$208,40,FALSE)</f>
        <v>236.42</v>
      </c>
      <c r="J18" s="1">
        <v>0</v>
      </c>
      <c r="K18" s="217">
        <v>13327</v>
      </c>
      <c r="L18" s="6">
        <f>VLOOKUP(A18,'Rate Calculation'!$A$4:$AO$208,41,FALSE)</f>
        <v>153.97</v>
      </c>
      <c r="M18" s="1">
        <v>5</v>
      </c>
      <c r="N18" s="182">
        <f>VLOOKUP(A18,'Rate Calculation'!$A$4:$AL$208,38,FALSE)</f>
        <v>29.23</v>
      </c>
      <c r="O18" s="6" t="e">
        <f>VLOOKUP($A18,'Rate Calculation'!$A$3:$BR$210,65,FALSE)</f>
        <v>#DIV/0!</v>
      </c>
      <c r="P18" s="6" t="e">
        <f t="shared" si="5"/>
        <v>#DIV/0!</v>
      </c>
      <c r="Q18" s="6" t="e">
        <f t="shared" si="1"/>
        <v>#DIV/0!</v>
      </c>
      <c r="R18" s="6" t="e">
        <f>VLOOKUP($A18,'Rate Calculation'!$A$3:$AR$210,47,FALSE)+Q18</f>
        <v>#REF!</v>
      </c>
      <c r="S18" s="6" t="e">
        <f>VLOOKUP($A18,'Rate Calculation'!$A$4:$CQ$211,66,FALSE)</f>
        <v>#REF!</v>
      </c>
      <c r="T18" s="6" t="e">
        <f>VLOOKUP($A18,'Rate Calculation'!$A$3:$CQ$210,67,FALSE)</f>
        <v>#REF!</v>
      </c>
      <c r="U18" s="6" t="e">
        <f>VLOOKUP($A18,'Rate Calculation'!$A$3:$DE$210,82,FALSE)</f>
        <v>#DIV/0!</v>
      </c>
      <c r="V18" s="6" t="e">
        <f t="shared" si="6"/>
        <v>#DIV/0!</v>
      </c>
      <c r="W18" s="6" t="e">
        <f t="shared" si="2"/>
        <v>#DIV/0!</v>
      </c>
      <c r="X18" s="6" t="e">
        <f>VLOOKUP($A18,'Rate Calculation'!$A$3:$AR$210,47,FALSE)+W18</f>
        <v>#REF!</v>
      </c>
      <c r="Y18" s="6" t="e">
        <f>VLOOKUP($A18,'Rate Calculation'!$A$4:$CQ$210,83,FALSE)</f>
        <v>#REF!</v>
      </c>
      <c r="Z18" s="6" t="e">
        <f>VLOOKUP($A18,'Rate Calculation'!$A$3:$DE$210,84,FALSE)</f>
        <v>#REF!</v>
      </c>
      <c r="AA18" s="6">
        <f>VLOOKUP($A18,'Rate Calculation'!$A$3:$DE$210,99,FALSE)</f>
        <v>0</v>
      </c>
      <c r="AB18" s="6">
        <f t="shared" si="7"/>
        <v>0</v>
      </c>
      <c r="AC18" s="6">
        <f t="shared" si="8"/>
        <v>0</v>
      </c>
      <c r="AD18" s="6" t="e">
        <f>VLOOKUP($A18,'Rate Calculation'!$A$3:$AR$210,47,FALSE)+AC18</f>
        <v>#REF!</v>
      </c>
      <c r="AE18" s="6" t="e">
        <f>VLOOKUP($A18,'Rate Calculation'!$A$3:$CQ$210,100,FALSE)</f>
        <v>#REF!</v>
      </c>
      <c r="AF18" s="6">
        <f>VLOOKUP($A18,'Rate Calculation'!$A$3:$DE$210,101,FALSE)</f>
        <v>0</v>
      </c>
      <c r="AH18" s="175"/>
    </row>
    <row r="19" spans="1:34" x14ac:dyDescent="0.15">
      <c r="A19" s="130">
        <v>34</v>
      </c>
      <c r="B19" s="37" t="s">
        <v>381</v>
      </c>
      <c r="C19" s="1" t="str">
        <f>VLOOKUP(A19,'Rate Calculation'!$A$4:$F$210,6,FALSE)</f>
        <v>NON METRO</v>
      </c>
      <c r="D19" s="4">
        <v>25425</v>
      </c>
      <c r="E19" s="6">
        <f>VLOOKUP(A19,'Rate Calculation'!$A$4:$AM$208,39,FALSE)</f>
        <v>320.76</v>
      </c>
      <c r="F19" s="6">
        <f t="shared" si="3"/>
        <v>316.82</v>
      </c>
      <c r="G19" s="6">
        <f t="shared" si="4"/>
        <v>316.82</v>
      </c>
      <c r="H19" s="6">
        <f>VLOOKUP(A19,'Rate Calculation'!$A$4:$AL$208,38,FALSE)+G19</f>
        <v>342.92</v>
      </c>
      <c r="I19" s="6">
        <f>VLOOKUP(A19,'Rate Calculation'!$A$4:$AN$208,40,FALSE)</f>
        <v>235.56</v>
      </c>
      <c r="J19" s="1">
        <v>335</v>
      </c>
      <c r="K19" s="217">
        <v>3050</v>
      </c>
      <c r="L19" s="6">
        <f>VLOOKUP(A19,'Rate Calculation'!$A$4:$AO$208,41,FALSE)</f>
        <v>150.36000000000001</v>
      </c>
      <c r="M19" s="1">
        <v>28</v>
      </c>
      <c r="N19" s="182">
        <f>VLOOKUP(A19,'Rate Calculation'!$A$4:$AL$208,38,FALSE)</f>
        <v>26.1</v>
      </c>
      <c r="O19" s="6" t="e">
        <f>VLOOKUP($A19,'Rate Calculation'!$A$3:$BR$210,65,FALSE)</f>
        <v>#DIV/0!</v>
      </c>
      <c r="P19" s="6" t="e">
        <f t="shared" si="5"/>
        <v>#DIV/0!</v>
      </c>
      <c r="Q19" s="6" t="e">
        <f t="shared" si="1"/>
        <v>#DIV/0!</v>
      </c>
      <c r="R19" s="6" t="e">
        <f>VLOOKUP($A19,'Rate Calculation'!$A$3:$AR$210,47,FALSE)+Q19</f>
        <v>#REF!</v>
      </c>
      <c r="S19" s="6" t="e">
        <f>VLOOKUP($A19,'Rate Calculation'!$A$4:$CQ$211,66,FALSE)</f>
        <v>#REF!</v>
      </c>
      <c r="T19" s="6" t="e">
        <f>VLOOKUP($A19,'Rate Calculation'!$A$3:$CQ$210,67,FALSE)</f>
        <v>#REF!</v>
      </c>
      <c r="U19" s="6" t="e">
        <f>VLOOKUP($A19,'Rate Calculation'!$A$3:$DE$210,82,FALSE)</f>
        <v>#DIV/0!</v>
      </c>
      <c r="V19" s="6" t="e">
        <f t="shared" si="6"/>
        <v>#DIV/0!</v>
      </c>
      <c r="W19" s="6" t="e">
        <f t="shared" si="2"/>
        <v>#DIV/0!</v>
      </c>
      <c r="X19" s="6" t="e">
        <f>VLOOKUP($A19,'Rate Calculation'!$A$3:$AR$210,47,FALSE)+W19</f>
        <v>#REF!</v>
      </c>
      <c r="Y19" s="6" t="e">
        <f>VLOOKUP($A19,'Rate Calculation'!$A$4:$CQ$210,83,FALSE)</f>
        <v>#REF!</v>
      </c>
      <c r="Z19" s="6" t="e">
        <f>VLOOKUP($A19,'Rate Calculation'!$A$3:$DE$210,84,FALSE)</f>
        <v>#REF!</v>
      </c>
      <c r="AA19" s="6">
        <f>VLOOKUP($A19,'Rate Calculation'!$A$3:$DE$210,99,FALSE)</f>
        <v>0</v>
      </c>
      <c r="AB19" s="6">
        <f t="shared" si="7"/>
        <v>0</v>
      </c>
      <c r="AC19" s="6">
        <f t="shared" si="8"/>
        <v>0</v>
      </c>
      <c r="AD19" s="6" t="e">
        <f>VLOOKUP($A19,'Rate Calculation'!$A$3:$AR$210,47,FALSE)+AC19</f>
        <v>#REF!</v>
      </c>
      <c r="AE19" s="6" t="e">
        <f>VLOOKUP($A19,'Rate Calculation'!$A$3:$CQ$210,100,FALSE)</f>
        <v>#REF!</v>
      </c>
      <c r="AF19" s="6">
        <f>VLOOKUP($A19,'Rate Calculation'!$A$3:$DE$210,101,FALSE)</f>
        <v>0</v>
      </c>
      <c r="AH19" s="175"/>
    </row>
    <row r="20" spans="1:34" x14ac:dyDescent="0.15">
      <c r="A20" s="130">
        <v>36</v>
      </c>
      <c r="B20" s="37" t="s">
        <v>197</v>
      </c>
      <c r="C20" s="1" t="str">
        <f>VLOOKUP(A20,'Rate Calculation'!$A$4:$F$210,6,FALSE)</f>
        <v>WASHINGTON METRO</v>
      </c>
      <c r="D20" s="4">
        <v>8238</v>
      </c>
      <c r="E20" s="6">
        <f>VLOOKUP(A20,'Rate Calculation'!$A$4:$AM$208,39,FALSE)</f>
        <v>291.23</v>
      </c>
      <c r="F20" s="6">
        <f t="shared" si="3"/>
        <v>287.64999999999998</v>
      </c>
      <c r="G20" s="6">
        <f t="shared" si="4"/>
        <v>287.64999999999998</v>
      </c>
      <c r="H20" s="6">
        <f>VLOOKUP(A20,'Rate Calculation'!$A$4:$AL$208,38,FALSE)+G20</f>
        <v>319.04000000000002</v>
      </c>
      <c r="I20" s="6">
        <f>VLOOKUP(A20,'Rate Calculation'!$A$4:$AN$208,40,FALSE)</f>
        <v>226.02</v>
      </c>
      <c r="J20" s="1">
        <v>0</v>
      </c>
      <c r="K20" s="217">
        <v>0</v>
      </c>
      <c r="L20" s="6">
        <f>VLOOKUP(A20,'Rate Calculation'!$A$4:$AO$208,41,FALSE)</f>
        <v>160.80000000000001</v>
      </c>
      <c r="M20" s="1">
        <v>0</v>
      </c>
      <c r="N20" s="182">
        <f>VLOOKUP(A20,'Rate Calculation'!$A$4:$AL$208,38,FALSE)</f>
        <v>31.39</v>
      </c>
      <c r="O20" s="6" t="e">
        <f>VLOOKUP($A20,'Rate Calculation'!$A$3:$BR$210,65,FALSE)</f>
        <v>#DIV/0!</v>
      </c>
      <c r="P20" s="6" t="e">
        <f t="shared" si="5"/>
        <v>#DIV/0!</v>
      </c>
      <c r="Q20" s="6" t="e">
        <f t="shared" si="1"/>
        <v>#DIV/0!</v>
      </c>
      <c r="R20" s="6" t="e">
        <f>VLOOKUP($A20,'Rate Calculation'!$A$3:$AR$210,47,FALSE)+Q20</f>
        <v>#REF!</v>
      </c>
      <c r="S20" s="6" t="e">
        <f>VLOOKUP($A20,'Rate Calculation'!$A$4:$CQ$211,66,FALSE)</f>
        <v>#REF!</v>
      </c>
      <c r="T20" s="6" t="e">
        <f>VLOOKUP($A20,'Rate Calculation'!$A$3:$CQ$210,67,FALSE)</f>
        <v>#REF!</v>
      </c>
      <c r="U20" s="6" t="e">
        <f>VLOOKUP($A20,'Rate Calculation'!$A$3:$DE$210,82,FALSE)</f>
        <v>#DIV/0!</v>
      </c>
      <c r="V20" s="6" t="e">
        <f t="shared" si="6"/>
        <v>#DIV/0!</v>
      </c>
      <c r="W20" s="6" t="e">
        <f t="shared" si="2"/>
        <v>#DIV/0!</v>
      </c>
      <c r="X20" s="6" t="e">
        <f>VLOOKUP($A20,'Rate Calculation'!$A$3:$AR$210,47,FALSE)+W20</f>
        <v>#REF!</v>
      </c>
      <c r="Y20" s="6" t="e">
        <f>VLOOKUP($A20,'Rate Calculation'!$A$4:$CQ$210,83,FALSE)</f>
        <v>#REF!</v>
      </c>
      <c r="Z20" s="6" t="e">
        <f>VLOOKUP($A20,'Rate Calculation'!$A$3:$DE$210,84,FALSE)</f>
        <v>#REF!</v>
      </c>
      <c r="AA20" s="6">
        <f>VLOOKUP($A20,'Rate Calculation'!$A$3:$DE$210,99,FALSE)</f>
        <v>0</v>
      </c>
      <c r="AB20" s="6">
        <f t="shared" si="7"/>
        <v>0</v>
      </c>
      <c r="AC20" s="6">
        <f t="shared" si="8"/>
        <v>0</v>
      </c>
      <c r="AD20" s="6" t="e">
        <f>VLOOKUP($A20,'Rate Calculation'!$A$3:$AR$210,47,FALSE)+AC20</f>
        <v>#REF!</v>
      </c>
      <c r="AE20" s="6" t="e">
        <f>VLOOKUP($A20,'Rate Calculation'!$A$3:$CQ$210,100,FALSE)</f>
        <v>#REF!</v>
      </c>
      <c r="AF20" s="6">
        <f>VLOOKUP($A20,'Rate Calculation'!$A$3:$DE$210,101,FALSE)</f>
        <v>0</v>
      </c>
      <c r="AH20" s="175"/>
    </row>
    <row r="21" spans="1:34" x14ac:dyDescent="0.15">
      <c r="A21" s="130">
        <v>38</v>
      </c>
      <c r="B21" s="37" t="s">
        <v>240</v>
      </c>
      <c r="C21" s="1" t="str">
        <f>VLOOKUP(A21,'Rate Calculation'!$A$4:$F$210,6,FALSE)</f>
        <v>NON METRO</v>
      </c>
      <c r="D21" s="4">
        <v>27939</v>
      </c>
      <c r="E21" s="6">
        <f>VLOOKUP(A21,'Rate Calculation'!$A$4:$AM$208,39,FALSE)</f>
        <v>308.26</v>
      </c>
      <c r="F21" s="6">
        <f t="shared" si="3"/>
        <v>304.47000000000003</v>
      </c>
      <c r="G21" s="6">
        <f t="shared" si="4"/>
        <v>304.47000000000003</v>
      </c>
      <c r="H21" s="6">
        <f>VLOOKUP(A21,'Rate Calculation'!$A$4:$AL$208,38,FALSE)+G21</f>
        <v>335.72</v>
      </c>
      <c r="I21" s="6">
        <f>VLOOKUP(A21,'Rate Calculation'!$A$4:$AN$208,40,FALSE)</f>
        <v>228.69</v>
      </c>
      <c r="J21" s="1">
        <v>0</v>
      </c>
      <c r="K21" s="217">
        <v>25696</v>
      </c>
      <c r="L21" s="6">
        <f>VLOOKUP(A21,'Rate Calculation'!$A$4:$AO$208,41,FALSE)</f>
        <v>149.11000000000001</v>
      </c>
      <c r="M21" s="1">
        <v>13</v>
      </c>
      <c r="N21" s="182">
        <f>VLOOKUP(A21,'Rate Calculation'!$A$4:$AL$208,38,FALSE)</f>
        <v>31.25</v>
      </c>
      <c r="O21" s="6" t="e">
        <f>VLOOKUP($A21,'Rate Calculation'!$A$3:$BR$210,65,FALSE)</f>
        <v>#DIV/0!</v>
      </c>
      <c r="P21" s="6" t="e">
        <f t="shared" si="5"/>
        <v>#DIV/0!</v>
      </c>
      <c r="Q21" s="6" t="e">
        <f t="shared" si="1"/>
        <v>#DIV/0!</v>
      </c>
      <c r="R21" s="6" t="e">
        <f>VLOOKUP($A21,'Rate Calculation'!$A$3:$AR$210,47,FALSE)+Q21</f>
        <v>#REF!</v>
      </c>
      <c r="S21" s="6" t="e">
        <f>VLOOKUP($A21,'Rate Calculation'!$A$4:$CQ$211,66,FALSE)</f>
        <v>#REF!</v>
      </c>
      <c r="T21" s="6" t="e">
        <f>VLOOKUP($A21,'Rate Calculation'!$A$3:$CQ$210,67,FALSE)</f>
        <v>#REF!</v>
      </c>
      <c r="U21" s="6" t="e">
        <f>VLOOKUP($A21,'Rate Calculation'!$A$3:$DE$210,82,FALSE)</f>
        <v>#DIV/0!</v>
      </c>
      <c r="V21" s="6" t="e">
        <f t="shared" si="6"/>
        <v>#DIV/0!</v>
      </c>
      <c r="W21" s="6" t="e">
        <f t="shared" si="2"/>
        <v>#DIV/0!</v>
      </c>
      <c r="X21" s="6" t="e">
        <f>VLOOKUP($A21,'Rate Calculation'!$A$3:$AR$210,47,FALSE)+W21</f>
        <v>#REF!</v>
      </c>
      <c r="Y21" s="6" t="e">
        <f>VLOOKUP($A21,'Rate Calculation'!$A$4:$CQ$210,83,FALSE)</f>
        <v>#REF!</v>
      </c>
      <c r="Z21" s="6" t="e">
        <f>VLOOKUP($A21,'Rate Calculation'!$A$3:$DE$210,84,FALSE)</f>
        <v>#REF!</v>
      </c>
      <c r="AA21" s="6">
        <f>VLOOKUP($A21,'Rate Calculation'!$A$3:$DE$210,99,FALSE)</f>
        <v>0</v>
      </c>
      <c r="AB21" s="6">
        <f t="shared" si="7"/>
        <v>0</v>
      </c>
      <c r="AC21" s="6">
        <f t="shared" si="8"/>
        <v>0</v>
      </c>
      <c r="AD21" s="6" t="e">
        <f>VLOOKUP($A21,'Rate Calculation'!$A$3:$AR$210,47,FALSE)+AC21</f>
        <v>#REF!</v>
      </c>
      <c r="AE21" s="6" t="e">
        <f>VLOOKUP($A21,'Rate Calculation'!$A$3:$CQ$210,100,FALSE)</f>
        <v>#REF!</v>
      </c>
      <c r="AF21" s="6">
        <f>VLOOKUP($A21,'Rate Calculation'!$A$3:$DE$210,101,FALSE)</f>
        <v>0</v>
      </c>
      <c r="AH21" s="175"/>
    </row>
    <row r="22" spans="1:34" x14ac:dyDescent="0.15">
      <c r="A22" s="130">
        <v>224</v>
      </c>
      <c r="B22" s="37" t="s">
        <v>466</v>
      </c>
      <c r="C22" s="1" t="str">
        <f>VLOOKUP(A22,'Rate Calculation'!$A$4:$F$210,6,FALSE)</f>
        <v>BALTIMORE CITY</v>
      </c>
      <c r="D22" s="4">
        <v>21880</v>
      </c>
      <c r="E22" s="6">
        <f>VLOOKUP(A22,'Rate Calculation'!$A$4:$AM$208,39,FALSE)</f>
        <v>372.91</v>
      </c>
      <c r="F22" s="6">
        <f t="shared" si="3"/>
        <v>368.33</v>
      </c>
      <c r="G22" s="6">
        <f t="shared" si="4"/>
        <v>368.33</v>
      </c>
      <c r="H22" s="6">
        <f>VLOOKUP(A22,'Rate Calculation'!$A$4:$AL$208,38,FALSE)+G22</f>
        <v>396.99</v>
      </c>
      <c r="I22" s="6">
        <f>VLOOKUP(A22,'Rate Calculation'!$A$4:$AN$208,40,FALSE)</f>
        <v>278.89999999999998</v>
      </c>
      <c r="J22" s="1">
        <v>0</v>
      </c>
      <c r="K22" s="217">
        <v>217901</v>
      </c>
      <c r="L22" s="6">
        <f>VLOOKUP(A22,'Rate Calculation'!$A$4:$AO$208,41,FALSE)</f>
        <v>184.88</v>
      </c>
      <c r="M22" s="1">
        <v>0</v>
      </c>
      <c r="N22" s="182">
        <f>VLOOKUP(A22,'Rate Calculation'!$A$4:$AL$208,38,FALSE)</f>
        <v>28.66</v>
      </c>
      <c r="O22" s="6" t="e">
        <f>VLOOKUP($A22,'Rate Calculation'!$A$3:$BR$210,65,FALSE)</f>
        <v>#DIV/0!</v>
      </c>
      <c r="P22" s="6" t="e">
        <f t="shared" si="5"/>
        <v>#DIV/0!</v>
      </c>
      <c r="Q22" s="6" t="e">
        <f t="shared" si="1"/>
        <v>#DIV/0!</v>
      </c>
      <c r="R22" s="6" t="e">
        <f>VLOOKUP($A22,'Rate Calculation'!$A$3:$AR$210,47,FALSE)+Q22</f>
        <v>#REF!</v>
      </c>
      <c r="S22" s="6" t="e">
        <f>VLOOKUP($A22,'Rate Calculation'!$A$4:$CQ$211,66,FALSE)</f>
        <v>#REF!</v>
      </c>
      <c r="T22" s="6" t="e">
        <f>VLOOKUP($A22,'Rate Calculation'!$A$3:$CQ$210,67,FALSE)</f>
        <v>#REF!</v>
      </c>
      <c r="U22" s="6" t="e">
        <f>VLOOKUP($A22,'Rate Calculation'!$A$3:$DE$210,82,FALSE)</f>
        <v>#DIV/0!</v>
      </c>
      <c r="V22" s="6" t="e">
        <f t="shared" si="6"/>
        <v>#DIV/0!</v>
      </c>
      <c r="W22" s="6" t="e">
        <f t="shared" si="2"/>
        <v>#DIV/0!</v>
      </c>
      <c r="X22" s="6" t="e">
        <f>VLOOKUP($A22,'Rate Calculation'!$A$3:$AR$210,47,FALSE)+W22</f>
        <v>#REF!</v>
      </c>
      <c r="Y22" s="6" t="e">
        <f>VLOOKUP($A22,'Rate Calculation'!$A$4:$CQ$210,83,FALSE)</f>
        <v>#REF!</v>
      </c>
      <c r="Z22" s="6" t="e">
        <f>VLOOKUP($A22,'Rate Calculation'!$A$3:$DE$210,84,FALSE)</f>
        <v>#REF!</v>
      </c>
      <c r="AA22" s="6">
        <f>VLOOKUP($A22,'Rate Calculation'!$A$3:$DE$210,99,FALSE)</f>
        <v>0</v>
      </c>
      <c r="AB22" s="6">
        <f t="shared" si="7"/>
        <v>0</v>
      </c>
      <c r="AC22" s="6">
        <f t="shared" si="8"/>
        <v>0</v>
      </c>
      <c r="AD22" s="6" t="e">
        <f>VLOOKUP($A22,'Rate Calculation'!$A$3:$AR$210,47,FALSE)+AC22</f>
        <v>#REF!</v>
      </c>
      <c r="AE22" s="6" t="e">
        <f>VLOOKUP($A22,'Rate Calculation'!$A$3:$CQ$210,100,FALSE)</f>
        <v>#REF!</v>
      </c>
      <c r="AF22" s="6">
        <f>VLOOKUP($A22,'Rate Calculation'!$A$3:$DE$210,101,FALSE)</f>
        <v>0</v>
      </c>
      <c r="AH22" s="175"/>
    </row>
    <row r="23" spans="1:34" x14ac:dyDescent="0.15">
      <c r="A23" s="130">
        <v>44</v>
      </c>
      <c r="B23" s="37" t="s">
        <v>396</v>
      </c>
      <c r="C23" s="1" t="str">
        <f>VLOOKUP(A23,'Rate Calculation'!$A$4:$F$210,6,FALSE)</f>
        <v>NON METRO</v>
      </c>
      <c r="D23" s="4">
        <v>4823</v>
      </c>
      <c r="E23" s="6">
        <f>VLOOKUP(A23,'Rate Calculation'!$A$4:$AM$208,39,FALSE)</f>
        <v>325.04000000000002</v>
      </c>
      <c r="F23" s="6">
        <f t="shared" si="3"/>
        <v>321.05</v>
      </c>
      <c r="G23" s="6">
        <f t="shared" si="4"/>
        <v>321.05</v>
      </c>
      <c r="H23" s="6">
        <f>VLOOKUP(A23,'Rate Calculation'!$A$4:$AL$208,38,FALSE)+G23</f>
        <v>321.05</v>
      </c>
      <c r="I23" s="6">
        <f>VLOOKUP(A23,'Rate Calculation'!$A$4:$AN$208,40,FALSE)</f>
        <v>241.21</v>
      </c>
      <c r="J23" s="1">
        <v>0</v>
      </c>
      <c r="K23" s="217">
        <v>0</v>
      </c>
      <c r="L23" s="6">
        <f>VLOOKUP(A23,'Rate Calculation'!$A$4:$AO$208,41,FALSE)</f>
        <v>157.37</v>
      </c>
      <c r="M23" s="1">
        <v>0</v>
      </c>
      <c r="N23" s="182">
        <f>VLOOKUP(A23,'Rate Calculation'!$A$4:$AL$208,38,FALSE)</f>
        <v>0</v>
      </c>
      <c r="O23" s="6" t="e">
        <f>VLOOKUP($A23,'Rate Calculation'!$A$3:$BR$210,65,FALSE)</f>
        <v>#DIV/0!</v>
      </c>
      <c r="P23" s="6" t="e">
        <f t="shared" si="5"/>
        <v>#DIV/0!</v>
      </c>
      <c r="Q23" s="6" t="e">
        <f t="shared" si="1"/>
        <v>#DIV/0!</v>
      </c>
      <c r="R23" s="6" t="e">
        <f>VLOOKUP($A23,'Rate Calculation'!$A$3:$AR$210,47,FALSE)+Q23</f>
        <v>#REF!</v>
      </c>
      <c r="S23" s="6" t="e">
        <f>VLOOKUP($A23,'Rate Calculation'!$A$4:$CQ$211,66,FALSE)</f>
        <v>#REF!</v>
      </c>
      <c r="T23" s="6" t="e">
        <f>VLOOKUP($A23,'Rate Calculation'!$A$3:$CQ$210,67,FALSE)</f>
        <v>#REF!</v>
      </c>
      <c r="U23" s="6" t="e">
        <f>VLOOKUP($A23,'Rate Calculation'!$A$3:$DE$210,82,FALSE)</f>
        <v>#DIV/0!</v>
      </c>
      <c r="V23" s="6" t="e">
        <f t="shared" si="6"/>
        <v>#DIV/0!</v>
      </c>
      <c r="W23" s="6" t="e">
        <f t="shared" si="2"/>
        <v>#DIV/0!</v>
      </c>
      <c r="X23" s="6" t="e">
        <f>VLOOKUP($A23,'Rate Calculation'!$A$3:$AR$210,47,FALSE)+W23</f>
        <v>#REF!</v>
      </c>
      <c r="Y23" s="6" t="e">
        <f>VLOOKUP($A23,'Rate Calculation'!$A$4:$CQ$210,83,FALSE)</f>
        <v>#REF!</v>
      </c>
      <c r="Z23" s="6" t="e">
        <f>VLOOKUP($A23,'Rate Calculation'!$A$3:$DE$210,84,FALSE)</f>
        <v>#REF!</v>
      </c>
      <c r="AA23" s="6">
        <f>VLOOKUP($A23,'Rate Calculation'!$A$3:$DE$210,99,FALSE)</f>
        <v>0</v>
      </c>
      <c r="AB23" s="6">
        <f t="shared" si="7"/>
        <v>0</v>
      </c>
      <c r="AC23" s="6">
        <f t="shared" si="8"/>
        <v>0</v>
      </c>
      <c r="AD23" s="6" t="e">
        <f>VLOOKUP($A23,'Rate Calculation'!$A$3:$AR$210,47,FALSE)+AC23</f>
        <v>#REF!</v>
      </c>
      <c r="AE23" s="6" t="e">
        <f>VLOOKUP($A23,'Rate Calculation'!$A$3:$CQ$210,100,FALSE)</f>
        <v>#REF!</v>
      </c>
      <c r="AF23" s="6">
        <f>VLOOKUP($A23,'Rate Calculation'!$A$3:$DE$210,101,FALSE)</f>
        <v>0</v>
      </c>
      <c r="AH23" s="175"/>
    </row>
    <row r="24" spans="1:34" x14ac:dyDescent="0.15">
      <c r="A24" s="130">
        <v>671</v>
      </c>
      <c r="B24" s="37" t="s">
        <v>606</v>
      </c>
      <c r="C24" s="1" t="str">
        <f>VLOOKUP(A24,'Rate Calculation'!$A$4:$F$210,6,FALSE)</f>
        <v>BALTIMORE METRO</v>
      </c>
      <c r="D24" s="4">
        <v>7070</v>
      </c>
      <c r="E24" s="6">
        <f>VLOOKUP(A24,'Rate Calculation'!$A$4:$AM$208,39,FALSE)</f>
        <v>364.05</v>
      </c>
      <c r="F24" s="6">
        <f t="shared" si="3"/>
        <v>359.58</v>
      </c>
      <c r="G24" s="6">
        <f t="shared" si="4"/>
        <v>359.58</v>
      </c>
      <c r="H24" s="6">
        <f>VLOOKUP(A24,'Rate Calculation'!$A$4:$AL$208,38,FALSE)+G24</f>
        <v>377.28</v>
      </c>
      <c r="I24" s="6">
        <f>VLOOKUP(A24,'Rate Calculation'!$A$4:$AN$208,40,FALSE)</f>
        <v>266.95999999999998</v>
      </c>
      <c r="J24" s="1">
        <v>0</v>
      </c>
      <c r="K24" s="217">
        <v>0</v>
      </c>
      <c r="L24" s="6">
        <f>VLOOKUP(A24,'Rate Calculation'!$A$4:$AO$208,41,FALSE)</f>
        <v>169.86</v>
      </c>
      <c r="M24" s="1">
        <v>0</v>
      </c>
      <c r="N24" s="182">
        <f>VLOOKUP(A24,'Rate Calculation'!$A$4:$AL$208,38,FALSE)</f>
        <v>17.7</v>
      </c>
      <c r="O24" s="6" t="e">
        <f>VLOOKUP($A24,'Rate Calculation'!$A$3:$BR$210,65,FALSE)</f>
        <v>#DIV/0!</v>
      </c>
      <c r="P24" s="6" t="e">
        <f t="shared" si="5"/>
        <v>#DIV/0!</v>
      </c>
      <c r="Q24" s="6" t="e">
        <f t="shared" si="1"/>
        <v>#DIV/0!</v>
      </c>
      <c r="R24" s="6" t="e">
        <f>VLOOKUP($A24,'Rate Calculation'!$A$3:$AR$210,47,FALSE)+Q24</f>
        <v>#REF!</v>
      </c>
      <c r="S24" s="6" t="e">
        <f>VLOOKUP($A24,'Rate Calculation'!$A$4:$CQ$211,66,FALSE)</f>
        <v>#REF!</v>
      </c>
      <c r="T24" s="6" t="e">
        <f>VLOOKUP($A24,'Rate Calculation'!$A$3:$CQ$210,67,FALSE)</f>
        <v>#REF!</v>
      </c>
      <c r="U24" s="6" t="e">
        <f>VLOOKUP($A24,'Rate Calculation'!$A$3:$DE$210,82,FALSE)</f>
        <v>#DIV/0!</v>
      </c>
      <c r="V24" s="6" t="e">
        <f t="shared" si="6"/>
        <v>#DIV/0!</v>
      </c>
      <c r="W24" s="6" t="e">
        <f t="shared" si="2"/>
        <v>#DIV/0!</v>
      </c>
      <c r="X24" s="6" t="e">
        <f>VLOOKUP($A24,'Rate Calculation'!$A$3:$AR$210,47,FALSE)+W24</f>
        <v>#REF!</v>
      </c>
      <c r="Y24" s="6" t="e">
        <f>VLOOKUP($A24,'Rate Calculation'!$A$4:$CQ$210,83,FALSE)</f>
        <v>#REF!</v>
      </c>
      <c r="Z24" s="6" t="e">
        <f>VLOOKUP($A24,'Rate Calculation'!$A$3:$DE$210,84,FALSE)</f>
        <v>#REF!</v>
      </c>
      <c r="AA24" s="6">
        <f>VLOOKUP($A24,'Rate Calculation'!$A$3:$DE$210,99,FALSE)</f>
        <v>0</v>
      </c>
      <c r="AB24" s="6">
        <f t="shared" si="7"/>
        <v>0</v>
      </c>
      <c r="AC24" s="6">
        <f t="shared" si="8"/>
        <v>0</v>
      </c>
      <c r="AD24" s="6" t="e">
        <f>VLOOKUP($A24,'Rate Calculation'!$A$3:$AR$210,47,FALSE)+AC24</f>
        <v>#REF!</v>
      </c>
      <c r="AE24" s="6" t="e">
        <f>VLOOKUP($A24,'Rate Calculation'!$A$3:$CQ$210,100,FALSE)</f>
        <v>#REF!</v>
      </c>
      <c r="AF24" s="6">
        <f>VLOOKUP($A24,'Rate Calculation'!$A$3:$DE$210,101,FALSE)</f>
        <v>0</v>
      </c>
      <c r="AH24" s="175"/>
    </row>
    <row r="25" spans="1:34" x14ac:dyDescent="0.15">
      <c r="A25" s="130">
        <v>46</v>
      </c>
      <c r="B25" s="37" t="s">
        <v>746</v>
      </c>
      <c r="C25" s="1" t="str">
        <f>VLOOKUP(A25,'Rate Calculation'!$A$4:$F$210,6,FALSE)</f>
        <v>BALTIMORE METRO</v>
      </c>
      <c r="D25" s="4">
        <v>23933</v>
      </c>
      <c r="E25" s="6">
        <f>VLOOKUP(A25,'Rate Calculation'!$A$4:$AM$208,39,FALSE)</f>
        <v>370.99</v>
      </c>
      <c r="F25" s="6">
        <f t="shared" si="3"/>
        <v>366.43</v>
      </c>
      <c r="G25" s="6">
        <f t="shared" si="4"/>
        <v>366.43</v>
      </c>
      <c r="H25" s="6">
        <f>VLOOKUP(A25,'Rate Calculation'!$A$4:$AL$208,38,FALSE)+G25</f>
        <v>366.43</v>
      </c>
      <c r="I25" s="6">
        <f>VLOOKUP(A25,'Rate Calculation'!$A$4:$AN$208,40,FALSE)</f>
        <v>273.05</v>
      </c>
      <c r="J25" s="1">
        <v>0</v>
      </c>
      <c r="K25" s="217">
        <v>84748</v>
      </c>
      <c r="L25" s="6">
        <f>VLOOKUP(A25,'Rate Calculation'!$A$4:$AO$208,41,FALSE)</f>
        <v>175.1</v>
      </c>
      <c r="M25" s="1">
        <v>13</v>
      </c>
      <c r="N25" s="182">
        <f>VLOOKUP(A25,'Rate Calculation'!$A$4:$AL$208,38,FALSE)</f>
        <v>0</v>
      </c>
      <c r="O25" s="6" t="e">
        <f>VLOOKUP($A25,'Rate Calculation'!$A$3:$BR$210,65,FALSE)</f>
        <v>#DIV/0!</v>
      </c>
      <c r="P25" s="6" t="e">
        <f t="shared" si="5"/>
        <v>#DIV/0!</v>
      </c>
      <c r="Q25" s="6" t="e">
        <f t="shared" si="1"/>
        <v>#DIV/0!</v>
      </c>
      <c r="R25" s="6" t="e">
        <f>VLOOKUP($A25,'Rate Calculation'!$A$3:$AR$210,47,FALSE)+Q25</f>
        <v>#REF!</v>
      </c>
      <c r="S25" s="6" t="e">
        <f>VLOOKUP($A25,'Rate Calculation'!$A$4:$CQ$211,66,FALSE)</f>
        <v>#REF!</v>
      </c>
      <c r="T25" s="6" t="e">
        <f>VLOOKUP($A25,'Rate Calculation'!$A$3:$CQ$210,67,FALSE)</f>
        <v>#REF!</v>
      </c>
      <c r="U25" s="6" t="e">
        <f>VLOOKUP($A25,'Rate Calculation'!$A$3:$DE$210,82,FALSE)</f>
        <v>#DIV/0!</v>
      </c>
      <c r="V25" s="6" t="e">
        <f t="shared" si="6"/>
        <v>#DIV/0!</v>
      </c>
      <c r="W25" s="6" t="e">
        <f t="shared" si="2"/>
        <v>#DIV/0!</v>
      </c>
      <c r="X25" s="6" t="e">
        <f>VLOOKUP($A25,'Rate Calculation'!$A$3:$AR$210,47,FALSE)+W25</f>
        <v>#REF!</v>
      </c>
      <c r="Y25" s="6" t="e">
        <f>VLOOKUP($A25,'Rate Calculation'!$A$4:$CQ$210,83,FALSE)</f>
        <v>#REF!</v>
      </c>
      <c r="Z25" s="6" t="e">
        <f>VLOOKUP($A25,'Rate Calculation'!$A$3:$DE$210,84,FALSE)</f>
        <v>#REF!</v>
      </c>
      <c r="AA25" s="6">
        <f>VLOOKUP($A25,'Rate Calculation'!$A$3:$DE$210,99,FALSE)</f>
        <v>0</v>
      </c>
      <c r="AB25" s="6">
        <f t="shared" si="7"/>
        <v>0</v>
      </c>
      <c r="AC25" s="6">
        <f t="shared" si="8"/>
        <v>0</v>
      </c>
      <c r="AD25" s="6" t="e">
        <f>VLOOKUP($A25,'Rate Calculation'!$A$3:$AR$210,47,FALSE)+AC25</f>
        <v>#REF!</v>
      </c>
      <c r="AE25" s="6" t="e">
        <f>VLOOKUP($A25,'Rate Calculation'!$A$3:$CQ$210,100,FALSE)</f>
        <v>#REF!</v>
      </c>
      <c r="AF25" s="6">
        <f>VLOOKUP($A25,'Rate Calculation'!$A$3:$DE$210,101,FALSE)</f>
        <v>0</v>
      </c>
      <c r="AH25" s="175"/>
    </row>
    <row r="26" spans="1:34" x14ac:dyDescent="0.15">
      <c r="A26" s="130">
        <v>32</v>
      </c>
      <c r="B26" s="37" t="s">
        <v>349</v>
      </c>
      <c r="C26" s="1" t="str">
        <f>VLOOKUP(A26,'Rate Calculation'!$A$4:$F$210,6,FALSE)</f>
        <v>BALTIMORE CITY</v>
      </c>
      <c r="D26" s="4">
        <v>27841</v>
      </c>
      <c r="E26" s="6">
        <f>VLOOKUP(A26,'Rate Calculation'!$A$4:$AM$208,39,FALSE)</f>
        <v>354.86</v>
      </c>
      <c r="F26" s="6">
        <f t="shared" si="3"/>
        <v>350.5</v>
      </c>
      <c r="G26" s="6">
        <f t="shared" si="4"/>
        <v>350.5</v>
      </c>
      <c r="H26" s="6">
        <f>VLOOKUP(A26,'Rate Calculation'!$A$4:$AL$208,38,FALSE)+G26</f>
        <v>378.82</v>
      </c>
      <c r="I26" s="6">
        <f>VLOOKUP(A26,'Rate Calculation'!$A$4:$AN$208,40,FALSE)</f>
        <v>271.22000000000003</v>
      </c>
      <c r="J26" s="1">
        <v>0</v>
      </c>
      <c r="K26" s="217">
        <v>49224</v>
      </c>
      <c r="L26" s="6">
        <f>VLOOKUP(A26,'Rate Calculation'!$A$4:$AO$208,41,FALSE)</f>
        <v>187.57</v>
      </c>
      <c r="M26" s="1">
        <v>5</v>
      </c>
      <c r="N26" s="182">
        <f>VLOOKUP(A26,'Rate Calculation'!$A$4:$AL$208,38,FALSE)</f>
        <v>28.32</v>
      </c>
      <c r="O26" s="6" t="e">
        <f>VLOOKUP($A26,'Rate Calculation'!$A$3:$BR$210,65,FALSE)</f>
        <v>#DIV/0!</v>
      </c>
      <c r="P26" s="6" t="e">
        <f t="shared" si="5"/>
        <v>#DIV/0!</v>
      </c>
      <c r="Q26" s="6" t="e">
        <f t="shared" si="1"/>
        <v>#DIV/0!</v>
      </c>
      <c r="R26" s="6" t="e">
        <f>VLOOKUP($A26,'Rate Calculation'!$A$3:$AR$210,47,FALSE)+Q26</f>
        <v>#REF!</v>
      </c>
      <c r="S26" s="6" t="e">
        <f>VLOOKUP($A26,'Rate Calculation'!$A$4:$CQ$211,66,FALSE)</f>
        <v>#REF!</v>
      </c>
      <c r="T26" s="6" t="e">
        <f>VLOOKUP($A26,'Rate Calculation'!$A$3:$CQ$210,67,FALSE)</f>
        <v>#REF!</v>
      </c>
      <c r="U26" s="6" t="e">
        <f>VLOOKUP($A26,'Rate Calculation'!$A$3:$DE$210,82,FALSE)</f>
        <v>#DIV/0!</v>
      </c>
      <c r="V26" s="6" t="e">
        <f t="shared" si="6"/>
        <v>#DIV/0!</v>
      </c>
      <c r="W26" s="6" t="e">
        <f t="shared" si="2"/>
        <v>#DIV/0!</v>
      </c>
      <c r="X26" s="6" t="e">
        <f>VLOOKUP($A26,'Rate Calculation'!$A$3:$AR$210,47,FALSE)+W26</f>
        <v>#REF!</v>
      </c>
      <c r="Y26" s="6" t="e">
        <f>VLOOKUP($A26,'Rate Calculation'!$A$4:$CQ$210,83,FALSE)</f>
        <v>#REF!</v>
      </c>
      <c r="Z26" s="6" t="e">
        <f>VLOOKUP($A26,'Rate Calculation'!$A$3:$DE$210,84,FALSE)</f>
        <v>#REF!</v>
      </c>
      <c r="AA26" s="6">
        <f>VLOOKUP($A26,'Rate Calculation'!$A$3:$DE$210,99,FALSE)</f>
        <v>0</v>
      </c>
      <c r="AB26" s="6">
        <f t="shared" si="7"/>
        <v>0</v>
      </c>
      <c r="AC26" s="6">
        <f t="shared" si="8"/>
        <v>0</v>
      </c>
      <c r="AD26" s="6" t="e">
        <f>VLOOKUP($A26,'Rate Calculation'!$A$3:$AR$210,47,FALSE)+AC26</f>
        <v>#REF!</v>
      </c>
      <c r="AE26" s="6" t="e">
        <f>VLOOKUP($A26,'Rate Calculation'!$A$3:$CQ$210,100,FALSE)</f>
        <v>#REF!</v>
      </c>
      <c r="AF26" s="6">
        <f>VLOOKUP($A26,'Rate Calculation'!$A$3:$DE$210,101,FALSE)</f>
        <v>0</v>
      </c>
      <c r="AH26" s="175"/>
    </row>
    <row r="27" spans="1:34" x14ac:dyDescent="0.15">
      <c r="A27" s="130">
        <v>689</v>
      </c>
      <c r="B27" s="37" t="s">
        <v>622</v>
      </c>
      <c r="C27" s="1" t="str">
        <f>VLOOKUP(A27,'Rate Calculation'!$A$4:$F$210,6,FALSE)</f>
        <v>WASHINGTON METRO</v>
      </c>
      <c r="D27" s="4">
        <v>37032</v>
      </c>
      <c r="E27" s="6">
        <f>VLOOKUP(A27,'Rate Calculation'!$A$4:$AM$208,39,FALSE)</f>
        <v>331.71</v>
      </c>
      <c r="F27" s="6">
        <f>ROUND(E27*$G$12,2)</f>
        <v>327.64</v>
      </c>
      <c r="G27" s="6">
        <f t="shared" si="4"/>
        <v>327.64</v>
      </c>
      <c r="H27" s="6">
        <f>VLOOKUP(A27,'Rate Calculation'!$A$4:$AL$208,38,FALSE)+G27</f>
        <v>352.24</v>
      </c>
      <c r="I27" s="6">
        <f>VLOOKUP(A27,'Rate Calculation'!$A$4:$AN$208,40,FALSE)</f>
        <v>248.46</v>
      </c>
      <c r="J27" s="1">
        <v>0</v>
      </c>
      <c r="K27" s="217">
        <v>9892</v>
      </c>
      <c r="L27" s="6">
        <f>VLOOKUP(A27,'Rate Calculation'!$A$4:$AO$208,41,FALSE)</f>
        <v>165.21</v>
      </c>
      <c r="M27" s="1">
        <v>2</v>
      </c>
      <c r="N27" s="182">
        <f>VLOOKUP(A27,'Rate Calculation'!$A$4:$AL$208,38,FALSE)</f>
        <v>24.6</v>
      </c>
      <c r="O27" s="6" t="e">
        <f>VLOOKUP($A27,'Rate Calculation'!$A$3:$BR$210,65,FALSE)</f>
        <v>#DIV/0!</v>
      </c>
      <c r="P27" s="6" t="e">
        <f t="shared" si="5"/>
        <v>#DIV/0!</v>
      </c>
      <c r="Q27" s="6" t="e">
        <f t="shared" si="1"/>
        <v>#DIV/0!</v>
      </c>
      <c r="R27" s="6" t="e">
        <f>VLOOKUP($A27,'Rate Calculation'!$A$3:$AR$210,47,FALSE)+Q27</f>
        <v>#REF!</v>
      </c>
      <c r="S27" s="6" t="e">
        <f>VLOOKUP($A27,'Rate Calculation'!$A$4:$CQ$211,66,FALSE)</f>
        <v>#REF!</v>
      </c>
      <c r="T27" s="6" t="e">
        <f>VLOOKUP($A27,'Rate Calculation'!$A$3:$CQ$210,67,FALSE)</f>
        <v>#REF!</v>
      </c>
      <c r="U27" s="6" t="e">
        <f>VLOOKUP($A27,'Rate Calculation'!$A$3:$DE$210,82,FALSE)</f>
        <v>#DIV/0!</v>
      </c>
      <c r="V27" s="6" t="e">
        <f t="shared" si="6"/>
        <v>#DIV/0!</v>
      </c>
      <c r="W27" s="6" t="e">
        <f t="shared" si="2"/>
        <v>#DIV/0!</v>
      </c>
      <c r="X27" s="6" t="e">
        <f>VLOOKUP($A27,'Rate Calculation'!$A$3:$AR$210,47,FALSE)+W27</f>
        <v>#REF!</v>
      </c>
      <c r="Y27" s="6" t="e">
        <f>VLOOKUP($A27,'Rate Calculation'!$A$4:$CQ$210,83,FALSE)</f>
        <v>#REF!</v>
      </c>
      <c r="Z27" s="6" t="e">
        <f>VLOOKUP($A27,'Rate Calculation'!$A$3:$DE$210,84,FALSE)</f>
        <v>#REF!</v>
      </c>
      <c r="AA27" s="6">
        <f>VLOOKUP($A27,'Rate Calculation'!$A$3:$DE$210,99,FALSE)</f>
        <v>0</v>
      </c>
      <c r="AB27" s="6">
        <f t="shared" si="7"/>
        <v>0</v>
      </c>
      <c r="AC27" s="6">
        <f t="shared" si="8"/>
        <v>0</v>
      </c>
      <c r="AD27" s="6" t="e">
        <f>VLOOKUP($A27,'Rate Calculation'!$A$3:$AR$210,47,FALSE)+AC27</f>
        <v>#REF!</v>
      </c>
      <c r="AE27" s="6" t="e">
        <f>VLOOKUP($A27,'Rate Calculation'!$A$3:$CQ$210,100,FALSE)</f>
        <v>#REF!</v>
      </c>
      <c r="AF27" s="6">
        <f>VLOOKUP($A27,'Rate Calculation'!$A$3:$DE$210,101,FALSE)</f>
        <v>0</v>
      </c>
      <c r="AH27" s="175"/>
    </row>
    <row r="28" spans="1:34" x14ac:dyDescent="0.15">
      <c r="A28" s="130">
        <v>116</v>
      </c>
      <c r="B28" s="37" t="s">
        <v>586</v>
      </c>
      <c r="C28" s="1" t="str">
        <f>VLOOKUP(A28,'Rate Calculation'!$A$4:$F$210,6,FALSE)</f>
        <v>NON METRO</v>
      </c>
      <c r="D28" s="4">
        <v>23540</v>
      </c>
      <c r="E28" s="6">
        <f>VLOOKUP(A28,'Rate Calculation'!$A$4:$AM$208,39,FALSE)</f>
        <v>356.7</v>
      </c>
      <c r="F28" s="6">
        <f t="shared" si="3"/>
        <v>352.32</v>
      </c>
      <c r="G28" s="6">
        <f t="shared" si="4"/>
        <v>352.32</v>
      </c>
      <c r="H28" s="6">
        <f>VLOOKUP(A28,'Rate Calculation'!$A$4:$AL$208,38,FALSE)+G28</f>
        <v>372.36</v>
      </c>
      <c r="I28" s="6">
        <f>VLOOKUP(A28,'Rate Calculation'!$A$4:$AN$208,40,FALSE)</f>
        <v>258.04000000000002</v>
      </c>
      <c r="J28" s="1">
        <v>0</v>
      </c>
      <c r="K28" s="217">
        <v>107975</v>
      </c>
      <c r="L28" s="6">
        <f>VLOOKUP(A28,'Rate Calculation'!$A$4:$AO$208,41,FALSE)</f>
        <v>159.37</v>
      </c>
      <c r="M28" s="1">
        <v>19</v>
      </c>
      <c r="N28" s="182">
        <f>VLOOKUP(A28,'Rate Calculation'!$A$4:$AL$208,38,FALSE)</f>
        <v>20.04</v>
      </c>
      <c r="O28" s="6" t="e">
        <f>VLOOKUP($A28,'Rate Calculation'!$A$3:$BR$210,65,FALSE)</f>
        <v>#DIV/0!</v>
      </c>
      <c r="P28" s="6" t="e">
        <f t="shared" si="5"/>
        <v>#DIV/0!</v>
      </c>
      <c r="Q28" s="6" t="e">
        <f t="shared" si="1"/>
        <v>#DIV/0!</v>
      </c>
      <c r="R28" s="6" t="e">
        <f>VLOOKUP($A28,'Rate Calculation'!$A$3:$AR$210,47,FALSE)+Q28</f>
        <v>#REF!</v>
      </c>
      <c r="S28" s="6" t="e">
        <f>VLOOKUP($A28,'Rate Calculation'!$A$4:$CQ$211,66,FALSE)</f>
        <v>#REF!</v>
      </c>
      <c r="T28" s="6" t="e">
        <f>VLOOKUP($A28,'Rate Calculation'!$A$3:$CQ$210,67,FALSE)</f>
        <v>#REF!</v>
      </c>
      <c r="U28" s="6" t="e">
        <f>VLOOKUP($A28,'Rate Calculation'!$A$3:$DE$210,82,FALSE)</f>
        <v>#DIV/0!</v>
      </c>
      <c r="V28" s="6" t="e">
        <f t="shared" si="6"/>
        <v>#DIV/0!</v>
      </c>
      <c r="W28" s="6" t="e">
        <f t="shared" si="2"/>
        <v>#DIV/0!</v>
      </c>
      <c r="X28" s="6" t="e">
        <f>VLOOKUP($A28,'Rate Calculation'!$A$3:$AR$210,47,FALSE)+W28</f>
        <v>#REF!</v>
      </c>
      <c r="Y28" s="6" t="e">
        <f>VLOOKUP($A28,'Rate Calculation'!$A$4:$CQ$210,83,FALSE)</f>
        <v>#REF!</v>
      </c>
      <c r="Z28" s="6" t="e">
        <f>VLOOKUP($A28,'Rate Calculation'!$A$3:$DE$210,84,FALSE)</f>
        <v>#REF!</v>
      </c>
      <c r="AA28" s="6">
        <f>VLOOKUP($A28,'Rate Calculation'!$A$3:$DE$210,99,FALSE)</f>
        <v>0</v>
      </c>
      <c r="AB28" s="6">
        <f t="shared" si="7"/>
        <v>0</v>
      </c>
      <c r="AC28" s="6">
        <f t="shared" si="8"/>
        <v>0</v>
      </c>
      <c r="AD28" s="6" t="e">
        <f>VLOOKUP($A28,'Rate Calculation'!$A$3:$AR$210,47,FALSE)+AC28</f>
        <v>#REF!</v>
      </c>
      <c r="AE28" s="6" t="e">
        <f>VLOOKUP($A28,'Rate Calculation'!$A$3:$CQ$210,100,FALSE)</f>
        <v>#REF!</v>
      </c>
      <c r="AF28" s="6">
        <f>VLOOKUP($A28,'Rate Calculation'!$A$3:$DE$210,101,FALSE)</f>
        <v>0</v>
      </c>
      <c r="AH28" s="175"/>
    </row>
    <row r="29" spans="1:34" x14ac:dyDescent="0.15">
      <c r="A29" s="130">
        <v>725</v>
      </c>
      <c r="B29" s="37" t="s">
        <v>624</v>
      </c>
      <c r="C29" s="1" t="str">
        <f>VLOOKUP(A29,'Rate Calculation'!$A$4:$F$210,6,FALSE)</f>
        <v>BALTIMORE METRO</v>
      </c>
      <c r="D29" s="4">
        <v>24040</v>
      </c>
      <c r="E29" s="6">
        <f>VLOOKUP(A29,'Rate Calculation'!$A$4:$AM$208,39,FALSE)</f>
        <v>311.49</v>
      </c>
      <c r="F29" s="6">
        <f t="shared" si="3"/>
        <v>307.66000000000003</v>
      </c>
      <c r="G29" s="6">
        <f t="shared" si="4"/>
        <v>307.66000000000003</v>
      </c>
      <c r="H29" s="6">
        <f>VLOOKUP(A29,'Rate Calculation'!$A$4:$AL$208,38,FALSE)+G29</f>
        <v>330.5</v>
      </c>
      <c r="I29" s="6">
        <f>VLOOKUP(A29,'Rate Calculation'!$A$4:$AN$208,40,FALSE)</f>
        <v>233.23</v>
      </c>
      <c r="J29" s="1">
        <v>0</v>
      </c>
      <c r="K29" s="217">
        <v>65314</v>
      </c>
      <c r="L29" s="6">
        <f>VLOOKUP(A29,'Rate Calculation'!$A$4:$AO$208,41,FALSE)</f>
        <v>154.96</v>
      </c>
      <c r="M29" s="1">
        <v>11</v>
      </c>
      <c r="N29" s="182">
        <f>VLOOKUP(A29,'Rate Calculation'!$A$4:$AL$208,38,FALSE)</f>
        <v>22.84</v>
      </c>
      <c r="O29" s="6" t="e">
        <f>VLOOKUP($A29,'Rate Calculation'!$A$3:$BR$210,65,FALSE)</f>
        <v>#DIV/0!</v>
      </c>
      <c r="P29" s="6" t="e">
        <f t="shared" si="5"/>
        <v>#DIV/0!</v>
      </c>
      <c r="Q29" s="6" t="e">
        <f t="shared" si="1"/>
        <v>#DIV/0!</v>
      </c>
      <c r="R29" s="6" t="e">
        <f>VLOOKUP($A29,'Rate Calculation'!$A$3:$AR$210,47,FALSE)+Q29</f>
        <v>#REF!</v>
      </c>
      <c r="S29" s="6" t="e">
        <f>VLOOKUP($A29,'Rate Calculation'!$A$4:$CQ$211,66,FALSE)</f>
        <v>#REF!</v>
      </c>
      <c r="T29" s="6" t="e">
        <f>VLOOKUP($A29,'Rate Calculation'!$A$3:$CQ$210,67,FALSE)</f>
        <v>#REF!</v>
      </c>
      <c r="U29" s="6" t="e">
        <f>VLOOKUP($A29,'Rate Calculation'!$A$3:$DE$210,82,FALSE)</f>
        <v>#DIV/0!</v>
      </c>
      <c r="V29" s="6" t="e">
        <f t="shared" si="6"/>
        <v>#DIV/0!</v>
      </c>
      <c r="W29" s="6" t="e">
        <f t="shared" si="2"/>
        <v>#DIV/0!</v>
      </c>
      <c r="X29" s="6" t="e">
        <f>VLOOKUP($A29,'Rate Calculation'!$A$3:$AR$210,47,FALSE)+W29</f>
        <v>#REF!</v>
      </c>
      <c r="Y29" s="6" t="e">
        <f>VLOOKUP($A29,'Rate Calculation'!$A$4:$CQ$210,83,FALSE)</f>
        <v>#REF!</v>
      </c>
      <c r="Z29" s="6" t="e">
        <f>VLOOKUP($A29,'Rate Calculation'!$A$3:$DE$210,84,FALSE)</f>
        <v>#REF!</v>
      </c>
      <c r="AA29" s="6">
        <f>VLOOKUP($A29,'Rate Calculation'!$A$3:$DE$210,99,FALSE)</f>
        <v>0</v>
      </c>
      <c r="AB29" s="6">
        <f t="shared" si="7"/>
        <v>0</v>
      </c>
      <c r="AC29" s="6">
        <f t="shared" si="8"/>
        <v>0</v>
      </c>
      <c r="AD29" s="6" t="e">
        <f>VLOOKUP($A29,'Rate Calculation'!$A$3:$AR$210,47,FALSE)+AC29</f>
        <v>#REF!</v>
      </c>
      <c r="AE29" s="6" t="e">
        <f>VLOOKUP($A29,'Rate Calculation'!$A$3:$CQ$210,100,FALSE)</f>
        <v>#REF!</v>
      </c>
      <c r="AF29" s="6">
        <f>VLOOKUP($A29,'Rate Calculation'!$A$3:$DE$210,101,FALSE)</f>
        <v>0</v>
      </c>
      <c r="AH29" s="175"/>
    </row>
    <row r="30" spans="1:34" x14ac:dyDescent="0.15">
      <c r="A30" s="130">
        <v>122</v>
      </c>
      <c r="B30" s="37" t="s">
        <v>634</v>
      </c>
      <c r="C30" s="1" t="str">
        <f>VLOOKUP(A30,'Rate Calculation'!$A$4:$F$210,6,FALSE)</f>
        <v>BALTIMORE METRO</v>
      </c>
      <c r="D30" s="4">
        <v>31135</v>
      </c>
      <c r="E30" s="6">
        <f>VLOOKUP(A30,'Rate Calculation'!$A$4:$AM$208,39,FALSE)</f>
        <v>338.83</v>
      </c>
      <c r="F30" s="6">
        <f t="shared" si="3"/>
        <v>334.67</v>
      </c>
      <c r="G30" s="6">
        <f t="shared" si="4"/>
        <v>334.67</v>
      </c>
      <c r="H30" s="6">
        <f>VLOOKUP(A30,'Rate Calculation'!$A$4:$AL$208,38,FALSE)+G30</f>
        <v>362.51</v>
      </c>
      <c r="I30" s="6">
        <f>VLOOKUP(A30,'Rate Calculation'!$A$4:$AN$208,40,FALSE)</f>
        <v>248.57</v>
      </c>
      <c r="J30" s="1">
        <v>0</v>
      </c>
      <c r="K30" s="217">
        <v>81549</v>
      </c>
      <c r="L30" s="6">
        <f>VLOOKUP(A30,'Rate Calculation'!$A$4:$AO$208,41,FALSE)</f>
        <v>158.30000000000001</v>
      </c>
      <c r="M30" s="1">
        <v>3</v>
      </c>
      <c r="N30" s="182">
        <f>VLOOKUP(A30,'Rate Calculation'!$A$4:$AL$208,38,FALSE)</f>
        <v>27.84</v>
      </c>
      <c r="O30" s="6" t="e">
        <f>VLOOKUP($A30,'Rate Calculation'!$A$3:$BR$210,65,FALSE)</f>
        <v>#DIV/0!</v>
      </c>
      <c r="P30" s="6" t="e">
        <f t="shared" si="5"/>
        <v>#DIV/0!</v>
      </c>
      <c r="Q30" s="6" t="e">
        <f t="shared" si="1"/>
        <v>#DIV/0!</v>
      </c>
      <c r="R30" s="6" t="e">
        <f>VLOOKUP($A30,'Rate Calculation'!$A$3:$AR$210,47,FALSE)+Q30</f>
        <v>#REF!</v>
      </c>
      <c r="S30" s="6" t="e">
        <f>VLOOKUP($A30,'Rate Calculation'!$A$4:$CQ$211,66,FALSE)</f>
        <v>#REF!</v>
      </c>
      <c r="T30" s="6" t="e">
        <f>VLOOKUP($A30,'Rate Calculation'!$A$3:$CQ$210,67,FALSE)</f>
        <v>#REF!</v>
      </c>
      <c r="U30" s="6" t="e">
        <f>VLOOKUP($A30,'Rate Calculation'!$A$3:$DE$210,82,FALSE)</f>
        <v>#DIV/0!</v>
      </c>
      <c r="V30" s="6" t="e">
        <f t="shared" si="6"/>
        <v>#DIV/0!</v>
      </c>
      <c r="W30" s="6" t="e">
        <f t="shared" si="2"/>
        <v>#DIV/0!</v>
      </c>
      <c r="X30" s="6" t="e">
        <f>VLOOKUP($A30,'Rate Calculation'!$A$3:$AR$210,47,FALSE)+W30</f>
        <v>#REF!</v>
      </c>
      <c r="Y30" s="6" t="e">
        <f>VLOOKUP($A30,'Rate Calculation'!$A$4:$CQ$210,83,FALSE)</f>
        <v>#REF!</v>
      </c>
      <c r="Z30" s="6" t="e">
        <f>VLOOKUP($A30,'Rate Calculation'!$A$3:$DE$210,84,FALSE)</f>
        <v>#REF!</v>
      </c>
      <c r="AA30" s="6">
        <f>VLOOKUP($A30,'Rate Calculation'!$A$3:$DE$210,99,FALSE)</f>
        <v>0</v>
      </c>
      <c r="AB30" s="6">
        <f t="shared" si="7"/>
        <v>0</v>
      </c>
      <c r="AC30" s="6">
        <f t="shared" si="8"/>
        <v>0</v>
      </c>
      <c r="AD30" s="6" t="e">
        <f>VLOOKUP($A30,'Rate Calculation'!$A$3:$AR$210,47,FALSE)+AC30</f>
        <v>#REF!</v>
      </c>
      <c r="AE30" s="6" t="e">
        <f>VLOOKUP($A30,'Rate Calculation'!$A$3:$CQ$210,100,FALSE)</f>
        <v>#REF!</v>
      </c>
      <c r="AF30" s="6">
        <f>VLOOKUP($A30,'Rate Calculation'!$A$3:$DE$210,101,FALSE)</f>
        <v>0</v>
      </c>
      <c r="AH30" s="175"/>
    </row>
    <row r="31" spans="1:34" x14ac:dyDescent="0.15">
      <c r="A31" s="130">
        <v>446</v>
      </c>
      <c r="B31" s="37" t="s">
        <v>674</v>
      </c>
      <c r="C31" s="1" t="str">
        <f>VLOOKUP(A31,'Rate Calculation'!$A$4:$F$210,6,FALSE)</f>
        <v>NON METRO</v>
      </c>
      <c r="D31" s="4">
        <v>12633</v>
      </c>
      <c r="E31" s="6">
        <f>VLOOKUP(A31,'Rate Calculation'!$A$4:$AM$208,39,FALSE)</f>
        <v>282.08999999999997</v>
      </c>
      <c r="F31" s="6">
        <f t="shared" si="3"/>
        <v>278.63</v>
      </c>
      <c r="G31" s="6">
        <f t="shared" si="4"/>
        <v>278.63</v>
      </c>
      <c r="H31" s="6">
        <f>VLOOKUP(A31,'Rate Calculation'!$A$4:$AL$208,38,FALSE)+G31</f>
        <v>303.27999999999997</v>
      </c>
      <c r="I31" s="6">
        <f>VLOOKUP(A31,'Rate Calculation'!$A$4:$AN$208,40,FALSE)</f>
        <v>210.48</v>
      </c>
      <c r="J31" s="1">
        <v>0</v>
      </c>
      <c r="K31" s="217">
        <v>5085</v>
      </c>
      <c r="L31" s="6">
        <f>VLOOKUP(A31,'Rate Calculation'!$A$4:$AO$208,41,FALSE)</f>
        <v>138.87</v>
      </c>
      <c r="M31" s="1">
        <v>15</v>
      </c>
      <c r="N31" s="182">
        <f>VLOOKUP(A31,'Rate Calculation'!$A$4:$AL$208,38,FALSE)</f>
        <v>24.65</v>
      </c>
      <c r="O31" s="6" t="e">
        <f>VLOOKUP($A31,'Rate Calculation'!$A$3:$BR$210,65,FALSE)</f>
        <v>#DIV/0!</v>
      </c>
      <c r="P31" s="6" t="e">
        <f t="shared" si="5"/>
        <v>#DIV/0!</v>
      </c>
      <c r="Q31" s="6" t="e">
        <f t="shared" si="1"/>
        <v>#DIV/0!</v>
      </c>
      <c r="R31" s="6" t="e">
        <f>VLOOKUP($A31,'Rate Calculation'!$A$3:$AR$210,47,FALSE)+Q31</f>
        <v>#REF!</v>
      </c>
      <c r="S31" s="6" t="e">
        <f>VLOOKUP($A31,'Rate Calculation'!$A$4:$CQ$211,66,FALSE)</f>
        <v>#REF!</v>
      </c>
      <c r="T31" s="6" t="e">
        <f>VLOOKUP($A31,'Rate Calculation'!$A$3:$CQ$210,67,FALSE)</f>
        <v>#REF!</v>
      </c>
      <c r="U31" s="6" t="e">
        <f>VLOOKUP($A31,'Rate Calculation'!$A$3:$DE$210,82,FALSE)</f>
        <v>#DIV/0!</v>
      </c>
      <c r="V31" s="6" t="e">
        <f t="shared" si="6"/>
        <v>#DIV/0!</v>
      </c>
      <c r="W31" s="6" t="e">
        <f t="shared" si="2"/>
        <v>#DIV/0!</v>
      </c>
      <c r="X31" s="6" t="e">
        <f>VLOOKUP($A31,'Rate Calculation'!$A$3:$AR$210,47,FALSE)+W31</f>
        <v>#REF!</v>
      </c>
      <c r="Y31" s="6" t="e">
        <f>VLOOKUP($A31,'Rate Calculation'!$A$4:$CQ$210,83,FALSE)</f>
        <v>#REF!</v>
      </c>
      <c r="Z31" s="6" t="e">
        <f>VLOOKUP($A31,'Rate Calculation'!$A$3:$DE$210,84,FALSE)</f>
        <v>#REF!</v>
      </c>
      <c r="AA31" s="6">
        <f>VLOOKUP($A31,'Rate Calculation'!$A$3:$DE$210,99,FALSE)</f>
        <v>0</v>
      </c>
      <c r="AB31" s="6">
        <f t="shared" si="7"/>
        <v>0</v>
      </c>
      <c r="AC31" s="6">
        <f t="shared" si="8"/>
        <v>0</v>
      </c>
      <c r="AD31" s="6" t="e">
        <f>VLOOKUP($A31,'Rate Calculation'!$A$3:$AR$210,47,FALSE)+AC31</f>
        <v>#REF!</v>
      </c>
      <c r="AE31" s="6" t="e">
        <f>VLOOKUP($A31,'Rate Calculation'!$A$3:$CQ$210,100,FALSE)</f>
        <v>#REF!</v>
      </c>
      <c r="AF31" s="6">
        <f>VLOOKUP($A31,'Rate Calculation'!$A$3:$DE$210,101,FALSE)</f>
        <v>0</v>
      </c>
      <c r="AH31" s="175"/>
    </row>
    <row r="32" spans="1:34" x14ac:dyDescent="0.15">
      <c r="A32" s="130">
        <v>66</v>
      </c>
      <c r="B32" s="37" t="s">
        <v>588</v>
      </c>
      <c r="C32" s="1" t="str">
        <f>VLOOKUP(A32,'Rate Calculation'!$A$4:$F$210,6,FALSE)</f>
        <v>WASHINGTON METRO</v>
      </c>
      <c r="D32" s="4">
        <v>42536</v>
      </c>
      <c r="E32" s="6">
        <f>VLOOKUP(A32,'Rate Calculation'!$A$4:$AM$208,39,FALSE)</f>
        <v>301.27</v>
      </c>
      <c r="F32" s="6">
        <f t="shared" si="3"/>
        <v>297.57</v>
      </c>
      <c r="G32" s="6">
        <f t="shared" si="4"/>
        <v>297.57</v>
      </c>
      <c r="H32" s="6">
        <f>VLOOKUP(A32,'Rate Calculation'!$A$4:$AL$208,38,FALSE)+G32</f>
        <v>322.58</v>
      </c>
      <c r="I32" s="6">
        <f>VLOOKUP(A32,'Rate Calculation'!$A$4:$AN$208,40,FALSE)</f>
        <v>227.05</v>
      </c>
      <c r="J32" s="1">
        <v>3</v>
      </c>
      <c r="K32" s="217">
        <v>157313</v>
      </c>
      <c r="L32" s="6">
        <f>VLOOKUP(A32,'Rate Calculation'!$A$4:$AO$208,41,FALSE)</f>
        <v>152.82</v>
      </c>
      <c r="M32" s="1">
        <v>5</v>
      </c>
      <c r="N32" s="182">
        <f>VLOOKUP(A32,'Rate Calculation'!$A$4:$AL$208,38,FALSE)</f>
        <v>25.01</v>
      </c>
      <c r="O32" s="6" t="e">
        <f>VLOOKUP($A32,'Rate Calculation'!$A$3:$BR$210,65,FALSE)</f>
        <v>#DIV/0!</v>
      </c>
      <c r="P32" s="6" t="e">
        <f t="shared" si="5"/>
        <v>#DIV/0!</v>
      </c>
      <c r="Q32" s="6" t="e">
        <f t="shared" si="1"/>
        <v>#DIV/0!</v>
      </c>
      <c r="R32" s="6" t="e">
        <f>VLOOKUP($A32,'Rate Calculation'!$A$3:$AR$210,47,FALSE)+Q32</f>
        <v>#REF!</v>
      </c>
      <c r="S32" s="6" t="e">
        <f>VLOOKUP($A32,'Rate Calculation'!$A$4:$CQ$211,66,FALSE)</f>
        <v>#REF!</v>
      </c>
      <c r="T32" s="6" t="e">
        <f>VLOOKUP($A32,'Rate Calculation'!$A$3:$CQ$210,67,FALSE)</f>
        <v>#REF!</v>
      </c>
      <c r="U32" s="6" t="e">
        <f>VLOOKUP($A32,'Rate Calculation'!$A$3:$DE$210,82,FALSE)</f>
        <v>#DIV/0!</v>
      </c>
      <c r="V32" s="6" t="e">
        <f t="shared" si="6"/>
        <v>#DIV/0!</v>
      </c>
      <c r="W32" s="6" t="e">
        <f t="shared" si="2"/>
        <v>#DIV/0!</v>
      </c>
      <c r="X32" s="6" t="e">
        <f>VLOOKUP($A32,'Rate Calculation'!$A$3:$AR$210,47,FALSE)+W32</f>
        <v>#REF!</v>
      </c>
      <c r="Y32" s="6" t="e">
        <f>VLOOKUP($A32,'Rate Calculation'!$A$4:$CQ$210,83,FALSE)</f>
        <v>#REF!</v>
      </c>
      <c r="Z32" s="6" t="e">
        <f>VLOOKUP($A32,'Rate Calculation'!$A$3:$DE$210,84,FALSE)</f>
        <v>#REF!</v>
      </c>
      <c r="AA32" s="6">
        <f>VLOOKUP($A32,'Rate Calculation'!$A$3:$DE$210,99,FALSE)</f>
        <v>0</v>
      </c>
      <c r="AB32" s="6">
        <f t="shared" si="7"/>
        <v>0</v>
      </c>
      <c r="AC32" s="6">
        <f t="shared" si="8"/>
        <v>0</v>
      </c>
      <c r="AD32" s="6" t="e">
        <f>VLOOKUP($A32,'Rate Calculation'!$A$3:$AR$210,47,FALSE)+AC32</f>
        <v>#REF!</v>
      </c>
      <c r="AE32" s="6" t="e">
        <f>VLOOKUP($A32,'Rate Calculation'!$A$3:$CQ$210,100,FALSE)</f>
        <v>#REF!</v>
      </c>
      <c r="AF32" s="6">
        <f>VLOOKUP($A32,'Rate Calculation'!$A$3:$DE$210,101,FALSE)</f>
        <v>0</v>
      </c>
      <c r="AH32" s="175"/>
    </row>
    <row r="33" spans="1:34" x14ac:dyDescent="0.15">
      <c r="A33" s="130">
        <v>741</v>
      </c>
      <c r="B33" s="37" t="s">
        <v>435</v>
      </c>
      <c r="C33" s="1" t="str">
        <f>VLOOKUP(A33,'Rate Calculation'!$A$4:$F$210,6,FALSE)</f>
        <v>BALTIMORE CITY</v>
      </c>
      <c r="D33" s="4">
        <v>23192</v>
      </c>
      <c r="E33" s="6">
        <f>VLOOKUP(A33,'Rate Calculation'!$A$4:$AM$208,39,FALSE)</f>
        <v>415.09</v>
      </c>
      <c r="F33" s="6">
        <f t="shared" si="3"/>
        <v>409.99</v>
      </c>
      <c r="G33" s="6">
        <f t="shared" si="4"/>
        <v>409.99</v>
      </c>
      <c r="H33" s="6">
        <f>VLOOKUP(A33,'Rate Calculation'!$A$4:$AL$208,38,FALSE)+G33</f>
        <v>436.9</v>
      </c>
      <c r="I33" s="6">
        <f>VLOOKUP(A33,'Rate Calculation'!$A$4:$AN$208,40,FALSE)</f>
        <v>303.27</v>
      </c>
      <c r="J33" s="1">
        <v>0</v>
      </c>
      <c r="K33" s="217">
        <v>148670</v>
      </c>
      <c r="L33" s="6">
        <f>VLOOKUP(A33,'Rate Calculation'!$A$4:$AO$208,41,FALSE)</f>
        <v>191.44</v>
      </c>
      <c r="M33" s="1">
        <v>0</v>
      </c>
      <c r="N33" s="182">
        <f>VLOOKUP(A33,'Rate Calculation'!$A$4:$AL$208,38,FALSE)</f>
        <v>26.91</v>
      </c>
      <c r="O33" s="6" t="e">
        <f>VLOOKUP($A33,'Rate Calculation'!$A$3:$BR$210,65,FALSE)</f>
        <v>#DIV/0!</v>
      </c>
      <c r="P33" s="6" t="e">
        <f t="shared" si="5"/>
        <v>#DIV/0!</v>
      </c>
      <c r="Q33" s="6" t="e">
        <f t="shared" si="1"/>
        <v>#DIV/0!</v>
      </c>
      <c r="R33" s="6" t="e">
        <f>VLOOKUP($A33,'Rate Calculation'!$A$3:$AR$210,47,FALSE)+Q33</f>
        <v>#REF!</v>
      </c>
      <c r="S33" s="6" t="e">
        <f>VLOOKUP($A33,'Rate Calculation'!$A$4:$CQ$211,66,FALSE)</f>
        <v>#REF!</v>
      </c>
      <c r="T33" s="6" t="e">
        <f>VLOOKUP($A33,'Rate Calculation'!$A$3:$CQ$210,67,FALSE)</f>
        <v>#REF!</v>
      </c>
      <c r="U33" s="6" t="e">
        <f>VLOOKUP($A33,'Rate Calculation'!$A$3:$DE$210,82,FALSE)</f>
        <v>#DIV/0!</v>
      </c>
      <c r="V33" s="6" t="e">
        <f t="shared" si="6"/>
        <v>#DIV/0!</v>
      </c>
      <c r="W33" s="6" t="e">
        <f t="shared" si="2"/>
        <v>#DIV/0!</v>
      </c>
      <c r="X33" s="6" t="e">
        <f>VLOOKUP($A33,'Rate Calculation'!$A$3:$AR$210,47,FALSE)+W33</f>
        <v>#REF!</v>
      </c>
      <c r="Y33" s="6" t="e">
        <f>VLOOKUP($A33,'Rate Calculation'!$A$4:$CQ$210,83,FALSE)</f>
        <v>#REF!</v>
      </c>
      <c r="Z33" s="6" t="e">
        <f>VLOOKUP($A33,'Rate Calculation'!$A$3:$DE$210,84,FALSE)</f>
        <v>#REF!</v>
      </c>
      <c r="AA33" s="6">
        <f>VLOOKUP($A33,'Rate Calculation'!$A$3:$DE$210,99,FALSE)</f>
        <v>0</v>
      </c>
      <c r="AB33" s="6">
        <f t="shared" si="7"/>
        <v>0</v>
      </c>
      <c r="AC33" s="6">
        <f t="shared" si="8"/>
        <v>0</v>
      </c>
      <c r="AD33" s="6" t="e">
        <f>VLOOKUP($A33,'Rate Calculation'!$A$3:$AR$210,47,FALSE)+AC33</f>
        <v>#REF!</v>
      </c>
      <c r="AE33" s="6" t="e">
        <f>VLOOKUP($A33,'Rate Calculation'!$A$3:$CQ$210,100,FALSE)</f>
        <v>#REF!</v>
      </c>
      <c r="AF33" s="6">
        <f>VLOOKUP($A33,'Rate Calculation'!$A$3:$DE$210,101,FALSE)</f>
        <v>0</v>
      </c>
      <c r="AH33" s="175"/>
    </row>
    <row r="34" spans="1:34" x14ac:dyDescent="0.15">
      <c r="A34" s="130">
        <v>78</v>
      </c>
      <c r="B34" s="37" t="s">
        <v>636</v>
      </c>
      <c r="C34" s="1" t="str">
        <f>VLOOKUP(A34,'Rate Calculation'!$A$4:$F$210,6,FALSE)</f>
        <v>NON METRO</v>
      </c>
      <c r="D34" s="4">
        <v>27899</v>
      </c>
      <c r="E34" s="6">
        <f>VLOOKUP(A34,'Rate Calculation'!$A$4:$AM$208,39,FALSE)</f>
        <v>326.02</v>
      </c>
      <c r="F34" s="6">
        <f t="shared" si="3"/>
        <v>322.02</v>
      </c>
      <c r="G34" s="6">
        <f t="shared" si="4"/>
        <v>322.02</v>
      </c>
      <c r="H34" s="6">
        <f>VLOOKUP(A34,'Rate Calculation'!$A$4:$AL$208,38,FALSE)+G34</f>
        <v>344.71</v>
      </c>
      <c r="I34" s="6">
        <f>VLOOKUP(A34,'Rate Calculation'!$A$4:$AN$208,40,FALSE)</f>
        <v>233.85</v>
      </c>
      <c r="J34" s="1">
        <v>0</v>
      </c>
      <c r="K34" s="217">
        <v>81782</v>
      </c>
      <c r="L34" s="6">
        <f>VLOOKUP(A34,'Rate Calculation'!$A$4:$AO$208,41,FALSE)</f>
        <v>141.68</v>
      </c>
      <c r="M34" s="1">
        <v>4</v>
      </c>
      <c r="N34" s="182">
        <f>VLOOKUP(A34,'Rate Calculation'!$A$4:$AL$208,38,FALSE)</f>
        <v>22.69</v>
      </c>
      <c r="O34" s="6" t="e">
        <f>VLOOKUP($A34,'Rate Calculation'!$A$3:$BR$210,65,FALSE)</f>
        <v>#DIV/0!</v>
      </c>
      <c r="P34" s="6" t="e">
        <f t="shared" si="5"/>
        <v>#DIV/0!</v>
      </c>
      <c r="Q34" s="6" t="e">
        <f t="shared" si="1"/>
        <v>#DIV/0!</v>
      </c>
      <c r="R34" s="6" t="e">
        <f>VLOOKUP($A34,'Rate Calculation'!$A$3:$AR$210,47,FALSE)+Q34</f>
        <v>#REF!</v>
      </c>
      <c r="S34" s="6" t="e">
        <f>VLOOKUP($A34,'Rate Calculation'!$A$4:$CQ$211,66,FALSE)</f>
        <v>#REF!</v>
      </c>
      <c r="T34" s="6" t="e">
        <f>VLOOKUP($A34,'Rate Calculation'!$A$3:$CQ$210,67,FALSE)</f>
        <v>#REF!</v>
      </c>
      <c r="U34" s="6" t="e">
        <f>VLOOKUP($A34,'Rate Calculation'!$A$3:$DE$210,82,FALSE)</f>
        <v>#DIV/0!</v>
      </c>
      <c r="V34" s="6" t="e">
        <f t="shared" si="6"/>
        <v>#DIV/0!</v>
      </c>
      <c r="W34" s="6" t="e">
        <f t="shared" si="2"/>
        <v>#DIV/0!</v>
      </c>
      <c r="X34" s="6" t="e">
        <f>VLOOKUP($A34,'Rate Calculation'!$A$3:$AR$210,47,FALSE)+W34</f>
        <v>#REF!</v>
      </c>
      <c r="Y34" s="6" t="e">
        <f>VLOOKUP($A34,'Rate Calculation'!$A$4:$CQ$210,83,FALSE)</f>
        <v>#REF!</v>
      </c>
      <c r="Z34" s="6" t="e">
        <f>VLOOKUP($A34,'Rate Calculation'!$A$3:$DE$210,84,FALSE)</f>
        <v>#REF!</v>
      </c>
      <c r="AA34" s="6">
        <f>VLOOKUP($A34,'Rate Calculation'!$A$3:$DE$210,99,FALSE)</f>
        <v>0</v>
      </c>
      <c r="AB34" s="6">
        <f t="shared" si="7"/>
        <v>0</v>
      </c>
      <c r="AC34" s="6">
        <f t="shared" si="8"/>
        <v>0</v>
      </c>
      <c r="AD34" s="6" t="e">
        <f>VLOOKUP($A34,'Rate Calculation'!$A$3:$AR$210,47,FALSE)+AC34</f>
        <v>#REF!</v>
      </c>
      <c r="AE34" s="6" t="e">
        <f>VLOOKUP($A34,'Rate Calculation'!$A$3:$CQ$210,100,FALSE)</f>
        <v>#REF!</v>
      </c>
      <c r="AF34" s="6">
        <f>VLOOKUP($A34,'Rate Calculation'!$A$3:$DE$210,101,FALSE)</f>
        <v>0</v>
      </c>
      <c r="AH34" s="175"/>
    </row>
    <row r="35" spans="1:34" x14ac:dyDescent="0.15">
      <c r="A35" s="130">
        <v>88</v>
      </c>
      <c r="B35" s="37" t="s">
        <v>544</v>
      </c>
      <c r="C35" s="1" t="str">
        <f>VLOOKUP(A35,'Rate Calculation'!$A$4:$F$210,6,FALSE)</f>
        <v>BALTIMORE METRO</v>
      </c>
      <c r="D35" s="4">
        <v>32985</v>
      </c>
      <c r="E35" s="6">
        <f>VLOOKUP(A35,'Rate Calculation'!$A$4:$AM$208,39,FALSE)</f>
        <v>339.05</v>
      </c>
      <c r="F35" s="6">
        <f t="shared" si="3"/>
        <v>334.89</v>
      </c>
      <c r="G35" s="6">
        <f t="shared" si="4"/>
        <v>334.89</v>
      </c>
      <c r="H35" s="6">
        <f>VLOOKUP(A35,'Rate Calculation'!$A$4:$AL$208,38,FALSE)+G35</f>
        <v>362.05</v>
      </c>
      <c r="I35" s="6">
        <f>VLOOKUP(A35,'Rate Calculation'!$A$4:$AN$208,40,FALSE)</f>
        <v>246.6</v>
      </c>
      <c r="J35" s="1">
        <v>0</v>
      </c>
      <c r="K35" s="217">
        <v>99748</v>
      </c>
      <c r="L35" s="6">
        <f>VLOOKUP(A35,'Rate Calculation'!$A$4:$AO$208,41,FALSE)</f>
        <v>154.13999999999999</v>
      </c>
      <c r="M35" s="1">
        <v>8</v>
      </c>
      <c r="N35" s="182">
        <f>VLOOKUP(A35,'Rate Calculation'!$A$4:$AL$208,38,FALSE)</f>
        <v>27.16</v>
      </c>
      <c r="O35" s="6" t="e">
        <f>VLOOKUP($A35,'Rate Calculation'!$A$3:$BR$210,65,FALSE)</f>
        <v>#DIV/0!</v>
      </c>
      <c r="P35" s="6" t="e">
        <f t="shared" si="5"/>
        <v>#DIV/0!</v>
      </c>
      <c r="Q35" s="6" t="e">
        <f t="shared" si="1"/>
        <v>#DIV/0!</v>
      </c>
      <c r="R35" s="6" t="e">
        <f>VLOOKUP($A35,'Rate Calculation'!$A$3:$AR$210,47,FALSE)+Q35</f>
        <v>#REF!</v>
      </c>
      <c r="S35" s="6" t="e">
        <f>VLOOKUP($A35,'Rate Calculation'!$A$4:$CQ$211,66,FALSE)</f>
        <v>#REF!</v>
      </c>
      <c r="T35" s="6" t="e">
        <f>VLOOKUP($A35,'Rate Calculation'!$A$3:$CQ$210,67,FALSE)</f>
        <v>#REF!</v>
      </c>
      <c r="U35" s="6" t="e">
        <f>VLOOKUP($A35,'Rate Calculation'!$A$3:$DE$210,82,FALSE)</f>
        <v>#DIV/0!</v>
      </c>
      <c r="V35" s="6" t="e">
        <f t="shared" si="6"/>
        <v>#DIV/0!</v>
      </c>
      <c r="W35" s="6" t="e">
        <f t="shared" si="2"/>
        <v>#DIV/0!</v>
      </c>
      <c r="X35" s="6" t="e">
        <f>VLOOKUP($A35,'Rate Calculation'!$A$3:$AR$210,47,FALSE)+W35</f>
        <v>#REF!</v>
      </c>
      <c r="Y35" s="6" t="e">
        <f>VLOOKUP($A35,'Rate Calculation'!$A$4:$CQ$210,83,FALSE)</f>
        <v>#REF!</v>
      </c>
      <c r="Z35" s="6" t="e">
        <f>VLOOKUP($A35,'Rate Calculation'!$A$3:$DE$210,84,FALSE)</f>
        <v>#REF!</v>
      </c>
      <c r="AA35" s="6">
        <f>VLOOKUP($A35,'Rate Calculation'!$A$3:$DE$210,99,FALSE)</f>
        <v>0</v>
      </c>
      <c r="AB35" s="6">
        <f t="shared" si="7"/>
        <v>0</v>
      </c>
      <c r="AC35" s="6">
        <f t="shared" si="8"/>
        <v>0</v>
      </c>
      <c r="AD35" s="6" t="e">
        <f>VLOOKUP($A35,'Rate Calculation'!$A$3:$AR$210,47,FALSE)+AC35</f>
        <v>#REF!</v>
      </c>
      <c r="AE35" s="6" t="e">
        <f>VLOOKUP($A35,'Rate Calculation'!$A$3:$CQ$210,100,FALSE)</f>
        <v>#REF!</v>
      </c>
      <c r="AF35" s="6">
        <f>VLOOKUP($A35,'Rate Calculation'!$A$3:$DE$210,101,FALSE)</f>
        <v>0</v>
      </c>
      <c r="AH35" s="175"/>
    </row>
    <row r="36" spans="1:34" x14ac:dyDescent="0.15">
      <c r="A36" s="130">
        <v>98</v>
      </c>
      <c r="B36" s="37" t="s">
        <v>494</v>
      </c>
      <c r="C36" s="1" t="str">
        <f>VLOOKUP(A36,'Rate Calculation'!$A$4:$F$210,6,FALSE)</f>
        <v>WASHINGTON METRO</v>
      </c>
      <c r="D36" s="4">
        <v>36409</v>
      </c>
      <c r="E36" s="6">
        <f>VLOOKUP(A36,'Rate Calculation'!$A$4:$AM$208,39,FALSE)</f>
        <v>334.48</v>
      </c>
      <c r="F36" s="6">
        <f t="shared" si="3"/>
        <v>330.37</v>
      </c>
      <c r="G36" s="6">
        <f t="shared" si="4"/>
        <v>330.37</v>
      </c>
      <c r="H36" s="6">
        <f>VLOOKUP(A36,'Rate Calculation'!$A$4:$AL$208,38,FALSE)+G36</f>
        <v>354.61</v>
      </c>
      <c r="I36" s="6">
        <f>VLOOKUP(A36,'Rate Calculation'!$A$4:$AN$208,40,FALSE)</f>
        <v>246.97</v>
      </c>
      <c r="J36" s="1">
        <v>0</v>
      </c>
      <c r="K36" s="217">
        <v>327291</v>
      </c>
      <c r="L36" s="6">
        <f>VLOOKUP(A36,'Rate Calculation'!$A$4:$AO$208,41,FALSE)</f>
        <v>159.44999999999999</v>
      </c>
      <c r="M36" s="1">
        <v>11</v>
      </c>
      <c r="N36" s="182">
        <f>VLOOKUP(A36,'Rate Calculation'!$A$4:$AL$208,38,FALSE)</f>
        <v>24.24</v>
      </c>
      <c r="O36" s="6" t="e">
        <f>VLOOKUP($A36,'Rate Calculation'!$A$3:$BR$210,65,FALSE)</f>
        <v>#DIV/0!</v>
      </c>
      <c r="P36" s="6" t="e">
        <f t="shared" si="5"/>
        <v>#DIV/0!</v>
      </c>
      <c r="Q36" s="6" t="e">
        <f t="shared" si="1"/>
        <v>#DIV/0!</v>
      </c>
      <c r="R36" s="6" t="e">
        <f>VLOOKUP($A36,'Rate Calculation'!$A$3:$AR$210,47,FALSE)+Q36</f>
        <v>#REF!</v>
      </c>
      <c r="S36" s="6" t="e">
        <f>VLOOKUP($A36,'Rate Calculation'!$A$4:$CQ$211,66,FALSE)</f>
        <v>#REF!</v>
      </c>
      <c r="T36" s="6" t="e">
        <f>VLOOKUP($A36,'Rate Calculation'!$A$3:$CQ$210,67,FALSE)</f>
        <v>#REF!</v>
      </c>
      <c r="U36" s="6" t="e">
        <f>VLOOKUP($A36,'Rate Calculation'!$A$3:$DE$210,82,FALSE)</f>
        <v>#DIV/0!</v>
      </c>
      <c r="V36" s="6" t="e">
        <f t="shared" si="6"/>
        <v>#DIV/0!</v>
      </c>
      <c r="W36" s="6" t="e">
        <f t="shared" si="2"/>
        <v>#DIV/0!</v>
      </c>
      <c r="X36" s="6" t="e">
        <f>VLOOKUP($A36,'Rate Calculation'!$A$3:$AR$210,47,FALSE)+W36</f>
        <v>#REF!</v>
      </c>
      <c r="Y36" s="6" t="e">
        <f>VLOOKUP($A36,'Rate Calculation'!$A$4:$CQ$210,83,FALSE)</f>
        <v>#REF!</v>
      </c>
      <c r="Z36" s="6" t="e">
        <f>VLOOKUP($A36,'Rate Calculation'!$A$3:$DE$210,84,FALSE)</f>
        <v>#REF!</v>
      </c>
      <c r="AA36" s="6">
        <f>VLOOKUP($A36,'Rate Calculation'!$A$3:$DE$210,99,FALSE)</f>
        <v>0</v>
      </c>
      <c r="AB36" s="6">
        <f t="shared" si="7"/>
        <v>0</v>
      </c>
      <c r="AC36" s="6">
        <f t="shared" si="8"/>
        <v>0</v>
      </c>
      <c r="AD36" s="6" t="e">
        <f>VLOOKUP($A36,'Rate Calculation'!$A$3:$AR$210,47,FALSE)+AC36</f>
        <v>#REF!</v>
      </c>
      <c r="AE36" s="6" t="e">
        <f>VLOOKUP($A36,'Rate Calculation'!$A$3:$CQ$210,100,FALSE)</f>
        <v>#REF!</v>
      </c>
      <c r="AF36" s="6">
        <f>VLOOKUP($A36,'Rate Calculation'!$A$3:$DE$210,101,FALSE)</f>
        <v>0</v>
      </c>
      <c r="AH36" s="175"/>
    </row>
    <row r="37" spans="1:34" x14ac:dyDescent="0.15">
      <c r="A37" s="130">
        <v>100</v>
      </c>
      <c r="B37" s="37" t="s">
        <v>546</v>
      </c>
      <c r="C37" s="1" t="str">
        <f>VLOOKUP(A37,'Rate Calculation'!$A$4:$F$210,6,FALSE)</f>
        <v>NON METRO</v>
      </c>
      <c r="D37" s="4">
        <v>25713</v>
      </c>
      <c r="E37" s="6">
        <f>VLOOKUP(A37,'Rate Calculation'!$A$4:$AM$208,39,FALSE)</f>
        <v>295.61</v>
      </c>
      <c r="F37" s="6">
        <f t="shared" si="3"/>
        <v>291.98</v>
      </c>
      <c r="G37" s="6">
        <f t="shared" si="4"/>
        <v>291.98</v>
      </c>
      <c r="H37" s="6">
        <f>VLOOKUP(A37,'Rate Calculation'!$A$4:$AL$208,38,FALSE)+G37</f>
        <v>318.52</v>
      </c>
      <c r="I37" s="6">
        <f>VLOOKUP(A37,'Rate Calculation'!$A$4:$AN$208,40,FALSE)</f>
        <v>219.44</v>
      </c>
      <c r="J37" s="1">
        <v>0</v>
      </c>
      <c r="K37" s="217">
        <v>20361</v>
      </c>
      <c r="L37" s="6">
        <f>VLOOKUP(A37,'Rate Calculation'!$A$4:$AO$208,41,FALSE)</f>
        <v>143.27000000000001</v>
      </c>
      <c r="M37" s="1">
        <v>7</v>
      </c>
      <c r="N37" s="182">
        <f>VLOOKUP(A37,'Rate Calculation'!$A$4:$AL$208,38,FALSE)</f>
        <v>26.54</v>
      </c>
      <c r="O37" s="6" t="e">
        <f>VLOOKUP($A37,'Rate Calculation'!$A$3:$BR$210,65,FALSE)</f>
        <v>#DIV/0!</v>
      </c>
      <c r="P37" s="6" t="e">
        <f t="shared" si="5"/>
        <v>#DIV/0!</v>
      </c>
      <c r="Q37" s="6" t="e">
        <f t="shared" si="1"/>
        <v>#DIV/0!</v>
      </c>
      <c r="R37" s="6" t="e">
        <f>VLOOKUP($A37,'Rate Calculation'!$A$3:$AR$210,47,FALSE)+Q37</f>
        <v>#REF!</v>
      </c>
      <c r="S37" s="6" t="e">
        <f>VLOOKUP($A37,'Rate Calculation'!$A$4:$CQ$211,66,FALSE)</f>
        <v>#REF!</v>
      </c>
      <c r="T37" s="6" t="e">
        <f>VLOOKUP($A37,'Rate Calculation'!$A$3:$CQ$210,67,FALSE)</f>
        <v>#REF!</v>
      </c>
      <c r="U37" s="6" t="e">
        <f>VLOOKUP($A37,'Rate Calculation'!$A$3:$DE$210,82,FALSE)</f>
        <v>#DIV/0!</v>
      </c>
      <c r="V37" s="6" t="e">
        <f t="shared" si="6"/>
        <v>#DIV/0!</v>
      </c>
      <c r="W37" s="6" t="e">
        <f t="shared" si="2"/>
        <v>#DIV/0!</v>
      </c>
      <c r="X37" s="6" t="e">
        <f>VLOOKUP($A37,'Rate Calculation'!$A$3:$AR$210,47,FALSE)+W37</f>
        <v>#REF!</v>
      </c>
      <c r="Y37" s="6" t="e">
        <f>VLOOKUP($A37,'Rate Calculation'!$A$4:$CQ$210,83,FALSE)</f>
        <v>#REF!</v>
      </c>
      <c r="Z37" s="6" t="e">
        <f>VLOOKUP($A37,'Rate Calculation'!$A$3:$DE$210,84,FALSE)</f>
        <v>#REF!</v>
      </c>
      <c r="AA37" s="6">
        <f>VLOOKUP($A37,'Rate Calculation'!$A$3:$DE$210,99,FALSE)</f>
        <v>0</v>
      </c>
      <c r="AB37" s="6">
        <f t="shared" si="7"/>
        <v>0</v>
      </c>
      <c r="AC37" s="6">
        <f t="shared" si="8"/>
        <v>0</v>
      </c>
      <c r="AD37" s="6" t="e">
        <f>VLOOKUP($A37,'Rate Calculation'!$A$3:$AR$210,47,FALSE)+AC37</f>
        <v>#REF!</v>
      </c>
      <c r="AE37" s="6" t="e">
        <f>VLOOKUP($A37,'Rate Calculation'!$A$3:$CQ$210,100,FALSE)</f>
        <v>#REF!</v>
      </c>
      <c r="AF37" s="6">
        <f>VLOOKUP($A37,'Rate Calculation'!$A$3:$DE$210,101,FALSE)</f>
        <v>0</v>
      </c>
      <c r="AH37" s="175"/>
    </row>
    <row r="38" spans="1:34" x14ac:dyDescent="0.15">
      <c r="A38" s="130">
        <v>310</v>
      </c>
      <c r="B38" s="37" t="s">
        <v>693</v>
      </c>
      <c r="C38" s="1" t="str">
        <f>VLOOKUP(A38,'Rate Calculation'!$A$4:$F$210,6,FALSE)</f>
        <v>WASHINGTON METRO</v>
      </c>
      <c r="D38" s="4">
        <v>27001</v>
      </c>
      <c r="E38" s="6">
        <f>VLOOKUP(A38,'Rate Calculation'!$A$4:$AM$208,39,FALSE)</f>
        <v>332.36</v>
      </c>
      <c r="F38" s="6">
        <f t="shared" si="3"/>
        <v>328.28</v>
      </c>
      <c r="G38" s="6">
        <f t="shared" si="4"/>
        <v>328.28</v>
      </c>
      <c r="H38" s="6">
        <f>VLOOKUP(A38,'Rate Calculation'!$A$4:$AL$208,38,FALSE)+G38</f>
        <v>352.28</v>
      </c>
      <c r="I38" s="6">
        <f>VLOOKUP(A38,'Rate Calculation'!$A$4:$AN$208,40,FALSE)</f>
        <v>247.09</v>
      </c>
      <c r="J38" s="1">
        <v>0</v>
      </c>
      <c r="K38" s="217">
        <v>6197</v>
      </c>
      <c r="L38" s="6">
        <f>VLOOKUP(A38,'Rate Calculation'!$A$4:$AO$208,41,FALSE)</f>
        <v>161.81</v>
      </c>
      <c r="M38" s="1">
        <v>0</v>
      </c>
      <c r="N38" s="182">
        <f>VLOOKUP(A38,'Rate Calculation'!$A$4:$AL$208,38,FALSE)</f>
        <v>24</v>
      </c>
      <c r="O38" s="6" t="e">
        <f>VLOOKUP($A38,'Rate Calculation'!$A$3:$BR$210,65,FALSE)</f>
        <v>#DIV/0!</v>
      </c>
      <c r="P38" s="6" t="e">
        <f t="shared" si="5"/>
        <v>#DIV/0!</v>
      </c>
      <c r="Q38" s="6" t="e">
        <f t="shared" si="1"/>
        <v>#DIV/0!</v>
      </c>
      <c r="R38" s="6" t="e">
        <f>VLOOKUP($A38,'Rate Calculation'!$A$3:$AR$210,47,FALSE)+Q38</f>
        <v>#REF!</v>
      </c>
      <c r="S38" s="6" t="e">
        <f>VLOOKUP($A38,'Rate Calculation'!$A$4:$CQ$211,66,FALSE)</f>
        <v>#REF!</v>
      </c>
      <c r="T38" s="6" t="e">
        <f>VLOOKUP($A38,'Rate Calculation'!$A$3:$CQ$210,67,FALSE)</f>
        <v>#REF!</v>
      </c>
      <c r="U38" s="6" t="e">
        <f>VLOOKUP($A38,'Rate Calculation'!$A$3:$DE$210,82,FALSE)</f>
        <v>#DIV/0!</v>
      </c>
      <c r="V38" s="6" t="e">
        <f t="shared" si="6"/>
        <v>#DIV/0!</v>
      </c>
      <c r="W38" s="6" t="e">
        <f t="shared" si="2"/>
        <v>#DIV/0!</v>
      </c>
      <c r="X38" s="6" t="e">
        <f>VLOOKUP($A38,'Rate Calculation'!$A$3:$AR$210,47,FALSE)+W38</f>
        <v>#REF!</v>
      </c>
      <c r="Y38" s="6" t="e">
        <f>VLOOKUP($A38,'Rate Calculation'!$A$4:$CQ$210,83,FALSE)</f>
        <v>#REF!</v>
      </c>
      <c r="Z38" s="6" t="e">
        <f>VLOOKUP($A38,'Rate Calculation'!$A$3:$DE$210,84,FALSE)</f>
        <v>#REF!</v>
      </c>
      <c r="AA38" s="6">
        <f>VLOOKUP($A38,'Rate Calculation'!$A$3:$DE$210,99,FALSE)</f>
        <v>0</v>
      </c>
      <c r="AB38" s="6">
        <f t="shared" si="7"/>
        <v>0</v>
      </c>
      <c r="AC38" s="6">
        <f t="shared" si="8"/>
        <v>0</v>
      </c>
      <c r="AD38" s="6" t="e">
        <f>VLOOKUP($A38,'Rate Calculation'!$A$3:$AR$210,47,FALSE)+AC38</f>
        <v>#REF!</v>
      </c>
      <c r="AE38" s="6" t="e">
        <f>VLOOKUP($A38,'Rate Calculation'!$A$3:$CQ$210,100,FALSE)</f>
        <v>#REF!</v>
      </c>
      <c r="AF38" s="6">
        <f>VLOOKUP($A38,'Rate Calculation'!$A$3:$DE$210,101,FALSE)</f>
        <v>0</v>
      </c>
      <c r="AH38" s="175"/>
    </row>
    <row r="39" spans="1:34" x14ac:dyDescent="0.15">
      <c r="A39" s="130">
        <v>132</v>
      </c>
      <c r="B39" s="37" t="s">
        <v>589</v>
      </c>
      <c r="C39" s="1" t="str">
        <f>VLOOKUP(A39,'Rate Calculation'!$A$4:$F$210,6,FALSE)</f>
        <v>BALTIMORE METRO</v>
      </c>
      <c r="D39" s="4">
        <v>27913</v>
      </c>
      <c r="E39" s="6">
        <f>VLOOKUP(A39,'Rate Calculation'!$A$4:$AM$208,39,FALSE)</f>
        <v>356.76</v>
      </c>
      <c r="F39" s="6">
        <f t="shared" si="3"/>
        <v>352.38</v>
      </c>
      <c r="G39" s="6">
        <f t="shared" si="4"/>
        <v>352.38</v>
      </c>
      <c r="H39" s="6">
        <f>VLOOKUP(A39,'Rate Calculation'!$A$4:$AL$208,38,FALSE)+G39</f>
        <v>371.52</v>
      </c>
      <c r="I39" s="6">
        <f>VLOOKUP(A39,'Rate Calculation'!$A$4:$AN$208,40,FALSE)</f>
        <v>258.86</v>
      </c>
      <c r="J39" s="1">
        <v>0</v>
      </c>
      <c r="K39" s="217">
        <v>28291</v>
      </c>
      <c r="L39" s="6">
        <f>VLOOKUP(A39,'Rate Calculation'!$A$4:$AO$208,41,FALSE)</f>
        <v>160.96</v>
      </c>
      <c r="M39" s="1">
        <v>0</v>
      </c>
      <c r="N39" s="182">
        <f>VLOOKUP(A39,'Rate Calculation'!$A$4:$AL$208,38,FALSE)</f>
        <v>19.14</v>
      </c>
      <c r="O39" s="6" t="e">
        <f>VLOOKUP($A39,'Rate Calculation'!$A$3:$BR$210,65,FALSE)</f>
        <v>#DIV/0!</v>
      </c>
      <c r="P39" s="6" t="e">
        <f t="shared" si="5"/>
        <v>#DIV/0!</v>
      </c>
      <c r="Q39" s="6" t="e">
        <f t="shared" si="1"/>
        <v>#DIV/0!</v>
      </c>
      <c r="R39" s="6" t="e">
        <f>VLOOKUP($A39,'Rate Calculation'!$A$3:$AR$210,47,FALSE)+Q39</f>
        <v>#REF!</v>
      </c>
      <c r="S39" s="6" t="e">
        <f>VLOOKUP($A39,'Rate Calculation'!$A$4:$CQ$211,66,FALSE)</f>
        <v>#REF!</v>
      </c>
      <c r="T39" s="6" t="e">
        <f>VLOOKUP($A39,'Rate Calculation'!$A$3:$CQ$210,67,FALSE)</f>
        <v>#REF!</v>
      </c>
      <c r="U39" s="6" t="e">
        <f>VLOOKUP($A39,'Rate Calculation'!$A$3:$DE$210,82,FALSE)</f>
        <v>#DIV/0!</v>
      </c>
      <c r="V39" s="6" t="e">
        <f t="shared" si="6"/>
        <v>#DIV/0!</v>
      </c>
      <c r="W39" s="6" t="e">
        <f t="shared" si="2"/>
        <v>#DIV/0!</v>
      </c>
      <c r="X39" s="6" t="e">
        <f>VLOOKUP($A39,'Rate Calculation'!$A$3:$AR$210,47,FALSE)+W39</f>
        <v>#REF!</v>
      </c>
      <c r="Y39" s="6" t="e">
        <f>VLOOKUP($A39,'Rate Calculation'!$A$4:$CQ$210,83,FALSE)</f>
        <v>#REF!</v>
      </c>
      <c r="Z39" s="6" t="e">
        <f>VLOOKUP($A39,'Rate Calculation'!$A$3:$DE$210,84,FALSE)</f>
        <v>#REF!</v>
      </c>
      <c r="AA39" s="6">
        <f>VLOOKUP($A39,'Rate Calculation'!$A$3:$DE$210,99,FALSE)</f>
        <v>0</v>
      </c>
      <c r="AB39" s="6">
        <f t="shared" si="7"/>
        <v>0</v>
      </c>
      <c r="AC39" s="6">
        <f t="shared" si="8"/>
        <v>0</v>
      </c>
      <c r="AD39" s="6" t="e">
        <f>VLOOKUP($A39,'Rate Calculation'!$A$3:$AR$210,47,FALSE)+AC39</f>
        <v>#REF!</v>
      </c>
      <c r="AE39" s="6" t="e">
        <f>VLOOKUP($A39,'Rate Calculation'!$A$3:$CQ$210,100,FALSE)</f>
        <v>#REF!</v>
      </c>
      <c r="AF39" s="6">
        <f>VLOOKUP($A39,'Rate Calculation'!$A$3:$DE$210,101,FALSE)</f>
        <v>0</v>
      </c>
      <c r="AH39" s="175"/>
    </row>
    <row r="40" spans="1:34" x14ac:dyDescent="0.15">
      <c r="A40" s="130">
        <v>198</v>
      </c>
      <c r="B40" s="37" t="s">
        <v>551</v>
      </c>
      <c r="C40" s="1" t="str">
        <f>VLOOKUP(A40,'Rate Calculation'!$A$4:$F$210,6,FALSE)</f>
        <v>NON METRO</v>
      </c>
      <c r="D40" s="4">
        <v>24557</v>
      </c>
      <c r="E40" s="6">
        <f>VLOOKUP(A40,'Rate Calculation'!$A$4:$AM$208,39,FALSE)</f>
        <v>343.64</v>
      </c>
      <c r="F40" s="6">
        <f t="shared" si="3"/>
        <v>339.42</v>
      </c>
      <c r="G40" s="6">
        <f t="shared" si="4"/>
        <v>339.42</v>
      </c>
      <c r="H40" s="6">
        <f>VLOOKUP(A40,'Rate Calculation'!$A$4:$AL$208,38,FALSE)+G40</f>
        <v>361.54</v>
      </c>
      <c r="I40" s="6">
        <f>VLOOKUP(A40,'Rate Calculation'!$A$4:$AN$208,40,FALSE)</f>
        <v>250.34</v>
      </c>
      <c r="J40" s="1">
        <v>0</v>
      </c>
      <c r="K40" s="217">
        <v>16283</v>
      </c>
      <c r="L40" s="6">
        <f>VLOOKUP(A40,'Rate Calculation'!$A$4:$AO$208,41,FALSE)</f>
        <v>157.03</v>
      </c>
      <c r="M40" s="1">
        <v>0</v>
      </c>
      <c r="N40" s="182">
        <f>VLOOKUP(A40,'Rate Calculation'!$A$4:$AL$208,38,FALSE)</f>
        <v>22.12</v>
      </c>
      <c r="O40" s="6" t="e">
        <f>VLOOKUP($A40,'Rate Calculation'!$A$3:$BR$210,65,FALSE)</f>
        <v>#DIV/0!</v>
      </c>
      <c r="P40" s="6" t="e">
        <f t="shared" si="5"/>
        <v>#DIV/0!</v>
      </c>
      <c r="Q40" s="6" t="e">
        <f t="shared" si="1"/>
        <v>#DIV/0!</v>
      </c>
      <c r="R40" s="6" t="e">
        <f>VLOOKUP($A40,'Rate Calculation'!$A$3:$AR$210,47,FALSE)+Q40</f>
        <v>#REF!</v>
      </c>
      <c r="S40" s="6" t="e">
        <f>VLOOKUP($A40,'Rate Calculation'!$A$4:$CQ$211,66,FALSE)</f>
        <v>#REF!</v>
      </c>
      <c r="T40" s="6" t="e">
        <f>VLOOKUP($A40,'Rate Calculation'!$A$3:$CQ$210,67,FALSE)</f>
        <v>#REF!</v>
      </c>
      <c r="U40" s="6" t="e">
        <f>VLOOKUP($A40,'Rate Calculation'!$A$3:$DE$210,82,FALSE)</f>
        <v>#DIV/0!</v>
      </c>
      <c r="V40" s="6" t="e">
        <f t="shared" si="6"/>
        <v>#DIV/0!</v>
      </c>
      <c r="W40" s="6" t="e">
        <f t="shared" si="2"/>
        <v>#DIV/0!</v>
      </c>
      <c r="X40" s="6" t="e">
        <f>VLOOKUP($A40,'Rate Calculation'!$A$3:$AR$210,47,FALSE)+W40</f>
        <v>#REF!</v>
      </c>
      <c r="Y40" s="6" t="e">
        <f>VLOOKUP($A40,'Rate Calculation'!$A$4:$CQ$210,83,FALSE)</f>
        <v>#REF!</v>
      </c>
      <c r="Z40" s="6" t="e">
        <f>VLOOKUP($A40,'Rate Calculation'!$A$3:$DE$210,84,FALSE)</f>
        <v>#REF!</v>
      </c>
      <c r="AA40" s="6">
        <f>VLOOKUP($A40,'Rate Calculation'!$A$3:$DE$210,99,FALSE)</f>
        <v>0</v>
      </c>
      <c r="AB40" s="6">
        <f t="shared" si="7"/>
        <v>0</v>
      </c>
      <c r="AC40" s="6">
        <f t="shared" si="8"/>
        <v>0</v>
      </c>
      <c r="AD40" s="6" t="e">
        <f>VLOOKUP($A40,'Rate Calculation'!$A$3:$AR$210,47,FALSE)+AC40</f>
        <v>#REF!</v>
      </c>
      <c r="AE40" s="6" t="e">
        <f>VLOOKUP($A40,'Rate Calculation'!$A$3:$CQ$210,100,FALSE)</f>
        <v>#REF!</v>
      </c>
      <c r="AF40" s="6">
        <f>VLOOKUP($A40,'Rate Calculation'!$A$3:$DE$210,101,FALSE)</f>
        <v>0</v>
      </c>
      <c r="AH40" s="175"/>
    </row>
    <row r="41" spans="1:34" x14ac:dyDescent="0.15">
      <c r="A41" s="130">
        <v>687</v>
      </c>
      <c r="B41" s="37" t="s">
        <v>621</v>
      </c>
      <c r="C41" s="1" t="str">
        <f>VLOOKUP(A41,'Rate Calculation'!$A$4:$F$210,6,FALSE)</f>
        <v>BALTIMORE METRO</v>
      </c>
      <c r="D41" s="4">
        <v>42655</v>
      </c>
      <c r="E41" s="6">
        <f>VLOOKUP(A41,'Rate Calculation'!$A$4:$AM$208,39,FALSE)</f>
        <v>334.43</v>
      </c>
      <c r="F41" s="6">
        <f t="shared" si="3"/>
        <v>330.32</v>
      </c>
      <c r="G41" s="6">
        <f t="shared" si="4"/>
        <v>330.32</v>
      </c>
      <c r="H41" s="6">
        <f>VLOOKUP(A41,'Rate Calculation'!$A$4:$AL$208,38,FALSE)+G41</f>
        <v>354.19</v>
      </c>
      <c r="I41" s="6">
        <f>VLOOKUP(A41,'Rate Calculation'!$A$4:$AN$208,40,FALSE)</f>
        <v>248.08</v>
      </c>
      <c r="J41" s="1">
        <v>0</v>
      </c>
      <c r="K41" s="217">
        <v>88701</v>
      </c>
      <c r="L41" s="6">
        <f>VLOOKUP(A41,'Rate Calculation'!$A$4:$AO$208,41,FALSE)</f>
        <v>161.72</v>
      </c>
      <c r="M41" s="1">
        <v>38</v>
      </c>
      <c r="N41" s="182">
        <f>VLOOKUP(A41,'Rate Calculation'!$A$4:$AL$208,38,FALSE)</f>
        <v>23.87</v>
      </c>
      <c r="O41" s="6" t="e">
        <f>VLOOKUP($A41,'Rate Calculation'!$A$3:$BR$210,65,FALSE)</f>
        <v>#DIV/0!</v>
      </c>
      <c r="P41" s="6" t="e">
        <f t="shared" si="5"/>
        <v>#DIV/0!</v>
      </c>
      <c r="Q41" s="6" t="e">
        <f t="shared" si="1"/>
        <v>#DIV/0!</v>
      </c>
      <c r="R41" s="6" t="e">
        <f>VLOOKUP($A41,'Rate Calculation'!$A$3:$AR$210,47,FALSE)+Q41</f>
        <v>#REF!</v>
      </c>
      <c r="S41" s="6" t="e">
        <f>VLOOKUP($A41,'Rate Calculation'!$A$4:$CQ$211,66,FALSE)</f>
        <v>#REF!</v>
      </c>
      <c r="T41" s="6" t="e">
        <f>VLOOKUP($A41,'Rate Calculation'!$A$3:$CQ$210,67,FALSE)</f>
        <v>#REF!</v>
      </c>
      <c r="U41" s="6" t="e">
        <f>VLOOKUP($A41,'Rate Calculation'!$A$3:$DE$210,82,FALSE)</f>
        <v>#DIV/0!</v>
      </c>
      <c r="V41" s="6" t="e">
        <f t="shared" si="6"/>
        <v>#DIV/0!</v>
      </c>
      <c r="W41" s="6" t="e">
        <f t="shared" si="2"/>
        <v>#DIV/0!</v>
      </c>
      <c r="X41" s="6" t="e">
        <f>VLOOKUP($A41,'Rate Calculation'!$A$3:$AR$210,47,FALSE)+W41</f>
        <v>#REF!</v>
      </c>
      <c r="Y41" s="6" t="e">
        <f>VLOOKUP($A41,'Rate Calculation'!$A$4:$CQ$210,83,FALSE)</f>
        <v>#REF!</v>
      </c>
      <c r="Z41" s="6" t="e">
        <f>VLOOKUP($A41,'Rate Calculation'!$A$3:$DE$210,84,FALSE)</f>
        <v>#REF!</v>
      </c>
      <c r="AA41" s="6">
        <f>VLOOKUP($A41,'Rate Calculation'!$A$3:$DE$210,99,FALSE)</f>
        <v>0</v>
      </c>
      <c r="AB41" s="6">
        <f t="shared" si="7"/>
        <v>0</v>
      </c>
      <c r="AC41" s="6">
        <f t="shared" si="8"/>
        <v>0</v>
      </c>
      <c r="AD41" s="6" t="e">
        <f>VLOOKUP($A41,'Rate Calculation'!$A$3:$AR$210,47,FALSE)+AC41</f>
        <v>#REF!</v>
      </c>
      <c r="AE41" s="6" t="e">
        <f>VLOOKUP($A41,'Rate Calculation'!$A$3:$CQ$210,100,FALSE)</f>
        <v>#REF!</v>
      </c>
      <c r="AF41" s="6">
        <f>VLOOKUP($A41,'Rate Calculation'!$A$3:$DE$210,101,FALSE)</f>
        <v>0</v>
      </c>
      <c r="AH41" s="175"/>
    </row>
    <row r="42" spans="1:34" x14ac:dyDescent="0.15">
      <c r="A42" s="130">
        <v>246</v>
      </c>
      <c r="B42" s="37" t="s">
        <v>553</v>
      </c>
      <c r="C42" s="1" t="str">
        <f>VLOOKUP(A42,'Rate Calculation'!$A$4:$F$210,6,FALSE)</f>
        <v>BALTIMORE CITY</v>
      </c>
      <c r="D42" s="4">
        <v>26847</v>
      </c>
      <c r="E42" s="6">
        <f>VLOOKUP(A42,'Rate Calculation'!$A$4:$AM$208,39,FALSE)</f>
        <v>378.94</v>
      </c>
      <c r="F42" s="6">
        <f t="shared" si="3"/>
        <v>374.29</v>
      </c>
      <c r="G42" s="6">
        <f t="shared" si="4"/>
        <v>374.29</v>
      </c>
      <c r="H42" s="6">
        <f>VLOOKUP(A42,'Rate Calculation'!$A$4:$AL$208,38,FALSE)+G42</f>
        <v>400.12</v>
      </c>
      <c r="I42" s="6">
        <f>VLOOKUP(A42,'Rate Calculation'!$A$4:$AN$208,40,FALSE)</f>
        <v>279.7</v>
      </c>
      <c r="J42" s="1">
        <v>0</v>
      </c>
      <c r="K42" s="217">
        <v>74509</v>
      </c>
      <c r="L42" s="6">
        <f>VLOOKUP(A42,'Rate Calculation'!$A$4:$AO$208,41,FALSE)</f>
        <v>180.46</v>
      </c>
      <c r="M42" s="1">
        <v>0</v>
      </c>
      <c r="N42" s="182">
        <f>VLOOKUP(A42,'Rate Calculation'!$A$4:$AL$208,38,FALSE)</f>
        <v>25.83</v>
      </c>
      <c r="O42" s="6" t="e">
        <f>VLOOKUP($A42,'Rate Calculation'!$A$3:$BR$210,65,FALSE)</f>
        <v>#DIV/0!</v>
      </c>
      <c r="P42" s="6" t="e">
        <f t="shared" si="5"/>
        <v>#DIV/0!</v>
      </c>
      <c r="Q42" s="6" t="e">
        <f t="shared" si="1"/>
        <v>#DIV/0!</v>
      </c>
      <c r="R42" s="6" t="e">
        <f>VLOOKUP($A42,'Rate Calculation'!$A$3:$AR$210,47,FALSE)+Q42</f>
        <v>#REF!</v>
      </c>
      <c r="S42" s="6" t="e">
        <f>VLOOKUP($A42,'Rate Calculation'!$A$4:$CQ$211,66,FALSE)</f>
        <v>#REF!</v>
      </c>
      <c r="T42" s="6" t="e">
        <f>VLOOKUP($A42,'Rate Calculation'!$A$3:$CQ$210,67,FALSE)</f>
        <v>#REF!</v>
      </c>
      <c r="U42" s="6" t="e">
        <f>VLOOKUP($A42,'Rate Calculation'!$A$3:$DE$210,82,FALSE)</f>
        <v>#DIV/0!</v>
      </c>
      <c r="V42" s="6" t="e">
        <f t="shared" si="6"/>
        <v>#DIV/0!</v>
      </c>
      <c r="W42" s="6" t="e">
        <f t="shared" si="2"/>
        <v>#DIV/0!</v>
      </c>
      <c r="X42" s="6" t="e">
        <f>VLOOKUP($A42,'Rate Calculation'!$A$3:$AR$210,47,FALSE)+W42</f>
        <v>#REF!</v>
      </c>
      <c r="Y42" s="6" t="e">
        <f>VLOOKUP($A42,'Rate Calculation'!$A$4:$CQ$210,83,FALSE)</f>
        <v>#REF!</v>
      </c>
      <c r="Z42" s="6" t="e">
        <f>VLOOKUP($A42,'Rate Calculation'!$A$3:$DE$210,84,FALSE)</f>
        <v>#REF!</v>
      </c>
      <c r="AA42" s="6">
        <f>VLOOKUP($A42,'Rate Calculation'!$A$3:$DE$210,99,FALSE)</f>
        <v>0</v>
      </c>
      <c r="AB42" s="6">
        <f t="shared" si="7"/>
        <v>0</v>
      </c>
      <c r="AC42" s="6">
        <f t="shared" si="8"/>
        <v>0</v>
      </c>
      <c r="AD42" s="6" t="e">
        <f>VLOOKUP($A42,'Rate Calculation'!$A$3:$AR$210,47,FALSE)+AC42</f>
        <v>#REF!</v>
      </c>
      <c r="AE42" s="6" t="e">
        <f>VLOOKUP($A42,'Rate Calculation'!$A$3:$CQ$210,100,FALSE)</f>
        <v>#REF!</v>
      </c>
      <c r="AF42" s="6">
        <f>VLOOKUP($A42,'Rate Calculation'!$A$3:$DE$210,101,FALSE)</f>
        <v>0</v>
      </c>
      <c r="AH42" s="175"/>
    </row>
    <row r="43" spans="1:34" x14ac:dyDescent="0.15">
      <c r="A43" s="130">
        <v>278</v>
      </c>
      <c r="B43" s="37" t="s">
        <v>583</v>
      </c>
      <c r="C43" s="1" t="str">
        <f>VLOOKUP(A43,'Rate Calculation'!$A$4:$F$210,6,FALSE)</f>
        <v>BALTIMORE METRO</v>
      </c>
      <c r="D43" s="4">
        <v>26369</v>
      </c>
      <c r="E43" s="6">
        <f>VLOOKUP(A43,'Rate Calculation'!$A$4:$AM$208,39,FALSE)</f>
        <v>353.48</v>
      </c>
      <c r="F43" s="6">
        <f t="shared" si="3"/>
        <v>349.14</v>
      </c>
      <c r="G43" s="6">
        <f t="shared" si="4"/>
        <v>349.14</v>
      </c>
      <c r="H43" s="6">
        <f>VLOOKUP(A43,'Rate Calculation'!$A$4:$AL$208,38,FALSE)+G43</f>
        <v>374.06</v>
      </c>
      <c r="I43" s="6">
        <f>VLOOKUP(A43,'Rate Calculation'!$A$4:$AN$208,40,FALSE)</f>
        <v>251.93</v>
      </c>
      <c r="J43" s="1">
        <v>0</v>
      </c>
      <c r="K43" s="217">
        <v>61324</v>
      </c>
      <c r="L43" s="6">
        <f>VLOOKUP(A43,'Rate Calculation'!$A$4:$AO$208,41,FALSE)</f>
        <v>150.37</v>
      </c>
      <c r="M43" s="1">
        <v>0</v>
      </c>
      <c r="N43" s="182">
        <f>VLOOKUP(A43,'Rate Calculation'!$A$4:$AL$208,38,FALSE)</f>
        <v>24.92</v>
      </c>
      <c r="O43" s="6" t="e">
        <f>VLOOKUP($A43,'Rate Calculation'!$A$3:$BR$210,65,FALSE)</f>
        <v>#DIV/0!</v>
      </c>
      <c r="P43" s="6" t="e">
        <f t="shared" si="5"/>
        <v>#DIV/0!</v>
      </c>
      <c r="Q43" s="6" t="e">
        <f t="shared" si="1"/>
        <v>#DIV/0!</v>
      </c>
      <c r="R43" s="6" t="e">
        <f>VLOOKUP($A43,'Rate Calculation'!$A$3:$AR$210,47,FALSE)+Q43</f>
        <v>#REF!</v>
      </c>
      <c r="S43" s="6" t="e">
        <f>VLOOKUP($A43,'Rate Calculation'!$A$4:$CQ$211,66,FALSE)</f>
        <v>#REF!</v>
      </c>
      <c r="T43" s="6" t="e">
        <f>VLOOKUP($A43,'Rate Calculation'!$A$3:$CQ$210,67,FALSE)</f>
        <v>#REF!</v>
      </c>
      <c r="U43" s="6" t="e">
        <f>VLOOKUP($A43,'Rate Calculation'!$A$3:$DE$210,82,FALSE)</f>
        <v>#DIV/0!</v>
      </c>
      <c r="V43" s="6" t="e">
        <f t="shared" si="6"/>
        <v>#DIV/0!</v>
      </c>
      <c r="W43" s="6" t="e">
        <f t="shared" si="2"/>
        <v>#DIV/0!</v>
      </c>
      <c r="X43" s="6" t="e">
        <f>VLOOKUP($A43,'Rate Calculation'!$A$3:$AR$210,47,FALSE)+W43</f>
        <v>#REF!</v>
      </c>
      <c r="Y43" s="6" t="e">
        <f>VLOOKUP($A43,'Rate Calculation'!$A$4:$CQ$210,83,FALSE)</f>
        <v>#REF!</v>
      </c>
      <c r="Z43" s="6" t="e">
        <f>VLOOKUP($A43,'Rate Calculation'!$A$3:$DE$210,84,FALSE)</f>
        <v>#REF!</v>
      </c>
      <c r="AA43" s="6">
        <f>VLOOKUP($A43,'Rate Calculation'!$A$3:$DE$210,99,FALSE)</f>
        <v>0</v>
      </c>
      <c r="AB43" s="6">
        <f t="shared" si="7"/>
        <v>0</v>
      </c>
      <c r="AC43" s="6">
        <f t="shared" si="8"/>
        <v>0</v>
      </c>
      <c r="AD43" s="6" t="e">
        <f>VLOOKUP($A43,'Rate Calculation'!$A$3:$AR$210,47,FALSE)+AC43</f>
        <v>#REF!</v>
      </c>
      <c r="AE43" s="6" t="e">
        <f>VLOOKUP($A43,'Rate Calculation'!$A$3:$CQ$210,100,FALSE)</f>
        <v>#REF!</v>
      </c>
      <c r="AF43" s="6">
        <f>VLOOKUP($A43,'Rate Calculation'!$A$3:$DE$210,101,FALSE)</f>
        <v>0</v>
      </c>
      <c r="AH43" s="175"/>
    </row>
    <row r="44" spans="1:34" x14ac:dyDescent="0.15">
      <c r="A44" s="130">
        <v>282</v>
      </c>
      <c r="B44" s="37" t="s">
        <v>555</v>
      </c>
      <c r="C44" s="1" t="str">
        <f>VLOOKUP(A44,'Rate Calculation'!$A$4:$F$210,6,FALSE)</f>
        <v>BALTIMORE CITY</v>
      </c>
      <c r="D44" s="4">
        <v>32959</v>
      </c>
      <c r="E44" s="6">
        <f>VLOOKUP(A44,'Rate Calculation'!$A$4:$AM$208,39,FALSE)</f>
        <v>377.71</v>
      </c>
      <c r="F44" s="6">
        <f t="shared" si="3"/>
        <v>373.07</v>
      </c>
      <c r="G44" s="6">
        <f t="shared" si="4"/>
        <v>373.07</v>
      </c>
      <c r="H44" s="6">
        <f>VLOOKUP(A44,'Rate Calculation'!$A$4:$AL$208,38,FALSE)+G44</f>
        <v>401.07</v>
      </c>
      <c r="I44" s="6">
        <f>VLOOKUP(A44,'Rate Calculation'!$A$4:$AN$208,40,FALSE)</f>
        <v>282.04000000000002</v>
      </c>
      <c r="J44" s="1">
        <v>0</v>
      </c>
      <c r="K44" s="217">
        <v>188937</v>
      </c>
      <c r="L44" s="6">
        <f>VLOOKUP(A44,'Rate Calculation'!$A$4:$AO$208,41,FALSE)</f>
        <v>186.36</v>
      </c>
      <c r="M44" s="1">
        <v>1</v>
      </c>
      <c r="N44" s="182">
        <f>VLOOKUP(A44,'Rate Calculation'!$A$4:$AL$208,38,FALSE)</f>
        <v>28</v>
      </c>
      <c r="O44" s="6" t="e">
        <f>VLOOKUP($A44,'Rate Calculation'!$A$3:$BR$210,65,FALSE)</f>
        <v>#DIV/0!</v>
      </c>
      <c r="P44" s="6" t="e">
        <f t="shared" si="5"/>
        <v>#DIV/0!</v>
      </c>
      <c r="Q44" s="6" t="e">
        <f t="shared" si="1"/>
        <v>#DIV/0!</v>
      </c>
      <c r="R44" s="6" t="e">
        <f>VLOOKUP($A44,'Rate Calculation'!$A$3:$AR$210,47,FALSE)+Q44</f>
        <v>#REF!</v>
      </c>
      <c r="S44" s="6" t="e">
        <f>VLOOKUP($A44,'Rate Calculation'!$A$4:$CQ$211,66,FALSE)</f>
        <v>#REF!</v>
      </c>
      <c r="T44" s="6" t="e">
        <f>VLOOKUP($A44,'Rate Calculation'!$A$3:$CQ$210,67,FALSE)</f>
        <v>#REF!</v>
      </c>
      <c r="U44" s="6" t="e">
        <f>VLOOKUP($A44,'Rate Calculation'!$A$3:$DE$210,82,FALSE)</f>
        <v>#DIV/0!</v>
      </c>
      <c r="V44" s="6" t="e">
        <f t="shared" si="6"/>
        <v>#DIV/0!</v>
      </c>
      <c r="W44" s="6" t="e">
        <f t="shared" si="2"/>
        <v>#DIV/0!</v>
      </c>
      <c r="X44" s="6" t="e">
        <f>VLOOKUP($A44,'Rate Calculation'!$A$3:$AR$210,47,FALSE)+W44</f>
        <v>#REF!</v>
      </c>
      <c r="Y44" s="6" t="e">
        <f>VLOOKUP($A44,'Rate Calculation'!$A$4:$CQ$210,83,FALSE)</f>
        <v>#REF!</v>
      </c>
      <c r="Z44" s="6" t="e">
        <f>VLOOKUP($A44,'Rate Calculation'!$A$3:$DE$210,84,FALSE)</f>
        <v>#REF!</v>
      </c>
      <c r="AA44" s="6">
        <f>VLOOKUP($A44,'Rate Calculation'!$A$3:$DE$210,99,FALSE)</f>
        <v>0</v>
      </c>
      <c r="AB44" s="6">
        <f t="shared" si="7"/>
        <v>0</v>
      </c>
      <c r="AC44" s="6">
        <f t="shared" si="8"/>
        <v>0</v>
      </c>
      <c r="AD44" s="6" t="e">
        <f>VLOOKUP($A44,'Rate Calculation'!$A$3:$AR$210,47,FALSE)+AC44</f>
        <v>#REF!</v>
      </c>
      <c r="AE44" s="6" t="e">
        <f>VLOOKUP($A44,'Rate Calculation'!$A$3:$CQ$210,100,FALSE)</f>
        <v>#REF!</v>
      </c>
      <c r="AF44" s="6">
        <f>VLOOKUP($A44,'Rate Calculation'!$A$3:$DE$210,101,FALSE)</f>
        <v>0</v>
      </c>
      <c r="AH44" s="175"/>
    </row>
    <row r="45" spans="1:34" x14ac:dyDescent="0.15">
      <c r="A45" s="130">
        <v>284</v>
      </c>
      <c r="B45" s="37" t="s">
        <v>639</v>
      </c>
      <c r="C45" s="1" t="str">
        <f>VLOOKUP(A45,'Rate Calculation'!$A$4:$F$210,6,FALSE)</f>
        <v>BALTIMORE METRO</v>
      </c>
      <c r="D45" s="4">
        <v>19671</v>
      </c>
      <c r="E45" s="6">
        <f>VLOOKUP(A45,'Rate Calculation'!$A$4:$AM$208,39,FALSE)</f>
        <v>371.57</v>
      </c>
      <c r="F45" s="6">
        <f t="shared" si="3"/>
        <v>367.01</v>
      </c>
      <c r="G45" s="6">
        <f t="shared" si="4"/>
        <v>367.01</v>
      </c>
      <c r="H45" s="6">
        <f>VLOOKUP(A45,'Rate Calculation'!$A$4:$AL$208,38,FALSE)+G45</f>
        <v>390.05</v>
      </c>
      <c r="I45" s="6">
        <f>VLOOKUP(A45,'Rate Calculation'!$A$4:$AN$208,40,FALSE)</f>
        <v>268.72000000000003</v>
      </c>
      <c r="J45" s="1">
        <v>0</v>
      </c>
      <c r="K45" s="217">
        <v>9575</v>
      </c>
      <c r="L45" s="6">
        <f>VLOOKUP(A45,'Rate Calculation'!$A$4:$AO$208,41,FALSE)</f>
        <v>165.87</v>
      </c>
      <c r="M45" s="1">
        <v>0</v>
      </c>
      <c r="N45" s="182">
        <f>VLOOKUP(A45,'Rate Calculation'!$A$4:$AL$208,38,FALSE)</f>
        <v>23.04</v>
      </c>
      <c r="O45" s="6" t="e">
        <f>VLOOKUP($A45,'Rate Calculation'!$A$3:$BR$210,65,FALSE)</f>
        <v>#DIV/0!</v>
      </c>
      <c r="P45" s="6" t="e">
        <f t="shared" si="5"/>
        <v>#DIV/0!</v>
      </c>
      <c r="Q45" s="6" t="e">
        <f t="shared" si="1"/>
        <v>#DIV/0!</v>
      </c>
      <c r="R45" s="6" t="e">
        <f>VLOOKUP($A45,'Rate Calculation'!$A$3:$AR$210,47,FALSE)+Q45</f>
        <v>#REF!</v>
      </c>
      <c r="S45" s="6" t="e">
        <f>VLOOKUP($A45,'Rate Calculation'!$A$4:$CQ$211,66,FALSE)</f>
        <v>#REF!</v>
      </c>
      <c r="T45" s="6" t="e">
        <f>VLOOKUP($A45,'Rate Calculation'!$A$3:$CQ$210,67,FALSE)</f>
        <v>#REF!</v>
      </c>
      <c r="U45" s="6" t="e">
        <f>VLOOKUP($A45,'Rate Calculation'!$A$3:$DE$210,82,FALSE)</f>
        <v>#DIV/0!</v>
      </c>
      <c r="V45" s="6" t="e">
        <f t="shared" si="6"/>
        <v>#DIV/0!</v>
      </c>
      <c r="W45" s="6" t="e">
        <f t="shared" si="2"/>
        <v>#DIV/0!</v>
      </c>
      <c r="X45" s="6" t="e">
        <f>VLOOKUP($A45,'Rate Calculation'!$A$3:$AR$210,47,FALSE)+W45</f>
        <v>#REF!</v>
      </c>
      <c r="Y45" s="6" t="e">
        <f>VLOOKUP($A45,'Rate Calculation'!$A$4:$CQ$210,83,FALSE)</f>
        <v>#REF!</v>
      </c>
      <c r="Z45" s="6" t="e">
        <f>VLOOKUP($A45,'Rate Calculation'!$A$3:$DE$210,84,FALSE)</f>
        <v>#REF!</v>
      </c>
      <c r="AA45" s="6">
        <f>VLOOKUP($A45,'Rate Calculation'!$A$3:$DE$210,99,FALSE)</f>
        <v>0</v>
      </c>
      <c r="AB45" s="6">
        <f t="shared" si="7"/>
        <v>0</v>
      </c>
      <c r="AC45" s="6">
        <f t="shared" si="8"/>
        <v>0</v>
      </c>
      <c r="AD45" s="6" t="e">
        <f>VLOOKUP($A45,'Rate Calculation'!$A$3:$AR$210,47,FALSE)+AC45</f>
        <v>#REF!</v>
      </c>
      <c r="AE45" s="6" t="e">
        <f>VLOOKUP($A45,'Rate Calculation'!$A$3:$CQ$210,100,FALSE)</f>
        <v>#REF!</v>
      </c>
      <c r="AF45" s="6">
        <f>VLOOKUP($A45,'Rate Calculation'!$A$3:$DE$210,101,FALSE)</f>
        <v>0</v>
      </c>
      <c r="AH45" s="175"/>
    </row>
    <row r="46" spans="1:34" x14ac:dyDescent="0.15">
      <c r="A46" s="130">
        <v>240</v>
      </c>
      <c r="B46" s="37" t="s">
        <v>641</v>
      </c>
      <c r="C46" s="1" t="str">
        <f>VLOOKUP(A46,'Rate Calculation'!$A$4:$F$210,6,FALSE)</f>
        <v>WASHINGTON METRO</v>
      </c>
      <c r="D46" s="4">
        <v>28819</v>
      </c>
      <c r="E46" s="6">
        <f>VLOOKUP(A46,'Rate Calculation'!$A$4:$AM$208,39,FALSE)</f>
        <v>368.28</v>
      </c>
      <c r="F46" s="6">
        <f t="shared" si="3"/>
        <v>363.76</v>
      </c>
      <c r="G46" s="6">
        <f t="shared" si="4"/>
        <v>363.76</v>
      </c>
      <c r="H46" s="6">
        <f>VLOOKUP(A46,'Rate Calculation'!$A$4:$AL$208,38,FALSE)+G46</f>
        <v>386.2</v>
      </c>
      <c r="I46" s="6">
        <f>VLOOKUP(A46,'Rate Calculation'!$A$4:$AN$208,40,FALSE)</f>
        <v>267.86</v>
      </c>
      <c r="J46" s="1">
        <v>0</v>
      </c>
      <c r="K46" s="217">
        <v>61227</v>
      </c>
      <c r="L46" s="6">
        <f>VLOOKUP(A46,'Rate Calculation'!$A$4:$AO$208,41,FALSE)</f>
        <v>167.43</v>
      </c>
      <c r="M46" s="1">
        <v>28</v>
      </c>
      <c r="N46" s="182">
        <f>VLOOKUP(A46,'Rate Calculation'!$A$4:$AL$208,38,FALSE)</f>
        <v>22.44</v>
      </c>
      <c r="O46" s="6" t="e">
        <f>VLOOKUP($A46,'Rate Calculation'!$A$3:$BR$210,65,FALSE)</f>
        <v>#DIV/0!</v>
      </c>
      <c r="P46" s="6" t="e">
        <f t="shared" si="5"/>
        <v>#DIV/0!</v>
      </c>
      <c r="Q46" s="6" t="e">
        <f t="shared" si="1"/>
        <v>#DIV/0!</v>
      </c>
      <c r="R46" s="6" t="e">
        <f>VLOOKUP($A46,'Rate Calculation'!$A$3:$AR$210,47,FALSE)+Q46</f>
        <v>#REF!</v>
      </c>
      <c r="S46" s="6" t="e">
        <f>VLOOKUP($A46,'Rate Calculation'!$A$4:$CQ$211,66,FALSE)</f>
        <v>#REF!</v>
      </c>
      <c r="T46" s="6" t="e">
        <f>VLOOKUP($A46,'Rate Calculation'!$A$3:$CQ$210,67,FALSE)</f>
        <v>#REF!</v>
      </c>
      <c r="U46" s="6" t="e">
        <f>VLOOKUP($A46,'Rate Calculation'!$A$3:$DE$210,82,FALSE)</f>
        <v>#DIV/0!</v>
      </c>
      <c r="V46" s="6" t="e">
        <f t="shared" si="6"/>
        <v>#DIV/0!</v>
      </c>
      <c r="W46" s="6" t="e">
        <f t="shared" si="2"/>
        <v>#DIV/0!</v>
      </c>
      <c r="X46" s="6" t="e">
        <f>VLOOKUP($A46,'Rate Calculation'!$A$3:$AR$210,47,FALSE)+W46</f>
        <v>#REF!</v>
      </c>
      <c r="Y46" s="6" t="e">
        <f>VLOOKUP($A46,'Rate Calculation'!$A$4:$CQ$210,83,FALSE)</f>
        <v>#REF!</v>
      </c>
      <c r="Z46" s="6" t="e">
        <f>VLOOKUP($A46,'Rate Calculation'!$A$3:$DE$210,84,FALSE)</f>
        <v>#REF!</v>
      </c>
      <c r="AA46" s="6">
        <f>VLOOKUP($A46,'Rate Calculation'!$A$3:$DE$210,99,FALSE)</f>
        <v>0</v>
      </c>
      <c r="AB46" s="6">
        <f t="shared" si="7"/>
        <v>0</v>
      </c>
      <c r="AC46" s="6">
        <f t="shared" si="8"/>
        <v>0</v>
      </c>
      <c r="AD46" s="6" t="e">
        <f>VLOOKUP($A46,'Rate Calculation'!$A$3:$AR$210,47,FALSE)+AC46</f>
        <v>#REF!</v>
      </c>
      <c r="AE46" s="6" t="e">
        <f>VLOOKUP($A46,'Rate Calculation'!$A$3:$CQ$210,100,FALSE)</f>
        <v>#REF!</v>
      </c>
      <c r="AF46" s="6">
        <f>VLOOKUP($A46,'Rate Calculation'!$A$3:$DE$210,101,FALSE)</f>
        <v>0</v>
      </c>
      <c r="AH46" s="175"/>
    </row>
    <row r="47" spans="1:34" x14ac:dyDescent="0.15">
      <c r="A47" s="130">
        <v>154</v>
      </c>
      <c r="B47" s="37" t="s">
        <v>491</v>
      </c>
      <c r="C47" s="1" t="str">
        <f>VLOOKUP(A47,'Rate Calculation'!$A$4:$F$210,6,FALSE)</f>
        <v>WASHINGTON METRO</v>
      </c>
      <c r="D47" s="4">
        <v>26432</v>
      </c>
      <c r="E47" s="6">
        <f>VLOOKUP(A47,'Rate Calculation'!$A$4:$AM$208,39,FALSE)</f>
        <v>312.06</v>
      </c>
      <c r="F47" s="6">
        <f t="shared" si="3"/>
        <v>308.23</v>
      </c>
      <c r="G47" s="6">
        <f t="shared" si="4"/>
        <v>308.23</v>
      </c>
      <c r="H47" s="6">
        <f>VLOOKUP(A47,'Rate Calculation'!$A$4:$AL$208,38,FALSE)+G47</f>
        <v>335.48</v>
      </c>
      <c r="I47" s="6">
        <f>VLOOKUP(A47,'Rate Calculation'!$A$4:$AN$208,40,FALSE)</f>
        <v>233.97</v>
      </c>
      <c r="J47" s="1">
        <v>0</v>
      </c>
      <c r="K47" s="217">
        <v>25794</v>
      </c>
      <c r="L47" s="6">
        <f>VLOOKUP(A47,'Rate Calculation'!$A$4:$AO$208,41,FALSE)</f>
        <v>155.87</v>
      </c>
      <c r="M47" s="1">
        <v>0</v>
      </c>
      <c r="N47" s="182">
        <f>VLOOKUP(A47,'Rate Calculation'!$A$4:$AL$208,38,FALSE)</f>
        <v>27.25</v>
      </c>
      <c r="O47" s="6" t="e">
        <f>VLOOKUP($A47,'Rate Calculation'!$A$3:$BR$210,65,FALSE)</f>
        <v>#DIV/0!</v>
      </c>
      <c r="P47" s="6" t="e">
        <f t="shared" si="5"/>
        <v>#DIV/0!</v>
      </c>
      <c r="Q47" s="6" t="e">
        <f t="shared" si="1"/>
        <v>#DIV/0!</v>
      </c>
      <c r="R47" s="6" t="e">
        <f>VLOOKUP($A47,'Rate Calculation'!$A$3:$AR$210,47,FALSE)+Q47</f>
        <v>#REF!</v>
      </c>
      <c r="S47" s="6" t="e">
        <f>VLOOKUP($A47,'Rate Calculation'!$A$4:$CQ$211,66,FALSE)</f>
        <v>#REF!</v>
      </c>
      <c r="T47" s="6" t="e">
        <f>VLOOKUP($A47,'Rate Calculation'!$A$3:$CQ$210,67,FALSE)</f>
        <v>#REF!</v>
      </c>
      <c r="U47" s="6" t="e">
        <f>VLOOKUP($A47,'Rate Calculation'!$A$3:$DE$210,82,FALSE)</f>
        <v>#DIV/0!</v>
      </c>
      <c r="V47" s="6" t="e">
        <f t="shared" si="6"/>
        <v>#DIV/0!</v>
      </c>
      <c r="W47" s="6" t="e">
        <f t="shared" si="2"/>
        <v>#DIV/0!</v>
      </c>
      <c r="X47" s="6" t="e">
        <f>VLOOKUP($A47,'Rate Calculation'!$A$3:$AR$210,47,FALSE)+W47</f>
        <v>#REF!</v>
      </c>
      <c r="Y47" s="6" t="e">
        <f>VLOOKUP($A47,'Rate Calculation'!$A$4:$CQ$210,83,FALSE)</f>
        <v>#REF!</v>
      </c>
      <c r="Z47" s="6" t="e">
        <f>VLOOKUP($A47,'Rate Calculation'!$A$3:$DE$210,84,FALSE)</f>
        <v>#REF!</v>
      </c>
      <c r="AA47" s="6">
        <f>VLOOKUP($A47,'Rate Calculation'!$A$3:$DE$210,99,FALSE)</f>
        <v>0</v>
      </c>
      <c r="AB47" s="6">
        <f t="shared" si="7"/>
        <v>0</v>
      </c>
      <c r="AC47" s="6">
        <f t="shared" si="8"/>
        <v>0</v>
      </c>
      <c r="AD47" s="6" t="e">
        <f>VLOOKUP($A47,'Rate Calculation'!$A$3:$AR$210,47,FALSE)+AC47</f>
        <v>#REF!</v>
      </c>
      <c r="AE47" s="6" t="e">
        <f>VLOOKUP($A47,'Rate Calculation'!$A$3:$CQ$210,100,FALSE)</f>
        <v>#REF!</v>
      </c>
      <c r="AF47" s="6">
        <f>VLOOKUP($A47,'Rate Calculation'!$A$3:$DE$210,101,FALSE)</f>
        <v>0</v>
      </c>
      <c r="AH47" s="175"/>
    </row>
    <row r="48" spans="1:34" x14ac:dyDescent="0.15">
      <c r="A48" s="130">
        <v>358</v>
      </c>
      <c r="B48" s="37" t="s">
        <v>619</v>
      </c>
      <c r="C48" s="1" t="str">
        <f>VLOOKUP(A48,'Rate Calculation'!$A$4:$F$210,6,FALSE)</f>
        <v>BALTIMORE CITY</v>
      </c>
      <c r="D48" s="4">
        <v>36897</v>
      </c>
      <c r="E48" s="6">
        <f>VLOOKUP(A48,'Rate Calculation'!$A$4:$AM$208,39,FALSE)</f>
        <v>379.68</v>
      </c>
      <c r="F48" s="6">
        <f t="shared" si="3"/>
        <v>375.02</v>
      </c>
      <c r="G48" s="6">
        <f t="shared" si="4"/>
        <v>375.02</v>
      </c>
      <c r="H48" s="6">
        <f>VLOOKUP(A48,'Rate Calculation'!$A$4:$AL$208,38,FALSE)+G48</f>
        <v>401.67</v>
      </c>
      <c r="I48" s="6">
        <f>VLOOKUP(A48,'Rate Calculation'!$A$4:$AN$208,40,FALSE)</f>
        <v>281.45999999999998</v>
      </c>
      <c r="J48" s="1">
        <v>0</v>
      </c>
      <c r="K48" s="217">
        <v>115182</v>
      </c>
      <c r="L48" s="6">
        <f>VLOOKUP(A48,'Rate Calculation'!$A$4:$AO$208,41,FALSE)</f>
        <v>183.24</v>
      </c>
      <c r="M48" s="1">
        <v>9</v>
      </c>
      <c r="N48" s="182">
        <f>VLOOKUP(A48,'Rate Calculation'!$A$4:$AL$208,38,FALSE)</f>
        <v>26.65</v>
      </c>
      <c r="O48" s="6" t="e">
        <f>VLOOKUP($A48,'Rate Calculation'!$A$3:$BR$210,65,FALSE)</f>
        <v>#DIV/0!</v>
      </c>
      <c r="P48" s="6" t="e">
        <f t="shared" si="5"/>
        <v>#DIV/0!</v>
      </c>
      <c r="Q48" s="6" t="e">
        <f t="shared" si="1"/>
        <v>#DIV/0!</v>
      </c>
      <c r="R48" s="6" t="e">
        <f>VLOOKUP($A48,'Rate Calculation'!$A$3:$AR$210,47,FALSE)+Q48</f>
        <v>#REF!</v>
      </c>
      <c r="S48" s="6" t="e">
        <f>VLOOKUP($A48,'Rate Calculation'!$A$4:$CQ$211,66,FALSE)</f>
        <v>#REF!</v>
      </c>
      <c r="T48" s="6" t="e">
        <f>VLOOKUP($A48,'Rate Calculation'!$A$3:$CQ$210,67,FALSE)</f>
        <v>#REF!</v>
      </c>
      <c r="U48" s="6" t="e">
        <f>VLOOKUP($A48,'Rate Calculation'!$A$3:$DE$210,82,FALSE)</f>
        <v>#DIV/0!</v>
      </c>
      <c r="V48" s="6" t="e">
        <f t="shared" si="6"/>
        <v>#DIV/0!</v>
      </c>
      <c r="W48" s="6" t="e">
        <f t="shared" si="2"/>
        <v>#DIV/0!</v>
      </c>
      <c r="X48" s="6" t="e">
        <f>VLOOKUP($A48,'Rate Calculation'!$A$3:$AR$210,47,FALSE)+W48</f>
        <v>#REF!</v>
      </c>
      <c r="Y48" s="6" t="e">
        <f>VLOOKUP($A48,'Rate Calculation'!$A$4:$CQ$210,83,FALSE)</f>
        <v>#REF!</v>
      </c>
      <c r="Z48" s="6" t="e">
        <f>VLOOKUP($A48,'Rate Calculation'!$A$3:$DE$210,84,FALSE)</f>
        <v>#REF!</v>
      </c>
      <c r="AA48" s="6">
        <f>VLOOKUP($A48,'Rate Calculation'!$A$3:$DE$210,99,FALSE)</f>
        <v>0</v>
      </c>
      <c r="AB48" s="6">
        <f t="shared" si="7"/>
        <v>0</v>
      </c>
      <c r="AC48" s="6">
        <f t="shared" si="8"/>
        <v>0</v>
      </c>
      <c r="AD48" s="6" t="e">
        <f>VLOOKUP($A48,'Rate Calculation'!$A$3:$AR$210,47,FALSE)+AC48</f>
        <v>#REF!</v>
      </c>
      <c r="AE48" s="6" t="e">
        <f>VLOOKUP($A48,'Rate Calculation'!$A$3:$CQ$210,100,FALSE)</f>
        <v>#REF!</v>
      </c>
      <c r="AF48" s="6">
        <f>VLOOKUP($A48,'Rate Calculation'!$A$3:$DE$210,101,FALSE)</f>
        <v>0</v>
      </c>
      <c r="AH48" s="175"/>
    </row>
    <row r="49" spans="1:34" x14ac:dyDescent="0.15">
      <c r="A49" s="130">
        <v>134</v>
      </c>
      <c r="B49" s="37" t="s">
        <v>581</v>
      </c>
      <c r="C49" s="1" t="str">
        <f>VLOOKUP(A49,'Rate Calculation'!$A$4:$F$210,6,FALSE)</f>
        <v>BALTIMORE METRO</v>
      </c>
      <c r="D49" s="4">
        <v>30750</v>
      </c>
      <c r="E49" s="6">
        <f>VLOOKUP(A49,'Rate Calculation'!$A$4:$AM$208,39,FALSE)</f>
        <v>349.49</v>
      </c>
      <c r="F49" s="6">
        <f t="shared" si="3"/>
        <v>345.2</v>
      </c>
      <c r="G49" s="6">
        <f t="shared" si="4"/>
        <v>345.2</v>
      </c>
      <c r="H49" s="6">
        <f>VLOOKUP(A49,'Rate Calculation'!$A$4:$AL$208,38,FALSE)+G49</f>
        <v>370.28</v>
      </c>
      <c r="I49" s="6">
        <f>VLOOKUP(A49,'Rate Calculation'!$A$4:$AN$208,40,FALSE)</f>
        <v>255.3</v>
      </c>
      <c r="J49" s="1">
        <v>0</v>
      </c>
      <c r="K49" s="217">
        <v>42542</v>
      </c>
      <c r="L49" s="6">
        <f>VLOOKUP(A49,'Rate Calculation'!$A$4:$AO$208,41,FALSE)</f>
        <v>161.1</v>
      </c>
      <c r="M49" s="1">
        <v>0</v>
      </c>
      <c r="N49" s="182">
        <f>VLOOKUP(A49,'Rate Calculation'!$A$4:$AL$208,38,FALSE)</f>
        <v>25.08</v>
      </c>
      <c r="O49" s="6" t="e">
        <f>VLOOKUP($A49,'Rate Calculation'!$A$3:$BR$210,65,FALSE)</f>
        <v>#DIV/0!</v>
      </c>
      <c r="P49" s="6" t="e">
        <f t="shared" si="5"/>
        <v>#DIV/0!</v>
      </c>
      <c r="Q49" s="6" t="e">
        <f t="shared" si="1"/>
        <v>#DIV/0!</v>
      </c>
      <c r="R49" s="6" t="e">
        <f>VLOOKUP($A49,'Rate Calculation'!$A$3:$AR$210,47,FALSE)+Q49</f>
        <v>#REF!</v>
      </c>
      <c r="S49" s="6" t="e">
        <f>VLOOKUP($A49,'Rate Calculation'!$A$4:$CQ$211,66,FALSE)</f>
        <v>#REF!</v>
      </c>
      <c r="T49" s="6" t="e">
        <f>VLOOKUP($A49,'Rate Calculation'!$A$3:$CQ$210,67,FALSE)</f>
        <v>#REF!</v>
      </c>
      <c r="U49" s="6" t="e">
        <f>VLOOKUP($A49,'Rate Calculation'!$A$3:$DE$210,82,FALSE)</f>
        <v>#DIV/0!</v>
      </c>
      <c r="V49" s="6" t="e">
        <f t="shared" si="6"/>
        <v>#DIV/0!</v>
      </c>
      <c r="W49" s="6" t="e">
        <f t="shared" si="2"/>
        <v>#DIV/0!</v>
      </c>
      <c r="X49" s="6" t="e">
        <f>VLOOKUP($A49,'Rate Calculation'!$A$3:$AR$210,47,FALSE)+W49</f>
        <v>#REF!</v>
      </c>
      <c r="Y49" s="6" t="e">
        <f>VLOOKUP($A49,'Rate Calculation'!$A$4:$CQ$210,83,FALSE)</f>
        <v>#REF!</v>
      </c>
      <c r="Z49" s="6" t="e">
        <f>VLOOKUP($A49,'Rate Calculation'!$A$3:$DE$210,84,FALSE)</f>
        <v>#REF!</v>
      </c>
      <c r="AA49" s="6">
        <f>VLOOKUP($A49,'Rate Calculation'!$A$3:$DE$210,99,FALSE)</f>
        <v>0</v>
      </c>
      <c r="AB49" s="6">
        <f t="shared" si="7"/>
        <v>0</v>
      </c>
      <c r="AC49" s="6">
        <f t="shared" si="8"/>
        <v>0</v>
      </c>
      <c r="AD49" s="6" t="e">
        <f>VLOOKUP($A49,'Rate Calculation'!$A$3:$AR$210,47,FALSE)+AC49</f>
        <v>#REF!</v>
      </c>
      <c r="AE49" s="6" t="e">
        <f>VLOOKUP($A49,'Rate Calculation'!$A$3:$CQ$210,100,FALSE)</f>
        <v>#REF!</v>
      </c>
      <c r="AF49" s="6">
        <f>VLOOKUP($A49,'Rate Calculation'!$A$3:$DE$210,101,FALSE)</f>
        <v>0</v>
      </c>
      <c r="AH49" s="175"/>
    </row>
    <row r="50" spans="1:34" x14ac:dyDescent="0.15">
      <c r="A50" s="130">
        <v>695</v>
      </c>
      <c r="B50" s="37" t="s">
        <v>623</v>
      </c>
      <c r="C50" s="1" t="str">
        <f>VLOOKUP(A50,'Rate Calculation'!$A$4:$F$210,6,FALSE)</f>
        <v>WASHINGTON METRO</v>
      </c>
      <c r="D50" s="4">
        <v>35482</v>
      </c>
      <c r="E50" s="6">
        <f>VLOOKUP(A50,'Rate Calculation'!$A$4:$AM$208,39,FALSE)</f>
        <v>346.45</v>
      </c>
      <c r="F50" s="6">
        <f t="shared" si="3"/>
        <v>342.2</v>
      </c>
      <c r="G50" s="6">
        <f t="shared" si="4"/>
        <v>342.2</v>
      </c>
      <c r="H50" s="6">
        <f>VLOOKUP(A50,'Rate Calculation'!$A$4:$AL$208,38,FALSE)+G50</f>
        <v>368.02</v>
      </c>
      <c r="I50" s="6">
        <f>VLOOKUP(A50,'Rate Calculation'!$A$4:$AN$208,40,FALSE)</f>
        <v>255.97</v>
      </c>
      <c r="J50" s="1">
        <v>0</v>
      </c>
      <c r="K50" s="217">
        <v>65998</v>
      </c>
      <c r="L50" s="6">
        <f>VLOOKUP(A50,'Rate Calculation'!$A$4:$AO$208,41,FALSE)</f>
        <v>165.48</v>
      </c>
      <c r="M50" s="1">
        <v>13</v>
      </c>
      <c r="N50" s="182">
        <f>VLOOKUP(A50,'Rate Calculation'!$A$4:$AL$208,38,FALSE)</f>
        <v>25.82</v>
      </c>
      <c r="O50" s="6" t="e">
        <f>VLOOKUP($A50,'Rate Calculation'!$A$3:$BR$210,65,FALSE)</f>
        <v>#DIV/0!</v>
      </c>
      <c r="P50" s="6" t="e">
        <f t="shared" si="5"/>
        <v>#DIV/0!</v>
      </c>
      <c r="Q50" s="6" t="e">
        <f t="shared" si="1"/>
        <v>#DIV/0!</v>
      </c>
      <c r="R50" s="6" t="e">
        <f>VLOOKUP($A50,'Rate Calculation'!$A$3:$AR$210,47,FALSE)+Q50</f>
        <v>#REF!</v>
      </c>
      <c r="S50" s="6" t="e">
        <f>VLOOKUP($A50,'Rate Calculation'!$A$4:$CQ$211,66,FALSE)</f>
        <v>#REF!</v>
      </c>
      <c r="T50" s="6" t="e">
        <f>VLOOKUP($A50,'Rate Calculation'!$A$3:$CQ$210,67,FALSE)</f>
        <v>#REF!</v>
      </c>
      <c r="U50" s="6" t="e">
        <f>VLOOKUP($A50,'Rate Calculation'!$A$3:$DE$210,82,FALSE)</f>
        <v>#DIV/0!</v>
      </c>
      <c r="V50" s="6" t="e">
        <f t="shared" si="6"/>
        <v>#DIV/0!</v>
      </c>
      <c r="W50" s="6" t="e">
        <f t="shared" si="2"/>
        <v>#DIV/0!</v>
      </c>
      <c r="X50" s="6" t="e">
        <f>VLOOKUP($A50,'Rate Calculation'!$A$3:$AR$210,47,FALSE)+W50</f>
        <v>#REF!</v>
      </c>
      <c r="Y50" s="6" t="e">
        <f>VLOOKUP($A50,'Rate Calculation'!$A$4:$CQ$210,83,FALSE)</f>
        <v>#REF!</v>
      </c>
      <c r="Z50" s="6" t="e">
        <f>VLOOKUP($A50,'Rate Calculation'!$A$3:$DE$210,84,FALSE)</f>
        <v>#REF!</v>
      </c>
      <c r="AA50" s="6">
        <f>VLOOKUP($A50,'Rate Calculation'!$A$3:$DE$210,99,FALSE)</f>
        <v>0</v>
      </c>
      <c r="AB50" s="6">
        <f t="shared" si="7"/>
        <v>0</v>
      </c>
      <c r="AC50" s="6">
        <f t="shared" si="8"/>
        <v>0</v>
      </c>
      <c r="AD50" s="6" t="e">
        <f>VLOOKUP($A50,'Rate Calculation'!$A$3:$AR$210,47,FALSE)+AC50</f>
        <v>#REF!</v>
      </c>
      <c r="AE50" s="6" t="e">
        <f>VLOOKUP($A50,'Rate Calculation'!$A$3:$CQ$210,100,FALSE)</f>
        <v>#REF!</v>
      </c>
      <c r="AF50" s="6">
        <f>VLOOKUP($A50,'Rate Calculation'!$A$3:$DE$210,101,FALSE)</f>
        <v>0</v>
      </c>
      <c r="AH50" s="175"/>
    </row>
    <row r="51" spans="1:34" x14ac:dyDescent="0.15">
      <c r="A51" s="130">
        <v>362</v>
      </c>
      <c r="B51" s="37" t="s">
        <v>558</v>
      </c>
      <c r="C51" s="1" t="str">
        <f>VLOOKUP(A51,'Rate Calculation'!$A$4:$F$210,6,FALSE)</f>
        <v>BALTIMORE METRO</v>
      </c>
      <c r="D51" s="4">
        <v>24565</v>
      </c>
      <c r="E51" s="6">
        <f>VLOOKUP(A51,'Rate Calculation'!$A$4:$AM$208,39,FALSE)</f>
        <v>337.19</v>
      </c>
      <c r="F51" s="6">
        <f t="shared" si="3"/>
        <v>333.05</v>
      </c>
      <c r="G51" s="6">
        <f t="shared" si="4"/>
        <v>333.05</v>
      </c>
      <c r="H51" s="6">
        <f>VLOOKUP(A51,'Rate Calculation'!$A$4:$AL$208,38,FALSE)+G51</f>
        <v>359.45</v>
      </c>
      <c r="I51" s="6">
        <f>VLOOKUP(A51,'Rate Calculation'!$A$4:$AN$208,40,FALSE)</f>
        <v>246</v>
      </c>
      <c r="J51" s="1">
        <v>0</v>
      </c>
      <c r="K51" s="217">
        <v>72174</v>
      </c>
      <c r="L51" s="6">
        <f>VLOOKUP(A51,'Rate Calculation'!$A$4:$AO$208,41,FALSE)</f>
        <v>154.81</v>
      </c>
      <c r="M51" s="1">
        <v>9</v>
      </c>
      <c r="N51" s="182">
        <f>VLOOKUP(A51,'Rate Calculation'!$A$4:$AL$208,38,FALSE)</f>
        <v>26.4</v>
      </c>
      <c r="O51" s="6" t="e">
        <f>VLOOKUP($A51,'Rate Calculation'!$A$3:$BR$210,65,FALSE)</f>
        <v>#DIV/0!</v>
      </c>
      <c r="P51" s="6" t="e">
        <f t="shared" si="5"/>
        <v>#DIV/0!</v>
      </c>
      <c r="Q51" s="6" t="e">
        <f t="shared" si="1"/>
        <v>#DIV/0!</v>
      </c>
      <c r="R51" s="6" t="e">
        <f>VLOOKUP($A51,'Rate Calculation'!$A$3:$AR$210,47,FALSE)+Q51</f>
        <v>#REF!</v>
      </c>
      <c r="S51" s="6" t="e">
        <f>VLOOKUP($A51,'Rate Calculation'!$A$4:$CQ$211,66,FALSE)</f>
        <v>#REF!</v>
      </c>
      <c r="T51" s="6" t="e">
        <f>VLOOKUP($A51,'Rate Calculation'!$A$3:$CQ$210,67,FALSE)</f>
        <v>#REF!</v>
      </c>
      <c r="U51" s="6" t="e">
        <f>VLOOKUP($A51,'Rate Calculation'!$A$3:$DE$210,82,FALSE)</f>
        <v>#DIV/0!</v>
      </c>
      <c r="V51" s="6" t="e">
        <f t="shared" si="6"/>
        <v>#DIV/0!</v>
      </c>
      <c r="W51" s="6" t="e">
        <f t="shared" si="2"/>
        <v>#DIV/0!</v>
      </c>
      <c r="X51" s="6" t="e">
        <f>VLOOKUP($A51,'Rate Calculation'!$A$3:$AR$210,47,FALSE)+W51</f>
        <v>#REF!</v>
      </c>
      <c r="Y51" s="6" t="e">
        <f>VLOOKUP($A51,'Rate Calculation'!$A$4:$CQ$210,83,FALSE)</f>
        <v>#REF!</v>
      </c>
      <c r="Z51" s="6" t="e">
        <f>VLOOKUP($A51,'Rate Calculation'!$A$3:$DE$210,84,FALSE)</f>
        <v>#REF!</v>
      </c>
      <c r="AA51" s="6">
        <f>VLOOKUP($A51,'Rate Calculation'!$A$3:$DE$210,99,FALSE)</f>
        <v>0</v>
      </c>
      <c r="AB51" s="6">
        <f t="shared" si="7"/>
        <v>0</v>
      </c>
      <c r="AC51" s="6">
        <f t="shared" si="8"/>
        <v>0</v>
      </c>
      <c r="AD51" s="6" t="e">
        <f>VLOOKUP($A51,'Rate Calculation'!$A$3:$AR$210,47,FALSE)+AC51</f>
        <v>#REF!</v>
      </c>
      <c r="AE51" s="6" t="e">
        <f>VLOOKUP($A51,'Rate Calculation'!$A$3:$CQ$210,100,FALSE)</f>
        <v>#REF!</v>
      </c>
      <c r="AF51" s="6">
        <f>VLOOKUP($A51,'Rate Calculation'!$A$3:$DE$210,101,FALSE)</f>
        <v>0</v>
      </c>
      <c r="AH51" s="175"/>
    </row>
    <row r="52" spans="1:34" x14ac:dyDescent="0.15">
      <c r="A52" s="130">
        <v>390</v>
      </c>
      <c r="B52" s="37" t="s">
        <v>450</v>
      </c>
      <c r="C52" s="1" t="str">
        <f>VLOOKUP(A52,'Rate Calculation'!$A$4:$F$210,6,FALSE)</f>
        <v>BALTIMORE METRO</v>
      </c>
      <c r="D52" s="4">
        <v>29131</v>
      </c>
      <c r="E52" s="6">
        <f>VLOOKUP(A52,'Rate Calculation'!$A$4:$AM$208,39,FALSE)</f>
        <v>368.85</v>
      </c>
      <c r="F52" s="6">
        <f t="shared" si="3"/>
        <v>364.32</v>
      </c>
      <c r="G52" s="6">
        <f t="shared" si="4"/>
        <v>364.32</v>
      </c>
      <c r="H52" s="6">
        <f>VLOOKUP(A52,'Rate Calculation'!$A$4:$AL$208,38,FALSE)+G52</f>
        <v>390.17</v>
      </c>
      <c r="I52" s="6">
        <f>VLOOKUP(A52,'Rate Calculation'!$A$4:$AN$208,40,FALSE)</f>
        <v>263.47000000000003</v>
      </c>
      <c r="J52" s="1">
        <v>0</v>
      </c>
      <c r="K52" s="217">
        <v>86785</v>
      </c>
      <c r="L52" s="6">
        <f>VLOOKUP(A52,'Rate Calculation'!$A$4:$AO$208,41,FALSE)</f>
        <v>158.09</v>
      </c>
      <c r="M52" s="1">
        <v>6</v>
      </c>
      <c r="N52" s="182">
        <f>VLOOKUP(A52,'Rate Calculation'!$A$4:$AL$208,38,FALSE)</f>
        <v>25.85</v>
      </c>
      <c r="O52" s="6" t="e">
        <f>VLOOKUP($A52,'Rate Calculation'!$A$3:$BR$210,65,FALSE)</f>
        <v>#DIV/0!</v>
      </c>
      <c r="P52" s="6" t="e">
        <f t="shared" si="5"/>
        <v>#DIV/0!</v>
      </c>
      <c r="Q52" s="6" t="e">
        <f t="shared" si="1"/>
        <v>#DIV/0!</v>
      </c>
      <c r="R52" s="6" t="e">
        <f>VLOOKUP($A52,'Rate Calculation'!$A$3:$AR$210,47,FALSE)+Q52</f>
        <v>#REF!</v>
      </c>
      <c r="S52" s="6" t="e">
        <f>VLOOKUP($A52,'Rate Calculation'!$A$4:$CQ$211,66,FALSE)</f>
        <v>#REF!</v>
      </c>
      <c r="T52" s="6" t="e">
        <f>VLOOKUP($A52,'Rate Calculation'!$A$3:$CQ$210,67,FALSE)</f>
        <v>#REF!</v>
      </c>
      <c r="U52" s="6" t="e">
        <f>VLOOKUP($A52,'Rate Calculation'!$A$3:$DE$210,82,FALSE)</f>
        <v>#DIV/0!</v>
      </c>
      <c r="V52" s="6" t="e">
        <f t="shared" si="6"/>
        <v>#DIV/0!</v>
      </c>
      <c r="W52" s="6" t="e">
        <f t="shared" si="2"/>
        <v>#DIV/0!</v>
      </c>
      <c r="X52" s="6" t="e">
        <f>VLOOKUP($A52,'Rate Calculation'!$A$3:$AR$210,47,FALSE)+W52</f>
        <v>#REF!</v>
      </c>
      <c r="Y52" s="6" t="e">
        <f>VLOOKUP($A52,'Rate Calculation'!$A$4:$CQ$210,83,FALSE)</f>
        <v>#REF!</v>
      </c>
      <c r="Z52" s="6" t="e">
        <f>VLOOKUP($A52,'Rate Calculation'!$A$3:$DE$210,84,FALSE)</f>
        <v>#REF!</v>
      </c>
      <c r="AA52" s="6">
        <f>VLOOKUP($A52,'Rate Calculation'!$A$3:$DE$210,99,FALSE)</f>
        <v>0</v>
      </c>
      <c r="AB52" s="6">
        <f t="shared" si="7"/>
        <v>0</v>
      </c>
      <c r="AC52" s="6">
        <f t="shared" si="8"/>
        <v>0</v>
      </c>
      <c r="AD52" s="6" t="e">
        <f>VLOOKUP($A52,'Rate Calculation'!$A$3:$AR$210,47,FALSE)+AC52</f>
        <v>#REF!</v>
      </c>
      <c r="AE52" s="6" t="e">
        <f>VLOOKUP($A52,'Rate Calculation'!$A$3:$CQ$210,100,FALSE)</f>
        <v>#REF!</v>
      </c>
      <c r="AF52" s="6">
        <f>VLOOKUP($A52,'Rate Calculation'!$A$3:$DE$210,101,FALSE)</f>
        <v>0</v>
      </c>
      <c r="AH52" s="175"/>
    </row>
    <row r="53" spans="1:34" x14ac:dyDescent="0.15">
      <c r="A53" s="130">
        <v>384</v>
      </c>
      <c r="B53" s="37" t="s">
        <v>493</v>
      </c>
      <c r="C53" s="1" t="str">
        <f>VLOOKUP(A53,'Rate Calculation'!$A$4:$F$210,6,FALSE)</f>
        <v>BALTIMORE METRO</v>
      </c>
      <c r="D53" s="4">
        <v>51265</v>
      </c>
      <c r="E53" s="6">
        <f>VLOOKUP(A53,'Rate Calculation'!$A$4:$AM$208,39,FALSE)</f>
        <v>334</v>
      </c>
      <c r="F53" s="6">
        <f t="shared" si="3"/>
        <v>329.9</v>
      </c>
      <c r="G53" s="6">
        <f t="shared" si="4"/>
        <v>329.9</v>
      </c>
      <c r="H53" s="6">
        <f>VLOOKUP(A53,'Rate Calculation'!$A$4:$AL$208,38,FALSE)+G53</f>
        <v>332.17</v>
      </c>
      <c r="I53" s="6">
        <f>VLOOKUP(A53,'Rate Calculation'!$A$4:$AN$208,40,FALSE)</f>
        <v>245.72</v>
      </c>
      <c r="J53" s="1">
        <v>0</v>
      </c>
      <c r="K53" s="217">
        <v>78764</v>
      </c>
      <c r="L53" s="6">
        <f>VLOOKUP(A53,'Rate Calculation'!$A$4:$AO$208,41,FALSE)</f>
        <v>157.44</v>
      </c>
      <c r="M53" s="1">
        <v>11</v>
      </c>
      <c r="N53" s="182">
        <f>VLOOKUP(A53,'Rate Calculation'!$A$4:$AL$208,38,FALSE)</f>
        <v>2.27</v>
      </c>
      <c r="O53" s="6" t="e">
        <f>VLOOKUP($A53,'Rate Calculation'!$A$3:$BR$210,65,FALSE)</f>
        <v>#DIV/0!</v>
      </c>
      <c r="P53" s="6" t="e">
        <f t="shared" si="5"/>
        <v>#DIV/0!</v>
      </c>
      <c r="Q53" s="6" t="e">
        <f t="shared" si="1"/>
        <v>#DIV/0!</v>
      </c>
      <c r="R53" s="6" t="e">
        <f>VLOOKUP($A53,'Rate Calculation'!$A$3:$AR$210,47,FALSE)+Q53</f>
        <v>#REF!</v>
      </c>
      <c r="S53" s="6" t="e">
        <f>VLOOKUP($A53,'Rate Calculation'!$A$4:$CQ$211,66,FALSE)</f>
        <v>#REF!</v>
      </c>
      <c r="T53" s="6" t="e">
        <f>VLOOKUP($A53,'Rate Calculation'!$A$3:$CQ$210,67,FALSE)</f>
        <v>#REF!</v>
      </c>
      <c r="U53" s="6" t="e">
        <f>VLOOKUP($A53,'Rate Calculation'!$A$3:$DE$210,82,FALSE)</f>
        <v>#DIV/0!</v>
      </c>
      <c r="V53" s="6" t="e">
        <f t="shared" si="6"/>
        <v>#DIV/0!</v>
      </c>
      <c r="W53" s="6" t="e">
        <f t="shared" si="2"/>
        <v>#DIV/0!</v>
      </c>
      <c r="X53" s="6" t="e">
        <f>VLOOKUP($A53,'Rate Calculation'!$A$3:$AR$210,47,FALSE)+W53</f>
        <v>#REF!</v>
      </c>
      <c r="Y53" s="6" t="e">
        <f>VLOOKUP($A53,'Rate Calculation'!$A$4:$CQ$210,83,FALSE)</f>
        <v>#REF!</v>
      </c>
      <c r="Z53" s="6" t="e">
        <f>VLOOKUP($A53,'Rate Calculation'!$A$3:$DE$210,84,FALSE)</f>
        <v>#REF!</v>
      </c>
      <c r="AA53" s="6">
        <f>VLOOKUP($A53,'Rate Calculation'!$A$3:$DE$210,99,FALSE)</f>
        <v>0</v>
      </c>
      <c r="AB53" s="6">
        <f t="shared" si="7"/>
        <v>0</v>
      </c>
      <c r="AC53" s="6">
        <f t="shared" si="8"/>
        <v>0</v>
      </c>
      <c r="AD53" s="6" t="e">
        <f>VLOOKUP($A53,'Rate Calculation'!$A$3:$AR$210,47,FALSE)+AC53</f>
        <v>#REF!</v>
      </c>
      <c r="AE53" s="6" t="e">
        <f>VLOOKUP($A53,'Rate Calculation'!$A$3:$CQ$210,100,FALSE)</f>
        <v>#REF!</v>
      </c>
      <c r="AF53" s="6">
        <f>VLOOKUP($A53,'Rate Calculation'!$A$3:$DE$210,101,FALSE)</f>
        <v>0</v>
      </c>
      <c r="AH53" s="175"/>
    </row>
    <row r="54" spans="1:34" x14ac:dyDescent="0.15">
      <c r="A54" s="130">
        <v>314</v>
      </c>
      <c r="B54" s="37" t="s">
        <v>691</v>
      </c>
      <c r="C54" s="1" t="str">
        <f>VLOOKUP(A54,'Rate Calculation'!$A$4:$F$210,6,FALSE)</f>
        <v>BALTIMORE METRO</v>
      </c>
      <c r="D54" s="4">
        <v>39731</v>
      </c>
      <c r="E54" s="6">
        <f>VLOOKUP(A54,'Rate Calculation'!$A$4:$AM$208,39,FALSE)</f>
        <v>372.48</v>
      </c>
      <c r="F54" s="6">
        <f t="shared" si="3"/>
        <v>367.91</v>
      </c>
      <c r="G54" s="6">
        <f t="shared" si="4"/>
        <v>367.91</v>
      </c>
      <c r="H54" s="6">
        <f>VLOOKUP(A54,'Rate Calculation'!$A$4:$AL$208,38,FALSE)+G54</f>
        <v>393.85</v>
      </c>
      <c r="I54" s="6">
        <f>VLOOKUP(A54,'Rate Calculation'!$A$4:$AN$208,40,FALSE)</f>
        <v>269.91000000000003</v>
      </c>
      <c r="J54" s="1">
        <v>0</v>
      </c>
      <c r="K54" s="217">
        <v>55588</v>
      </c>
      <c r="L54" s="6">
        <f>VLOOKUP(A54,'Rate Calculation'!$A$4:$AO$208,41,FALSE)</f>
        <v>167.33</v>
      </c>
      <c r="M54" s="1">
        <v>24</v>
      </c>
      <c r="N54" s="182">
        <f>VLOOKUP(A54,'Rate Calculation'!$A$4:$AL$208,38,FALSE)</f>
        <v>25.94</v>
      </c>
      <c r="O54" s="6" t="e">
        <f>VLOOKUP($A54,'Rate Calculation'!$A$3:$BR$210,65,FALSE)</f>
        <v>#DIV/0!</v>
      </c>
      <c r="P54" s="6" t="e">
        <f t="shared" si="5"/>
        <v>#DIV/0!</v>
      </c>
      <c r="Q54" s="6" t="e">
        <f t="shared" si="1"/>
        <v>#DIV/0!</v>
      </c>
      <c r="R54" s="6" t="e">
        <f>VLOOKUP($A54,'Rate Calculation'!$A$3:$AR$210,47,FALSE)+Q54</f>
        <v>#REF!</v>
      </c>
      <c r="S54" s="6" t="e">
        <f>VLOOKUP($A54,'Rate Calculation'!$A$4:$CQ$211,66,FALSE)</f>
        <v>#REF!</v>
      </c>
      <c r="T54" s="6" t="e">
        <f>VLOOKUP($A54,'Rate Calculation'!$A$3:$CQ$210,67,FALSE)</f>
        <v>#REF!</v>
      </c>
      <c r="U54" s="6" t="e">
        <f>VLOOKUP($A54,'Rate Calculation'!$A$3:$DE$210,82,FALSE)</f>
        <v>#DIV/0!</v>
      </c>
      <c r="V54" s="6" t="e">
        <f t="shared" si="6"/>
        <v>#DIV/0!</v>
      </c>
      <c r="W54" s="6" t="e">
        <f t="shared" si="2"/>
        <v>#DIV/0!</v>
      </c>
      <c r="X54" s="6" t="e">
        <f>VLOOKUP($A54,'Rate Calculation'!$A$3:$AR$210,47,FALSE)+W54</f>
        <v>#REF!</v>
      </c>
      <c r="Y54" s="6" t="e">
        <f>VLOOKUP($A54,'Rate Calculation'!$A$4:$CQ$210,83,FALSE)</f>
        <v>#REF!</v>
      </c>
      <c r="Z54" s="6" t="e">
        <f>VLOOKUP($A54,'Rate Calculation'!$A$3:$DE$210,84,FALSE)</f>
        <v>#REF!</v>
      </c>
      <c r="AA54" s="6">
        <f>VLOOKUP($A54,'Rate Calculation'!$A$3:$DE$210,99,FALSE)</f>
        <v>0</v>
      </c>
      <c r="AB54" s="6">
        <f t="shared" si="7"/>
        <v>0</v>
      </c>
      <c r="AC54" s="6">
        <f t="shared" si="8"/>
        <v>0</v>
      </c>
      <c r="AD54" s="6" t="e">
        <f>VLOOKUP($A54,'Rate Calculation'!$A$3:$AR$210,47,FALSE)+AC54</f>
        <v>#REF!</v>
      </c>
      <c r="AE54" s="6" t="e">
        <f>VLOOKUP($A54,'Rate Calculation'!$A$3:$CQ$210,100,FALSE)</f>
        <v>#REF!</v>
      </c>
      <c r="AF54" s="6">
        <f>VLOOKUP($A54,'Rate Calculation'!$A$3:$DE$210,101,FALSE)</f>
        <v>0</v>
      </c>
      <c r="AH54" s="175"/>
    </row>
    <row r="55" spans="1:34" x14ac:dyDescent="0.15">
      <c r="A55" s="130">
        <v>324</v>
      </c>
      <c r="B55" s="37" t="s">
        <v>695</v>
      </c>
      <c r="C55" s="1" t="str">
        <f>VLOOKUP(A55,'Rate Calculation'!$A$4:$F$210,6,FALSE)</f>
        <v>WASHINGTON METRO</v>
      </c>
      <c r="D55" s="4">
        <v>35899</v>
      </c>
      <c r="E55" s="6">
        <f>VLOOKUP(A55,'Rate Calculation'!$A$4:$AM$208,39,FALSE)</f>
        <v>343.27</v>
      </c>
      <c r="F55" s="6">
        <f t="shared" si="3"/>
        <v>339.05</v>
      </c>
      <c r="G55" s="6">
        <f t="shared" si="4"/>
        <v>339.05</v>
      </c>
      <c r="H55" s="6">
        <f>VLOOKUP(A55,'Rate Calculation'!$A$4:$AL$208,38,FALSE)+G55</f>
        <v>364.6</v>
      </c>
      <c r="I55" s="6">
        <f>VLOOKUP(A55,'Rate Calculation'!$A$4:$AN$208,40,FALSE)</f>
        <v>252.66</v>
      </c>
      <c r="J55" s="1">
        <v>0</v>
      </c>
      <c r="K55" s="217">
        <v>134823</v>
      </c>
      <c r="L55" s="6">
        <f>VLOOKUP(A55,'Rate Calculation'!$A$4:$AO$208,41,FALSE)</f>
        <v>162.05000000000001</v>
      </c>
      <c r="M55" s="1">
        <v>0</v>
      </c>
      <c r="N55" s="182">
        <f>VLOOKUP(A55,'Rate Calculation'!$A$4:$AL$208,38,FALSE)</f>
        <v>25.55</v>
      </c>
      <c r="O55" s="6" t="e">
        <f>VLOOKUP($A55,'Rate Calculation'!$A$3:$BR$210,65,FALSE)</f>
        <v>#DIV/0!</v>
      </c>
      <c r="P55" s="6" t="e">
        <f t="shared" si="5"/>
        <v>#DIV/0!</v>
      </c>
      <c r="Q55" s="6" t="e">
        <f t="shared" si="1"/>
        <v>#DIV/0!</v>
      </c>
      <c r="R55" s="6" t="e">
        <f>VLOOKUP($A55,'Rate Calculation'!$A$3:$AR$210,47,FALSE)+Q55</f>
        <v>#REF!</v>
      </c>
      <c r="S55" s="6" t="e">
        <f>VLOOKUP($A55,'Rate Calculation'!$A$4:$CQ$211,66,FALSE)</f>
        <v>#REF!</v>
      </c>
      <c r="T55" s="6" t="e">
        <f>VLOOKUP($A55,'Rate Calculation'!$A$3:$CQ$210,67,FALSE)</f>
        <v>#REF!</v>
      </c>
      <c r="U55" s="6" t="e">
        <f>VLOOKUP($A55,'Rate Calculation'!$A$3:$DE$210,82,FALSE)</f>
        <v>#DIV/0!</v>
      </c>
      <c r="V55" s="6" t="e">
        <f t="shared" si="6"/>
        <v>#DIV/0!</v>
      </c>
      <c r="W55" s="6" t="e">
        <f t="shared" si="2"/>
        <v>#DIV/0!</v>
      </c>
      <c r="X55" s="6" t="e">
        <f>VLOOKUP($A55,'Rate Calculation'!$A$3:$AR$210,47,FALSE)+W55</f>
        <v>#REF!</v>
      </c>
      <c r="Y55" s="6" t="e">
        <f>VLOOKUP($A55,'Rate Calculation'!$A$4:$CQ$210,83,FALSE)</f>
        <v>#REF!</v>
      </c>
      <c r="Z55" s="6" t="e">
        <f>VLOOKUP($A55,'Rate Calculation'!$A$3:$DE$210,84,FALSE)</f>
        <v>#REF!</v>
      </c>
      <c r="AA55" s="6">
        <f>VLOOKUP($A55,'Rate Calculation'!$A$3:$DE$210,99,FALSE)</f>
        <v>0</v>
      </c>
      <c r="AB55" s="6">
        <f t="shared" si="7"/>
        <v>0</v>
      </c>
      <c r="AC55" s="6">
        <f t="shared" si="8"/>
        <v>0</v>
      </c>
      <c r="AD55" s="6" t="e">
        <f>VLOOKUP($A55,'Rate Calculation'!$A$3:$AR$210,47,FALSE)+AC55</f>
        <v>#REF!</v>
      </c>
      <c r="AE55" s="6" t="e">
        <f>VLOOKUP($A55,'Rate Calculation'!$A$3:$CQ$210,100,FALSE)</f>
        <v>#REF!</v>
      </c>
      <c r="AF55" s="6">
        <f>VLOOKUP($A55,'Rate Calculation'!$A$3:$DE$210,101,FALSE)</f>
        <v>0</v>
      </c>
      <c r="AH55" s="175"/>
    </row>
    <row r="56" spans="1:34" x14ac:dyDescent="0.15">
      <c r="A56" s="130">
        <v>410</v>
      </c>
      <c r="B56" s="37" t="s">
        <v>560</v>
      </c>
      <c r="C56" s="1" t="str">
        <f>VLOOKUP(A56,'Rate Calculation'!$A$4:$F$210,6,FALSE)</f>
        <v>BALTIMORE METRO</v>
      </c>
      <c r="D56" s="4">
        <v>20460</v>
      </c>
      <c r="E56" s="6">
        <f>VLOOKUP(A56,'Rate Calculation'!$A$4:$AM$208,39,FALSE)</f>
        <v>376.12</v>
      </c>
      <c r="F56" s="6">
        <f t="shared" si="3"/>
        <v>371.5</v>
      </c>
      <c r="G56" s="6">
        <f t="shared" si="4"/>
        <v>371.5</v>
      </c>
      <c r="H56" s="6">
        <f>VLOOKUP(A56,'Rate Calculation'!$A$4:$AL$208,38,FALSE)+G56</f>
        <v>391.41</v>
      </c>
      <c r="I56" s="6">
        <f>VLOOKUP(A56,'Rate Calculation'!$A$4:$AN$208,40,FALSE)</f>
        <v>273.22000000000003</v>
      </c>
      <c r="J56" s="1">
        <v>0</v>
      </c>
      <c r="K56" s="217">
        <v>11120</v>
      </c>
      <c r="L56" s="6">
        <f>VLOOKUP(A56,'Rate Calculation'!$A$4:$AO$208,41,FALSE)</f>
        <v>170.31</v>
      </c>
      <c r="M56" s="1">
        <v>0</v>
      </c>
      <c r="N56" s="182">
        <f>VLOOKUP(A56,'Rate Calculation'!$A$4:$AL$208,38,FALSE)</f>
        <v>19.91</v>
      </c>
      <c r="O56" s="6" t="e">
        <f>VLOOKUP($A56,'Rate Calculation'!$A$3:$BR$210,65,FALSE)</f>
        <v>#DIV/0!</v>
      </c>
      <c r="P56" s="6" t="e">
        <f t="shared" si="5"/>
        <v>#DIV/0!</v>
      </c>
      <c r="Q56" s="6" t="e">
        <f t="shared" si="1"/>
        <v>#DIV/0!</v>
      </c>
      <c r="R56" s="6" t="e">
        <f>VLOOKUP($A56,'Rate Calculation'!$A$3:$AR$210,47,FALSE)+Q56</f>
        <v>#REF!</v>
      </c>
      <c r="S56" s="6" t="e">
        <f>VLOOKUP($A56,'Rate Calculation'!$A$4:$CQ$211,66,FALSE)</f>
        <v>#REF!</v>
      </c>
      <c r="T56" s="6" t="e">
        <f>VLOOKUP($A56,'Rate Calculation'!$A$3:$CQ$210,67,FALSE)</f>
        <v>#REF!</v>
      </c>
      <c r="U56" s="6" t="e">
        <f>VLOOKUP($A56,'Rate Calculation'!$A$3:$DE$210,82,FALSE)</f>
        <v>#DIV/0!</v>
      </c>
      <c r="V56" s="6" t="e">
        <f t="shared" si="6"/>
        <v>#DIV/0!</v>
      </c>
      <c r="W56" s="6" t="e">
        <f t="shared" si="2"/>
        <v>#DIV/0!</v>
      </c>
      <c r="X56" s="6" t="e">
        <f>VLOOKUP($A56,'Rate Calculation'!$A$3:$AR$210,47,FALSE)+W56</f>
        <v>#REF!</v>
      </c>
      <c r="Y56" s="6" t="e">
        <f>VLOOKUP($A56,'Rate Calculation'!$A$4:$CQ$210,83,FALSE)</f>
        <v>#REF!</v>
      </c>
      <c r="Z56" s="6" t="e">
        <f>VLOOKUP($A56,'Rate Calculation'!$A$3:$DE$210,84,FALSE)</f>
        <v>#REF!</v>
      </c>
      <c r="AA56" s="6">
        <f>VLOOKUP($A56,'Rate Calculation'!$A$3:$DE$210,99,FALSE)</f>
        <v>0</v>
      </c>
      <c r="AB56" s="6">
        <f t="shared" si="7"/>
        <v>0</v>
      </c>
      <c r="AC56" s="6">
        <f t="shared" si="8"/>
        <v>0</v>
      </c>
      <c r="AD56" s="6" t="e">
        <f>VLOOKUP($A56,'Rate Calculation'!$A$3:$AR$210,47,FALSE)+AC56</f>
        <v>#REF!</v>
      </c>
      <c r="AE56" s="6" t="e">
        <f>VLOOKUP($A56,'Rate Calculation'!$A$3:$CQ$210,100,FALSE)</f>
        <v>#REF!</v>
      </c>
      <c r="AF56" s="6">
        <f>VLOOKUP($A56,'Rate Calculation'!$A$3:$DE$210,101,FALSE)</f>
        <v>0</v>
      </c>
      <c r="AH56" s="175"/>
    </row>
    <row r="57" spans="1:34" x14ac:dyDescent="0.15">
      <c r="A57" s="130">
        <v>679</v>
      </c>
      <c r="B57" s="37" t="s">
        <v>620</v>
      </c>
      <c r="C57" s="1" t="str">
        <f>VLOOKUP(A57,'Rate Calculation'!$A$4:$F$210,6,FALSE)</f>
        <v>BALTIMORE METRO</v>
      </c>
      <c r="D57" s="4">
        <v>34267</v>
      </c>
      <c r="E57" s="6">
        <f>VLOOKUP(A57,'Rate Calculation'!$A$4:$AM$208,39,FALSE)</f>
        <v>348.88</v>
      </c>
      <c r="F57" s="6">
        <f t="shared" si="3"/>
        <v>344.6</v>
      </c>
      <c r="G57" s="6">
        <f t="shared" si="4"/>
        <v>344.6</v>
      </c>
      <c r="H57" s="6">
        <f>VLOOKUP(A57,'Rate Calculation'!$A$4:$AL$208,38,FALSE)+G57</f>
        <v>372.12</v>
      </c>
      <c r="I57" s="6">
        <f>VLOOKUP(A57,'Rate Calculation'!$A$4:$AN$208,40,FALSE)</f>
        <v>253.65</v>
      </c>
      <c r="J57" s="1">
        <v>0</v>
      </c>
      <c r="K57" s="217">
        <v>100790</v>
      </c>
      <c r="L57" s="6">
        <f>VLOOKUP(A57,'Rate Calculation'!$A$4:$AO$208,41,FALSE)</f>
        <v>158.41999999999999</v>
      </c>
      <c r="M57" s="1">
        <v>27</v>
      </c>
      <c r="N57" s="182">
        <f>VLOOKUP(A57,'Rate Calculation'!$A$4:$AL$208,38,FALSE)</f>
        <v>27.52</v>
      </c>
      <c r="O57" s="6" t="e">
        <f>VLOOKUP($A57,'Rate Calculation'!$A$3:$BR$210,65,FALSE)</f>
        <v>#DIV/0!</v>
      </c>
      <c r="P57" s="6" t="e">
        <f t="shared" si="5"/>
        <v>#DIV/0!</v>
      </c>
      <c r="Q57" s="6" t="e">
        <f t="shared" si="1"/>
        <v>#DIV/0!</v>
      </c>
      <c r="R57" s="6" t="e">
        <f>VLOOKUP($A57,'Rate Calculation'!$A$3:$AR$210,47,FALSE)+Q57</f>
        <v>#REF!</v>
      </c>
      <c r="S57" s="6" t="e">
        <f>VLOOKUP($A57,'Rate Calculation'!$A$4:$CQ$211,66,FALSE)</f>
        <v>#REF!</v>
      </c>
      <c r="T57" s="6" t="e">
        <f>VLOOKUP($A57,'Rate Calculation'!$A$3:$CQ$210,67,FALSE)</f>
        <v>#REF!</v>
      </c>
      <c r="U57" s="6" t="e">
        <f>VLOOKUP($A57,'Rate Calculation'!$A$3:$DE$210,82,FALSE)</f>
        <v>#DIV/0!</v>
      </c>
      <c r="V57" s="6" t="e">
        <f t="shared" si="6"/>
        <v>#DIV/0!</v>
      </c>
      <c r="W57" s="6" t="e">
        <f t="shared" si="2"/>
        <v>#DIV/0!</v>
      </c>
      <c r="X57" s="6" t="e">
        <f>VLOOKUP($A57,'Rate Calculation'!$A$3:$AR$210,47,FALSE)+W57</f>
        <v>#REF!</v>
      </c>
      <c r="Y57" s="6" t="e">
        <f>VLOOKUP($A57,'Rate Calculation'!$A$4:$CQ$210,83,FALSE)</f>
        <v>#REF!</v>
      </c>
      <c r="Z57" s="6" t="e">
        <f>VLOOKUP($A57,'Rate Calculation'!$A$3:$DE$210,84,FALSE)</f>
        <v>#REF!</v>
      </c>
      <c r="AA57" s="6">
        <f>VLOOKUP($A57,'Rate Calculation'!$A$3:$DE$210,99,FALSE)</f>
        <v>0</v>
      </c>
      <c r="AB57" s="6">
        <f t="shared" si="7"/>
        <v>0</v>
      </c>
      <c r="AC57" s="6">
        <f t="shared" si="8"/>
        <v>0</v>
      </c>
      <c r="AD57" s="6" t="e">
        <f>VLOOKUP($A57,'Rate Calculation'!$A$3:$AR$210,47,FALSE)+AC57</f>
        <v>#REF!</v>
      </c>
      <c r="AE57" s="6" t="e">
        <f>VLOOKUP($A57,'Rate Calculation'!$A$3:$CQ$210,100,FALSE)</f>
        <v>#REF!</v>
      </c>
      <c r="AF57" s="6">
        <f>VLOOKUP($A57,'Rate Calculation'!$A$3:$DE$210,101,FALSE)</f>
        <v>0</v>
      </c>
      <c r="AH57" s="175"/>
    </row>
    <row r="58" spans="1:34" x14ac:dyDescent="0.15">
      <c r="A58" s="130">
        <v>260</v>
      </c>
      <c r="B58" s="37" t="s">
        <v>562</v>
      </c>
      <c r="C58" s="1" t="str">
        <f>VLOOKUP(A58,'Rate Calculation'!$A$4:$F$210,6,FALSE)</f>
        <v>BALTIMORE METRO</v>
      </c>
      <c r="D58" s="4">
        <v>9999</v>
      </c>
      <c r="E58" s="6">
        <f>VLOOKUP(A58,'Rate Calculation'!$A$4:$AM$208,39,FALSE)</f>
        <v>386.67</v>
      </c>
      <c r="F58" s="6">
        <f t="shared" si="3"/>
        <v>381.92</v>
      </c>
      <c r="G58" s="6">
        <f t="shared" si="4"/>
        <v>381.92</v>
      </c>
      <c r="H58" s="6">
        <f>VLOOKUP(A58,'Rate Calculation'!$A$4:$AL$208,38,FALSE)+G58</f>
        <v>392.04</v>
      </c>
      <c r="I58" s="6">
        <f>VLOOKUP(A58,'Rate Calculation'!$A$4:$AN$208,40,FALSE)</f>
        <v>279.01</v>
      </c>
      <c r="J58" s="1">
        <v>0</v>
      </c>
      <c r="K58" s="217">
        <v>14757</v>
      </c>
      <c r="L58" s="6">
        <f>VLOOKUP(A58,'Rate Calculation'!$A$4:$AO$208,41,FALSE)</f>
        <v>171.35</v>
      </c>
      <c r="M58" s="1">
        <v>2</v>
      </c>
      <c r="N58" s="182">
        <f>VLOOKUP(A58,'Rate Calculation'!$A$4:$AL$208,38,FALSE)</f>
        <v>10.119999999999999</v>
      </c>
      <c r="O58" s="6" t="e">
        <f>VLOOKUP($A58,'Rate Calculation'!$A$3:$BR$210,65,FALSE)</f>
        <v>#DIV/0!</v>
      </c>
      <c r="P58" s="6" t="e">
        <f t="shared" si="5"/>
        <v>#DIV/0!</v>
      </c>
      <c r="Q58" s="6" t="e">
        <f t="shared" si="1"/>
        <v>#DIV/0!</v>
      </c>
      <c r="R58" s="6" t="e">
        <f>VLOOKUP($A58,'Rate Calculation'!$A$3:$AR$210,47,FALSE)+Q58</f>
        <v>#REF!</v>
      </c>
      <c r="S58" s="6" t="e">
        <f>VLOOKUP($A58,'Rate Calculation'!$A$4:$CQ$211,66,FALSE)</f>
        <v>#REF!</v>
      </c>
      <c r="T58" s="6" t="e">
        <f>VLOOKUP($A58,'Rate Calculation'!$A$3:$CQ$210,67,FALSE)</f>
        <v>#REF!</v>
      </c>
      <c r="U58" s="6" t="e">
        <f>VLOOKUP($A58,'Rate Calculation'!$A$3:$DE$210,82,FALSE)</f>
        <v>#DIV/0!</v>
      </c>
      <c r="V58" s="6" t="e">
        <f t="shared" si="6"/>
        <v>#DIV/0!</v>
      </c>
      <c r="W58" s="6" t="e">
        <f t="shared" si="2"/>
        <v>#DIV/0!</v>
      </c>
      <c r="X58" s="6" t="e">
        <f>VLOOKUP($A58,'Rate Calculation'!$A$3:$AR$210,47,FALSE)+W58</f>
        <v>#REF!</v>
      </c>
      <c r="Y58" s="6" t="e">
        <f>VLOOKUP($A58,'Rate Calculation'!$A$4:$CQ$210,83,FALSE)</f>
        <v>#REF!</v>
      </c>
      <c r="Z58" s="6" t="e">
        <f>VLOOKUP($A58,'Rate Calculation'!$A$3:$DE$210,84,FALSE)</f>
        <v>#REF!</v>
      </c>
      <c r="AA58" s="6">
        <f>VLOOKUP($A58,'Rate Calculation'!$A$3:$DE$210,99,FALSE)</f>
        <v>0</v>
      </c>
      <c r="AB58" s="6">
        <f t="shared" si="7"/>
        <v>0</v>
      </c>
      <c r="AC58" s="6">
        <f t="shared" si="8"/>
        <v>0</v>
      </c>
      <c r="AD58" s="6" t="e">
        <f>VLOOKUP($A58,'Rate Calculation'!$A$3:$AR$210,47,FALSE)+AC58</f>
        <v>#REF!</v>
      </c>
      <c r="AE58" s="6" t="e">
        <f>VLOOKUP($A58,'Rate Calculation'!$A$3:$CQ$210,100,FALSE)</f>
        <v>#REF!</v>
      </c>
      <c r="AF58" s="6">
        <f>VLOOKUP($A58,'Rate Calculation'!$A$3:$DE$210,101,FALSE)</f>
        <v>0</v>
      </c>
      <c r="AH58" s="175"/>
    </row>
    <row r="59" spans="1:34" x14ac:dyDescent="0.15">
      <c r="A59" s="130">
        <v>701</v>
      </c>
      <c r="B59" s="37" t="s">
        <v>506</v>
      </c>
      <c r="C59" s="1" t="str">
        <f>VLOOKUP(A59,'Rate Calculation'!$A$4:$F$210,6,FALSE)</f>
        <v>NON METRO</v>
      </c>
      <c r="D59" s="4">
        <v>11128</v>
      </c>
      <c r="E59" s="6">
        <f>VLOOKUP(A59,'Rate Calculation'!$A$4:$AM$208,39,FALSE)</f>
        <v>319.87</v>
      </c>
      <c r="F59" s="6">
        <f t="shared" si="3"/>
        <v>315.94</v>
      </c>
      <c r="G59" s="6">
        <f t="shared" si="4"/>
        <v>315.94</v>
      </c>
      <c r="H59" s="6">
        <f>VLOOKUP(A59,'Rate Calculation'!$A$4:$AL$208,38,FALSE)+G59</f>
        <v>315.94</v>
      </c>
      <c r="I59" s="6">
        <f>VLOOKUP(A59,'Rate Calculation'!$A$4:$AN$208,40,FALSE)</f>
        <v>235.69</v>
      </c>
      <c r="J59" s="1">
        <v>0</v>
      </c>
      <c r="K59" s="217">
        <v>0</v>
      </c>
      <c r="L59" s="6">
        <f>VLOOKUP(A59,'Rate Calculation'!$A$4:$AO$208,41,FALSE)</f>
        <v>151.51</v>
      </c>
      <c r="M59" s="1">
        <v>0</v>
      </c>
      <c r="N59" s="182">
        <f>VLOOKUP(A59,'Rate Calculation'!$A$4:$AL$208,38,FALSE)</f>
        <v>0</v>
      </c>
      <c r="O59" s="6" t="e">
        <f>VLOOKUP($A59,'Rate Calculation'!$A$3:$BR$210,65,FALSE)</f>
        <v>#DIV/0!</v>
      </c>
      <c r="P59" s="6" t="e">
        <f t="shared" si="5"/>
        <v>#DIV/0!</v>
      </c>
      <c r="Q59" s="6" t="e">
        <f t="shared" si="1"/>
        <v>#DIV/0!</v>
      </c>
      <c r="R59" s="6" t="e">
        <f>VLOOKUP($A59,'Rate Calculation'!$A$3:$AR$210,47,FALSE)+Q59</f>
        <v>#REF!</v>
      </c>
      <c r="S59" s="6" t="e">
        <f>VLOOKUP($A59,'Rate Calculation'!$A$4:$CQ$211,66,FALSE)</f>
        <v>#REF!</v>
      </c>
      <c r="T59" s="6" t="e">
        <f>VLOOKUP($A59,'Rate Calculation'!$A$3:$CQ$210,67,FALSE)</f>
        <v>#REF!</v>
      </c>
      <c r="U59" s="6" t="e">
        <f>VLOOKUP($A59,'Rate Calculation'!$A$3:$DE$210,82,FALSE)</f>
        <v>#DIV/0!</v>
      </c>
      <c r="V59" s="6" t="e">
        <f t="shared" si="6"/>
        <v>#DIV/0!</v>
      </c>
      <c r="W59" s="6" t="e">
        <f t="shared" si="2"/>
        <v>#DIV/0!</v>
      </c>
      <c r="X59" s="6" t="e">
        <f>VLOOKUP($A59,'Rate Calculation'!$A$3:$AR$210,47,FALSE)+W59</f>
        <v>#REF!</v>
      </c>
      <c r="Y59" s="6" t="e">
        <f>VLOOKUP($A59,'Rate Calculation'!$A$4:$CQ$210,83,FALSE)</f>
        <v>#REF!</v>
      </c>
      <c r="Z59" s="6" t="e">
        <f>VLOOKUP($A59,'Rate Calculation'!$A$3:$DE$210,84,FALSE)</f>
        <v>#REF!</v>
      </c>
      <c r="AA59" s="6">
        <f>VLOOKUP($A59,'Rate Calculation'!$A$3:$DE$210,99,FALSE)</f>
        <v>0</v>
      </c>
      <c r="AB59" s="6">
        <f t="shared" si="7"/>
        <v>0</v>
      </c>
      <c r="AC59" s="6">
        <f t="shared" si="8"/>
        <v>0</v>
      </c>
      <c r="AD59" s="6" t="e">
        <f>VLOOKUP($A59,'Rate Calculation'!$A$3:$AR$210,47,FALSE)+AC59</f>
        <v>#REF!</v>
      </c>
      <c r="AE59" s="6" t="e">
        <f>VLOOKUP($A59,'Rate Calculation'!$A$3:$CQ$210,100,FALSE)</f>
        <v>#REF!</v>
      </c>
      <c r="AF59" s="6">
        <f>VLOOKUP($A59,'Rate Calculation'!$A$3:$DE$210,101,FALSE)</f>
        <v>0</v>
      </c>
      <c r="AH59" s="175"/>
    </row>
    <row r="60" spans="1:34" x14ac:dyDescent="0.15">
      <c r="A60" s="130">
        <v>52</v>
      </c>
      <c r="B60" s="37" t="s">
        <v>447</v>
      </c>
      <c r="C60" s="1" t="str">
        <f>VLOOKUP(A60,'Rate Calculation'!$A$4:$F$210,6,FALSE)</f>
        <v>WASHINGTON METRO</v>
      </c>
      <c r="D60" s="4">
        <v>7347</v>
      </c>
      <c r="E60" s="6">
        <f>VLOOKUP(A60,'Rate Calculation'!$A$4:$AM$208,39,FALSE)</f>
        <v>325.44</v>
      </c>
      <c r="F60" s="6">
        <f t="shared" si="3"/>
        <v>321.44</v>
      </c>
      <c r="G60" s="6">
        <f t="shared" si="4"/>
        <v>321.44</v>
      </c>
      <c r="H60" s="6">
        <f>VLOOKUP(A60,'Rate Calculation'!$A$4:$AL$208,38,FALSE)+G60</f>
        <v>321.44</v>
      </c>
      <c r="I60" s="6">
        <f>VLOOKUP(A60,'Rate Calculation'!$A$4:$AN$208,40,FALSE)</f>
        <v>248.18</v>
      </c>
      <c r="J60" s="1">
        <v>0</v>
      </c>
      <c r="K60" s="217">
        <v>0</v>
      </c>
      <c r="L60" s="6">
        <f>VLOOKUP(A60,'Rate Calculation'!$A$4:$AO$208,41,FALSE)</f>
        <v>170.92</v>
      </c>
      <c r="M60" s="1">
        <v>0</v>
      </c>
      <c r="N60" s="182">
        <f>VLOOKUP(A60,'Rate Calculation'!$A$4:$AL$208,38,FALSE)</f>
        <v>0</v>
      </c>
      <c r="O60" s="6" t="e">
        <f>VLOOKUP($A60,'Rate Calculation'!$A$3:$BR$210,65,FALSE)</f>
        <v>#DIV/0!</v>
      </c>
      <c r="P60" s="6" t="e">
        <f t="shared" si="5"/>
        <v>#DIV/0!</v>
      </c>
      <c r="Q60" s="6" t="e">
        <f t="shared" si="1"/>
        <v>#DIV/0!</v>
      </c>
      <c r="R60" s="6" t="e">
        <f>VLOOKUP($A60,'Rate Calculation'!$A$3:$AR$210,47,FALSE)+Q60</f>
        <v>#REF!</v>
      </c>
      <c r="S60" s="6" t="e">
        <f>VLOOKUP($A60,'Rate Calculation'!$A$4:$CQ$211,66,FALSE)</f>
        <v>#REF!</v>
      </c>
      <c r="T60" s="6" t="e">
        <f>VLOOKUP($A60,'Rate Calculation'!$A$3:$CQ$210,67,FALSE)</f>
        <v>#REF!</v>
      </c>
      <c r="U60" s="6" t="e">
        <f>VLOOKUP($A60,'Rate Calculation'!$A$3:$DE$210,82,FALSE)</f>
        <v>#DIV/0!</v>
      </c>
      <c r="V60" s="6" t="e">
        <f t="shared" si="6"/>
        <v>#DIV/0!</v>
      </c>
      <c r="W60" s="6" t="e">
        <f t="shared" si="2"/>
        <v>#DIV/0!</v>
      </c>
      <c r="X60" s="6" t="e">
        <f>VLOOKUP($A60,'Rate Calculation'!$A$3:$AR$210,47,FALSE)+W60</f>
        <v>#REF!</v>
      </c>
      <c r="Y60" s="6" t="e">
        <f>VLOOKUP($A60,'Rate Calculation'!$A$4:$CQ$210,83,FALSE)</f>
        <v>#REF!</v>
      </c>
      <c r="Z60" s="6" t="e">
        <f>VLOOKUP($A60,'Rate Calculation'!$A$3:$DE$210,84,FALSE)</f>
        <v>#REF!</v>
      </c>
      <c r="AA60" s="6">
        <f>VLOOKUP($A60,'Rate Calculation'!$A$3:$DE$210,99,FALSE)</f>
        <v>0</v>
      </c>
      <c r="AB60" s="6">
        <f t="shared" si="7"/>
        <v>0</v>
      </c>
      <c r="AC60" s="6">
        <f t="shared" si="8"/>
        <v>0</v>
      </c>
      <c r="AD60" s="6" t="e">
        <f>VLOOKUP($A60,'Rate Calculation'!$A$3:$AR$210,47,FALSE)+AC60</f>
        <v>#REF!</v>
      </c>
      <c r="AE60" s="6" t="e">
        <f>VLOOKUP($A60,'Rate Calculation'!$A$3:$CQ$210,100,FALSE)</f>
        <v>#REF!</v>
      </c>
      <c r="AF60" s="6">
        <f>VLOOKUP($A60,'Rate Calculation'!$A$3:$DE$210,101,FALSE)</f>
        <v>0</v>
      </c>
      <c r="AH60" s="175"/>
    </row>
    <row r="61" spans="1:34" x14ac:dyDescent="0.15">
      <c r="A61" s="130">
        <v>743</v>
      </c>
      <c r="B61" s="37" t="s">
        <v>213</v>
      </c>
      <c r="C61" s="1" t="str">
        <f>VLOOKUP(A61,'Rate Calculation'!$A$4:$F$210,6,FALSE)</f>
        <v>WASHINGTON METRO</v>
      </c>
      <c r="D61" s="4">
        <v>13782</v>
      </c>
      <c r="E61" s="6">
        <f>VLOOKUP(A61,'Rate Calculation'!$A$4:$AM$208,39,FALSE)</f>
        <v>310</v>
      </c>
      <c r="F61" s="6">
        <f t="shared" si="3"/>
        <v>306.19</v>
      </c>
      <c r="G61" s="6">
        <f t="shared" si="4"/>
        <v>306.19</v>
      </c>
      <c r="H61" s="6">
        <f>VLOOKUP(A61,'Rate Calculation'!$A$4:$AL$208,38,FALSE)+G61</f>
        <v>338.52</v>
      </c>
      <c r="I61" s="6">
        <f>VLOOKUP(A61,'Rate Calculation'!$A$4:$AN$208,40,FALSE)</f>
        <v>247.14</v>
      </c>
      <c r="J61" s="1">
        <v>0</v>
      </c>
      <c r="K61" s="217">
        <v>38473</v>
      </c>
      <c r="L61" s="6">
        <f>VLOOKUP(A61,'Rate Calculation'!$A$4:$AO$208,41,FALSE)</f>
        <v>184.27</v>
      </c>
      <c r="M61" s="1">
        <v>2</v>
      </c>
      <c r="N61" s="182">
        <f>VLOOKUP(A61,'Rate Calculation'!$A$4:$AL$208,38,FALSE)</f>
        <v>32.33</v>
      </c>
      <c r="O61" s="6" t="e">
        <f>VLOOKUP($A61,'Rate Calculation'!$A$3:$BR$210,65,FALSE)</f>
        <v>#DIV/0!</v>
      </c>
      <c r="P61" s="6" t="e">
        <f t="shared" si="5"/>
        <v>#DIV/0!</v>
      </c>
      <c r="Q61" s="6" t="e">
        <f t="shared" si="1"/>
        <v>#DIV/0!</v>
      </c>
      <c r="R61" s="6" t="e">
        <f>VLOOKUP($A61,'Rate Calculation'!$A$3:$AR$210,47,FALSE)+Q61</f>
        <v>#REF!</v>
      </c>
      <c r="S61" s="6" t="e">
        <f>VLOOKUP($A61,'Rate Calculation'!$A$4:$CQ$211,66,FALSE)</f>
        <v>#REF!</v>
      </c>
      <c r="T61" s="6" t="e">
        <f>VLOOKUP($A61,'Rate Calculation'!$A$3:$CQ$210,67,FALSE)</f>
        <v>#REF!</v>
      </c>
      <c r="U61" s="6" t="e">
        <f>VLOOKUP($A61,'Rate Calculation'!$A$3:$DE$210,82,FALSE)</f>
        <v>#DIV/0!</v>
      </c>
      <c r="V61" s="6" t="e">
        <f t="shared" si="6"/>
        <v>#DIV/0!</v>
      </c>
      <c r="W61" s="6" t="e">
        <f t="shared" si="2"/>
        <v>#DIV/0!</v>
      </c>
      <c r="X61" s="6" t="e">
        <f>VLOOKUP($A61,'Rate Calculation'!$A$3:$AR$210,47,FALSE)+W61</f>
        <v>#REF!</v>
      </c>
      <c r="Y61" s="6" t="e">
        <f>VLOOKUP($A61,'Rate Calculation'!$A$4:$CQ$210,83,FALSE)</f>
        <v>#REF!</v>
      </c>
      <c r="Z61" s="6" t="e">
        <f>VLOOKUP($A61,'Rate Calculation'!$A$3:$DE$210,84,FALSE)</f>
        <v>#REF!</v>
      </c>
      <c r="AA61" s="6">
        <f>VLOOKUP($A61,'Rate Calculation'!$A$3:$DE$210,99,FALSE)</f>
        <v>0</v>
      </c>
      <c r="AB61" s="6">
        <f t="shared" si="7"/>
        <v>0</v>
      </c>
      <c r="AC61" s="6">
        <f t="shared" si="8"/>
        <v>0</v>
      </c>
      <c r="AD61" s="6" t="e">
        <f>VLOOKUP($A61,'Rate Calculation'!$A$3:$AR$210,47,FALSE)+AC61</f>
        <v>#REF!</v>
      </c>
      <c r="AE61" s="6" t="e">
        <f>VLOOKUP($A61,'Rate Calculation'!$A$3:$CQ$210,100,FALSE)</f>
        <v>#REF!</v>
      </c>
      <c r="AF61" s="6">
        <f>VLOOKUP($A61,'Rate Calculation'!$A$3:$DE$210,101,FALSE)</f>
        <v>0</v>
      </c>
      <c r="AH61" s="175"/>
    </row>
    <row r="62" spans="1:34" x14ac:dyDescent="0.15">
      <c r="A62" s="130">
        <v>58</v>
      </c>
      <c r="B62" s="37" t="s">
        <v>42</v>
      </c>
      <c r="C62" s="1" t="str">
        <f>VLOOKUP(A62,'Rate Calculation'!$A$4:$F$210,6,FALSE)</f>
        <v>NON METRO</v>
      </c>
      <c r="D62" s="4">
        <v>20343</v>
      </c>
      <c r="E62" s="6">
        <f>VLOOKUP(A62,'Rate Calculation'!$A$4:$AM$208,39,FALSE)</f>
        <v>298.70999999999998</v>
      </c>
      <c r="F62" s="6">
        <f t="shared" si="3"/>
        <v>295.04000000000002</v>
      </c>
      <c r="G62" s="6">
        <f t="shared" si="4"/>
        <v>295.04000000000002</v>
      </c>
      <c r="H62" s="6">
        <f>VLOOKUP(A62,'Rate Calculation'!$A$4:$AL$208,38,FALSE)+G62</f>
        <v>321.58999999999997</v>
      </c>
      <c r="I62" s="6">
        <f>VLOOKUP(A62,'Rate Calculation'!$A$4:$AN$208,40,FALSE)</f>
        <v>230.39</v>
      </c>
      <c r="J62" s="1">
        <v>151</v>
      </c>
      <c r="K62" s="217">
        <v>29485</v>
      </c>
      <c r="L62" s="6">
        <f>VLOOKUP(A62,'Rate Calculation'!$A$4:$AO$208,41,FALSE)</f>
        <v>162.06</v>
      </c>
      <c r="M62" s="1">
        <v>7</v>
      </c>
      <c r="N62" s="182">
        <f>VLOOKUP(A62,'Rate Calculation'!$A$4:$AL$208,38,FALSE)</f>
        <v>26.55</v>
      </c>
      <c r="O62" s="6" t="e">
        <f>VLOOKUP($A62,'Rate Calculation'!$A$3:$BR$210,65,FALSE)</f>
        <v>#DIV/0!</v>
      </c>
      <c r="P62" s="6" t="e">
        <f t="shared" si="5"/>
        <v>#DIV/0!</v>
      </c>
      <c r="Q62" s="6" t="e">
        <f t="shared" si="1"/>
        <v>#DIV/0!</v>
      </c>
      <c r="R62" s="6" t="e">
        <f>VLOOKUP($A62,'Rate Calculation'!$A$3:$AR$210,47,FALSE)+Q62</f>
        <v>#REF!</v>
      </c>
      <c r="S62" s="6" t="e">
        <f>VLOOKUP($A62,'Rate Calculation'!$A$4:$CQ$211,66,FALSE)</f>
        <v>#REF!</v>
      </c>
      <c r="T62" s="6" t="e">
        <f>VLOOKUP($A62,'Rate Calculation'!$A$3:$CQ$210,67,FALSE)</f>
        <v>#REF!</v>
      </c>
      <c r="U62" s="6" t="e">
        <f>VLOOKUP($A62,'Rate Calculation'!$A$3:$DE$210,82,FALSE)</f>
        <v>#DIV/0!</v>
      </c>
      <c r="V62" s="6" t="e">
        <f t="shared" si="6"/>
        <v>#DIV/0!</v>
      </c>
      <c r="W62" s="6" t="e">
        <f t="shared" si="2"/>
        <v>#DIV/0!</v>
      </c>
      <c r="X62" s="6" t="e">
        <f>VLOOKUP($A62,'Rate Calculation'!$A$3:$AR$210,47,FALSE)+W62</f>
        <v>#REF!</v>
      </c>
      <c r="Y62" s="6" t="e">
        <f>VLOOKUP($A62,'Rate Calculation'!$A$4:$CQ$210,83,FALSE)</f>
        <v>#REF!</v>
      </c>
      <c r="Z62" s="6" t="e">
        <f>VLOOKUP($A62,'Rate Calculation'!$A$3:$DE$210,84,FALSE)</f>
        <v>#REF!</v>
      </c>
      <c r="AA62" s="6">
        <f>VLOOKUP($A62,'Rate Calculation'!$A$3:$DE$210,99,FALSE)</f>
        <v>0</v>
      </c>
      <c r="AB62" s="6">
        <f t="shared" si="7"/>
        <v>0</v>
      </c>
      <c r="AC62" s="6">
        <f t="shared" si="8"/>
        <v>0</v>
      </c>
      <c r="AD62" s="6" t="e">
        <f>VLOOKUP($A62,'Rate Calculation'!$A$3:$AR$210,47,FALSE)+AC62</f>
        <v>#REF!</v>
      </c>
      <c r="AE62" s="6" t="e">
        <f>VLOOKUP($A62,'Rate Calculation'!$A$3:$CQ$210,100,FALSE)</f>
        <v>#REF!</v>
      </c>
      <c r="AF62" s="6">
        <f>VLOOKUP($A62,'Rate Calculation'!$A$3:$DE$210,101,FALSE)</f>
        <v>0</v>
      </c>
      <c r="AH62" s="175"/>
    </row>
    <row r="63" spans="1:34" x14ac:dyDescent="0.15">
      <c r="A63" s="130">
        <v>699</v>
      </c>
      <c r="B63" s="37" t="s">
        <v>239</v>
      </c>
      <c r="C63" s="1" t="str">
        <f>VLOOKUP(A63,'Rate Calculation'!$A$4:$F$210,6,FALSE)</f>
        <v>BALTIMORE CITY</v>
      </c>
      <c r="D63" s="4">
        <v>38005</v>
      </c>
      <c r="E63" s="6">
        <f>VLOOKUP(A63,'Rate Calculation'!$A$4:$AM$208,39,FALSE)</f>
        <v>342.58</v>
      </c>
      <c r="F63" s="6">
        <f t="shared" si="3"/>
        <v>338.37</v>
      </c>
      <c r="G63" s="6">
        <f t="shared" si="4"/>
        <v>338.37</v>
      </c>
      <c r="H63" s="6">
        <f>VLOOKUP(A63,'Rate Calculation'!$A$4:$AL$208,38,FALSE)+G63</f>
        <v>370.45</v>
      </c>
      <c r="I63" s="6">
        <f>VLOOKUP(A63,'Rate Calculation'!$A$4:$AN$208,40,FALSE)</f>
        <v>259.91000000000003</v>
      </c>
      <c r="J63" s="1">
        <v>0</v>
      </c>
      <c r="K63" s="217">
        <v>5726</v>
      </c>
      <c r="L63" s="6">
        <f>VLOOKUP(A63,'Rate Calculation'!$A$4:$AO$208,41,FALSE)</f>
        <v>177.23</v>
      </c>
      <c r="M63" s="1">
        <v>7</v>
      </c>
      <c r="N63" s="182">
        <f>VLOOKUP(A63,'Rate Calculation'!$A$4:$AL$208,38,FALSE)</f>
        <v>32.08</v>
      </c>
      <c r="O63" s="6" t="e">
        <f>VLOOKUP($A63,'Rate Calculation'!$A$3:$BR$210,65,FALSE)</f>
        <v>#DIV/0!</v>
      </c>
      <c r="P63" s="6" t="e">
        <f t="shared" si="5"/>
        <v>#DIV/0!</v>
      </c>
      <c r="Q63" s="6" t="e">
        <f t="shared" si="1"/>
        <v>#DIV/0!</v>
      </c>
      <c r="R63" s="6" t="e">
        <f>VLOOKUP($A63,'Rate Calculation'!$A$3:$AR$210,47,FALSE)+Q63</f>
        <v>#REF!</v>
      </c>
      <c r="S63" s="6" t="e">
        <f>VLOOKUP($A63,'Rate Calculation'!$A$4:$CQ$211,66,FALSE)</f>
        <v>#REF!</v>
      </c>
      <c r="T63" s="6" t="e">
        <f>VLOOKUP($A63,'Rate Calculation'!$A$3:$CQ$210,67,FALSE)</f>
        <v>#REF!</v>
      </c>
      <c r="U63" s="6" t="e">
        <f>VLOOKUP($A63,'Rate Calculation'!$A$3:$DE$210,82,FALSE)</f>
        <v>#DIV/0!</v>
      </c>
      <c r="V63" s="6" t="e">
        <f t="shared" si="6"/>
        <v>#DIV/0!</v>
      </c>
      <c r="W63" s="6" t="e">
        <f t="shared" si="2"/>
        <v>#DIV/0!</v>
      </c>
      <c r="X63" s="6" t="e">
        <f>VLOOKUP($A63,'Rate Calculation'!$A$3:$AR$210,47,FALSE)+W63</f>
        <v>#REF!</v>
      </c>
      <c r="Y63" s="6" t="e">
        <f>VLOOKUP($A63,'Rate Calculation'!$A$4:$CQ$210,83,FALSE)</f>
        <v>#REF!</v>
      </c>
      <c r="Z63" s="6" t="e">
        <f>VLOOKUP($A63,'Rate Calculation'!$A$3:$DE$210,84,FALSE)</f>
        <v>#REF!</v>
      </c>
      <c r="AA63" s="6">
        <f>VLOOKUP($A63,'Rate Calculation'!$A$3:$DE$210,99,FALSE)</f>
        <v>0</v>
      </c>
      <c r="AB63" s="6">
        <f t="shared" si="7"/>
        <v>0</v>
      </c>
      <c r="AC63" s="6">
        <f t="shared" si="8"/>
        <v>0</v>
      </c>
      <c r="AD63" s="6" t="e">
        <f>VLOOKUP($A63,'Rate Calculation'!$A$3:$AR$210,47,FALSE)+AC63</f>
        <v>#REF!</v>
      </c>
      <c r="AE63" s="6" t="e">
        <f>VLOOKUP($A63,'Rate Calculation'!$A$3:$CQ$210,100,FALSE)</f>
        <v>#REF!</v>
      </c>
      <c r="AF63" s="6">
        <f>VLOOKUP($A63,'Rate Calculation'!$A$3:$DE$210,101,FALSE)</f>
        <v>0</v>
      </c>
      <c r="AH63" s="175"/>
    </row>
    <row r="64" spans="1:34" x14ac:dyDescent="0.15">
      <c r="A64" s="130">
        <v>74</v>
      </c>
      <c r="B64" s="37" t="s">
        <v>205</v>
      </c>
      <c r="C64" s="1" t="str">
        <f>VLOOKUP(A64,'Rate Calculation'!$A$4:$F$210,6,FALSE)</f>
        <v>WASHINGTON METRO</v>
      </c>
      <c r="D64" s="4">
        <v>27770</v>
      </c>
      <c r="E64" s="6">
        <f>VLOOKUP(A64,'Rate Calculation'!$A$4:$AM$208,39,FALSE)</f>
        <v>361.71</v>
      </c>
      <c r="F64" s="6">
        <f t="shared" si="3"/>
        <v>357.27</v>
      </c>
      <c r="G64" s="6">
        <f t="shared" si="4"/>
        <v>357.27</v>
      </c>
      <c r="H64" s="6">
        <f>VLOOKUP(A64,'Rate Calculation'!$A$4:$AL$208,38,FALSE)+G64</f>
        <v>357.27</v>
      </c>
      <c r="I64" s="6">
        <f>VLOOKUP(A64,'Rate Calculation'!$A$4:$AN$208,40,FALSE)</f>
        <v>263.76</v>
      </c>
      <c r="J64" s="1">
        <v>0</v>
      </c>
      <c r="K64" s="217">
        <v>739</v>
      </c>
      <c r="L64" s="6">
        <f>VLOOKUP(A64,'Rate Calculation'!$A$4:$AO$208,41,FALSE)</f>
        <v>165.81</v>
      </c>
      <c r="M64" s="1">
        <v>0</v>
      </c>
      <c r="N64" s="182">
        <f>VLOOKUP(A64,'Rate Calculation'!$A$4:$AL$208,38,FALSE)</f>
        <v>0</v>
      </c>
      <c r="O64" s="6" t="e">
        <f>VLOOKUP($A64,'Rate Calculation'!$A$3:$BR$210,65,FALSE)</f>
        <v>#DIV/0!</v>
      </c>
      <c r="P64" s="6" t="e">
        <f t="shared" si="5"/>
        <v>#DIV/0!</v>
      </c>
      <c r="Q64" s="6" t="e">
        <f t="shared" si="1"/>
        <v>#DIV/0!</v>
      </c>
      <c r="R64" s="6" t="e">
        <f>VLOOKUP($A64,'Rate Calculation'!$A$3:$AR$210,47,FALSE)+Q64</f>
        <v>#REF!</v>
      </c>
      <c r="S64" s="6" t="e">
        <f>VLOOKUP($A64,'Rate Calculation'!$A$4:$CQ$211,66,FALSE)</f>
        <v>#REF!</v>
      </c>
      <c r="T64" s="6" t="e">
        <f>VLOOKUP($A64,'Rate Calculation'!$A$3:$CQ$210,67,FALSE)</f>
        <v>#REF!</v>
      </c>
      <c r="U64" s="6" t="e">
        <f>VLOOKUP($A64,'Rate Calculation'!$A$3:$DE$210,82,FALSE)</f>
        <v>#DIV/0!</v>
      </c>
      <c r="V64" s="6" t="e">
        <f t="shared" si="6"/>
        <v>#DIV/0!</v>
      </c>
      <c r="W64" s="6" t="e">
        <f t="shared" si="2"/>
        <v>#DIV/0!</v>
      </c>
      <c r="X64" s="6" t="e">
        <f>VLOOKUP($A64,'Rate Calculation'!$A$3:$AR$210,47,FALSE)+W64</f>
        <v>#REF!</v>
      </c>
      <c r="Y64" s="6" t="e">
        <f>VLOOKUP($A64,'Rate Calculation'!$A$4:$CQ$210,83,FALSE)</f>
        <v>#REF!</v>
      </c>
      <c r="Z64" s="6" t="e">
        <f>VLOOKUP($A64,'Rate Calculation'!$A$3:$DE$210,84,FALSE)</f>
        <v>#REF!</v>
      </c>
      <c r="AA64" s="6">
        <f>VLOOKUP($A64,'Rate Calculation'!$A$3:$DE$210,99,FALSE)</f>
        <v>0</v>
      </c>
      <c r="AB64" s="6">
        <f t="shared" si="7"/>
        <v>0</v>
      </c>
      <c r="AC64" s="6">
        <f t="shared" si="8"/>
        <v>0</v>
      </c>
      <c r="AD64" s="6" t="e">
        <f>VLOOKUP($A64,'Rate Calculation'!$A$3:$AR$210,47,FALSE)+AC64</f>
        <v>#REF!</v>
      </c>
      <c r="AE64" s="6" t="e">
        <f>VLOOKUP($A64,'Rate Calculation'!$A$3:$CQ$210,100,FALSE)</f>
        <v>#REF!</v>
      </c>
      <c r="AF64" s="6">
        <f>VLOOKUP($A64,'Rate Calculation'!$A$3:$DE$210,101,FALSE)</f>
        <v>0</v>
      </c>
      <c r="AH64" s="175"/>
    </row>
    <row r="65" spans="1:34" x14ac:dyDescent="0.15">
      <c r="A65" s="130">
        <v>785</v>
      </c>
      <c r="B65" s="37" t="s">
        <v>504</v>
      </c>
      <c r="C65" s="1" t="str">
        <f>VLOOKUP(A65,'Rate Calculation'!$A$4:$F$210,6,FALSE)</f>
        <v>NON METRO</v>
      </c>
      <c r="D65" s="4">
        <v>208</v>
      </c>
      <c r="E65" s="6">
        <f>VLOOKUP(A65,'Rate Calculation'!$A$4:$AM$208,39,FALSE)</f>
        <v>336.29</v>
      </c>
      <c r="F65" s="6">
        <f t="shared" si="3"/>
        <v>332.16</v>
      </c>
      <c r="G65" s="6">
        <f t="shared" si="4"/>
        <v>332.16</v>
      </c>
      <c r="H65" s="6">
        <f>VLOOKUP(A65,'Rate Calculation'!$A$4:$AL$208,38,FALSE)+G65</f>
        <v>332.16</v>
      </c>
      <c r="I65" s="6">
        <f>VLOOKUP(A65,'Rate Calculation'!$A$4:$AN$208,40,FALSE)</f>
        <v>247.88</v>
      </c>
      <c r="J65" s="1">
        <v>0</v>
      </c>
      <c r="K65" s="217">
        <v>0</v>
      </c>
      <c r="L65" s="6">
        <f>VLOOKUP(A65,'Rate Calculation'!$A$4:$AO$208,41,FALSE)</f>
        <v>159.47</v>
      </c>
      <c r="M65" s="1">
        <v>0</v>
      </c>
      <c r="N65" s="182">
        <f>VLOOKUP(A65,'Rate Calculation'!$A$4:$AL$208,38,FALSE)</f>
        <v>0</v>
      </c>
      <c r="O65" s="6" t="e">
        <f>VLOOKUP($A65,'Rate Calculation'!$A$3:$BR$210,65,FALSE)</f>
        <v>#DIV/0!</v>
      </c>
      <c r="P65" s="6" t="e">
        <f t="shared" si="5"/>
        <v>#DIV/0!</v>
      </c>
      <c r="Q65" s="6" t="e">
        <f t="shared" si="1"/>
        <v>#DIV/0!</v>
      </c>
      <c r="R65" s="6" t="e">
        <f>VLOOKUP($A65,'Rate Calculation'!$A$3:$AR$210,47,FALSE)+Q65</f>
        <v>#REF!</v>
      </c>
      <c r="S65" s="6" t="e">
        <f>VLOOKUP($A65,'Rate Calculation'!$A$4:$CQ$211,66,FALSE)</f>
        <v>#REF!</v>
      </c>
      <c r="T65" s="6" t="e">
        <f>VLOOKUP($A65,'Rate Calculation'!$A$3:$CQ$210,67,FALSE)</f>
        <v>#REF!</v>
      </c>
      <c r="U65" s="6" t="e">
        <f>VLOOKUP($A65,'Rate Calculation'!$A$3:$DE$210,82,FALSE)</f>
        <v>#DIV/0!</v>
      </c>
      <c r="V65" s="6" t="e">
        <f t="shared" si="6"/>
        <v>#DIV/0!</v>
      </c>
      <c r="W65" s="6" t="e">
        <f t="shared" si="2"/>
        <v>#DIV/0!</v>
      </c>
      <c r="X65" s="6" t="e">
        <f>VLOOKUP($A65,'Rate Calculation'!$A$3:$AR$210,47,FALSE)+W65</f>
        <v>#REF!</v>
      </c>
      <c r="Y65" s="6" t="e">
        <f>VLOOKUP($A65,'Rate Calculation'!$A$4:$CQ$210,83,FALSE)</f>
        <v>#REF!</v>
      </c>
      <c r="Z65" s="6" t="e">
        <f>VLOOKUP($A65,'Rate Calculation'!$A$3:$DE$210,84,FALSE)</f>
        <v>#REF!</v>
      </c>
      <c r="AA65" s="6">
        <f>VLOOKUP($A65,'Rate Calculation'!$A$3:$DE$210,99,FALSE)</f>
        <v>0</v>
      </c>
      <c r="AB65" s="6">
        <f t="shared" si="7"/>
        <v>0</v>
      </c>
      <c r="AC65" s="6">
        <f t="shared" si="8"/>
        <v>0</v>
      </c>
      <c r="AD65" s="6" t="e">
        <f>VLOOKUP($A65,'Rate Calculation'!$A$3:$AR$210,47,FALSE)+AC65</f>
        <v>#REF!</v>
      </c>
      <c r="AE65" s="6" t="e">
        <f>VLOOKUP($A65,'Rate Calculation'!$A$3:$CQ$210,100,FALSE)</f>
        <v>#REF!</v>
      </c>
      <c r="AF65" s="6">
        <f>VLOOKUP($A65,'Rate Calculation'!$A$3:$DE$210,101,FALSE)</f>
        <v>0</v>
      </c>
      <c r="AH65" s="175"/>
    </row>
    <row r="66" spans="1:34" x14ac:dyDescent="0.15">
      <c r="A66" s="130">
        <v>76</v>
      </c>
      <c r="B66" s="37" t="s">
        <v>462</v>
      </c>
      <c r="C66" s="1" t="str">
        <f>VLOOKUP(A66,'Rate Calculation'!$A$4:$F$210,6,FALSE)</f>
        <v>NON METRO</v>
      </c>
      <c r="D66" s="4">
        <v>29316</v>
      </c>
      <c r="E66" s="6">
        <f>VLOOKUP(A66,'Rate Calculation'!$A$4:$AM$208,39,FALSE)</f>
        <v>321.70999999999998</v>
      </c>
      <c r="F66" s="6">
        <f t="shared" si="3"/>
        <v>317.76</v>
      </c>
      <c r="G66" s="6">
        <f t="shared" si="4"/>
        <v>317.76</v>
      </c>
      <c r="H66" s="6">
        <f>VLOOKUP(A66,'Rate Calculation'!$A$4:$AL$208,38,FALSE)+G66</f>
        <v>345.23</v>
      </c>
      <c r="I66" s="6">
        <f>VLOOKUP(A66,'Rate Calculation'!$A$4:$AN$208,40,FALSE)</f>
        <v>236.56</v>
      </c>
      <c r="J66" s="1">
        <v>0</v>
      </c>
      <c r="K66" s="217">
        <v>58609</v>
      </c>
      <c r="L66" s="6">
        <f>VLOOKUP(A66,'Rate Calculation'!$A$4:$AO$208,41,FALSE)</f>
        <v>151.41</v>
      </c>
      <c r="M66" s="1">
        <v>1</v>
      </c>
      <c r="N66" s="182">
        <f>VLOOKUP(A66,'Rate Calculation'!$A$4:$AL$208,38,FALSE)</f>
        <v>27.47</v>
      </c>
      <c r="O66" s="6" t="e">
        <f>VLOOKUP($A66,'Rate Calculation'!$A$3:$BR$210,65,FALSE)</f>
        <v>#DIV/0!</v>
      </c>
      <c r="P66" s="6" t="e">
        <f t="shared" si="5"/>
        <v>#DIV/0!</v>
      </c>
      <c r="Q66" s="6" t="e">
        <f t="shared" si="1"/>
        <v>#DIV/0!</v>
      </c>
      <c r="R66" s="6" t="e">
        <f>VLOOKUP($A66,'Rate Calculation'!$A$3:$AR$210,47,FALSE)+Q66</f>
        <v>#REF!</v>
      </c>
      <c r="S66" s="6" t="e">
        <f>VLOOKUP($A66,'Rate Calculation'!$A$4:$CQ$211,66,FALSE)</f>
        <v>#REF!</v>
      </c>
      <c r="T66" s="6" t="e">
        <f>VLOOKUP($A66,'Rate Calculation'!$A$3:$CQ$210,67,FALSE)</f>
        <v>#REF!</v>
      </c>
      <c r="U66" s="6" t="e">
        <f>VLOOKUP($A66,'Rate Calculation'!$A$3:$DE$210,82,FALSE)</f>
        <v>#DIV/0!</v>
      </c>
      <c r="V66" s="6" t="e">
        <f t="shared" si="6"/>
        <v>#DIV/0!</v>
      </c>
      <c r="W66" s="6" t="e">
        <f t="shared" si="2"/>
        <v>#DIV/0!</v>
      </c>
      <c r="X66" s="6" t="e">
        <f>VLOOKUP($A66,'Rate Calculation'!$A$3:$AR$210,47,FALSE)+W66</f>
        <v>#REF!</v>
      </c>
      <c r="Y66" s="6" t="e">
        <f>VLOOKUP($A66,'Rate Calculation'!$A$4:$CQ$210,83,FALSE)</f>
        <v>#REF!</v>
      </c>
      <c r="Z66" s="6" t="e">
        <f>VLOOKUP($A66,'Rate Calculation'!$A$3:$DE$210,84,FALSE)</f>
        <v>#REF!</v>
      </c>
      <c r="AA66" s="6">
        <f>VLOOKUP($A66,'Rate Calculation'!$A$3:$DE$210,99,FALSE)</f>
        <v>0</v>
      </c>
      <c r="AB66" s="6">
        <f t="shared" si="7"/>
        <v>0</v>
      </c>
      <c r="AC66" s="6">
        <f t="shared" si="8"/>
        <v>0</v>
      </c>
      <c r="AD66" s="6" t="e">
        <f>VLOOKUP($A66,'Rate Calculation'!$A$3:$AR$210,47,FALSE)+AC66</f>
        <v>#REF!</v>
      </c>
      <c r="AE66" s="6" t="e">
        <f>VLOOKUP($A66,'Rate Calculation'!$A$3:$CQ$210,100,FALSE)</f>
        <v>#REF!</v>
      </c>
      <c r="AF66" s="6">
        <f>VLOOKUP($A66,'Rate Calculation'!$A$3:$DE$210,101,FALSE)</f>
        <v>0</v>
      </c>
      <c r="AH66" s="175"/>
    </row>
    <row r="67" spans="1:34" x14ac:dyDescent="0.15">
      <c r="A67" s="130">
        <v>82</v>
      </c>
      <c r="B67" s="37" t="s">
        <v>638</v>
      </c>
      <c r="C67" s="1" t="str">
        <f>VLOOKUP(A67,'Rate Calculation'!$A$4:$F$210,6,FALSE)</f>
        <v>NON METRO</v>
      </c>
      <c r="D67" s="4">
        <v>19600</v>
      </c>
      <c r="E67" s="6">
        <f>VLOOKUP(A67,'Rate Calculation'!$A$4:$AM$208,39,FALSE)</f>
        <v>339.97</v>
      </c>
      <c r="F67" s="6">
        <f t="shared" si="3"/>
        <v>335.8</v>
      </c>
      <c r="G67" s="6">
        <f t="shared" si="4"/>
        <v>335.8</v>
      </c>
      <c r="H67" s="6">
        <f>VLOOKUP(A67,'Rate Calculation'!$A$4:$AL$208,38,FALSE)+G67</f>
        <v>365.05</v>
      </c>
      <c r="I67" s="6">
        <f>VLOOKUP(A67,'Rate Calculation'!$A$4:$AN$208,40,FALSE)</f>
        <v>243.97</v>
      </c>
      <c r="J67" s="1">
        <v>0</v>
      </c>
      <c r="K67" s="217">
        <v>2914</v>
      </c>
      <c r="L67" s="6">
        <f>VLOOKUP(A67,'Rate Calculation'!$A$4:$AO$208,41,FALSE)</f>
        <v>147.96</v>
      </c>
      <c r="M67" s="1">
        <v>2</v>
      </c>
      <c r="N67" s="182">
        <f>VLOOKUP(A67,'Rate Calculation'!$A$4:$AL$208,38,FALSE)</f>
        <v>29.25</v>
      </c>
      <c r="O67" s="6" t="e">
        <f>VLOOKUP($A67,'Rate Calculation'!$A$3:$BR$210,65,FALSE)</f>
        <v>#DIV/0!</v>
      </c>
      <c r="P67" s="6" t="e">
        <f t="shared" si="5"/>
        <v>#DIV/0!</v>
      </c>
      <c r="Q67" s="6" t="e">
        <f t="shared" si="1"/>
        <v>#DIV/0!</v>
      </c>
      <c r="R67" s="6" t="e">
        <f>VLOOKUP($A67,'Rate Calculation'!$A$3:$AR$210,47,FALSE)+Q67</f>
        <v>#REF!</v>
      </c>
      <c r="S67" s="6" t="e">
        <f>VLOOKUP($A67,'Rate Calculation'!$A$4:$CQ$211,66,FALSE)</f>
        <v>#REF!</v>
      </c>
      <c r="T67" s="6" t="e">
        <f>VLOOKUP($A67,'Rate Calculation'!$A$3:$CQ$210,67,FALSE)</f>
        <v>#REF!</v>
      </c>
      <c r="U67" s="6" t="e">
        <f>VLOOKUP($A67,'Rate Calculation'!$A$3:$DE$210,82,FALSE)</f>
        <v>#DIV/0!</v>
      </c>
      <c r="V67" s="6" t="e">
        <f t="shared" si="6"/>
        <v>#DIV/0!</v>
      </c>
      <c r="W67" s="6" t="e">
        <f t="shared" si="2"/>
        <v>#DIV/0!</v>
      </c>
      <c r="X67" s="6" t="e">
        <f>VLOOKUP($A67,'Rate Calculation'!$A$3:$AR$210,47,FALSE)+W67</f>
        <v>#REF!</v>
      </c>
      <c r="Y67" s="6" t="e">
        <f>VLOOKUP($A67,'Rate Calculation'!$A$4:$CQ$210,83,FALSE)</f>
        <v>#REF!</v>
      </c>
      <c r="Z67" s="6" t="e">
        <f>VLOOKUP($A67,'Rate Calculation'!$A$3:$DE$210,84,FALSE)</f>
        <v>#REF!</v>
      </c>
      <c r="AA67" s="6">
        <f>VLOOKUP($A67,'Rate Calculation'!$A$3:$DE$210,99,FALSE)</f>
        <v>0</v>
      </c>
      <c r="AB67" s="6">
        <f t="shared" si="7"/>
        <v>0</v>
      </c>
      <c r="AC67" s="6">
        <f t="shared" si="8"/>
        <v>0</v>
      </c>
      <c r="AD67" s="6" t="e">
        <f>VLOOKUP($A67,'Rate Calculation'!$A$3:$AR$210,47,FALSE)+AC67</f>
        <v>#REF!</v>
      </c>
      <c r="AE67" s="6" t="e">
        <f>VLOOKUP($A67,'Rate Calculation'!$A$3:$CQ$210,100,FALSE)</f>
        <v>#REF!</v>
      </c>
      <c r="AF67" s="6">
        <f>VLOOKUP($A67,'Rate Calculation'!$A$3:$DE$210,101,FALSE)</f>
        <v>0</v>
      </c>
      <c r="AH67" s="175"/>
    </row>
    <row r="68" spans="1:34" x14ac:dyDescent="0.15">
      <c r="A68" s="130">
        <v>1421</v>
      </c>
      <c r="B68" s="37" t="s">
        <v>713</v>
      </c>
      <c r="C68" s="1" t="str">
        <f>VLOOKUP(A68,'Rate Calculation'!$A$4:$F$210,6,FALSE)</f>
        <v>WASHINGTON METRO</v>
      </c>
      <c r="D68" s="4">
        <v>12561</v>
      </c>
      <c r="E68" s="6">
        <f>VLOOKUP(A68,'Rate Calculation'!$A$4:$AM$208,39,FALSE)</f>
        <v>328.23</v>
      </c>
      <c r="F68" s="6">
        <f t="shared" ref="F68" si="9">ROUND(E68*$G$12,2)</f>
        <v>324.2</v>
      </c>
      <c r="G68" s="6">
        <f t="shared" ref="G68" si="10">+F68</f>
        <v>324.2</v>
      </c>
      <c r="H68" s="6">
        <f>VLOOKUP(A68,'Rate Calculation'!$A$4:$AL$208,38,FALSE)+G68</f>
        <v>348.5</v>
      </c>
      <c r="I68" s="6">
        <f>VLOOKUP(A68,'Rate Calculation'!$A$4:$AN$208,40,FALSE)</f>
        <v>245.64</v>
      </c>
      <c r="J68" s="1">
        <v>0</v>
      </c>
      <c r="K68" s="217">
        <v>16935</v>
      </c>
      <c r="L68" s="6">
        <f>VLOOKUP(A68,'Rate Calculation'!$A$4:$AO$208,41,FALSE)</f>
        <v>163.05000000000001</v>
      </c>
      <c r="M68" s="1">
        <v>19</v>
      </c>
      <c r="N68" s="182">
        <f>VLOOKUP(A68,'Rate Calculation'!$A$4:$AL$208,38,FALSE)</f>
        <v>24.3</v>
      </c>
      <c r="O68" s="6" t="e">
        <f>VLOOKUP($A68,'Rate Calculation'!$A$3:$BR$210,65,FALSE)</f>
        <v>#DIV/0!</v>
      </c>
      <c r="P68" s="6" t="e">
        <f t="shared" ref="P68" si="11">ROUND(O68*$G$12,2)</f>
        <v>#DIV/0!</v>
      </c>
      <c r="Q68" s="6" t="e">
        <f t="shared" ref="Q68" si="12">+P68</f>
        <v>#DIV/0!</v>
      </c>
      <c r="R68" s="6" t="e">
        <f>VLOOKUP($A68,'Rate Calculation'!$A$3:$AR$210,47,FALSE)+Q68</f>
        <v>#REF!</v>
      </c>
      <c r="S68" s="6" t="e">
        <f>VLOOKUP($A68,'Rate Calculation'!$A$4:$CQ$211,66,FALSE)</f>
        <v>#REF!</v>
      </c>
      <c r="T68" s="6" t="e">
        <f>VLOOKUP($A68,'Rate Calculation'!$A$3:$CQ$210,67,FALSE)</f>
        <v>#REF!</v>
      </c>
      <c r="U68" s="6" t="e">
        <f>VLOOKUP($A68,'Rate Calculation'!$A$3:$DE$210,82,FALSE)</f>
        <v>#DIV/0!</v>
      </c>
      <c r="V68" s="6" t="e">
        <f t="shared" ref="V68" si="13">ROUND(U68*$G$12,2)</f>
        <v>#DIV/0!</v>
      </c>
      <c r="W68" s="6" t="e">
        <f t="shared" ref="W68" si="14">+V68</f>
        <v>#DIV/0!</v>
      </c>
      <c r="X68" s="6" t="e">
        <f>VLOOKUP($A68,'Rate Calculation'!$A$3:$AR$210,47,FALSE)+W68</f>
        <v>#REF!</v>
      </c>
      <c r="Y68" s="6" t="e">
        <f>VLOOKUP($A68,'Rate Calculation'!$A$4:$CQ$210,83,FALSE)</f>
        <v>#REF!</v>
      </c>
      <c r="Z68" s="6" t="e">
        <f>VLOOKUP($A68,'Rate Calculation'!$A$3:$DE$210,84,FALSE)</f>
        <v>#REF!</v>
      </c>
      <c r="AA68" s="6">
        <f>VLOOKUP($A68,'Rate Calculation'!$A$3:$DE$210,99,FALSE)</f>
        <v>0</v>
      </c>
      <c r="AB68" s="6">
        <f t="shared" ref="AB68" si="15">ROUND(AA68*$G$12,2)</f>
        <v>0</v>
      </c>
      <c r="AC68" s="6">
        <f t="shared" ref="AC68" si="16">+AB68</f>
        <v>0</v>
      </c>
      <c r="AD68" s="6" t="e">
        <f>VLOOKUP($A68,'Rate Calculation'!$A$3:$AR$210,47,FALSE)+AC68</f>
        <v>#REF!</v>
      </c>
      <c r="AE68" s="6" t="e">
        <f>VLOOKUP($A68,'Rate Calculation'!$A$3:$CQ$210,100,FALSE)</f>
        <v>#REF!</v>
      </c>
      <c r="AF68" s="6">
        <f>VLOOKUP($A68,'Rate Calculation'!$A$3:$DE$210,101,FALSE)</f>
        <v>0</v>
      </c>
      <c r="AH68" s="175"/>
    </row>
    <row r="69" spans="1:34" x14ac:dyDescent="0.15">
      <c r="A69" s="130">
        <v>84</v>
      </c>
      <c r="B69" s="37" t="s">
        <v>201</v>
      </c>
      <c r="C69" s="1" t="str">
        <f>VLOOKUP(A69,'Rate Calculation'!$A$4:$F$210,6,FALSE)</f>
        <v>BALTIMORE METRO</v>
      </c>
      <c r="D69" s="4">
        <v>13221</v>
      </c>
      <c r="E69" s="6">
        <f>VLOOKUP(A69,'Rate Calculation'!$A$4:$AM$208,39,FALSE)</f>
        <v>348.07</v>
      </c>
      <c r="F69" s="6">
        <f t="shared" si="3"/>
        <v>343.8</v>
      </c>
      <c r="G69" s="6">
        <f t="shared" si="4"/>
        <v>343.8</v>
      </c>
      <c r="H69" s="6">
        <f>VLOOKUP(A69,'Rate Calculation'!$A$4:$AL$208,38,FALSE)+G69</f>
        <v>343.8</v>
      </c>
      <c r="I69" s="6">
        <f>VLOOKUP(A69,'Rate Calculation'!$A$4:$AN$208,40,FALSE)</f>
        <v>259.52</v>
      </c>
      <c r="J69" s="1">
        <v>0</v>
      </c>
      <c r="K69" s="217">
        <v>26348</v>
      </c>
      <c r="L69" s="6">
        <f>VLOOKUP(A69,'Rate Calculation'!$A$4:$AO$208,41,FALSE)</f>
        <v>170.97</v>
      </c>
      <c r="M69" s="1">
        <v>0</v>
      </c>
      <c r="N69" s="182">
        <f>VLOOKUP(A69,'Rate Calculation'!$A$4:$AL$208,38,FALSE)</f>
        <v>0</v>
      </c>
      <c r="O69" s="6" t="e">
        <f>VLOOKUP($A69,'Rate Calculation'!$A$3:$BR$210,65,FALSE)</f>
        <v>#DIV/0!</v>
      </c>
      <c r="P69" s="6" t="e">
        <f t="shared" si="5"/>
        <v>#DIV/0!</v>
      </c>
      <c r="Q69" s="6" t="e">
        <f t="shared" si="1"/>
        <v>#DIV/0!</v>
      </c>
      <c r="R69" s="6" t="e">
        <f>VLOOKUP($A69,'Rate Calculation'!$A$3:$AR$210,47,FALSE)+Q69</f>
        <v>#REF!</v>
      </c>
      <c r="S69" s="6" t="e">
        <f>VLOOKUP($A69,'Rate Calculation'!$A$4:$CQ$211,66,FALSE)</f>
        <v>#REF!</v>
      </c>
      <c r="T69" s="6" t="e">
        <f>VLOOKUP($A69,'Rate Calculation'!$A$3:$CQ$210,67,FALSE)</f>
        <v>#REF!</v>
      </c>
      <c r="U69" s="6" t="e">
        <f>VLOOKUP($A69,'Rate Calculation'!$A$3:$DE$210,82,FALSE)</f>
        <v>#DIV/0!</v>
      </c>
      <c r="V69" s="6" t="e">
        <f t="shared" si="6"/>
        <v>#DIV/0!</v>
      </c>
      <c r="W69" s="6" t="e">
        <f t="shared" si="2"/>
        <v>#DIV/0!</v>
      </c>
      <c r="X69" s="6" t="e">
        <f>VLOOKUP($A69,'Rate Calculation'!$A$3:$AR$210,47,FALSE)+W69</f>
        <v>#REF!</v>
      </c>
      <c r="Y69" s="6" t="e">
        <f>VLOOKUP($A69,'Rate Calculation'!$A$4:$CQ$210,83,FALSE)</f>
        <v>#REF!</v>
      </c>
      <c r="Z69" s="6" t="e">
        <f>VLOOKUP($A69,'Rate Calculation'!$A$3:$DE$210,84,FALSE)</f>
        <v>#REF!</v>
      </c>
      <c r="AA69" s="6">
        <f>VLOOKUP($A69,'Rate Calculation'!$A$3:$DE$210,99,FALSE)</f>
        <v>0</v>
      </c>
      <c r="AB69" s="6">
        <f t="shared" si="7"/>
        <v>0</v>
      </c>
      <c r="AC69" s="6">
        <f t="shared" si="8"/>
        <v>0</v>
      </c>
      <c r="AD69" s="6" t="e">
        <f>VLOOKUP($A69,'Rate Calculation'!$A$3:$AR$210,47,FALSE)+AC69</f>
        <v>#REF!</v>
      </c>
      <c r="AE69" s="6" t="e">
        <f>VLOOKUP($A69,'Rate Calculation'!$A$3:$CQ$210,100,FALSE)</f>
        <v>#REF!</v>
      </c>
      <c r="AF69" s="6">
        <f>VLOOKUP($A69,'Rate Calculation'!$A$3:$DE$210,101,FALSE)</f>
        <v>0</v>
      </c>
      <c r="AH69" s="175"/>
    </row>
    <row r="70" spans="1:34" x14ac:dyDescent="0.15">
      <c r="A70" s="130">
        <v>86</v>
      </c>
      <c r="B70" s="37" t="s">
        <v>707</v>
      </c>
      <c r="C70" s="1" t="str">
        <f>VLOOKUP(A70,'Rate Calculation'!$A$4:$F$210,6,FALSE)</f>
        <v>BALTIMORE CITY</v>
      </c>
      <c r="D70" s="4">
        <v>25450</v>
      </c>
      <c r="E70" s="6">
        <f>VLOOKUP(A70,'Rate Calculation'!$A$4:$AM$208,39,FALSE)</f>
        <v>335.36</v>
      </c>
      <c r="F70" s="6">
        <f t="shared" si="3"/>
        <v>331.24</v>
      </c>
      <c r="G70" s="6">
        <f t="shared" si="4"/>
        <v>331.24</v>
      </c>
      <c r="H70" s="6">
        <f>VLOOKUP(A70,'Rate Calculation'!$A$4:$AL$208,38,FALSE)+G70</f>
        <v>362.46</v>
      </c>
      <c r="I70" s="6">
        <f>VLOOKUP(A70,'Rate Calculation'!$A$4:$AN$208,40,FALSE)</f>
        <v>260.63</v>
      </c>
      <c r="J70" s="1">
        <v>0</v>
      </c>
      <c r="K70" s="217">
        <v>0</v>
      </c>
      <c r="L70" s="6">
        <f>VLOOKUP(A70,'Rate Calculation'!$A$4:$AO$208,41,FALSE)</f>
        <v>185.89</v>
      </c>
      <c r="M70" s="1">
        <v>7</v>
      </c>
      <c r="N70" s="182">
        <f>VLOOKUP(A70,'Rate Calculation'!$A$4:$AL$208,38,FALSE)</f>
        <v>31.22</v>
      </c>
      <c r="O70" s="6" t="e">
        <f>VLOOKUP($A70,'Rate Calculation'!$A$3:$BR$210,65,FALSE)</f>
        <v>#DIV/0!</v>
      </c>
      <c r="P70" s="6" t="e">
        <f t="shared" si="5"/>
        <v>#DIV/0!</v>
      </c>
      <c r="Q70" s="6" t="e">
        <f t="shared" si="1"/>
        <v>#DIV/0!</v>
      </c>
      <c r="R70" s="6" t="e">
        <f>VLOOKUP($A70,'Rate Calculation'!$A$3:$AR$210,47,FALSE)+Q70</f>
        <v>#REF!</v>
      </c>
      <c r="S70" s="6" t="e">
        <f>VLOOKUP($A70,'Rate Calculation'!$A$4:$CQ$211,66,FALSE)</f>
        <v>#REF!</v>
      </c>
      <c r="T70" s="6" t="e">
        <f>VLOOKUP($A70,'Rate Calculation'!$A$3:$CQ$210,67,FALSE)</f>
        <v>#REF!</v>
      </c>
      <c r="U70" s="6" t="e">
        <f>VLOOKUP($A70,'Rate Calculation'!$A$3:$DE$210,82,FALSE)</f>
        <v>#DIV/0!</v>
      </c>
      <c r="V70" s="6" t="e">
        <f t="shared" si="6"/>
        <v>#DIV/0!</v>
      </c>
      <c r="W70" s="6" t="e">
        <f t="shared" si="2"/>
        <v>#DIV/0!</v>
      </c>
      <c r="X70" s="6" t="e">
        <f>VLOOKUP($A70,'Rate Calculation'!$A$3:$AR$210,47,FALSE)+W70</f>
        <v>#REF!</v>
      </c>
      <c r="Y70" s="6" t="e">
        <f>VLOOKUP($A70,'Rate Calculation'!$A$4:$CQ$210,83,FALSE)</f>
        <v>#REF!</v>
      </c>
      <c r="Z70" s="6" t="e">
        <f>VLOOKUP($A70,'Rate Calculation'!$A$3:$DE$210,84,FALSE)</f>
        <v>#REF!</v>
      </c>
      <c r="AA70" s="6">
        <f>VLOOKUP($A70,'Rate Calculation'!$A$3:$DE$210,99,FALSE)</f>
        <v>0</v>
      </c>
      <c r="AB70" s="6">
        <f t="shared" si="7"/>
        <v>0</v>
      </c>
      <c r="AC70" s="6">
        <f t="shared" si="8"/>
        <v>0</v>
      </c>
      <c r="AD70" s="6" t="e">
        <f>VLOOKUP($A70,'Rate Calculation'!$A$3:$AR$210,47,FALSE)+AC70</f>
        <v>#REF!</v>
      </c>
      <c r="AE70" s="6" t="e">
        <f>VLOOKUP($A70,'Rate Calculation'!$A$3:$CQ$210,100,FALSE)</f>
        <v>#REF!</v>
      </c>
      <c r="AF70" s="6">
        <f>VLOOKUP($A70,'Rate Calculation'!$A$3:$DE$210,101,FALSE)</f>
        <v>0</v>
      </c>
      <c r="AH70" s="175"/>
    </row>
    <row r="71" spans="1:34" x14ac:dyDescent="0.15">
      <c r="A71" s="130">
        <v>90</v>
      </c>
      <c r="B71" s="37" t="s">
        <v>379</v>
      </c>
      <c r="C71" s="1" t="str">
        <f>VLOOKUP(A71,'Rate Calculation'!$A$4:$F$210,6,FALSE)</f>
        <v>BALTIMORE METRO</v>
      </c>
      <c r="D71" s="4">
        <v>13877</v>
      </c>
      <c r="E71" s="6">
        <f>VLOOKUP(A71,'Rate Calculation'!$A$4:$AM$208,39,FALSE)</f>
        <v>328.53</v>
      </c>
      <c r="F71" s="6">
        <f t="shared" si="3"/>
        <v>324.5</v>
      </c>
      <c r="G71" s="6">
        <f t="shared" si="4"/>
        <v>324.5</v>
      </c>
      <c r="H71" s="6">
        <f>VLOOKUP(A71,'Rate Calculation'!$A$4:$AL$208,38,FALSE)+G71</f>
        <v>354.36</v>
      </c>
      <c r="I71" s="6">
        <f>VLOOKUP(A71,'Rate Calculation'!$A$4:$AN$208,40,FALSE)</f>
        <v>245.81</v>
      </c>
      <c r="J71" s="1">
        <v>0</v>
      </c>
      <c r="K71" s="217">
        <v>23597</v>
      </c>
      <c r="L71" s="6">
        <f>VLOOKUP(A71,'Rate Calculation'!$A$4:$AO$208,41,FALSE)</f>
        <v>163.08000000000001</v>
      </c>
      <c r="M71" s="1">
        <v>0</v>
      </c>
      <c r="N71" s="182">
        <f>VLOOKUP(A71,'Rate Calculation'!$A$4:$AL$208,38,FALSE)</f>
        <v>29.86</v>
      </c>
      <c r="O71" s="6" t="e">
        <f>VLOOKUP($A71,'Rate Calculation'!$A$3:$BR$210,65,FALSE)</f>
        <v>#DIV/0!</v>
      </c>
      <c r="P71" s="6" t="e">
        <f t="shared" si="5"/>
        <v>#DIV/0!</v>
      </c>
      <c r="Q71" s="6" t="e">
        <f t="shared" si="1"/>
        <v>#DIV/0!</v>
      </c>
      <c r="R71" s="6" t="e">
        <f>VLOOKUP($A71,'Rate Calculation'!$A$3:$AR$210,47,FALSE)+Q71</f>
        <v>#REF!</v>
      </c>
      <c r="S71" s="6" t="e">
        <f>VLOOKUP($A71,'Rate Calculation'!$A$4:$CQ$211,66,FALSE)</f>
        <v>#REF!</v>
      </c>
      <c r="T71" s="6" t="e">
        <f>VLOOKUP($A71,'Rate Calculation'!$A$3:$CQ$210,67,FALSE)</f>
        <v>#REF!</v>
      </c>
      <c r="U71" s="6" t="e">
        <f>VLOOKUP($A71,'Rate Calculation'!$A$3:$DE$210,82,FALSE)</f>
        <v>#DIV/0!</v>
      </c>
      <c r="V71" s="6" t="e">
        <f t="shared" si="6"/>
        <v>#DIV/0!</v>
      </c>
      <c r="W71" s="6" t="e">
        <f t="shared" si="2"/>
        <v>#DIV/0!</v>
      </c>
      <c r="X71" s="6" t="e">
        <f>VLOOKUP($A71,'Rate Calculation'!$A$3:$AR$210,47,FALSE)+W71</f>
        <v>#REF!</v>
      </c>
      <c r="Y71" s="6" t="e">
        <f>VLOOKUP($A71,'Rate Calculation'!$A$4:$CQ$210,83,FALSE)</f>
        <v>#REF!</v>
      </c>
      <c r="Z71" s="6" t="e">
        <f>VLOOKUP($A71,'Rate Calculation'!$A$3:$DE$210,84,FALSE)</f>
        <v>#REF!</v>
      </c>
      <c r="AA71" s="6">
        <f>VLOOKUP($A71,'Rate Calculation'!$A$3:$DE$210,99,FALSE)</f>
        <v>0</v>
      </c>
      <c r="AB71" s="6">
        <f t="shared" si="7"/>
        <v>0</v>
      </c>
      <c r="AC71" s="6">
        <f t="shared" si="8"/>
        <v>0</v>
      </c>
      <c r="AD71" s="6" t="e">
        <f>VLOOKUP($A71,'Rate Calculation'!$A$3:$AR$210,47,FALSE)+AC71</f>
        <v>#REF!</v>
      </c>
      <c r="AE71" s="6" t="e">
        <f>VLOOKUP($A71,'Rate Calculation'!$A$3:$CQ$210,100,FALSE)</f>
        <v>#REF!</v>
      </c>
      <c r="AF71" s="6">
        <f>VLOOKUP($A71,'Rate Calculation'!$A$3:$DE$210,101,FALSE)</f>
        <v>0</v>
      </c>
      <c r="AH71" s="175"/>
    </row>
    <row r="72" spans="1:34" x14ac:dyDescent="0.15">
      <c r="A72" s="130">
        <v>94</v>
      </c>
      <c r="B72" s="37" t="s">
        <v>220</v>
      </c>
      <c r="C72" s="1" t="str">
        <f>VLOOKUP(A72,'Rate Calculation'!$A$4:$F$210,6,FALSE)</f>
        <v>BALTIMORE METRO</v>
      </c>
      <c r="D72" s="4">
        <v>8426</v>
      </c>
      <c r="E72" s="6">
        <f>VLOOKUP(A72,'Rate Calculation'!$A$4:$AM$208,39,FALSE)</f>
        <v>341.8</v>
      </c>
      <c r="F72" s="6">
        <f t="shared" si="3"/>
        <v>337.6</v>
      </c>
      <c r="G72" s="6">
        <f t="shared" si="4"/>
        <v>337.6</v>
      </c>
      <c r="H72" s="6">
        <f>VLOOKUP(A72,'Rate Calculation'!$A$4:$AL$208,38,FALSE)+G72</f>
        <v>337.6</v>
      </c>
      <c r="I72" s="6">
        <f>VLOOKUP(A72,'Rate Calculation'!$A$4:$AN$208,40,FALSE)</f>
        <v>254.66</v>
      </c>
      <c r="J72" s="1">
        <v>0</v>
      </c>
      <c r="K72" s="217">
        <v>0</v>
      </c>
      <c r="L72" s="6">
        <f>VLOOKUP(A72,'Rate Calculation'!$A$4:$AO$208,41,FALSE)</f>
        <v>167.52</v>
      </c>
      <c r="M72" s="1">
        <v>0</v>
      </c>
      <c r="N72" s="182">
        <f>VLOOKUP(A72,'Rate Calculation'!$A$4:$AL$208,38,FALSE)</f>
        <v>0</v>
      </c>
      <c r="O72" s="6" t="e">
        <f>VLOOKUP($A72,'Rate Calculation'!$A$3:$BR$210,65,FALSE)</f>
        <v>#DIV/0!</v>
      </c>
      <c r="P72" s="6" t="e">
        <f t="shared" si="5"/>
        <v>#DIV/0!</v>
      </c>
      <c r="Q72" s="6" t="e">
        <f t="shared" si="1"/>
        <v>#DIV/0!</v>
      </c>
      <c r="R72" s="6" t="e">
        <f>VLOOKUP($A72,'Rate Calculation'!$A$3:$AR$210,47,FALSE)+Q72</f>
        <v>#REF!</v>
      </c>
      <c r="S72" s="6" t="e">
        <f>VLOOKUP($A72,'Rate Calculation'!$A$4:$CQ$211,66,FALSE)</f>
        <v>#REF!</v>
      </c>
      <c r="T72" s="6" t="e">
        <f>VLOOKUP($A72,'Rate Calculation'!$A$3:$CQ$210,67,FALSE)</f>
        <v>#REF!</v>
      </c>
      <c r="U72" s="6" t="e">
        <f>VLOOKUP($A72,'Rate Calculation'!$A$3:$DE$210,82,FALSE)</f>
        <v>#DIV/0!</v>
      </c>
      <c r="V72" s="6" t="e">
        <f t="shared" si="6"/>
        <v>#DIV/0!</v>
      </c>
      <c r="W72" s="6" t="e">
        <f t="shared" si="2"/>
        <v>#DIV/0!</v>
      </c>
      <c r="X72" s="6" t="e">
        <f>VLOOKUP($A72,'Rate Calculation'!$A$3:$AR$210,47,FALSE)+W72</f>
        <v>#REF!</v>
      </c>
      <c r="Y72" s="6" t="e">
        <f>VLOOKUP($A72,'Rate Calculation'!$A$4:$CQ$210,83,FALSE)</f>
        <v>#REF!</v>
      </c>
      <c r="Z72" s="6" t="e">
        <f>VLOOKUP($A72,'Rate Calculation'!$A$3:$DE$210,84,FALSE)</f>
        <v>#REF!</v>
      </c>
      <c r="AA72" s="6">
        <f>VLOOKUP($A72,'Rate Calculation'!$A$3:$DE$210,99,FALSE)</f>
        <v>0</v>
      </c>
      <c r="AB72" s="6">
        <f t="shared" si="7"/>
        <v>0</v>
      </c>
      <c r="AC72" s="6">
        <f t="shared" si="8"/>
        <v>0</v>
      </c>
      <c r="AD72" s="6" t="e">
        <f>VLOOKUP($A72,'Rate Calculation'!$A$3:$AR$210,47,FALSE)+AC72</f>
        <v>#REF!</v>
      </c>
      <c r="AE72" s="6" t="e">
        <f>VLOOKUP($A72,'Rate Calculation'!$A$3:$CQ$210,100,FALSE)</f>
        <v>#REF!</v>
      </c>
      <c r="AF72" s="6">
        <f>VLOOKUP($A72,'Rate Calculation'!$A$3:$DE$210,101,FALSE)</f>
        <v>0</v>
      </c>
      <c r="AH72" s="175"/>
    </row>
    <row r="73" spans="1:34" x14ac:dyDescent="0.15">
      <c r="A73" s="130">
        <v>677</v>
      </c>
      <c r="B73" s="37" t="s">
        <v>655</v>
      </c>
      <c r="C73" s="1" t="str">
        <f>VLOOKUP(A73,'Rate Calculation'!$A$4:$F$210,6,FALSE)</f>
        <v>NON METRO</v>
      </c>
      <c r="D73" s="4">
        <v>25464</v>
      </c>
      <c r="E73" s="6">
        <f>VLOOKUP(A73,'Rate Calculation'!$A$4:$AM$208,39,FALSE)</f>
        <v>316.63</v>
      </c>
      <c r="F73" s="6">
        <f t="shared" si="3"/>
        <v>312.74</v>
      </c>
      <c r="G73" s="6">
        <f t="shared" si="4"/>
        <v>312.74</v>
      </c>
      <c r="H73" s="6">
        <f>VLOOKUP(A73,'Rate Calculation'!$A$4:$AL$208,38,FALSE)+G73</f>
        <v>341.15</v>
      </c>
      <c r="I73" s="6">
        <f>VLOOKUP(A73,'Rate Calculation'!$A$4:$AN$208,40,FALSE)</f>
        <v>225.56</v>
      </c>
      <c r="J73" s="1">
        <v>254</v>
      </c>
      <c r="K73" s="217">
        <v>0</v>
      </c>
      <c r="L73" s="6">
        <f>VLOOKUP(A73,'Rate Calculation'!$A$4:$AO$208,41,FALSE)</f>
        <v>134.49</v>
      </c>
      <c r="M73" s="1">
        <v>4</v>
      </c>
      <c r="N73" s="182">
        <f>VLOOKUP(A73,'Rate Calculation'!$A$4:$AL$208,38,FALSE)</f>
        <v>28.41</v>
      </c>
      <c r="O73" s="6" t="e">
        <f>VLOOKUP($A73,'Rate Calculation'!$A$3:$BR$210,65,FALSE)</f>
        <v>#DIV/0!</v>
      </c>
      <c r="P73" s="6" t="e">
        <f t="shared" si="5"/>
        <v>#DIV/0!</v>
      </c>
      <c r="Q73" s="6" t="e">
        <f t="shared" si="1"/>
        <v>#DIV/0!</v>
      </c>
      <c r="R73" s="6" t="e">
        <f>VLOOKUP($A73,'Rate Calculation'!$A$3:$AR$210,47,FALSE)+Q73</f>
        <v>#REF!</v>
      </c>
      <c r="S73" s="6" t="e">
        <f>VLOOKUP($A73,'Rate Calculation'!$A$4:$CQ$211,66,FALSE)</f>
        <v>#REF!</v>
      </c>
      <c r="T73" s="6" t="e">
        <f>VLOOKUP($A73,'Rate Calculation'!$A$3:$CQ$210,67,FALSE)</f>
        <v>#REF!</v>
      </c>
      <c r="U73" s="6" t="e">
        <f>VLOOKUP($A73,'Rate Calculation'!$A$3:$DE$210,82,FALSE)</f>
        <v>#DIV/0!</v>
      </c>
      <c r="V73" s="6" t="e">
        <f t="shared" si="6"/>
        <v>#DIV/0!</v>
      </c>
      <c r="W73" s="6" t="e">
        <f t="shared" si="2"/>
        <v>#DIV/0!</v>
      </c>
      <c r="X73" s="6" t="e">
        <f>VLOOKUP($A73,'Rate Calculation'!$A$3:$AR$210,47,FALSE)+W73</f>
        <v>#REF!</v>
      </c>
      <c r="Y73" s="6" t="e">
        <f>VLOOKUP($A73,'Rate Calculation'!$A$4:$CQ$210,83,FALSE)</f>
        <v>#REF!</v>
      </c>
      <c r="Z73" s="6" t="e">
        <f>VLOOKUP($A73,'Rate Calculation'!$A$3:$DE$210,84,FALSE)</f>
        <v>#REF!</v>
      </c>
      <c r="AA73" s="6">
        <f>VLOOKUP($A73,'Rate Calculation'!$A$3:$DE$210,99,FALSE)</f>
        <v>0</v>
      </c>
      <c r="AB73" s="6">
        <f t="shared" si="7"/>
        <v>0</v>
      </c>
      <c r="AC73" s="6">
        <f t="shared" si="8"/>
        <v>0</v>
      </c>
      <c r="AD73" s="6" t="e">
        <f>VLOOKUP($A73,'Rate Calculation'!$A$3:$AR$210,47,FALSE)+AC73</f>
        <v>#REF!</v>
      </c>
      <c r="AE73" s="6" t="e">
        <f>VLOOKUP($A73,'Rate Calculation'!$A$3:$CQ$210,100,FALSE)</f>
        <v>#REF!</v>
      </c>
      <c r="AF73" s="6">
        <f>VLOOKUP($A73,'Rate Calculation'!$A$3:$DE$210,101,FALSE)</f>
        <v>0</v>
      </c>
      <c r="AH73" s="175"/>
    </row>
    <row r="74" spans="1:34" x14ac:dyDescent="0.15">
      <c r="A74" s="130">
        <v>104</v>
      </c>
      <c r="B74" s="37" t="s">
        <v>678</v>
      </c>
      <c r="C74" s="1" t="str">
        <f>VLOOKUP(A74,'Rate Calculation'!$A$4:$F$210,6,FALSE)</f>
        <v>NON METRO</v>
      </c>
      <c r="D74" s="4">
        <v>20476</v>
      </c>
      <c r="E74" s="6">
        <f>VLOOKUP(A74,'Rate Calculation'!$A$4:$AM$208,39,FALSE)</f>
        <v>323.60000000000002</v>
      </c>
      <c r="F74" s="6">
        <f t="shared" si="3"/>
        <v>319.63</v>
      </c>
      <c r="G74" s="6">
        <f t="shared" si="4"/>
        <v>319.63</v>
      </c>
      <c r="H74" s="6">
        <f>VLOOKUP(A74,'Rate Calculation'!$A$4:$AL$208,38,FALSE)+G74</f>
        <v>346.47</v>
      </c>
      <c r="I74" s="6">
        <f>VLOOKUP(A74,'Rate Calculation'!$A$4:$AN$208,40,FALSE)</f>
        <v>236.15</v>
      </c>
      <c r="J74" s="1">
        <v>0</v>
      </c>
      <c r="K74" s="217">
        <v>0</v>
      </c>
      <c r="L74" s="6">
        <f>VLOOKUP(A74,'Rate Calculation'!$A$4:$AO$208,41,FALSE)</f>
        <v>148.69</v>
      </c>
      <c r="M74" s="1">
        <v>0</v>
      </c>
      <c r="N74" s="182">
        <f>VLOOKUP(A74,'Rate Calculation'!$A$4:$AL$208,38,FALSE)</f>
        <v>26.84</v>
      </c>
      <c r="O74" s="6" t="e">
        <f>VLOOKUP($A74,'Rate Calculation'!$A$3:$BR$210,65,FALSE)</f>
        <v>#DIV/0!</v>
      </c>
      <c r="P74" s="6" t="e">
        <f t="shared" si="5"/>
        <v>#DIV/0!</v>
      </c>
      <c r="Q74" s="6" t="e">
        <f t="shared" si="1"/>
        <v>#DIV/0!</v>
      </c>
      <c r="R74" s="6" t="e">
        <f>VLOOKUP($A74,'Rate Calculation'!$A$3:$AR$210,47,FALSE)+Q74</f>
        <v>#REF!</v>
      </c>
      <c r="S74" s="6" t="e">
        <f>VLOOKUP($A74,'Rate Calculation'!$A$4:$CQ$211,66,FALSE)</f>
        <v>#REF!</v>
      </c>
      <c r="T74" s="6" t="e">
        <f>VLOOKUP($A74,'Rate Calculation'!$A$3:$CQ$210,67,FALSE)</f>
        <v>#REF!</v>
      </c>
      <c r="U74" s="6" t="e">
        <f>VLOOKUP($A74,'Rate Calculation'!$A$3:$DE$210,82,FALSE)</f>
        <v>#DIV/0!</v>
      </c>
      <c r="V74" s="6" t="e">
        <f t="shared" si="6"/>
        <v>#DIV/0!</v>
      </c>
      <c r="W74" s="6" t="e">
        <f t="shared" si="2"/>
        <v>#DIV/0!</v>
      </c>
      <c r="X74" s="6" t="e">
        <f>VLOOKUP($A74,'Rate Calculation'!$A$3:$AR$210,47,FALSE)+W74</f>
        <v>#REF!</v>
      </c>
      <c r="Y74" s="6" t="e">
        <f>VLOOKUP($A74,'Rate Calculation'!$A$4:$CQ$210,83,FALSE)</f>
        <v>#REF!</v>
      </c>
      <c r="Z74" s="6" t="e">
        <f>VLOOKUP($A74,'Rate Calculation'!$A$3:$DE$210,84,FALSE)</f>
        <v>#REF!</v>
      </c>
      <c r="AA74" s="6">
        <f>VLOOKUP($A74,'Rate Calculation'!$A$3:$DE$210,99,FALSE)</f>
        <v>0</v>
      </c>
      <c r="AB74" s="6">
        <f t="shared" si="7"/>
        <v>0</v>
      </c>
      <c r="AC74" s="6">
        <f t="shared" si="8"/>
        <v>0</v>
      </c>
      <c r="AD74" s="6" t="e">
        <f>VLOOKUP($A74,'Rate Calculation'!$A$3:$AR$210,47,FALSE)+AC74</f>
        <v>#REF!</v>
      </c>
      <c r="AE74" s="6" t="e">
        <f>VLOOKUP($A74,'Rate Calculation'!$A$3:$CQ$210,100,FALSE)</f>
        <v>#REF!</v>
      </c>
      <c r="AF74" s="6">
        <f>VLOOKUP($A74,'Rate Calculation'!$A$3:$DE$210,101,FALSE)</f>
        <v>0</v>
      </c>
      <c r="AH74" s="175"/>
    </row>
    <row r="75" spans="1:34" x14ac:dyDescent="0.15">
      <c r="A75" s="130">
        <v>108</v>
      </c>
      <c r="B75" s="37" t="s">
        <v>364</v>
      </c>
      <c r="C75" s="1" t="str">
        <f>VLOOKUP(A75,'Rate Calculation'!$A$4:$F$210,6,FALSE)</f>
        <v>NON METRO</v>
      </c>
      <c r="D75" s="4">
        <v>32370</v>
      </c>
      <c r="E75" s="6">
        <f>VLOOKUP(A75,'Rate Calculation'!$A$4:$AM$208,39,FALSE)</f>
        <v>311.75</v>
      </c>
      <c r="F75" s="6">
        <f t="shared" si="3"/>
        <v>307.92</v>
      </c>
      <c r="G75" s="6">
        <f t="shared" si="4"/>
        <v>307.92</v>
      </c>
      <c r="H75" s="6">
        <f>VLOOKUP(A75,'Rate Calculation'!$A$4:$AL$208,38,FALSE)+G75</f>
        <v>334.62</v>
      </c>
      <c r="I75" s="6">
        <f>VLOOKUP(A75,'Rate Calculation'!$A$4:$AN$208,40,FALSE)</f>
        <v>231.94</v>
      </c>
      <c r="J75" s="1">
        <v>0</v>
      </c>
      <c r="K75" s="217">
        <v>23041</v>
      </c>
      <c r="L75" s="6">
        <f>VLOOKUP(A75,'Rate Calculation'!$A$4:$AO$208,41,FALSE)</f>
        <v>152.12</v>
      </c>
      <c r="M75" s="1">
        <v>31</v>
      </c>
      <c r="N75" s="182">
        <f>VLOOKUP(A75,'Rate Calculation'!$A$4:$AL$208,38,FALSE)</f>
        <v>26.7</v>
      </c>
      <c r="O75" s="6" t="e">
        <f>VLOOKUP($A75,'Rate Calculation'!$A$3:$BR$210,65,FALSE)</f>
        <v>#DIV/0!</v>
      </c>
      <c r="P75" s="6" t="e">
        <f t="shared" si="5"/>
        <v>#DIV/0!</v>
      </c>
      <c r="Q75" s="6" t="e">
        <f t="shared" si="1"/>
        <v>#DIV/0!</v>
      </c>
      <c r="R75" s="6" t="e">
        <f>VLOOKUP($A75,'Rate Calculation'!$A$3:$AR$210,47,FALSE)+Q75</f>
        <v>#REF!</v>
      </c>
      <c r="S75" s="6" t="e">
        <f>VLOOKUP($A75,'Rate Calculation'!$A$4:$CQ$211,66,FALSE)</f>
        <v>#REF!</v>
      </c>
      <c r="T75" s="6" t="e">
        <f>VLOOKUP($A75,'Rate Calculation'!$A$3:$CQ$210,67,FALSE)</f>
        <v>#REF!</v>
      </c>
      <c r="U75" s="6" t="e">
        <f>VLOOKUP($A75,'Rate Calculation'!$A$3:$DE$210,82,FALSE)</f>
        <v>#DIV/0!</v>
      </c>
      <c r="V75" s="6" t="e">
        <f t="shared" si="6"/>
        <v>#DIV/0!</v>
      </c>
      <c r="W75" s="6" t="e">
        <f t="shared" si="2"/>
        <v>#DIV/0!</v>
      </c>
      <c r="X75" s="6" t="e">
        <f>VLOOKUP($A75,'Rate Calculation'!$A$3:$AR$210,47,FALSE)+W75</f>
        <v>#REF!</v>
      </c>
      <c r="Y75" s="6" t="e">
        <f>VLOOKUP($A75,'Rate Calculation'!$A$4:$CQ$210,83,FALSE)</f>
        <v>#REF!</v>
      </c>
      <c r="Z75" s="6" t="e">
        <f>VLOOKUP($A75,'Rate Calculation'!$A$3:$DE$210,84,FALSE)</f>
        <v>#REF!</v>
      </c>
      <c r="AA75" s="6">
        <f>VLOOKUP($A75,'Rate Calculation'!$A$3:$DE$210,99,FALSE)</f>
        <v>0</v>
      </c>
      <c r="AB75" s="6">
        <f t="shared" si="7"/>
        <v>0</v>
      </c>
      <c r="AC75" s="6">
        <f t="shared" si="8"/>
        <v>0</v>
      </c>
      <c r="AD75" s="6" t="e">
        <f>VLOOKUP($A75,'Rate Calculation'!$A$3:$AR$210,47,FALSE)+AC75</f>
        <v>#REF!</v>
      </c>
      <c r="AE75" s="6" t="e">
        <f>VLOOKUP($A75,'Rate Calculation'!$A$3:$CQ$210,100,FALSE)</f>
        <v>#REF!</v>
      </c>
      <c r="AF75" s="6">
        <f>VLOOKUP($A75,'Rate Calculation'!$A$3:$DE$210,101,FALSE)</f>
        <v>0</v>
      </c>
      <c r="AH75" s="175"/>
    </row>
    <row r="76" spans="1:34" x14ac:dyDescent="0.15">
      <c r="A76" s="130">
        <v>106</v>
      </c>
      <c r="B76" s="37" t="s">
        <v>203</v>
      </c>
      <c r="C76" s="1" t="str">
        <f>VLOOKUP(A76,'Rate Calculation'!$A$4:$F$210,6,FALSE)</f>
        <v>BALTIMORE METRO</v>
      </c>
      <c r="D76" s="4">
        <v>30852</v>
      </c>
      <c r="E76" s="6">
        <f>VLOOKUP(A76,'Rate Calculation'!$A$4:$AM$208,39,FALSE)</f>
        <v>339.87</v>
      </c>
      <c r="F76" s="6">
        <f t="shared" si="3"/>
        <v>335.7</v>
      </c>
      <c r="G76" s="6">
        <f t="shared" si="4"/>
        <v>335.7</v>
      </c>
      <c r="H76" s="6">
        <f>VLOOKUP(A76,'Rate Calculation'!$A$4:$AL$208,38,FALSE)+G76</f>
        <v>364.74</v>
      </c>
      <c r="I76" s="6">
        <f>VLOOKUP(A76,'Rate Calculation'!$A$4:$AN$208,40,FALSE)</f>
        <v>251.12</v>
      </c>
      <c r="J76" s="1">
        <v>0</v>
      </c>
      <c r="K76" s="217">
        <v>1164</v>
      </c>
      <c r="L76" s="6">
        <f>VLOOKUP(A76,'Rate Calculation'!$A$4:$AO$208,41,FALSE)</f>
        <v>162.36000000000001</v>
      </c>
      <c r="M76" s="1">
        <v>13</v>
      </c>
      <c r="N76" s="182">
        <f>VLOOKUP(A76,'Rate Calculation'!$A$4:$AL$208,38,FALSE)</f>
        <v>29.04</v>
      </c>
      <c r="O76" s="6" t="e">
        <f>VLOOKUP($A76,'Rate Calculation'!$A$3:$BR$210,65,FALSE)</f>
        <v>#DIV/0!</v>
      </c>
      <c r="P76" s="6" t="e">
        <f t="shared" si="5"/>
        <v>#DIV/0!</v>
      </c>
      <c r="Q76" s="6" t="e">
        <f t="shared" si="1"/>
        <v>#DIV/0!</v>
      </c>
      <c r="R76" s="6" t="e">
        <f>VLOOKUP($A76,'Rate Calculation'!$A$3:$AR$210,47,FALSE)+Q76</f>
        <v>#REF!</v>
      </c>
      <c r="S76" s="6" t="e">
        <f>VLOOKUP($A76,'Rate Calculation'!$A$4:$CQ$211,66,FALSE)</f>
        <v>#REF!</v>
      </c>
      <c r="T76" s="6" t="e">
        <f>VLOOKUP($A76,'Rate Calculation'!$A$3:$CQ$210,67,FALSE)</f>
        <v>#REF!</v>
      </c>
      <c r="U76" s="6" t="e">
        <f>VLOOKUP($A76,'Rate Calculation'!$A$3:$DE$210,82,FALSE)</f>
        <v>#DIV/0!</v>
      </c>
      <c r="V76" s="6" t="e">
        <f t="shared" si="6"/>
        <v>#DIV/0!</v>
      </c>
      <c r="W76" s="6" t="e">
        <f t="shared" si="2"/>
        <v>#DIV/0!</v>
      </c>
      <c r="X76" s="6" t="e">
        <f>VLOOKUP($A76,'Rate Calculation'!$A$3:$AR$210,47,FALSE)+W76</f>
        <v>#REF!</v>
      </c>
      <c r="Y76" s="6" t="e">
        <f>VLOOKUP($A76,'Rate Calculation'!$A$4:$CQ$210,83,FALSE)</f>
        <v>#REF!</v>
      </c>
      <c r="Z76" s="6" t="e">
        <f>VLOOKUP($A76,'Rate Calculation'!$A$3:$DE$210,84,FALSE)</f>
        <v>#REF!</v>
      </c>
      <c r="AA76" s="6">
        <f>VLOOKUP($A76,'Rate Calculation'!$A$3:$DE$210,99,FALSE)</f>
        <v>0</v>
      </c>
      <c r="AB76" s="6">
        <f t="shared" si="7"/>
        <v>0</v>
      </c>
      <c r="AC76" s="6">
        <f t="shared" si="8"/>
        <v>0</v>
      </c>
      <c r="AD76" s="6" t="e">
        <f>VLOOKUP($A76,'Rate Calculation'!$A$3:$AR$210,47,FALSE)+AC76</f>
        <v>#REF!</v>
      </c>
      <c r="AE76" s="6" t="e">
        <f>VLOOKUP($A76,'Rate Calculation'!$A$3:$CQ$210,100,FALSE)</f>
        <v>#REF!</v>
      </c>
      <c r="AF76" s="6">
        <f>VLOOKUP($A76,'Rate Calculation'!$A$3:$DE$210,101,FALSE)</f>
        <v>0</v>
      </c>
      <c r="AH76" s="175"/>
    </row>
    <row r="77" spans="1:34" x14ac:dyDescent="0.15">
      <c r="A77" s="130">
        <v>112</v>
      </c>
      <c r="B77" s="37" t="s">
        <v>227</v>
      </c>
      <c r="C77" s="1" t="str">
        <f>VLOOKUP(A77,'Rate Calculation'!$A$4:$F$210,6,FALSE)</f>
        <v>WASHINGTON METRO</v>
      </c>
      <c r="D77" s="4">
        <v>36536</v>
      </c>
      <c r="E77" s="6">
        <f>VLOOKUP(A77,'Rate Calculation'!$A$4:$AM$208,39,FALSE)</f>
        <v>288.47000000000003</v>
      </c>
      <c r="F77" s="6">
        <f t="shared" si="3"/>
        <v>284.93</v>
      </c>
      <c r="G77" s="6">
        <f t="shared" si="4"/>
        <v>284.93</v>
      </c>
      <c r="H77" s="6">
        <f>VLOOKUP(A77,'Rate Calculation'!$A$4:$AL$208,38,FALSE)+G77</f>
        <v>316.95</v>
      </c>
      <c r="I77" s="6">
        <f>VLOOKUP(A77,'Rate Calculation'!$A$4:$AN$208,40,FALSE)</f>
        <v>219.36</v>
      </c>
      <c r="J77" s="1">
        <v>0</v>
      </c>
      <c r="K77" s="217">
        <v>117893</v>
      </c>
      <c r="L77" s="6">
        <f>VLOOKUP(A77,'Rate Calculation'!$A$4:$AO$208,41,FALSE)</f>
        <v>150.25</v>
      </c>
      <c r="M77" s="1">
        <v>57</v>
      </c>
      <c r="N77" s="182">
        <f>VLOOKUP(A77,'Rate Calculation'!$A$4:$AL$208,38,FALSE)</f>
        <v>32.020000000000003</v>
      </c>
      <c r="O77" s="6" t="e">
        <f>VLOOKUP($A77,'Rate Calculation'!$A$3:$BR$210,65,FALSE)</f>
        <v>#DIV/0!</v>
      </c>
      <c r="P77" s="6" t="e">
        <f t="shared" si="5"/>
        <v>#DIV/0!</v>
      </c>
      <c r="Q77" s="6" t="e">
        <f t="shared" si="1"/>
        <v>#DIV/0!</v>
      </c>
      <c r="R77" s="6" t="e">
        <f>VLOOKUP($A77,'Rate Calculation'!$A$3:$AR$210,47,FALSE)+Q77</f>
        <v>#REF!</v>
      </c>
      <c r="S77" s="6" t="e">
        <f>VLOOKUP($A77,'Rate Calculation'!$A$4:$CQ$211,66,FALSE)</f>
        <v>#REF!</v>
      </c>
      <c r="T77" s="6" t="e">
        <f>VLOOKUP($A77,'Rate Calculation'!$A$3:$CQ$210,67,FALSE)</f>
        <v>#REF!</v>
      </c>
      <c r="U77" s="6" t="e">
        <f>VLOOKUP($A77,'Rate Calculation'!$A$3:$DE$210,82,FALSE)</f>
        <v>#DIV/0!</v>
      </c>
      <c r="V77" s="6" t="e">
        <f t="shared" si="6"/>
        <v>#DIV/0!</v>
      </c>
      <c r="W77" s="6" t="e">
        <f t="shared" si="2"/>
        <v>#DIV/0!</v>
      </c>
      <c r="X77" s="6" t="e">
        <f>VLOOKUP($A77,'Rate Calculation'!$A$3:$AR$210,47,FALSE)+W77</f>
        <v>#REF!</v>
      </c>
      <c r="Y77" s="6" t="e">
        <f>VLOOKUP($A77,'Rate Calculation'!$A$4:$CQ$210,83,FALSE)</f>
        <v>#REF!</v>
      </c>
      <c r="Z77" s="6" t="e">
        <f>VLOOKUP($A77,'Rate Calculation'!$A$3:$DE$210,84,FALSE)</f>
        <v>#REF!</v>
      </c>
      <c r="AA77" s="6">
        <f>VLOOKUP($A77,'Rate Calculation'!$A$3:$DE$210,99,FALSE)</f>
        <v>0</v>
      </c>
      <c r="AB77" s="6">
        <f t="shared" si="7"/>
        <v>0</v>
      </c>
      <c r="AC77" s="6">
        <f t="shared" si="8"/>
        <v>0</v>
      </c>
      <c r="AD77" s="6" t="e">
        <f>VLOOKUP($A77,'Rate Calculation'!$A$3:$AR$210,47,FALSE)+AC77</f>
        <v>#REF!</v>
      </c>
      <c r="AE77" s="6" t="e">
        <f>VLOOKUP($A77,'Rate Calculation'!$A$3:$CQ$210,100,FALSE)</f>
        <v>#REF!</v>
      </c>
      <c r="AF77" s="6">
        <f>VLOOKUP($A77,'Rate Calculation'!$A$3:$DE$210,101,FALSE)</f>
        <v>0</v>
      </c>
      <c r="AH77" s="175"/>
    </row>
    <row r="78" spans="1:34" x14ac:dyDescent="0.15">
      <c r="A78" s="130">
        <v>114</v>
      </c>
      <c r="B78" s="37" t="s">
        <v>657</v>
      </c>
      <c r="C78" s="1" t="str">
        <f>VLOOKUP(A78,'Rate Calculation'!$A$4:$F$210,6,FALSE)</f>
        <v>NON METRO</v>
      </c>
      <c r="D78" s="4">
        <v>7845</v>
      </c>
      <c r="E78" s="6">
        <f>VLOOKUP(A78,'Rate Calculation'!$A$4:$AM$208,39,FALSE)</f>
        <v>308.64999999999998</v>
      </c>
      <c r="F78" s="6">
        <f t="shared" si="3"/>
        <v>304.86</v>
      </c>
      <c r="G78" s="6">
        <f t="shared" si="4"/>
        <v>304.86</v>
      </c>
      <c r="H78" s="6">
        <f>VLOOKUP(A78,'Rate Calculation'!$A$4:$AL$208,38,FALSE)+G78</f>
        <v>328.47</v>
      </c>
      <c r="I78" s="6">
        <f>VLOOKUP(A78,'Rate Calculation'!$A$4:$AN$208,40,FALSE)</f>
        <v>233.07</v>
      </c>
      <c r="J78" s="1">
        <v>0</v>
      </c>
      <c r="K78" s="217">
        <v>116</v>
      </c>
      <c r="L78" s="6">
        <f>VLOOKUP(A78,'Rate Calculation'!$A$4:$AO$208,41,FALSE)</f>
        <v>157.49</v>
      </c>
      <c r="M78" s="1">
        <v>18</v>
      </c>
      <c r="N78" s="182">
        <f>VLOOKUP(A78,'Rate Calculation'!$A$4:$AL$208,38,FALSE)</f>
        <v>23.61</v>
      </c>
      <c r="O78" s="6" t="e">
        <f>VLOOKUP($A78,'Rate Calculation'!$A$3:$BR$210,65,FALSE)</f>
        <v>#DIV/0!</v>
      </c>
      <c r="P78" s="6" t="e">
        <f t="shared" si="5"/>
        <v>#DIV/0!</v>
      </c>
      <c r="Q78" s="6" t="e">
        <f t="shared" si="1"/>
        <v>#DIV/0!</v>
      </c>
      <c r="R78" s="6" t="e">
        <f>VLOOKUP($A78,'Rate Calculation'!$A$3:$AR$210,47,FALSE)+Q78</f>
        <v>#REF!</v>
      </c>
      <c r="S78" s="6" t="e">
        <f>VLOOKUP($A78,'Rate Calculation'!$A$4:$CQ$211,66,FALSE)</f>
        <v>#REF!</v>
      </c>
      <c r="T78" s="6" t="e">
        <f>VLOOKUP($A78,'Rate Calculation'!$A$3:$CQ$210,67,FALSE)</f>
        <v>#REF!</v>
      </c>
      <c r="U78" s="6" t="e">
        <f>VLOOKUP($A78,'Rate Calculation'!$A$3:$DE$210,82,FALSE)</f>
        <v>#DIV/0!</v>
      </c>
      <c r="V78" s="6" t="e">
        <f t="shared" si="6"/>
        <v>#DIV/0!</v>
      </c>
      <c r="W78" s="6" t="e">
        <f t="shared" si="2"/>
        <v>#DIV/0!</v>
      </c>
      <c r="X78" s="6" t="e">
        <f>VLOOKUP($A78,'Rate Calculation'!$A$3:$AR$210,47,FALSE)+W78</f>
        <v>#REF!</v>
      </c>
      <c r="Y78" s="6" t="e">
        <f>VLOOKUP($A78,'Rate Calculation'!$A$4:$CQ$210,83,FALSE)</f>
        <v>#REF!</v>
      </c>
      <c r="Z78" s="6" t="e">
        <f>VLOOKUP($A78,'Rate Calculation'!$A$3:$DE$210,84,FALSE)</f>
        <v>#REF!</v>
      </c>
      <c r="AA78" s="6">
        <f>VLOOKUP($A78,'Rate Calculation'!$A$3:$DE$210,99,FALSE)</f>
        <v>0</v>
      </c>
      <c r="AB78" s="6">
        <f t="shared" si="7"/>
        <v>0</v>
      </c>
      <c r="AC78" s="6">
        <f t="shared" si="8"/>
        <v>0</v>
      </c>
      <c r="AD78" s="6" t="e">
        <f>VLOOKUP($A78,'Rate Calculation'!$A$3:$AR$210,47,FALSE)+AC78</f>
        <v>#REF!</v>
      </c>
      <c r="AE78" s="6" t="e">
        <f>VLOOKUP($A78,'Rate Calculation'!$A$3:$CQ$210,100,FALSE)</f>
        <v>#REF!</v>
      </c>
      <c r="AF78" s="6">
        <f>VLOOKUP($A78,'Rate Calculation'!$A$3:$DE$210,101,FALSE)</f>
        <v>0</v>
      </c>
      <c r="AH78" s="175"/>
    </row>
    <row r="79" spans="1:34" x14ac:dyDescent="0.15">
      <c r="A79" s="130">
        <v>118</v>
      </c>
      <c r="B79" s="37" t="s">
        <v>470</v>
      </c>
      <c r="C79" s="1" t="str">
        <f>VLOOKUP(A79,'Rate Calculation'!$A$4:$F$210,6,FALSE)</f>
        <v>WASHINGTON METRO</v>
      </c>
      <c r="D79" s="4">
        <v>31770</v>
      </c>
      <c r="E79" s="6">
        <f>VLOOKUP(A79,'Rate Calculation'!$A$4:$AM$208,39,FALSE)</f>
        <v>345.58</v>
      </c>
      <c r="F79" s="6">
        <f t="shared" si="3"/>
        <v>341.34</v>
      </c>
      <c r="G79" s="6">
        <f t="shared" si="4"/>
        <v>341.34</v>
      </c>
      <c r="H79" s="6">
        <f>VLOOKUP(A79,'Rate Calculation'!$A$4:$AL$208,38,FALSE)+G79</f>
        <v>366.28</v>
      </c>
      <c r="I79" s="6">
        <f>VLOOKUP(A79,'Rate Calculation'!$A$4:$AN$208,40,FALSE)</f>
        <v>252.97</v>
      </c>
      <c r="J79" s="1">
        <v>0</v>
      </c>
      <c r="K79" s="217">
        <v>149432</v>
      </c>
      <c r="L79" s="6">
        <f>VLOOKUP(A79,'Rate Calculation'!$A$4:$AO$208,41,FALSE)</f>
        <v>160.35</v>
      </c>
      <c r="M79" s="1">
        <v>12</v>
      </c>
      <c r="N79" s="182">
        <f>VLOOKUP(A79,'Rate Calculation'!$A$4:$AL$208,38,FALSE)</f>
        <v>24.94</v>
      </c>
      <c r="O79" s="6" t="e">
        <f>VLOOKUP($A79,'Rate Calculation'!$A$3:$BR$210,65,FALSE)</f>
        <v>#DIV/0!</v>
      </c>
      <c r="P79" s="6" t="e">
        <f t="shared" si="5"/>
        <v>#DIV/0!</v>
      </c>
      <c r="Q79" s="6" t="e">
        <f t="shared" si="1"/>
        <v>#DIV/0!</v>
      </c>
      <c r="R79" s="6" t="e">
        <f>VLOOKUP($A79,'Rate Calculation'!$A$3:$AR$210,47,FALSE)+Q79</f>
        <v>#REF!</v>
      </c>
      <c r="S79" s="6" t="e">
        <f>VLOOKUP($A79,'Rate Calculation'!$A$4:$CQ$211,66,FALSE)</f>
        <v>#REF!</v>
      </c>
      <c r="T79" s="6" t="e">
        <f>VLOOKUP($A79,'Rate Calculation'!$A$3:$CQ$210,67,FALSE)</f>
        <v>#REF!</v>
      </c>
      <c r="U79" s="6" t="e">
        <f>VLOOKUP($A79,'Rate Calculation'!$A$3:$DE$210,82,FALSE)</f>
        <v>#DIV/0!</v>
      </c>
      <c r="V79" s="6" t="e">
        <f t="shared" si="6"/>
        <v>#DIV/0!</v>
      </c>
      <c r="W79" s="6" t="e">
        <f t="shared" si="2"/>
        <v>#DIV/0!</v>
      </c>
      <c r="X79" s="6" t="e">
        <f>VLOOKUP($A79,'Rate Calculation'!$A$3:$AR$210,47,FALSE)+W79</f>
        <v>#REF!</v>
      </c>
      <c r="Y79" s="6" t="e">
        <f>VLOOKUP($A79,'Rate Calculation'!$A$4:$CQ$210,83,FALSE)</f>
        <v>#REF!</v>
      </c>
      <c r="Z79" s="6" t="e">
        <f>VLOOKUP($A79,'Rate Calculation'!$A$3:$DE$210,84,FALSE)</f>
        <v>#REF!</v>
      </c>
      <c r="AA79" s="6">
        <f>VLOOKUP($A79,'Rate Calculation'!$A$3:$DE$210,99,FALSE)</f>
        <v>0</v>
      </c>
      <c r="AB79" s="6">
        <f t="shared" si="7"/>
        <v>0</v>
      </c>
      <c r="AC79" s="6">
        <f t="shared" si="8"/>
        <v>0</v>
      </c>
      <c r="AD79" s="6" t="e">
        <f>VLOOKUP($A79,'Rate Calculation'!$A$3:$AR$210,47,FALSE)+AC79</f>
        <v>#REF!</v>
      </c>
      <c r="AE79" s="6" t="e">
        <f>VLOOKUP($A79,'Rate Calculation'!$A$3:$CQ$210,100,FALSE)</f>
        <v>#REF!</v>
      </c>
      <c r="AF79" s="6">
        <f>VLOOKUP($A79,'Rate Calculation'!$A$3:$DE$210,101,FALSE)</f>
        <v>0</v>
      </c>
      <c r="AH79" s="175"/>
    </row>
    <row r="80" spans="1:34" x14ac:dyDescent="0.15">
      <c r="A80" s="130">
        <v>665</v>
      </c>
      <c r="B80" s="37" t="s">
        <v>645</v>
      </c>
      <c r="C80" s="1" t="str">
        <f>VLOOKUP(A80,'Rate Calculation'!$A$4:$F$210,6,FALSE)</f>
        <v>BALTIMORE METRO</v>
      </c>
      <c r="D80" s="4">
        <v>19774</v>
      </c>
      <c r="E80" s="6">
        <f>VLOOKUP(A80,'Rate Calculation'!$A$4:$AM$208,39,FALSE)</f>
        <v>375.18</v>
      </c>
      <c r="F80" s="6">
        <f t="shared" si="3"/>
        <v>370.57</v>
      </c>
      <c r="G80" s="6">
        <f t="shared" si="4"/>
        <v>370.57</v>
      </c>
      <c r="H80" s="6">
        <f>VLOOKUP(A80,'Rate Calculation'!$A$4:$AL$208,38,FALSE)+G80</f>
        <v>398</v>
      </c>
      <c r="I80" s="6">
        <f>VLOOKUP(A80,'Rate Calculation'!$A$4:$AN$208,40,FALSE)</f>
        <v>270.33999999999997</v>
      </c>
      <c r="J80" s="1">
        <v>0</v>
      </c>
      <c r="K80" s="217">
        <v>35842</v>
      </c>
      <c r="L80" s="6">
        <f>VLOOKUP(A80,'Rate Calculation'!$A$4:$AO$208,41,FALSE)</f>
        <v>165.49</v>
      </c>
      <c r="M80" s="1">
        <v>19</v>
      </c>
      <c r="N80" s="182">
        <f>VLOOKUP(A80,'Rate Calculation'!$A$4:$AL$208,38,FALSE)</f>
        <v>27.43</v>
      </c>
      <c r="O80" s="6" t="e">
        <f>VLOOKUP($A80,'Rate Calculation'!$A$3:$BR$210,65,FALSE)</f>
        <v>#DIV/0!</v>
      </c>
      <c r="P80" s="6" t="e">
        <f t="shared" si="5"/>
        <v>#DIV/0!</v>
      </c>
      <c r="Q80" s="6" t="e">
        <f t="shared" si="1"/>
        <v>#DIV/0!</v>
      </c>
      <c r="R80" s="6" t="e">
        <f>VLOOKUP($A80,'Rate Calculation'!$A$3:$AR$210,47,FALSE)+Q80</f>
        <v>#REF!</v>
      </c>
      <c r="S80" s="6" t="e">
        <f>VLOOKUP($A80,'Rate Calculation'!$A$4:$CQ$211,66,FALSE)</f>
        <v>#REF!</v>
      </c>
      <c r="T80" s="6" t="e">
        <f>VLOOKUP($A80,'Rate Calculation'!$A$3:$CQ$210,67,FALSE)</f>
        <v>#REF!</v>
      </c>
      <c r="U80" s="6" t="e">
        <f>VLOOKUP($A80,'Rate Calculation'!$A$3:$DE$210,82,FALSE)</f>
        <v>#DIV/0!</v>
      </c>
      <c r="V80" s="6" t="e">
        <f t="shared" si="6"/>
        <v>#DIV/0!</v>
      </c>
      <c r="W80" s="6" t="e">
        <f t="shared" si="2"/>
        <v>#DIV/0!</v>
      </c>
      <c r="X80" s="6" t="e">
        <f>VLOOKUP($A80,'Rate Calculation'!$A$3:$AR$210,47,FALSE)+W80</f>
        <v>#REF!</v>
      </c>
      <c r="Y80" s="6" t="e">
        <f>VLOOKUP($A80,'Rate Calculation'!$A$4:$CQ$210,83,FALSE)</f>
        <v>#REF!</v>
      </c>
      <c r="Z80" s="6" t="e">
        <f>VLOOKUP($A80,'Rate Calculation'!$A$3:$DE$210,84,FALSE)</f>
        <v>#REF!</v>
      </c>
      <c r="AA80" s="6">
        <f>VLOOKUP($A80,'Rate Calculation'!$A$3:$DE$210,99,FALSE)</f>
        <v>0</v>
      </c>
      <c r="AB80" s="6">
        <f t="shared" si="7"/>
        <v>0</v>
      </c>
      <c r="AC80" s="6">
        <f t="shared" si="8"/>
        <v>0</v>
      </c>
      <c r="AD80" s="6" t="e">
        <f>VLOOKUP($A80,'Rate Calculation'!$A$3:$AR$210,47,FALSE)+AC80</f>
        <v>#REF!</v>
      </c>
      <c r="AE80" s="6" t="e">
        <f>VLOOKUP($A80,'Rate Calculation'!$A$3:$CQ$210,100,FALSE)</f>
        <v>#REF!</v>
      </c>
      <c r="AF80" s="6">
        <f>VLOOKUP($A80,'Rate Calculation'!$A$3:$DE$210,101,FALSE)</f>
        <v>0</v>
      </c>
      <c r="AH80" s="175"/>
    </row>
    <row r="81" spans="1:34" x14ac:dyDescent="0.15">
      <c r="A81" s="130">
        <v>126</v>
      </c>
      <c r="B81" s="37" t="s">
        <v>548</v>
      </c>
      <c r="C81" s="1" t="str">
        <f>VLOOKUP(A81,'Rate Calculation'!$A$4:$F$210,6,FALSE)</f>
        <v>NON METRO</v>
      </c>
      <c r="D81" s="4">
        <v>24404</v>
      </c>
      <c r="E81" s="6">
        <f>VLOOKUP(A81,'Rate Calculation'!$A$4:$AM$208,39,FALSE)</f>
        <v>330.77</v>
      </c>
      <c r="F81" s="6">
        <f t="shared" si="3"/>
        <v>326.70999999999998</v>
      </c>
      <c r="G81" s="6">
        <f t="shared" si="4"/>
        <v>326.70999999999998</v>
      </c>
      <c r="H81" s="6">
        <f>VLOOKUP(A81,'Rate Calculation'!$A$4:$AL$208,38,FALSE)+G81</f>
        <v>353.05</v>
      </c>
      <c r="I81" s="6">
        <f>VLOOKUP(A81,'Rate Calculation'!$A$4:$AN$208,40,FALSE)</f>
        <v>239.37</v>
      </c>
      <c r="J81" s="1">
        <v>0</v>
      </c>
      <c r="K81" s="217">
        <v>15236</v>
      </c>
      <c r="L81" s="6">
        <f>VLOOKUP(A81,'Rate Calculation'!$A$4:$AO$208,41,FALSE)</f>
        <v>147.97</v>
      </c>
      <c r="M81" s="1">
        <v>15</v>
      </c>
      <c r="N81" s="182">
        <f>VLOOKUP(A81,'Rate Calculation'!$A$4:$AL$208,38,FALSE)</f>
        <v>26.34</v>
      </c>
      <c r="O81" s="6" t="e">
        <f>VLOOKUP($A81,'Rate Calculation'!$A$3:$BR$210,65,FALSE)</f>
        <v>#DIV/0!</v>
      </c>
      <c r="P81" s="6" t="e">
        <f t="shared" si="5"/>
        <v>#DIV/0!</v>
      </c>
      <c r="Q81" s="6" t="e">
        <f t="shared" ref="Q81:Q144" si="17">+P81</f>
        <v>#DIV/0!</v>
      </c>
      <c r="R81" s="6" t="e">
        <f>VLOOKUP($A81,'Rate Calculation'!$A$3:$AR$210,47,FALSE)+Q81</f>
        <v>#REF!</v>
      </c>
      <c r="S81" s="6" t="e">
        <f>VLOOKUP($A81,'Rate Calculation'!$A$4:$CQ$211,66,FALSE)</f>
        <v>#REF!</v>
      </c>
      <c r="T81" s="6" t="e">
        <f>VLOOKUP($A81,'Rate Calculation'!$A$3:$CQ$210,67,FALSE)</f>
        <v>#REF!</v>
      </c>
      <c r="U81" s="6" t="e">
        <f>VLOOKUP($A81,'Rate Calculation'!$A$3:$DE$210,82,FALSE)</f>
        <v>#DIV/0!</v>
      </c>
      <c r="V81" s="6" t="e">
        <f t="shared" si="6"/>
        <v>#DIV/0!</v>
      </c>
      <c r="W81" s="6" t="e">
        <f t="shared" ref="W81:W144" si="18">+V81</f>
        <v>#DIV/0!</v>
      </c>
      <c r="X81" s="6" t="e">
        <f>VLOOKUP($A81,'Rate Calculation'!$A$3:$AR$210,47,FALSE)+W81</f>
        <v>#REF!</v>
      </c>
      <c r="Y81" s="6" t="e">
        <f>VLOOKUP($A81,'Rate Calculation'!$A$4:$CQ$210,83,FALSE)</f>
        <v>#REF!</v>
      </c>
      <c r="Z81" s="6" t="e">
        <f>VLOOKUP($A81,'Rate Calculation'!$A$3:$DE$210,84,FALSE)</f>
        <v>#REF!</v>
      </c>
      <c r="AA81" s="6">
        <f>VLOOKUP($A81,'Rate Calculation'!$A$3:$DE$210,99,FALSE)</f>
        <v>0</v>
      </c>
      <c r="AB81" s="6">
        <f t="shared" si="7"/>
        <v>0</v>
      </c>
      <c r="AC81" s="6">
        <f t="shared" ref="AC81:AC144" si="19">+AB81</f>
        <v>0</v>
      </c>
      <c r="AD81" s="6" t="e">
        <f>VLOOKUP($A81,'Rate Calculation'!$A$3:$AR$210,47,FALSE)+AC81</f>
        <v>#REF!</v>
      </c>
      <c r="AE81" s="6" t="e">
        <f>VLOOKUP($A81,'Rate Calculation'!$A$3:$CQ$210,100,FALSE)</f>
        <v>#REF!</v>
      </c>
      <c r="AF81" s="6">
        <f>VLOOKUP($A81,'Rate Calculation'!$A$3:$DE$210,101,FALSE)</f>
        <v>0</v>
      </c>
      <c r="AH81" s="175"/>
    </row>
    <row r="82" spans="1:34" x14ac:dyDescent="0.15">
      <c r="A82" s="130">
        <v>48</v>
      </c>
      <c r="B82" s="37" t="s">
        <v>647</v>
      </c>
      <c r="C82" s="1" t="str">
        <f>VLOOKUP(A82,'Rate Calculation'!$A$4:$F$210,6,FALSE)</f>
        <v>NON METRO</v>
      </c>
      <c r="D82" s="4">
        <v>16534</v>
      </c>
      <c r="E82" s="6">
        <f>VLOOKUP(A82,'Rate Calculation'!$A$4:$AM$208,39,FALSE)</f>
        <v>354.43</v>
      </c>
      <c r="F82" s="6">
        <f t="shared" ref="F82:F146" si="20">ROUND(E82*$G$12,2)</f>
        <v>350.08</v>
      </c>
      <c r="G82" s="6">
        <f t="shared" ref="G82:G146" si="21">+F82</f>
        <v>350.08</v>
      </c>
      <c r="H82" s="6">
        <f>VLOOKUP(A82,'Rate Calculation'!$A$4:$AL$208,38,FALSE)+G82</f>
        <v>374.06</v>
      </c>
      <c r="I82" s="6">
        <f>VLOOKUP(A82,'Rate Calculation'!$A$4:$AN$208,40,FALSE)</f>
        <v>256.52999999999997</v>
      </c>
      <c r="J82" s="1">
        <v>0</v>
      </c>
      <c r="K82" s="217">
        <v>17814</v>
      </c>
      <c r="L82" s="6">
        <f>VLOOKUP(A82,'Rate Calculation'!$A$4:$AO$208,41,FALSE)</f>
        <v>158.62</v>
      </c>
      <c r="M82" s="1">
        <v>20</v>
      </c>
      <c r="N82" s="182">
        <f>VLOOKUP(A82,'Rate Calculation'!$A$4:$AL$208,38,FALSE)</f>
        <v>23.98</v>
      </c>
      <c r="O82" s="6" t="e">
        <f>VLOOKUP($A82,'Rate Calculation'!$A$3:$BR$210,65,FALSE)</f>
        <v>#DIV/0!</v>
      </c>
      <c r="P82" s="6" t="e">
        <f t="shared" ref="P82:P146" si="22">ROUND(O82*$G$12,2)</f>
        <v>#DIV/0!</v>
      </c>
      <c r="Q82" s="6" t="e">
        <f t="shared" si="17"/>
        <v>#DIV/0!</v>
      </c>
      <c r="R82" s="6" t="e">
        <f>VLOOKUP($A82,'Rate Calculation'!$A$3:$AR$210,47,FALSE)+Q82</f>
        <v>#REF!</v>
      </c>
      <c r="S82" s="6" t="e">
        <f>VLOOKUP($A82,'Rate Calculation'!$A$4:$CQ$211,66,FALSE)</f>
        <v>#REF!</v>
      </c>
      <c r="T82" s="6" t="e">
        <f>VLOOKUP($A82,'Rate Calculation'!$A$3:$CQ$210,67,FALSE)</f>
        <v>#REF!</v>
      </c>
      <c r="U82" s="6" t="e">
        <f>VLOOKUP($A82,'Rate Calculation'!$A$3:$DE$210,82,FALSE)</f>
        <v>#DIV/0!</v>
      </c>
      <c r="V82" s="6" t="e">
        <f t="shared" ref="V82:V146" si="23">ROUND(U82*$G$12,2)</f>
        <v>#DIV/0!</v>
      </c>
      <c r="W82" s="6" t="e">
        <f t="shared" si="18"/>
        <v>#DIV/0!</v>
      </c>
      <c r="X82" s="6" t="e">
        <f>VLOOKUP($A82,'Rate Calculation'!$A$3:$AR$210,47,FALSE)+W82</f>
        <v>#REF!</v>
      </c>
      <c r="Y82" s="6" t="e">
        <f>VLOOKUP($A82,'Rate Calculation'!$A$4:$CQ$210,83,FALSE)</f>
        <v>#REF!</v>
      </c>
      <c r="Z82" s="6" t="e">
        <f>VLOOKUP($A82,'Rate Calculation'!$A$3:$DE$210,84,FALSE)</f>
        <v>#REF!</v>
      </c>
      <c r="AA82" s="6">
        <f>VLOOKUP($A82,'Rate Calculation'!$A$3:$DE$210,99,FALSE)</f>
        <v>0</v>
      </c>
      <c r="AB82" s="6">
        <f t="shared" ref="AB82:AB146" si="24">ROUND(AA82*$G$12,2)</f>
        <v>0</v>
      </c>
      <c r="AC82" s="6">
        <f t="shared" si="19"/>
        <v>0</v>
      </c>
      <c r="AD82" s="6" t="e">
        <f>VLOOKUP($A82,'Rate Calculation'!$A$3:$AR$210,47,FALSE)+AC82</f>
        <v>#REF!</v>
      </c>
      <c r="AE82" s="6" t="e">
        <f>VLOOKUP($A82,'Rate Calculation'!$A$3:$CQ$210,100,FALSE)</f>
        <v>#REF!</v>
      </c>
      <c r="AF82" s="6">
        <f>VLOOKUP($A82,'Rate Calculation'!$A$3:$DE$210,101,FALSE)</f>
        <v>0</v>
      </c>
      <c r="AH82" s="175"/>
    </row>
    <row r="83" spans="1:34" x14ac:dyDescent="0.15">
      <c r="A83" s="130">
        <v>232</v>
      </c>
      <c r="B83" s="37" t="s">
        <v>600</v>
      </c>
      <c r="C83" s="1" t="str">
        <f>VLOOKUP(A83,'Rate Calculation'!$A$4:$F$210,6,FALSE)</f>
        <v>BALTIMORE METRO</v>
      </c>
      <c r="D83" s="4">
        <v>34685</v>
      </c>
      <c r="E83" s="6">
        <f>VLOOKUP(A83,'Rate Calculation'!$A$4:$AM$208,39,FALSE)</f>
        <v>319.51</v>
      </c>
      <c r="F83" s="6">
        <f t="shared" si="20"/>
        <v>315.58999999999997</v>
      </c>
      <c r="G83" s="6">
        <f t="shared" si="21"/>
        <v>315.58999999999997</v>
      </c>
      <c r="H83" s="6">
        <f>VLOOKUP(A83,'Rate Calculation'!$A$4:$AL$208,38,FALSE)+G83</f>
        <v>342.64</v>
      </c>
      <c r="I83" s="6">
        <f>VLOOKUP(A83,'Rate Calculation'!$A$4:$AN$208,40,FALSE)</f>
        <v>235.12</v>
      </c>
      <c r="J83" s="1">
        <v>0</v>
      </c>
      <c r="K83" s="217">
        <v>39498</v>
      </c>
      <c r="L83" s="6">
        <f>VLOOKUP(A83,'Rate Calculation'!$A$4:$AO$208,41,FALSE)</f>
        <v>150.72</v>
      </c>
      <c r="M83" s="1">
        <v>32</v>
      </c>
      <c r="N83" s="182">
        <f>VLOOKUP(A83,'Rate Calculation'!$A$4:$AL$208,38,FALSE)</f>
        <v>27.05</v>
      </c>
      <c r="O83" s="6" t="e">
        <f>VLOOKUP($A83,'Rate Calculation'!$A$3:$BR$210,65,FALSE)</f>
        <v>#DIV/0!</v>
      </c>
      <c r="P83" s="6" t="e">
        <f t="shared" si="22"/>
        <v>#DIV/0!</v>
      </c>
      <c r="Q83" s="6" t="e">
        <f t="shared" si="17"/>
        <v>#DIV/0!</v>
      </c>
      <c r="R83" s="6" t="e">
        <f>VLOOKUP($A83,'Rate Calculation'!$A$3:$AR$210,47,FALSE)+Q83</f>
        <v>#REF!</v>
      </c>
      <c r="S83" s="6" t="e">
        <f>VLOOKUP($A83,'Rate Calculation'!$A$4:$CQ$211,66,FALSE)</f>
        <v>#REF!</v>
      </c>
      <c r="T83" s="6" t="e">
        <f>VLOOKUP($A83,'Rate Calculation'!$A$3:$CQ$210,67,FALSE)</f>
        <v>#REF!</v>
      </c>
      <c r="U83" s="6" t="e">
        <f>VLOOKUP($A83,'Rate Calculation'!$A$3:$DE$210,82,FALSE)</f>
        <v>#DIV/0!</v>
      </c>
      <c r="V83" s="6" t="e">
        <f t="shared" si="23"/>
        <v>#DIV/0!</v>
      </c>
      <c r="W83" s="6" t="e">
        <f t="shared" si="18"/>
        <v>#DIV/0!</v>
      </c>
      <c r="X83" s="6" t="e">
        <f>VLOOKUP($A83,'Rate Calculation'!$A$3:$AR$210,47,FALSE)+W83</f>
        <v>#REF!</v>
      </c>
      <c r="Y83" s="6" t="e">
        <f>VLOOKUP($A83,'Rate Calculation'!$A$4:$CQ$210,83,FALSE)</f>
        <v>#REF!</v>
      </c>
      <c r="Z83" s="6" t="e">
        <f>VLOOKUP($A83,'Rate Calculation'!$A$3:$DE$210,84,FALSE)</f>
        <v>#REF!</v>
      </c>
      <c r="AA83" s="6">
        <f>VLOOKUP($A83,'Rate Calculation'!$A$3:$DE$210,99,FALSE)</f>
        <v>0</v>
      </c>
      <c r="AB83" s="6">
        <f t="shared" si="24"/>
        <v>0</v>
      </c>
      <c r="AC83" s="6">
        <f t="shared" si="19"/>
        <v>0</v>
      </c>
      <c r="AD83" s="6" t="e">
        <f>VLOOKUP($A83,'Rate Calculation'!$A$3:$AR$210,47,FALSE)+AC83</f>
        <v>#REF!</v>
      </c>
      <c r="AE83" s="6" t="e">
        <f>VLOOKUP($A83,'Rate Calculation'!$A$3:$CQ$210,100,FALSE)</f>
        <v>#REF!</v>
      </c>
      <c r="AF83" s="6">
        <f>VLOOKUP($A83,'Rate Calculation'!$A$3:$DE$210,101,FALSE)</f>
        <v>0</v>
      </c>
      <c r="AH83" s="175"/>
    </row>
    <row r="84" spans="1:34" x14ac:dyDescent="0.15">
      <c r="A84" s="130">
        <v>735</v>
      </c>
      <c r="B84" s="37" t="s">
        <v>649</v>
      </c>
      <c r="C84" s="1" t="str">
        <f>VLOOKUP(A84,'Rate Calculation'!$A$4:$F$210,6,FALSE)</f>
        <v>WASHINGTON METRO</v>
      </c>
      <c r="D84" s="4">
        <v>42282</v>
      </c>
      <c r="E84" s="6">
        <f>VLOOKUP(A84,'Rate Calculation'!$A$4:$AM$208,39,FALSE)</f>
        <v>325.35000000000002</v>
      </c>
      <c r="F84" s="6">
        <f t="shared" si="20"/>
        <v>321.35000000000002</v>
      </c>
      <c r="G84" s="6">
        <f t="shared" si="21"/>
        <v>321.35000000000002</v>
      </c>
      <c r="H84" s="6">
        <f>VLOOKUP(A84,'Rate Calculation'!$A$4:$AL$208,38,FALSE)+G84</f>
        <v>349.23</v>
      </c>
      <c r="I84" s="6">
        <f>VLOOKUP(A84,'Rate Calculation'!$A$4:$AN$208,40,FALSE)</f>
        <v>243.59</v>
      </c>
      <c r="J84" s="1">
        <v>0</v>
      </c>
      <c r="K84" s="217">
        <v>318109</v>
      </c>
      <c r="L84" s="6">
        <f>VLOOKUP(A84,'Rate Calculation'!$A$4:$AO$208,41,FALSE)</f>
        <v>161.83000000000001</v>
      </c>
      <c r="M84" s="1">
        <v>46</v>
      </c>
      <c r="N84" s="182">
        <f>VLOOKUP(A84,'Rate Calculation'!$A$4:$AL$208,38,FALSE)</f>
        <v>27.88</v>
      </c>
      <c r="O84" s="6" t="e">
        <f>VLOOKUP($A84,'Rate Calculation'!$A$3:$BR$210,65,FALSE)</f>
        <v>#DIV/0!</v>
      </c>
      <c r="P84" s="6" t="e">
        <f t="shared" si="22"/>
        <v>#DIV/0!</v>
      </c>
      <c r="Q84" s="6" t="e">
        <f t="shared" si="17"/>
        <v>#DIV/0!</v>
      </c>
      <c r="R84" s="6" t="e">
        <f>VLOOKUP($A84,'Rate Calculation'!$A$3:$AR$210,47,FALSE)+Q84</f>
        <v>#REF!</v>
      </c>
      <c r="S84" s="6" t="e">
        <f>VLOOKUP($A84,'Rate Calculation'!$A$4:$CQ$211,66,FALSE)</f>
        <v>#REF!</v>
      </c>
      <c r="T84" s="6" t="e">
        <f>VLOOKUP($A84,'Rate Calculation'!$A$3:$CQ$210,67,FALSE)</f>
        <v>#REF!</v>
      </c>
      <c r="U84" s="6" t="e">
        <f>VLOOKUP($A84,'Rate Calculation'!$A$3:$DE$210,82,FALSE)</f>
        <v>#DIV/0!</v>
      </c>
      <c r="V84" s="6" t="e">
        <f t="shared" si="23"/>
        <v>#DIV/0!</v>
      </c>
      <c r="W84" s="6" t="e">
        <f t="shared" si="18"/>
        <v>#DIV/0!</v>
      </c>
      <c r="X84" s="6" t="e">
        <f>VLOOKUP($A84,'Rate Calculation'!$A$3:$AR$210,47,FALSE)+W84</f>
        <v>#REF!</v>
      </c>
      <c r="Y84" s="6" t="e">
        <f>VLOOKUP($A84,'Rate Calculation'!$A$4:$CQ$210,83,FALSE)</f>
        <v>#REF!</v>
      </c>
      <c r="Z84" s="6" t="e">
        <f>VLOOKUP($A84,'Rate Calculation'!$A$3:$DE$210,84,FALSE)</f>
        <v>#REF!</v>
      </c>
      <c r="AA84" s="6">
        <f>VLOOKUP($A84,'Rate Calculation'!$A$3:$DE$210,99,FALSE)</f>
        <v>0</v>
      </c>
      <c r="AB84" s="6">
        <f t="shared" si="24"/>
        <v>0</v>
      </c>
      <c r="AC84" s="6">
        <f t="shared" si="19"/>
        <v>0</v>
      </c>
      <c r="AD84" s="6" t="e">
        <f>VLOOKUP($A84,'Rate Calculation'!$A$3:$AR$210,47,FALSE)+AC84</f>
        <v>#REF!</v>
      </c>
      <c r="AE84" s="6" t="e">
        <f>VLOOKUP($A84,'Rate Calculation'!$A$3:$CQ$210,100,FALSE)</f>
        <v>#REF!</v>
      </c>
      <c r="AF84" s="6">
        <f>VLOOKUP($A84,'Rate Calculation'!$A$3:$DE$210,101,FALSE)</f>
        <v>0</v>
      </c>
      <c r="AH84" s="175"/>
    </row>
    <row r="85" spans="1:34" x14ac:dyDescent="0.15">
      <c r="A85" s="130">
        <v>262</v>
      </c>
      <c r="B85" s="37" t="s">
        <v>601</v>
      </c>
      <c r="C85" s="1" t="str">
        <f>VLOOKUP(A85,'Rate Calculation'!$A$4:$F$210,6,FALSE)</f>
        <v>WASHINGTON METRO</v>
      </c>
      <c r="D85" s="4">
        <v>38409</v>
      </c>
      <c r="E85" s="6">
        <f>VLOOKUP(A85,'Rate Calculation'!$A$4:$AM$208,39,FALSE)</f>
        <v>312.55</v>
      </c>
      <c r="F85" s="6">
        <f t="shared" si="20"/>
        <v>308.70999999999998</v>
      </c>
      <c r="G85" s="6">
        <f t="shared" si="21"/>
        <v>308.70999999999998</v>
      </c>
      <c r="H85" s="6">
        <f>VLOOKUP(A85,'Rate Calculation'!$A$4:$AL$208,38,FALSE)+G85</f>
        <v>337.14</v>
      </c>
      <c r="I85" s="6">
        <f>VLOOKUP(A85,'Rate Calculation'!$A$4:$AN$208,40,FALSE)</f>
        <v>231.37</v>
      </c>
      <c r="J85" s="1">
        <v>26</v>
      </c>
      <c r="K85" s="217">
        <v>129086</v>
      </c>
      <c r="L85" s="6">
        <f>VLOOKUP(A85,'Rate Calculation'!$A$4:$AO$208,41,FALSE)</f>
        <v>150.18</v>
      </c>
      <c r="M85" s="1">
        <v>72</v>
      </c>
      <c r="N85" s="182">
        <f>VLOOKUP(A85,'Rate Calculation'!$A$4:$AL$208,38,FALSE)</f>
        <v>28.43</v>
      </c>
      <c r="O85" s="6" t="e">
        <f>VLOOKUP($A85,'Rate Calculation'!$A$3:$BR$210,65,FALSE)</f>
        <v>#DIV/0!</v>
      </c>
      <c r="P85" s="6" t="e">
        <f t="shared" si="22"/>
        <v>#DIV/0!</v>
      </c>
      <c r="Q85" s="6" t="e">
        <f t="shared" si="17"/>
        <v>#DIV/0!</v>
      </c>
      <c r="R85" s="6" t="e">
        <f>VLOOKUP($A85,'Rate Calculation'!$A$3:$AR$210,47,FALSE)+Q85</f>
        <v>#REF!</v>
      </c>
      <c r="S85" s="6" t="e">
        <f>VLOOKUP($A85,'Rate Calculation'!$A$4:$CQ$211,66,FALSE)</f>
        <v>#REF!</v>
      </c>
      <c r="T85" s="6" t="e">
        <f>VLOOKUP($A85,'Rate Calculation'!$A$3:$CQ$210,67,FALSE)</f>
        <v>#REF!</v>
      </c>
      <c r="U85" s="6" t="e">
        <f>VLOOKUP($A85,'Rate Calculation'!$A$3:$DE$210,82,FALSE)</f>
        <v>#DIV/0!</v>
      </c>
      <c r="V85" s="6" t="e">
        <f t="shared" si="23"/>
        <v>#DIV/0!</v>
      </c>
      <c r="W85" s="6" t="e">
        <f t="shared" si="18"/>
        <v>#DIV/0!</v>
      </c>
      <c r="X85" s="6" t="e">
        <f>VLOOKUP($A85,'Rate Calculation'!$A$3:$AR$210,47,FALSE)+W85</f>
        <v>#REF!</v>
      </c>
      <c r="Y85" s="6" t="e">
        <f>VLOOKUP($A85,'Rate Calculation'!$A$4:$CQ$210,83,FALSE)</f>
        <v>#REF!</v>
      </c>
      <c r="Z85" s="6" t="e">
        <f>VLOOKUP($A85,'Rate Calculation'!$A$3:$DE$210,84,FALSE)</f>
        <v>#REF!</v>
      </c>
      <c r="AA85" s="6">
        <f>VLOOKUP($A85,'Rate Calculation'!$A$3:$DE$210,99,FALSE)</f>
        <v>0</v>
      </c>
      <c r="AB85" s="6">
        <f t="shared" si="24"/>
        <v>0</v>
      </c>
      <c r="AC85" s="6">
        <f t="shared" si="19"/>
        <v>0</v>
      </c>
      <c r="AD85" s="6" t="e">
        <f>VLOOKUP($A85,'Rate Calculation'!$A$3:$AR$210,47,FALSE)+AC85</f>
        <v>#REF!</v>
      </c>
      <c r="AE85" s="6" t="e">
        <f>VLOOKUP($A85,'Rate Calculation'!$A$3:$CQ$210,100,FALSE)</f>
        <v>#REF!</v>
      </c>
      <c r="AF85" s="6">
        <f>VLOOKUP($A85,'Rate Calculation'!$A$3:$DE$210,101,FALSE)</f>
        <v>0</v>
      </c>
      <c r="AH85" s="175"/>
    </row>
    <row r="86" spans="1:34" x14ac:dyDescent="0.15">
      <c r="A86" s="130">
        <v>342</v>
      </c>
      <c r="B86" s="37" t="s">
        <v>602</v>
      </c>
      <c r="C86" s="1" t="str">
        <f>VLOOKUP(A86,'Rate Calculation'!$A$4:$F$210,6,FALSE)</f>
        <v>BALTIMORE METRO</v>
      </c>
      <c r="D86" s="4">
        <v>16976</v>
      </c>
      <c r="E86" s="6">
        <f>VLOOKUP(A86,'Rate Calculation'!$A$4:$AM$208,39,FALSE)</f>
        <v>358.89</v>
      </c>
      <c r="F86" s="6">
        <f t="shared" si="20"/>
        <v>354.48</v>
      </c>
      <c r="G86" s="6">
        <f t="shared" si="21"/>
        <v>354.48</v>
      </c>
      <c r="H86" s="6">
        <f>VLOOKUP(A86,'Rate Calculation'!$A$4:$AL$208,38,FALSE)+G86</f>
        <v>374.15</v>
      </c>
      <c r="I86" s="6">
        <f>VLOOKUP(A86,'Rate Calculation'!$A$4:$AN$208,40,FALSE)</f>
        <v>259.14</v>
      </c>
      <c r="J86" s="1">
        <v>0</v>
      </c>
      <c r="K86" s="217">
        <v>25686</v>
      </c>
      <c r="L86" s="6">
        <f>VLOOKUP(A86,'Rate Calculation'!$A$4:$AO$208,41,FALSE)</f>
        <v>159.38999999999999</v>
      </c>
      <c r="M86" s="1">
        <v>2</v>
      </c>
      <c r="N86" s="182">
        <f>VLOOKUP(A86,'Rate Calculation'!$A$4:$AL$208,38,FALSE)</f>
        <v>19.670000000000002</v>
      </c>
      <c r="O86" s="6" t="e">
        <f>VLOOKUP($A86,'Rate Calculation'!$A$3:$BR$210,65,FALSE)</f>
        <v>#DIV/0!</v>
      </c>
      <c r="P86" s="6" t="e">
        <f t="shared" si="22"/>
        <v>#DIV/0!</v>
      </c>
      <c r="Q86" s="6" t="e">
        <f t="shared" si="17"/>
        <v>#DIV/0!</v>
      </c>
      <c r="R86" s="6" t="e">
        <f>VLOOKUP($A86,'Rate Calculation'!$A$3:$AR$210,47,FALSE)+Q86</f>
        <v>#REF!</v>
      </c>
      <c r="S86" s="6" t="e">
        <f>VLOOKUP($A86,'Rate Calculation'!$A$4:$CQ$211,66,FALSE)</f>
        <v>#REF!</v>
      </c>
      <c r="T86" s="6" t="e">
        <f>VLOOKUP($A86,'Rate Calculation'!$A$3:$CQ$210,67,FALSE)</f>
        <v>#REF!</v>
      </c>
      <c r="U86" s="6" t="e">
        <f>VLOOKUP($A86,'Rate Calculation'!$A$3:$DE$210,82,FALSE)</f>
        <v>#DIV/0!</v>
      </c>
      <c r="V86" s="6" t="e">
        <f t="shared" si="23"/>
        <v>#DIV/0!</v>
      </c>
      <c r="W86" s="6" t="e">
        <f t="shared" si="18"/>
        <v>#DIV/0!</v>
      </c>
      <c r="X86" s="6" t="e">
        <f>VLOOKUP($A86,'Rate Calculation'!$A$3:$AR$210,47,FALSE)+W86</f>
        <v>#REF!</v>
      </c>
      <c r="Y86" s="6" t="e">
        <f>VLOOKUP($A86,'Rate Calculation'!$A$4:$CQ$210,83,FALSE)</f>
        <v>#REF!</v>
      </c>
      <c r="Z86" s="6" t="e">
        <f>VLOOKUP($A86,'Rate Calculation'!$A$3:$DE$210,84,FALSE)</f>
        <v>#REF!</v>
      </c>
      <c r="AA86" s="6">
        <f>VLOOKUP($A86,'Rate Calculation'!$A$3:$DE$210,99,FALSE)</f>
        <v>0</v>
      </c>
      <c r="AB86" s="6">
        <f t="shared" si="24"/>
        <v>0</v>
      </c>
      <c r="AC86" s="6">
        <f t="shared" si="19"/>
        <v>0</v>
      </c>
      <c r="AD86" s="6" t="e">
        <f>VLOOKUP($A86,'Rate Calculation'!$A$3:$AR$210,47,FALSE)+AC86</f>
        <v>#REF!</v>
      </c>
      <c r="AE86" s="6" t="e">
        <f>VLOOKUP($A86,'Rate Calculation'!$A$3:$CQ$210,100,FALSE)</f>
        <v>#REF!</v>
      </c>
      <c r="AF86" s="6">
        <f>VLOOKUP($A86,'Rate Calculation'!$A$3:$DE$210,101,FALSE)</f>
        <v>0</v>
      </c>
      <c r="AH86" s="175"/>
    </row>
    <row r="87" spans="1:34" x14ac:dyDescent="0.15">
      <c r="A87" s="130">
        <v>400</v>
      </c>
      <c r="B87" s="37" t="s">
        <v>599</v>
      </c>
      <c r="C87" s="1" t="str">
        <f>VLOOKUP(A87,'Rate Calculation'!$A$4:$F$210,6,FALSE)</f>
        <v>BALTIMORE METRO</v>
      </c>
      <c r="D87" s="4">
        <v>29647</v>
      </c>
      <c r="E87" s="6">
        <f>VLOOKUP(A87,'Rate Calculation'!$A$4:$AM$208,39,FALSE)</f>
        <v>346.22</v>
      </c>
      <c r="F87" s="6">
        <f t="shared" si="20"/>
        <v>341.97</v>
      </c>
      <c r="G87" s="6">
        <f t="shared" si="21"/>
        <v>341.97</v>
      </c>
      <c r="H87" s="6">
        <f>VLOOKUP(A87,'Rate Calculation'!$A$4:$AL$208,38,FALSE)+G87</f>
        <v>368.5</v>
      </c>
      <c r="I87" s="6">
        <f>VLOOKUP(A87,'Rate Calculation'!$A$4:$AN$208,40,FALSE)</f>
        <v>249.49</v>
      </c>
      <c r="J87" s="1">
        <v>0</v>
      </c>
      <c r="K87" s="217">
        <v>84400</v>
      </c>
      <c r="L87" s="6">
        <f>VLOOKUP(A87,'Rate Calculation'!$A$4:$AO$208,41,FALSE)</f>
        <v>152.75</v>
      </c>
      <c r="M87" s="1">
        <v>20</v>
      </c>
      <c r="N87" s="182">
        <f>VLOOKUP(A87,'Rate Calculation'!$A$4:$AL$208,38,FALSE)</f>
        <v>26.53</v>
      </c>
      <c r="O87" s="6" t="e">
        <f>VLOOKUP($A87,'Rate Calculation'!$A$3:$BR$210,65,FALSE)</f>
        <v>#DIV/0!</v>
      </c>
      <c r="P87" s="6" t="e">
        <f t="shared" si="22"/>
        <v>#DIV/0!</v>
      </c>
      <c r="Q87" s="6" t="e">
        <f t="shared" si="17"/>
        <v>#DIV/0!</v>
      </c>
      <c r="R87" s="6" t="e">
        <f>VLOOKUP($A87,'Rate Calculation'!$A$3:$AR$210,47,FALSE)+Q87</f>
        <v>#REF!</v>
      </c>
      <c r="S87" s="6" t="e">
        <f>VLOOKUP($A87,'Rate Calculation'!$A$4:$CQ$211,66,FALSE)</f>
        <v>#REF!</v>
      </c>
      <c r="T87" s="6" t="e">
        <f>VLOOKUP($A87,'Rate Calculation'!$A$3:$CQ$210,67,FALSE)</f>
        <v>#REF!</v>
      </c>
      <c r="U87" s="6" t="e">
        <f>VLOOKUP($A87,'Rate Calculation'!$A$3:$DE$210,82,FALSE)</f>
        <v>#DIV/0!</v>
      </c>
      <c r="V87" s="6" t="e">
        <f t="shared" si="23"/>
        <v>#DIV/0!</v>
      </c>
      <c r="W87" s="6" t="e">
        <f t="shared" si="18"/>
        <v>#DIV/0!</v>
      </c>
      <c r="X87" s="6" t="e">
        <f>VLOOKUP($A87,'Rate Calculation'!$A$3:$AR$210,47,FALSE)+W87</f>
        <v>#REF!</v>
      </c>
      <c r="Y87" s="6" t="e">
        <f>VLOOKUP($A87,'Rate Calculation'!$A$4:$CQ$210,83,FALSE)</f>
        <v>#REF!</v>
      </c>
      <c r="Z87" s="6" t="e">
        <f>VLOOKUP($A87,'Rate Calculation'!$A$3:$DE$210,84,FALSE)</f>
        <v>#REF!</v>
      </c>
      <c r="AA87" s="6">
        <f>VLOOKUP($A87,'Rate Calculation'!$A$3:$DE$210,99,FALSE)</f>
        <v>0</v>
      </c>
      <c r="AB87" s="6">
        <f t="shared" si="24"/>
        <v>0</v>
      </c>
      <c r="AC87" s="6">
        <f t="shared" si="19"/>
        <v>0</v>
      </c>
      <c r="AD87" s="6" t="e">
        <f>VLOOKUP($A87,'Rate Calculation'!$A$3:$AR$210,47,FALSE)+AC87</f>
        <v>#REF!</v>
      </c>
      <c r="AE87" s="6" t="e">
        <f>VLOOKUP($A87,'Rate Calculation'!$A$3:$CQ$210,100,FALSE)</f>
        <v>#REF!</v>
      </c>
      <c r="AF87" s="6">
        <f>VLOOKUP($A87,'Rate Calculation'!$A$3:$DE$210,101,FALSE)</f>
        <v>0</v>
      </c>
      <c r="AH87" s="175"/>
    </row>
    <row r="88" spans="1:34" x14ac:dyDescent="0.15">
      <c r="A88" s="130">
        <v>412</v>
      </c>
      <c r="B88" s="37" t="s">
        <v>651</v>
      </c>
      <c r="C88" s="1" t="str">
        <f>VLOOKUP(A88,'Rate Calculation'!$A$4:$F$210,6,FALSE)</f>
        <v>WASHINGTON METRO</v>
      </c>
      <c r="D88" s="4">
        <v>19515</v>
      </c>
      <c r="E88" s="6">
        <f>VLOOKUP(A88,'Rate Calculation'!$A$4:$AM$208,39,FALSE)</f>
        <v>319.45999999999998</v>
      </c>
      <c r="F88" s="6">
        <f t="shared" si="20"/>
        <v>315.54000000000002</v>
      </c>
      <c r="G88" s="6">
        <f t="shared" si="21"/>
        <v>315.54000000000002</v>
      </c>
      <c r="H88" s="6">
        <f>VLOOKUP(A88,'Rate Calculation'!$A$4:$AL$208,38,FALSE)+G88</f>
        <v>340.21</v>
      </c>
      <c r="I88" s="6">
        <f>VLOOKUP(A88,'Rate Calculation'!$A$4:$AN$208,40,FALSE)</f>
        <v>239.1</v>
      </c>
      <c r="J88" s="1">
        <v>0</v>
      </c>
      <c r="K88" s="217">
        <v>83761</v>
      </c>
      <c r="L88" s="6">
        <f>VLOOKUP(A88,'Rate Calculation'!$A$4:$AO$208,41,FALSE)</f>
        <v>158.74</v>
      </c>
      <c r="M88" s="1">
        <v>29</v>
      </c>
      <c r="N88" s="182">
        <f>VLOOKUP(A88,'Rate Calculation'!$A$4:$AL$208,38,FALSE)</f>
        <v>24.67</v>
      </c>
      <c r="O88" s="6" t="e">
        <f>VLOOKUP($A88,'Rate Calculation'!$A$3:$BR$210,65,FALSE)</f>
        <v>#DIV/0!</v>
      </c>
      <c r="P88" s="6" t="e">
        <f t="shared" si="22"/>
        <v>#DIV/0!</v>
      </c>
      <c r="Q88" s="6" t="e">
        <f t="shared" si="17"/>
        <v>#DIV/0!</v>
      </c>
      <c r="R88" s="6" t="e">
        <f>VLOOKUP($A88,'Rate Calculation'!$A$3:$AR$210,47,FALSE)+Q88</f>
        <v>#REF!</v>
      </c>
      <c r="S88" s="6" t="e">
        <f>VLOOKUP($A88,'Rate Calculation'!$A$4:$CQ$211,66,FALSE)</f>
        <v>#REF!</v>
      </c>
      <c r="T88" s="6" t="e">
        <f>VLOOKUP($A88,'Rate Calculation'!$A$3:$CQ$210,67,FALSE)</f>
        <v>#REF!</v>
      </c>
      <c r="U88" s="6" t="e">
        <f>VLOOKUP($A88,'Rate Calculation'!$A$3:$DE$210,82,FALSE)</f>
        <v>#DIV/0!</v>
      </c>
      <c r="V88" s="6" t="e">
        <f t="shared" si="23"/>
        <v>#DIV/0!</v>
      </c>
      <c r="W88" s="6" t="e">
        <f t="shared" si="18"/>
        <v>#DIV/0!</v>
      </c>
      <c r="X88" s="6" t="e">
        <f>VLOOKUP($A88,'Rate Calculation'!$A$3:$AR$210,47,FALSE)+W88</f>
        <v>#REF!</v>
      </c>
      <c r="Y88" s="6" t="e">
        <f>VLOOKUP($A88,'Rate Calculation'!$A$4:$CQ$210,83,FALSE)</f>
        <v>#REF!</v>
      </c>
      <c r="Z88" s="6" t="e">
        <f>VLOOKUP($A88,'Rate Calculation'!$A$3:$DE$210,84,FALSE)</f>
        <v>#REF!</v>
      </c>
      <c r="AA88" s="6">
        <f>VLOOKUP($A88,'Rate Calculation'!$A$3:$DE$210,99,FALSE)</f>
        <v>0</v>
      </c>
      <c r="AB88" s="6">
        <f t="shared" si="24"/>
        <v>0</v>
      </c>
      <c r="AC88" s="6">
        <f t="shared" si="19"/>
        <v>0</v>
      </c>
      <c r="AD88" s="6" t="e">
        <f>VLOOKUP($A88,'Rate Calculation'!$A$3:$AR$210,47,FALSE)+AC88</f>
        <v>#REF!</v>
      </c>
      <c r="AE88" s="6" t="e">
        <f>VLOOKUP($A88,'Rate Calculation'!$A$3:$CQ$210,100,FALSE)</f>
        <v>#REF!</v>
      </c>
      <c r="AF88" s="6">
        <f>VLOOKUP($A88,'Rate Calculation'!$A$3:$DE$210,101,FALSE)</f>
        <v>0</v>
      </c>
      <c r="AH88" s="175"/>
    </row>
    <row r="89" spans="1:34" x14ac:dyDescent="0.15">
      <c r="A89" s="130">
        <v>372</v>
      </c>
      <c r="B89" s="37" t="s">
        <v>653</v>
      </c>
      <c r="C89" s="1" t="str">
        <f>VLOOKUP(A89,'Rate Calculation'!$A$4:$F$210,6,FALSE)</f>
        <v>WASHINGTON METRO</v>
      </c>
      <c r="D89" s="4">
        <v>30607</v>
      </c>
      <c r="E89" s="6">
        <f>VLOOKUP(A89,'Rate Calculation'!$A$4:$AM$208,39,FALSE)</f>
        <v>324.33</v>
      </c>
      <c r="F89" s="6">
        <f t="shared" si="20"/>
        <v>320.35000000000002</v>
      </c>
      <c r="G89" s="6">
        <f t="shared" si="21"/>
        <v>320.35000000000002</v>
      </c>
      <c r="H89" s="6">
        <f>VLOOKUP(A89,'Rate Calculation'!$A$4:$AL$208,38,FALSE)+G89</f>
        <v>349.44</v>
      </c>
      <c r="I89" s="6">
        <f>VLOOKUP(A89,'Rate Calculation'!$A$4:$AN$208,40,FALSE)</f>
        <v>244.28</v>
      </c>
      <c r="J89" s="1">
        <v>0</v>
      </c>
      <c r="K89" s="217">
        <v>93446</v>
      </c>
      <c r="L89" s="6">
        <f>VLOOKUP(A89,'Rate Calculation'!$A$4:$AO$208,41,FALSE)</f>
        <v>164.23</v>
      </c>
      <c r="M89" s="1">
        <v>31</v>
      </c>
      <c r="N89" s="182">
        <f>VLOOKUP(A89,'Rate Calculation'!$A$4:$AL$208,38,FALSE)</f>
        <v>29.09</v>
      </c>
      <c r="O89" s="6" t="e">
        <f>VLOOKUP($A89,'Rate Calculation'!$A$3:$BR$210,65,FALSE)</f>
        <v>#DIV/0!</v>
      </c>
      <c r="P89" s="6" t="e">
        <f t="shared" si="22"/>
        <v>#DIV/0!</v>
      </c>
      <c r="Q89" s="6" t="e">
        <f t="shared" si="17"/>
        <v>#DIV/0!</v>
      </c>
      <c r="R89" s="6" t="e">
        <f>VLOOKUP($A89,'Rate Calculation'!$A$3:$AR$210,47,FALSE)+Q89</f>
        <v>#REF!</v>
      </c>
      <c r="S89" s="6" t="e">
        <f>VLOOKUP($A89,'Rate Calculation'!$A$4:$CQ$211,66,FALSE)</f>
        <v>#REF!</v>
      </c>
      <c r="T89" s="6" t="e">
        <f>VLOOKUP($A89,'Rate Calculation'!$A$3:$CQ$210,67,FALSE)</f>
        <v>#REF!</v>
      </c>
      <c r="U89" s="6" t="e">
        <f>VLOOKUP($A89,'Rate Calculation'!$A$3:$DE$210,82,FALSE)</f>
        <v>#DIV/0!</v>
      </c>
      <c r="V89" s="6" t="e">
        <f t="shared" si="23"/>
        <v>#DIV/0!</v>
      </c>
      <c r="W89" s="6" t="e">
        <f t="shared" si="18"/>
        <v>#DIV/0!</v>
      </c>
      <c r="X89" s="6" t="e">
        <f>VLOOKUP($A89,'Rate Calculation'!$A$3:$AR$210,47,FALSE)+W89</f>
        <v>#REF!</v>
      </c>
      <c r="Y89" s="6" t="e">
        <f>VLOOKUP($A89,'Rate Calculation'!$A$4:$CQ$210,83,FALSE)</f>
        <v>#REF!</v>
      </c>
      <c r="Z89" s="6" t="e">
        <f>VLOOKUP($A89,'Rate Calculation'!$A$3:$DE$210,84,FALSE)</f>
        <v>#REF!</v>
      </c>
      <c r="AA89" s="6">
        <f>VLOOKUP($A89,'Rate Calculation'!$A$3:$DE$210,99,FALSE)</f>
        <v>0</v>
      </c>
      <c r="AB89" s="6">
        <f t="shared" si="24"/>
        <v>0</v>
      </c>
      <c r="AC89" s="6">
        <f t="shared" si="19"/>
        <v>0</v>
      </c>
      <c r="AD89" s="6" t="e">
        <f>VLOOKUP($A89,'Rate Calculation'!$A$3:$AR$210,47,FALSE)+AC89</f>
        <v>#REF!</v>
      </c>
      <c r="AE89" s="6" t="e">
        <f>VLOOKUP($A89,'Rate Calculation'!$A$3:$CQ$210,100,FALSE)</f>
        <v>#REF!</v>
      </c>
      <c r="AF89" s="6">
        <f>VLOOKUP($A89,'Rate Calculation'!$A$3:$DE$210,101,FALSE)</f>
        <v>0</v>
      </c>
      <c r="AH89" s="175"/>
    </row>
    <row r="90" spans="1:34" x14ac:dyDescent="0.15">
      <c r="A90" s="130">
        <v>374</v>
      </c>
      <c r="B90" s="37" t="s">
        <v>666</v>
      </c>
      <c r="C90" s="1" t="str">
        <f>VLOOKUP(A90,'Rate Calculation'!$A$4:$F$210,6,FALSE)</f>
        <v>NON METRO</v>
      </c>
      <c r="D90" s="4">
        <v>12718</v>
      </c>
      <c r="E90" s="6">
        <f>VLOOKUP(A90,'Rate Calculation'!$A$4:$AM$208,39,FALSE)</f>
        <v>301.11</v>
      </c>
      <c r="F90" s="6">
        <f t="shared" si="20"/>
        <v>297.41000000000003</v>
      </c>
      <c r="G90" s="6">
        <f t="shared" si="21"/>
        <v>297.41000000000003</v>
      </c>
      <c r="H90" s="6">
        <f>VLOOKUP(A90,'Rate Calculation'!$A$4:$AL$208,38,FALSE)+G90</f>
        <v>297.41000000000003</v>
      </c>
      <c r="I90" s="6">
        <f>VLOOKUP(A90,'Rate Calculation'!$A$4:$AN$208,40,FALSE)</f>
        <v>226.2</v>
      </c>
      <c r="J90" s="1">
        <v>0</v>
      </c>
      <c r="K90" s="217">
        <v>0</v>
      </c>
      <c r="L90" s="6">
        <f>VLOOKUP(A90,'Rate Calculation'!$A$4:$AO$208,41,FALSE)</f>
        <v>151.29</v>
      </c>
      <c r="M90" s="1">
        <v>0</v>
      </c>
      <c r="N90" s="182">
        <f>VLOOKUP(A90,'Rate Calculation'!$A$4:$AL$208,38,FALSE)</f>
        <v>0</v>
      </c>
      <c r="O90" s="6" t="e">
        <f>VLOOKUP($A90,'Rate Calculation'!$A$3:$BR$210,65,FALSE)</f>
        <v>#DIV/0!</v>
      </c>
      <c r="P90" s="6" t="e">
        <f t="shared" si="22"/>
        <v>#DIV/0!</v>
      </c>
      <c r="Q90" s="6" t="e">
        <f t="shared" si="17"/>
        <v>#DIV/0!</v>
      </c>
      <c r="R90" s="6" t="e">
        <f>VLOOKUP($A90,'Rate Calculation'!$A$3:$AR$210,47,FALSE)+Q90</f>
        <v>#REF!</v>
      </c>
      <c r="S90" s="6" t="e">
        <f>VLOOKUP($A90,'Rate Calculation'!$A$4:$CQ$211,66,FALSE)</f>
        <v>#REF!</v>
      </c>
      <c r="T90" s="6" t="e">
        <f>VLOOKUP($A90,'Rate Calculation'!$A$3:$CQ$210,67,FALSE)</f>
        <v>#REF!</v>
      </c>
      <c r="U90" s="6" t="e">
        <f>VLOOKUP($A90,'Rate Calculation'!$A$3:$DE$210,82,FALSE)</f>
        <v>#DIV/0!</v>
      </c>
      <c r="V90" s="6" t="e">
        <f t="shared" si="23"/>
        <v>#DIV/0!</v>
      </c>
      <c r="W90" s="6" t="e">
        <f t="shared" si="18"/>
        <v>#DIV/0!</v>
      </c>
      <c r="X90" s="6" t="e">
        <f>VLOOKUP($A90,'Rate Calculation'!$A$3:$AR$210,47,FALSE)+W90</f>
        <v>#REF!</v>
      </c>
      <c r="Y90" s="6" t="e">
        <f>VLOOKUP($A90,'Rate Calculation'!$A$4:$CQ$210,83,FALSE)</f>
        <v>#REF!</v>
      </c>
      <c r="Z90" s="6" t="e">
        <f>VLOOKUP($A90,'Rate Calculation'!$A$3:$DE$210,84,FALSE)</f>
        <v>#REF!</v>
      </c>
      <c r="AA90" s="6">
        <f>VLOOKUP($A90,'Rate Calculation'!$A$3:$DE$210,99,FALSE)</f>
        <v>0</v>
      </c>
      <c r="AB90" s="6">
        <f t="shared" si="24"/>
        <v>0</v>
      </c>
      <c r="AC90" s="6">
        <f t="shared" si="19"/>
        <v>0</v>
      </c>
      <c r="AD90" s="6" t="e">
        <f>VLOOKUP($A90,'Rate Calculation'!$A$3:$AR$210,47,FALSE)+AC90</f>
        <v>#REF!</v>
      </c>
      <c r="AE90" s="6" t="e">
        <f>VLOOKUP($A90,'Rate Calculation'!$A$3:$CQ$210,100,FALSE)</f>
        <v>#REF!</v>
      </c>
      <c r="AF90" s="6">
        <f>VLOOKUP($A90,'Rate Calculation'!$A$3:$DE$210,101,FALSE)</f>
        <v>0</v>
      </c>
      <c r="AH90" s="175"/>
    </row>
    <row r="91" spans="1:34" x14ac:dyDescent="0.15">
      <c r="A91" s="130">
        <v>130</v>
      </c>
      <c r="B91" s="37" t="s">
        <v>472</v>
      </c>
      <c r="C91" s="1" t="str">
        <f>VLOOKUP(A91,'Rate Calculation'!$A$4:$F$210,6,FALSE)</f>
        <v>WASHINGTON METRO</v>
      </c>
      <c r="D91" s="4">
        <v>21197</v>
      </c>
      <c r="E91" s="6">
        <f>VLOOKUP(A91,'Rate Calculation'!$A$4:$AM$208,39,FALSE)</f>
        <v>318.27999999999997</v>
      </c>
      <c r="F91" s="6">
        <f t="shared" si="20"/>
        <v>314.37</v>
      </c>
      <c r="G91" s="6">
        <f t="shared" si="21"/>
        <v>314.37</v>
      </c>
      <c r="H91" s="6">
        <f>VLOOKUP(A91,'Rate Calculation'!$A$4:$AL$208,38,FALSE)+G91</f>
        <v>336.57</v>
      </c>
      <c r="I91" s="6">
        <f>VLOOKUP(A91,'Rate Calculation'!$A$4:$AN$208,40,FALSE)</f>
        <v>241.92</v>
      </c>
      <c r="J91" s="1">
        <v>0</v>
      </c>
      <c r="K91" s="217">
        <v>46591</v>
      </c>
      <c r="L91" s="6">
        <f>VLOOKUP(A91,'Rate Calculation'!$A$4:$AO$208,41,FALSE)</f>
        <v>165.56</v>
      </c>
      <c r="M91" s="1">
        <v>1</v>
      </c>
      <c r="N91" s="182">
        <f>VLOOKUP(A91,'Rate Calculation'!$A$4:$AL$208,38,FALSE)</f>
        <v>22.2</v>
      </c>
      <c r="O91" s="6" t="e">
        <f>VLOOKUP($A91,'Rate Calculation'!$A$3:$BR$210,65,FALSE)</f>
        <v>#DIV/0!</v>
      </c>
      <c r="P91" s="6" t="e">
        <f t="shared" si="22"/>
        <v>#DIV/0!</v>
      </c>
      <c r="Q91" s="6" t="e">
        <f t="shared" si="17"/>
        <v>#DIV/0!</v>
      </c>
      <c r="R91" s="6" t="e">
        <f>VLOOKUP($A91,'Rate Calculation'!$A$3:$AR$210,47,FALSE)+Q91</f>
        <v>#REF!</v>
      </c>
      <c r="S91" s="6" t="e">
        <f>VLOOKUP($A91,'Rate Calculation'!$A$4:$CQ$211,66,FALSE)</f>
        <v>#REF!</v>
      </c>
      <c r="T91" s="6" t="e">
        <f>VLOOKUP($A91,'Rate Calculation'!$A$3:$CQ$210,67,FALSE)</f>
        <v>#REF!</v>
      </c>
      <c r="U91" s="6" t="e">
        <f>VLOOKUP($A91,'Rate Calculation'!$A$3:$DE$210,82,FALSE)</f>
        <v>#DIV/0!</v>
      </c>
      <c r="V91" s="6" t="e">
        <f t="shared" si="23"/>
        <v>#DIV/0!</v>
      </c>
      <c r="W91" s="6" t="e">
        <f t="shared" si="18"/>
        <v>#DIV/0!</v>
      </c>
      <c r="X91" s="6" t="e">
        <f>VLOOKUP($A91,'Rate Calculation'!$A$3:$AR$210,47,FALSE)+W91</f>
        <v>#REF!</v>
      </c>
      <c r="Y91" s="6" t="e">
        <f>VLOOKUP($A91,'Rate Calculation'!$A$4:$CQ$210,83,FALSE)</f>
        <v>#REF!</v>
      </c>
      <c r="Z91" s="6" t="e">
        <f>VLOOKUP($A91,'Rate Calculation'!$A$3:$DE$210,84,FALSE)</f>
        <v>#REF!</v>
      </c>
      <c r="AA91" s="6">
        <f>VLOOKUP($A91,'Rate Calculation'!$A$3:$DE$210,99,FALSE)</f>
        <v>0</v>
      </c>
      <c r="AB91" s="6">
        <f t="shared" si="24"/>
        <v>0</v>
      </c>
      <c r="AC91" s="6">
        <f t="shared" si="19"/>
        <v>0</v>
      </c>
      <c r="AD91" s="6" t="e">
        <f>VLOOKUP($A91,'Rate Calculation'!$A$3:$AR$210,47,FALSE)+AC91</f>
        <v>#REF!</v>
      </c>
      <c r="AE91" s="6" t="e">
        <f>VLOOKUP($A91,'Rate Calculation'!$A$3:$CQ$210,100,FALSE)</f>
        <v>#REF!</v>
      </c>
      <c r="AF91" s="6">
        <f>VLOOKUP($A91,'Rate Calculation'!$A$3:$DE$210,101,FALSE)</f>
        <v>0</v>
      </c>
      <c r="AH91" s="175"/>
    </row>
    <row r="92" spans="1:34" x14ac:dyDescent="0.15">
      <c r="A92" s="130">
        <v>136</v>
      </c>
      <c r="B92" s="37" t="s">
        <v>397</v>
      </c>
      <c r="C92" s="1" t="str">
        <f>VLOOKUP(A92,'Rate Calculation'!$A$4:$F$210,6,FALSE)</f>
        <v>NON METRO</v>
      </c>
      <c r="D92" s="4">
        <v>27389</v>
      </c>
      <c r="E92" s="6">
        <f>VLOOKUP(A92,'Rate Calculation'!$A$4:$AM$208,39,FALSE)</f>
        <v>294.74</v>
      </c>
      <c r="F92" s="6">
        <f t="shared" si="20"/>
        <v>291.12</v>
      </c>
      <c r="G92" s="6">
        <f t="shared" si="21"/>
        <v>291.12</v>
      </c>
      <c r="H92" s="6">
        <f>VLOOKUP(A92,'Rate Calculation'!$A$4:$AL$208,38,FALSE)+G92</f>
        <v>320.42</v>
      </c>
      <c r="I92" s="6">
        <f>VLOOKUP(A92,'Rate Calculation'!$A$4:$AN$208,40,FALSE)</f>
        <v>215.98</v>
      </c>
      <c r="J92" s="1">
        <v>0</v>
      </c>
      <c r="K92" s="217">
        <v>13362</v>
      </c>
      <c r="L92" s="6">
        <f>VLOOKUP(A92,'Rate Calculation'!$A$4:$AO$208,41,FALSE)</f>
        <v>137.21</v>
      </c>
      <c r="M92" s="1">
        <v>7</v>
      </c>
      <c r="N92" s="182">
        <f>VLOOKUP(A92,'Rate Calculation'!$A$4:$AL$208,38,FALSE)</f>
        <v>29.3</v>
      </c>
      <c r="O92" s="6" t="e">
        <f>VLOOKUP($A92,'Rate Calculation'!$A$3:$BR$210,65,FALSE)</f>
        <v>#DIV/0!</v>
      </c>
      <c r="P92" s="6" t="e">
        <f t="shared" si="22"/>
        <v>#DIV/0!</v>
      </c>
      <c r="Q92" s="6" t="e">
        <f t="shared" si="17"/>
        <v>#DIV/0!</v>
      </c>
      <c r="R92" s="6" t="e">
        <f>VLOOKUP($A92,'Rate Calculation'!$A$3:$AR$210,47,FALSE)+Q92</f>
        <v>#REF!</v>
      </c>
      <c r="S92" s="6" t="e">
        <f>VLOOKUP($A92,'Rate Calculation'!$A$4:$CQ$211,66,FALSE)</f>
        <v>#REF!</v>
      </c>
      <c r="T92" s="6" t="e">
        <f>VLOOKUP($A92,'Rate Calculation'!$A$3:$CQ$210,67,FALSE)</f>
        <v>#REF!</v>
      </c>
      <c r="U92" s="6" t="e">
        <f>VLOOKUP($A92,'Rate Calculation'!$A$3:$DE$210,82,FALSE)</f>
        <v>#DIV/0!</v>
      </c>
      <c r="V92" s="6" t="e">
        <f t="shared" si="23"/>
        <v>#DIV/0!</v>
      </c>
      <c r="W92" s="6" t="e">
        <f t="shared" si="18"/>
        <v>#DIV/0!</v>
      </c>
      <c r="X92" s="6" t="e">
        <f>VLOOKUP($A92,'Rate Calculation'!$A$3:$AR$210,47,FALSE)+W92</f>
        <v>#REF!</v>
      </c>
      <c r="Y92" s="6" t="e">
        <f>VLOOKUP($A92,'Rate Calculation'!$A$4:$CQ$210,83,FALSE)</f>
        <v>#REF!</v>
      </c>
      <c r="Z92" s="6" t="e">
        <f>VLOOKUP($A92,'Rate Calculation'!$A$3:$DE$210,84,FALSE)</f>
        <v>#REF!</v>
      </c>
      <c r="AA92" s="6">
        <f>VLOOKUP($A92,'Rate Calculation'!$A$3:$DE$210,99,FALSE)</f>
        <v>0</v>
      </c>
      <c r="AB92" s="6">
        <f t="shared" si="24"/>
        <v>0</v>
      </c>
      <c r="AC92" s="6">
        <f t="shared" si="19"/>
        <v>0</v>
      </c>
      <c r="AD92" s="6" t="e">
        <f>VLOOKUP($A92,'Rate Calculation'!$A$3:$AR$210,47,FALSE)+AC92</f>
        <v>#REF!</v>
      </c>
      <c r="AE92" s="6" t="e">
        <f>VLOOKUP($A92,'Rate Calculation'!$A$3:$CQ$210,100,FALSE)</f>
        <v>#REF!</v>
      </c>
      <c r="AF92" s="6">
        <f>VLOOKUP($A92,'Rate Calculation'!$A$3:$DE$210,101,FALSE)</f>
        <v>0</v>
      </c>
      <c r="AH92" s="175"/>
    </row>
    <row r="93" spans="1:34" x14ac:dyDescent="0.15">
      <c r="A93" s="130">
        <v>669</v>
      </c>
      <c r="B93" s="37" t="s">
        <v>679</v>
      </c>
      <c r="C93" s="1" t="str">
        <f>VLOOKUP(A93,'Rate Calculation'!$A$4:$F$210,6,FALSE)</f>
        <v>NON METRO</v>
      </c>
      <c r="D93" s="4">
        <v>23295</v>
      </c>
      <c r="E93" s="6">
        <f>VLOOKUP(A93,'Rate Calculation'!$A$4:$AM$208,39,FALSE)</f>
        <v>344.96</v>
      </c>
      <c r="F93" s="6">
        <f t="shared" si="20"/>
        <v>340.72</v>
      </c>
      <c r="G93" s="6">
        <f t="shared" si="21"/>
        <v>340.72</v>
      </c>
      <c r="H93" s="6">
        <f>VLOOKUP(A93,'Rate Calculation'!$A$4:$AL$208,38,FALSE)+G93</f>
        <v>370.68</v>
      </c>
      <c r="I93" s="6">
        <f>VLOOKUP(A93,'Rate Calculation'!$A$4:$AN$208,40,FALSE)</f>
        <v>246.53</v>
      </c>
      <c r="J93" s="1">
        <v>91</v>
      </c>
      <c r="K93" s="217">
        <v>0</v>
      </c>
      <c r="L93" s="6">
        <f>VLOOKUP(A93,'Rate Calculation'!$A$4:$AO$208,41,FALSE)</f>
        <v>148.1</v>
      </c>
      <c r="M93" s="1">
        <v>0</v>
      </c>
      <c r="N93" s="182">
        <f>VLOOKUP(A93,'Rate Calculation'!$A$4:$AL$208,38,FALSE)</f>
        <v>29.96</v>
      </c>
      <c r="O93" s="6" t="e">
        <f>VLOOKUP($A93,'Rate Calculation'!$A$3:$BR$210,65,FALSE)</f>
        <v>#DIV/0!</v>
      </c>
      <c r="P93" s="6" t="e">
        <f t="shared" si="22"/>
        <v>#DIV/0!</v>
      </c>
      <c r="Q93" s="6" t="e">
        <f t="shared" si="17"/>
        <v>#DIV/0!</v>
      </c>
      <c r="R93" s="6" t="e">
        <f>VLOOKUP($A93,'Rate Calculation'!$A$3:$AR$210,47,FALSE)+Q93</f>
        <v>#REF!</v>
      </c>
      <c r="S93" s="6" t="e">
        <f>VLOOKUP($A93,'Rate Calculation'!$A$4:$CQ$211,66,FALSE)</f>
        <v>#REF!</v>
      </c>
      <c r="T93" s="6" t="e">
        <f>VLOOKUP($A93,'Rate Calculation'!$A$3:$CQ$210,67,FALSE)</f>
        <v>#REF!</v>
      </c>
      <c r="U93" s="6" t="e">
        <f>VLOOKUP($A93,'Rate Calculation'!$A$3:$DE$210,82,FALSE)</f>
        <v>#DIV/0!</v>
      </c>
      <c r="V93" s="6" t="e">
        <f t="shared" si="23"/>
        <v>#DIV/0!</v>
      </c>
      <c r="W93" s="6" t="e">
        <f t="shared" si="18"/>
        <v>#DIV/0!</v>
      </c>
      <c r="X93" s="6" t="e">
        <f>VLOOKUP($A93,'Rate Calculation'!$A$3:$AR$210,47,FALSE)+W93</f>
        <v>#REF!</v>
      </c>
      <c r="Y93" s="6" t="e">
        <f>VLOOKUP($A93,'Rate Calculation'!$A$4:$CQ$210,83,FALSE)</f>
        <v>#REF!</v>
      </c>
      <c r="Z93" s="6" t="e">
        <f>VLOOKUP($A93,'Rate Calculation'!$A$3:$DE$210,84,FALSE)</f>
        <v>#REF!</v>
      </c>
      <c r="AA93" s="6">
        <f>VLOOKUP($A93,'Rate Calculation'!$A$3:$DE$210,99,FALSE)</f>
        <v>0</v>
      </c>
      <c r="AB93" s="6">
        <f t="shared" si="24"/>
        <v>0</v>
      </c>
      <c r="AC93" s="6">
        <f t="shared" si="19"/>
        <v>0</v>
      </c>
      <c r="AD93" s="6" t="e">
        <f>VLOOKUP($A93,'Rate Calculation'!$A$3:$AR$210,47,FALSE)+AC93</f>
        <v>#REF!</v>
      </c>
      <c r="AE93" s="6" t="e">
        <f>VLOOKUP($A93,'Rate Calculation'!$A$3:$CQ$210,100,FALSE)</f>
        <v>#REF!</v>
      </c>
      <c r="AF93" s="6">
        <f>VLOOKUP($A93,'Rate Calculation'!$A$3:$DE$210,101,FALSE)</f>
        <v>0</v>
      </c>
      <c r="AH93" s="175"/>
    </row>
    <row r="94" spans="1:34" x14ac:dyDescent="0.15">
      <c r="A94" s="130">
        <v>142</v>
      </c>
      <c r="B94" s="37" t="s">
        <v>374</v>
      </c>
      <c r="C94" s="1" t="str">
        <f>VLOOKUP(A94,'Rate Calculation'!$A$4:$F$210,6,FALSE)</f>
        <v>NON METRO</v>
      </c>
      <c r="D94" s="4">
        <v>24764</v>
      </c>
      <c r="E94" s="6">
        <f>VLOOKUP(A94,'Rate Calculation'!$A$4:$AM$208,39,FALSE)</f>
        <v>286.66000000000003</v>
      </c>
      <c r="F94" s="6">
        <f t="shared" si="20"/>
        <v>283.14</v>
      </c>
      <c r="G94" s="6">
        <f t="shared" si="21"/>
        <v>283.14</v>
      </c>
      <c r="H94" s="6">
        <f>VLOOKUP(A94,'Rate Calculation'!$A$4:$AL$208,38,FALSE)+G94</f>
        <v>310.73</v>
      </c>
      <c r="I94" s="6">
        <f>VLOOKUP(A94,'Rate Calculation'!$A$4:$AN$208,40,FALSE)</f>
        <v>218.87</v>
      </c>
      <c r="J94" s="1">
        <v>0</v>
      </c>
      <c r="K94" s="217">
        <v>7646</v>
      </c>
      <c r="L94" s="6">
        <f>VLOOKUP(A94,'Rate Calculation'!$A$4:$AO$208,41,FALSE)</f>
        <v>151.07</v>
      </c>
      <c r="M94" s="1">
        <v>2</v>
      </c>
      <c r="N94" s="182">
        <f>VLOOKUP(A94,'Rate Calculation'!$A$4:$AL$208,38,FALSE)</f>
        <v>27.59</v>
      </c>
      <c r="O94" s="6" t="e">
        <f>VLOOKUP($A94,'Rate Calculation'!$A$3:$BR$210,65,FALSE)</f>
        <v>#DIV/0!</v>
      </c>
      <c r="P94" s="6" t="e">
        <f t="shared" si="22"/>
        <v>#DIV/0!</v>
      </c>
      <c r="Q94" s="6" t="e">
        <f t="shared" si="17"/>
        <v>#DIV/0!</v>
      </c>
      <c r="R94" s="6" t="e">
        <f>VLOOKUP($A94,'Rate Calculation'!$A$3:$AR$210,47,FALSE)+Q94</f>
        <v>#REF!</v>
      </c>
      <c r="S94" s="6" t="e">
        <f>VLOOKUP($A94,'Rate Calculation'!$A$4:$CQ$211,66,FALSE)</f>
        <v>#REF!</v>
      </c>
      <c r="T94" s="6" t="e">
        <f>VLOOKUP($A94,'Rate Calculation'!$A$3:$CQ$210,67,FALSE)</f>
        <v>#REF!</v>
      </c>
      <c r="U94" s="6" t="e">
        <f>VLOOKUP($A94,'Rate Calculation'!$A$3:$DE$210,82,FALSE)</f>
        <v>#DIV/0!</v>
      </c>
      <c r="V94" s="6" t="e">
        <f t="shared" si="23"/>
        <v>#DIV/0!</v>
      </c>
      <c r="W94" s="6" t="e">
        <f t="shared" si="18"/>
        <v>#DIV/0!</v>
      </c>
      <c r="X94" s="6" t="e">
        <f>VLOOKUP($A94,'Rate Calculation'!$A$3:$AR$210,47,FALSE)+W94</f>
        <v>#REF!</v>
      </c>
      <c r="Y94" s="6" t="e">
        <f>VLOOKUP($A94,'Rate Calculation'!$A$4:$CQ$210,83,FALSE)</f>
        <v>#REF!</v>
      </c>
      <c r="Z94" s="6" t="e">
        <f>VLOOKUP($A94,'Rate Calculation'!$A$3:$DE$210,84,FALSE)</f>
        <v>#REF!</v>
      </c>
      <c r="AA94" s="6">
        <f>VLOOKUP($A94,'Rate Calculation'!$A$3:$DE$210,99,FALSE)</f>
        <v>0</v>
      </c>
      <c r="AB94" s="6">
        <f t="shared" si="24"/>
        <v>0</v>
      </c>
      <c r="AC94" s="6">
        <f t="shared" si="19"/>
        <v>0</v>
      </c>
      <c r="AD94" s="6" t="e">
        <f>VLOOKUP($A94,'Rate Calculation'!$A$3:$AR$210,47,FALSE)+AC94</f>
        <v>#REF!</v>
      </c>
      <c r="AE94" s="6" t="e">
        <f>VLOOKUP($A94,'Rate Calculation'!$A$3:$CQ$210,100,FALSE)</f>
        <v>#REF!</v>
      </c>
      <c r="AF94" s="6">
        <f>VLOOKUP($A94,'Rate Calculation'!$A$3:$DE$210,101,FALSE)</f>
        <v>0</v>
      </c>
      <c r="AH94" s="175"/>
    </row>
    <row r="95" spans="1:34" x14ac:dyDescent="0.15">
      <c r="A95" s="130">
        <v>298</v>
      </c>
      <c r="B95" s="37" t="s">
        <v>345</v>
      </c>
      <c r="C95" s="1" t="str">
        <f>VLOOKUP(A95,'Rate Calculation'!$A$4:$F$210,6,FALSE)</f>
        <v>WASHINGTON METRO</v>
      </c>
      <c r="D95" s="4">
        <v>24155</v>
      </c>
      <c r="E95" s="6">
        <f>VLOOKUP(A95,'Rate Calculation'!$A$4:$AM$208,39,FALSE)</f>
        <v>334.2</v>
      </c>
      <c r="F95" s="6">
        <f t="shared" si="20"/>
        <v>330.1</v>
      </c>
      <c r="G95" s="6">
        <f t="shared" si="21"/>
        <v>330.1</v>
      </c>
      <c r="H95" s="6">
        <f>VLOOKUP(A95,'Rate Calculation'!$A$4:$AL$208,38,FALSE)+G95</f>
        <v>350.92</v>
      </c>
      <c r="I95" s="6">
        <f>VLOOKUP(A95,'Rate Calculation'!$A$4:$AN$208,40,FALSE)</f>
        <v>250.53</v>
      </c>
      <c r="J95" s="1">
        <v>0</v>
      </c>
      <c r="K95" s="217">
        <v>0</v>
      </c>
      <c r="L95" s="6">
        <f>VLOOKUP(A95,'Rate Calculation'!$A$4:$AO$208,41,FALSE)</f>
        <v>166.86</v>
      </c>
      <c r="M95" s="1">
        <v>18</v>
      </c>
      <c r="N95" s="182">
        <f>VLOOKUP(A95,'Rate Calculation'!$A$4:$AL$208,38,FALSE)</f>
        <v>20.82</v>
      </c>
      <c r="O95" s="6" t="e">
        <f>VLOOKUP($A95,'Rate Calculation'!$A$3:$BR$210,65,FALSE)</f>
        <v>#DIV/0!</v>
      </c>
      <c r="P95" s="6" t="e">
        <f t="shared" si="22"/>
        <v>#DIV/0!</v>
      </c>
      <c r="Q95" s="6" t="e">
        <f t="shared" si="17"/>
        <v>#DIV/0!</v>
      </c>
      <c r="R95" s="6" t="e">
        <f>VLOOKUP($A95,'Rate Calculation'!$A$3:$AR$210,47,FALSE)+Q95</f>
        <v>#REF!</v>
      </c>
      <c r="S95" s="6" t="e">
        <f>VLOOKUP($A95,'Rate Calculation'!$A$4:$CQ$211,66,FALSE)</f>
        <v>#REF!</v>
      </c>
      <c r="T95" s="6" t="e">
        <f>VLOOKUP($A95,'Rate Calculation'!$A$3:$CQ$210,67,FALSE)</f>
        <v>#REF!</v>
      </c>
      <c r="U95" s="6" t="e">
        <f>VLOOKUP($A95,'Rate Calculation'!$A$3:$DE$210,82,FALSE)</f>
        <v>#DIV/0!</v>
      </c>
      <c r="V95" s="6" t="e">
        <f t="shared" si="23"/>
        <v>#DIV/0!</v>
      </c>
      <c r="W95" s="6" t="e">
        <f t="shared" si="18"/>
        <v>#DIV/0!</v>
      </c>
      <c r="X95" s="6" t="e">
        <f>VLOOKUP($A95,'Rate Calculation'!$A$3:$AR$210,47,FALSE)+W95</f>
        <v>#REF!</v>
      </c>
      <c r="Y95" s="6" t="e">
        <f>VLOOKUP($A95,'Rate Calculation'!$A$4:$CQ$210,83,FALSE)</f>
        <v>#REF!</v>
      </c>
      <c r="Z95" s="6" t="e">
        <f>VLOOKUP($A95,'Rate Calculation'!$A$3:$DE$210,84,FALSE)</f>
        <v>#REF!</v>
      </c>
      <c r="AA95" s="6">
        <f>VLOOKUP($A95,'Rate Calculation'!$A$3:$DE$210,99,FALSE)</f>
        <v>0</v>
      </c>
      <c r="AB95" s="6">
        <f t="shared" si="24"/>
        <v>0</v>
      </c>
      <c r="AC95" s="6">
        <f t="shared" si="19"/>
        <v>0</v>
      </c>
      <c r="AD95" s="6" t="e">
        <f>VLOOKUP($A95,'Rate Calculation'!$A$3:$AR$210,47,FALSE)+AC95</f>
        <v>#REF!</v>
      </c>
      <c r="AE95" s="6" t="e">
        <f>VLOOKUP($A95,'Rate Calculation'!$A$3:$CQ$210,100,FALSE)</f>
        <v>#REF!</v>
      </c>
      <c r="AF95" s="6">
        <f>VLOOKUP($A95,'Rate Calculation'!$A$3:$DE$210,101,FALSE)</f>
        <v>0</v>
      </c>
      <c r="AH95" s="175"/>
    </row>
    <row r="96" spans="1:34" x14ac:dyDescent="0.15">
      <c r="A96" s="130">
        <v>146</v>
      </c>
      <c r="B96" s="37" t="s">
        <v>176</v>
      </c>
      <c r="C96" s="1" t="str">
        <f>VLOOKUP(A96,'Rate Calculation'!$A$4:$F$210,6,FALSE)</f>
        <v>NON METRO</v>
      </c>
      <c r="D96" s="4">
        <v>16235</v>
      </c>
      <c r="E96" s="6">
        <f>VLOOKUP(A96,'Rate Calculation'!$A$4:$AM$208,39,FALSE)</f>
        <v>303.79000000000002</v>
      </c>
      <c r="F96" s="6">
        <f t="shared" si="20"/>
        <v>300.06</v>
      </c>
      <c r="G96" s="6">
        <f t="shared" si="21"/>
        <v>300.06</v>
      </c>
      <c r="H96" s="6">
        <f>VLOOKUP(A96,'Rate Calculation'!$A$4:$AL$208,38,FALSE)+G96</f>
        <v>328.88</v>
      </c>
      <c r="I96" s="6">
        <f>VLOOKUP(A96,'Rate Calculation'!$A$4:$AN$208,40,FALSE)</f>
        <v>227.87</v>
      </c>
      <c r="J96" s="1">
        <v>0</v>
      </c>
      <c r="K96" s="217">
        <v>0</v>
      </c>
      <c r="L96" s="6">
        <f>VLOOKUP(A96,'Rate Calculation'!$A$4:$AO$208,41,FALSE)</f>
        <v>151.94999999999999</v>
      </c>
      <c r="M96" s="1">
        <v>12</v>
      </c>
      <c r="N96" s="182">
        <f>VLOOKUP(A96,'Rate Calculation'!$A$4:$AL$208,38,FALSE)</f>
        <v>28.82</v>
      </c>
      <c r="O96" s="6" t="e">
        <f>VLOOKUP($A96,'Rate Calculation'!$A$3:$BR$210,65,FALSE)</f>
        <v>#DIV/0!</v>
      </c>
      <c r="P96" s="6" t="e">
        <f t="shared" si="22"/>
        <v>#DIV/0!</v>
      </c>
      <c r="Q96" s="6" t="e">
        <f t="shared" si="17"/>
        <v>#DIV/0!</v>
      </c>
      <c r="R96" s="6" t="e">
        <f>VLOOKUP($A96,'Rate Calculation'!$A$3:$AR$210,47,FALSE)+Q96</f>
        <v>#REF!</v>
      </c>
      <c r="S96" s="6" t="e">
        <f>VLOOKUP($A96,'Rate Calculation'!$A$4:$CQ$211,66,FALSE)</f>
        <v>#REF!</v>
      </c>
      <c r="T96" s="6" t="e">
        <f>VLOOKUP($A96,'Rate Calculation'!$A$3:$CQ$210,67,FALSE)</f>
        <v>#REF!</v>
      </c>
      <c r="U96" s="6" t="e">
        <f>VLOOKUP($A96,'Rate Calculation'!$A$3:$DE$210,82,FALSE)</f>
        <v>#DIV/0!</v>
      </c>
      <c r="V96" s="6" t="e">
        <f t="shared" si="23"/>
        <v>#DIV/0!</v>
      </c>
      <c r="W96" s="6" t="e">
        <f t="shared" si="18"/>
        <v>#DIV/0!</v>
      </c>
      <c r="X96" s="6" t="e">
        <f>VLOOKUP($A96,'Rate Calculation'!$A$3:$AR$210,47,FALSE)+W96</f>
        <v>#REF!</v>
      </c>
      <c r="Y96" s="6" t="e">
        <f>VLOOKUP($A96,'Rate Calculation'!$A$4:$CQ$210,83,FALSE)</f>
        <v>#REF!</v>
      </c>
      <c r="Z96" s="6" t="e">
        <f>VLOOKUP($A96,'Rate Calculation'!$A$3:$DE$210,84,FALSE)</f>
        <v>#REF!</v>
      </c>
      <c r="AA96" s="6">
        <f>VLOOKUP($A96,'Rate Calculation'!$A$3:$DE$210,99,FALSE)</f>
        <v>0</v>
      </c>
      <c r="AB96" s="6">
        <f t="shared" si="24"/>
        <v>0</v>
      </c>
      <c r="AC96" s="6">
        <f t="shared" si="19"/>
        <v>0</v>
      </c>
      <c r="AD96" s="6" t="e">
        <f>VLOOKUP($A96,'Rate Calculation'!$A$3:$AR$210,47,FALSE)+AC96</f>
        <v>#REF!</v>
      </c>
      <c r="AE96" s="6" t="e">
        <f>VLOOKUP($A96,'Rate Calculation'!$A$3:$CQ$210,100,FALSE)</f>
        <v>#REF!</v>
      </c>
      <c r="AF96" s="6">
        <f>VLOOKUP($A96,'Rate Calculation'!$A$3:$DE$210,101,FALSE)</f>
        <v>0</v>
      </c>
      <c r="AH96" s="175"/>
    </row>
    <row r="97" spans="1:34" x14ac:dyDescent="0.15">
      <c r="A97" s="130">
        <v>434</v>
      </c>
      <c r="B97" s="37" t="s">
        <v>464</v>
      </c>
      <c r="C97" s="1" t="str">
        <f>VLOOKUP(A97,'Rate Calculation'!$A$4:$F$210,6,FALSE)</f>
        <v>NON METRO</v>
      </c>
      <c r="D97" s="4">
        <v>39286</v>
      </c>
      <c r="E97" s="6">
        <f>VLOOKUP(A97,'Rate Calculation'!$A$4:$AM$208,39,FALSE)</f>
        <v>313.61</v>
      </c>
      <c r="F97" s="6">
        <f t="shared" si="20"/>
        <v>309.76</v>
      </c>
      <c r="G97" s="6">
        <f t="shared" si="21"/>
        <v>309.76</v>
      </c>
      <c r="H97" s="6">
        <f>VLOOKUP(A97,'Rate Calculation'!$A$4:$AL$208,38,FALSE)+G97</f>
        <v>335.79</v>
      </c>
      <c r="I97" s="6">
        <f>VLOOKUP(A97,'Rate Calculation'!$A$4:$AN$208,40,FALSE)</f>
        <v>229.18</v>
      </c>
      <c r="J97" s="1">
        <v>0</v>
      </c>
      <c r="K97" s="217">
        <v>15710</v>
      </c>
      <c r="L97" s="6">
        <f>VLOOKUP(A97,'Rate Calculation'!$A$4:$AO$208,41,FALSE)</f>
        <v>144.75</v>
      </c>
      <c r="M97" s="1">
        <v>12</v>
      </c>
      <c r="N97" s="182">
        <f>VLOOKUP(A97,'Rate Calculation'!$A$4:$AL$208,38,FALSE)</f>
        <v>26.03</v>
      </c>
      <c r="O97" s="6" t="e">
        <f>VLOOKUP($A97,'Rate Calculation'!$A$3:$BR$210,65,FALSE)</f>
        <v>#DIV/0!</v>
      </c>
      <c r="P97" s="6" t="e">
        <f t="shared" si="22"/>
        <v>#DIV/0!</v>
      </c>
      <c r="Q97" s="6" t="e">
        <f t="shared" si="17"/>
        <v>#DIV/0!</v>
      </c>
      <c r="R97" s="6" t="e">
        <f>VLOOKUP($A97,'Rate Calculation'!$A$3:$AR$210,47,FALSE)+Q97</f>
        <v>#REF!</v>
      </c>
      <c r="S97" s="6" t="e">
        <f>VLOOKUP($A97,'Rate Calculation'!$A$4:$CQ$211,66,FALSE)</f>
        <v>#REF!</v>
      </c>
      <c r="T97" s="6" t="e">
        <f>VLOOKUP($A97,'Rate Calculation'!$A$3:$CQ$210,67,FALSE)</f>
        <v>#REF!</v>
      </c>
      <c r="U97" s="6" t="e">
        <f>VLOOKUP($A97,'Rate Calculation'!$A$3:$DE$210,82,FALSE)</f>
        <v>#DIV/0!</v>
      </c>
      <c r="V97" s="6" t="e">
        <f t="shared" si="23"/>
        <v>#DIV/0!</v>
      </c>
      <c r="W97" s="6" t="e">
        <f t="shared" si="18"/>
        <v>#DIV/0!</v>
      </c>
      <c r="X97" s="6" t="e">
        <f>VLOOKUP($A97,'Rate Calculation'!$A$3:$AR$210,47,FALSE)+W97</f>
        <v>#REF!</v>
      </c>
      <c r="Y97" s="6" t="e">
        <f>VLOOKUP($A97,'Rate Calculation'!$A$4:$CQ$210,83,FALSE)</f>
        <v>#REF!</v>
      </c>
      <c r="Z97" s="6" t="e">
        <f>VLOOKUP($A97,'Rate Calculation'!$A$3:$DE$210,84,FALSE)</f>
        <v>#REF!</v>
      </c>
      <c r="AA97" s="6">
        <f>VLOOKUP($A97,'Rate Calculation'!$A$3:$DE$210,99,FALSE)</f>
        <v>0</v>
      </c>
      <c r="AB97" s="6">
        <f t="shared" si="24"/>
        <v>0</v>
      </c>
      <c r="AC97" s="6">
        <f t="shared" si="19"/>
        <v>0</v>
      </c>
      <c r="AD97" s="6" t="e">
        <f>VLOOKUP($A97,'Rate Calculation'!$A$3:$AR$210,47,FALSE)+AC97</f>
        <v>#REF!</v>
      </c>
      <c r="AE97" s="6" t="e">
        <f>VLOOKUP($A97,'Rate Calculation'!$A$3:$CQ$210,100,FALSE)</f>
        <v>#REF!</v>
      </c>
      <c r="AF97" s="6">
        <f>VLOOKUP($A97,'Rate Calculation'!$A$3:$DE$210,101,FALSE)</f>
        <v>0</v>
      </c>
      <c r="AH97" s="175"/>
    </row>
    <row r="98" spans="1:34" x14ac:dyDescent="0.15">
      <c r="A98" s="130">
        <v>733</v>
      </c>
      <c r="B98" s="37" t="s">
        <v>211</v>
      </c>
      <c r="C98" s="1" t="str">
        <f>VLOOKUP(A98,'Rate Calculation'!$A$4:$F$210,6,FALSE)</f>
        <v>BALTIMORE METRO</v>
      </c>
      <c r="D98" s="4">
        <v>46842</v>
      </c>
      <c r="E98" s="6">
        <f>VLOOKUP(A98,'Rate Calculation'!$A$4:$AM$208,39,FALSE)</f>
        <v>299.99</v>
      </c>
      <c r="F98" s="6">
        <f t="shared" si="20"/>
        <v>296.31</v>
      </c>
      <c r="G98" s="6">
        <f t="shared" si="21"/>
        <v>296.31</v>
      </c>
      <c r="H98" s="6">
        <f>VLOOKUP(A98,'Rate Calculation'!$A$4:$AL$208,38,FALSE)+G98</f>
        <v>326.74</v>
      </c>
      <c r="I98" s="6">
        <f>VLOOKUP(A98,'Rate Calculation'!$A$4:$AN$208,40,FALSE)</f>
        <v>231.45</v>
      </c>
      <c r="J98" s="1">
        <v>35</v>
      </c>
      <c r="K98" s="217">
        <v>92182</v>
      </c>
      <c r="L98" s="6">
        <f>VLOOKUP(A98,'Rate Calculation'!$A$4:$AO$208,41,FALSE)</f>
        <v>162.9</v>
      </c>
      <c r="M98" s="1">
        <v>39</v>
      </c>
      <c r="N98" s="182">
        <f>VLOOKUP(A98,'Rate Calculation'!$A$4:$AL$208,38,FALSE)</f>
        <v>30.43</v>
      </c>
      <c r="O98" s="6" t="e">
        <f>VLOOKUP($A98,'Rate Calculation'!$A$3:$BR$210,65,FALSE)</f>
        <v>#DIV/0!</v>
      </c>
      <c r="P98" s="6" t="e">
        <f t="shared" si="22"/>
        <v>#DIV/0!</v>
      </c>
      <c r="Q98" s="6" t="e">
        <f t="shared" si="17"/>
        <v>#DIV/0!</v>
      </c>
      <c r="R98" s="6" t="e">
        <f>VLOOKUP($A98,'Rate Calculation'!$A$3:$AR$210,47,FALSE)+Q98</f>
        <v>#REF!</v>
      </c>
      <c r="S98" s="6" t="e">
        <f>VLOOKUP($A98,'Rate Calculation'!$A$4:$CQ$211,66,FALSE)</f>
        <v>#REF!</v>
      </c>
      <c r="T98" s="6" t="e">
        <f>VLOOKUP($A98,'Rate Calculation'!$A$3:$CQ$210,67,FALSE)</f>
        <v>#REF!</v>
      </c>
      <c r="U98" s="6" t="e">
        <f>VLOOKUP($A98,'Rate Calculation'!$A$3:$DE$210,82,FALSE)</f>
        <v>#DIV/0!</v>
      </c>
      <c r="V98" s="6" t="e">
        <f t="shared" si="23"/>
        <v>#DIV/0!</v>
      </c>
      <c r="W98" s="6" t="e">
        <f t="shared" si="18"/>
        <v>#DIV/0!</v>
      </c>
      <c r="X98" s="6" t="e">
        <f>VLOOKUP($A98,'Rate Calculation'!$A$3:$AR$210,47,FALSE)+W98</f>
        <v>#REF!</v>
      </c>
      <c r="Y98" s="6" t="e">
        <f>VLOOKUP($A98,'Rate Calculation'!$A$4:$CQ$210,83,FALSE)</f>
        <v>#REF!</v>
      </c>
      <c r="Z98" s="6" t="e">
        <f>VLOOKUP($A98,'Rate Calculation'!$A$3:$DE$210,84,FALSE)</f>
        <v>#REF!</v>
      </c>
      <c r="AA98" s="6">
        <f>VLOOKUP($A98,'Rate Calculation'!$A$3:$DE$210,99,FALSE)</f>
        <v>0</v>
      </c>
      <c r="AB98" s="6">
        <f t="shared" si="24"/>
        <v>0</v>
      </c>
      <c r="AC98" s="6">
        <f t="shared" si="19"/>
        <v>0</v>
      </c>
      <c r="AD98" s="6" t="e">
        <f>VLOOKUP($A98,'Rate Calculation'!$A$3:$AR$210,47,FALSE)+AC98</f>
        <v>#REF!</v>
      </c>
      <c r="AE98" s="6" t="e">
        <f>VLOOKUP($A98,'Rate Calculation'!$A$3:$CQ$210,100,FALSE)</f>
        <v>#REF!</v>
      </c>
      <c r="AF98" s="6">
        <f>VLOOKUP($A98,'Rate Calculation'!$A$3:$DE$210,101,FALSE)</f>
        <v>0</v>
      </c>
      <c r="AH98" s="175"/>
    </row>
    <row r="99" spans="1:34" x14ac:dyDescent="0.15">
      <c r="A99" s="130">
        <v>1132</v>
      </c>
      <c r="B99" s="37" t="s">
        <v>196</v>
      </c>
      <c r="C99" s="1" t="str">
        <f>VLOOKUP(A99,'Rate Calculation'!$A$4:$F$210,6,FALSE)</f>
        <v>BALTIMORE METRO</v>
      </c>
      <c r="D99" s="4">
        <v>17739</v>
      </c>
      <c r="E99" s="6">
        <f>VLOOKUP(A99,'Rate Calculation'!$A$4:$AM$208,39,FALSE)</f>
        <v>379.82</v>
      </c>
      <c r="F99" s="6">
        <f t="shared" si="20"/>
        <v>375.16</v>
      </c>
      <c r="G99" s="6">
        <f t="shared" si="21"/>
        <v>375.16</v>
      </c>
      <c r="H99" s="6">
        <f>VLOOKUP(A99,'Rate Calculation'!$A$4:$AL$208,38,FALSE)+G99</f>
        <v>398.7</v>
      </c>
      <c r="I99" s="6">
        <f>VLOOKUP(A99,'Rate Calculation'!$A$4:$AN$208,40,FALSE)</f>
        <v>274.49</v>
      </c>
      <c r="J99" s="1">
        <v>0</v>
      </c>
      <c r="K99" s="217">
        <v>0</v>
      </c>
      <c r="L99" s="6">
        <f>VLOOKUP(A99,'Rate Calculation'!$A$4:$AO$208,41,FALSE)</f>
        <v>169.16</v>
      </c>
      <c r="M99" s="1">
        <v>21</v>
      </c>
      <c r="N99" s="182">
        <f>VLOOKUP(A99,'Rate Calculation'!$A$4:$AL$208,38,FALSE)</f>
        <v>23.54</v>
      </c>
      <c r="O99" s="6" t="e">
        <f>VLOOKUP($A99,'Rate Calculation'!$A$3:$BR$210,65,FALSE)</f>
        <v>#DIV/0!</v>
      </c>
      <c r="P99" s="6" t="e">
        <f t="shared" si="22"/>
        <v>#DIV/0!</v>
      </c>
      <c r="Q99" s="6" t="e">
        <f t="shared" si="17"/>
        <v>#DIV/0!</v>
      </c>
      <c r="R99" s="6" t="e">
        <f>VLOOKUP($A99,'Rate Calculation'!$A$3:$AR$210,47,FALSE)+Q99</f>
        <v>#REF!</v>
      </c>
      <c r="S99" s="6" t="e">
        <f>VLOOKUP($A99,'Rate Calculation'!$A$4:$CQ$211,66,FALSE)</f>
        <v>#REF!</v>
      </c>
      <c r="T99" s="6" t="e">
        <f>VLOOKUP($A99,'Rate Calculation'!$A$3:$CQ$210,67,FALSE)</f>
        <v>#REF!</v>
      </c>
      <c r="U99" s="6" t="e">
        <f>VLOOKUP($A99,'Rate Calculation'!$A$3:$DE$210,82,FALSE)</f>
        <v>#DIV/0!</v>
      </c>
      <c r="V99" s="6" t="e">
        <f t="shared" si="23"/>
        <v>#DIV/0!</v>
      </c>
      <c r="W99" s="6" t="e">
        <f t="shared" si="18"/>
        <v>#DIV/0!</v>
      </c>
      <c r="X99" s="6" t="e">
        <f>VLOOKUP($A99,'Rate Calculation'!$A$3:$AR$210,47,FALSE)+W99</f>
        <v>#REF!</v>
      </c>
      <c r="Y99" s="6" t="e">
        <f>VLOOKUP($A99,'Rate Calculation'!$A$4:$CQ$210,83,FALSE)</f>
        <v>#REF!</v>
      </c>
      <c r="Z99" s="6" t="e">
        <f>VLOOKUP($A99,'Rate Calculation'!$A$3:$DE$210,84,FALSE)</f>
        <v>#REF!</v>
      </c>
      <c r="AA99" s="6">
        <f>VLOOKUP($A99,'Rate Calculation'!$A$3:$DE$210,99,FALSE)</f>
        <v>0</v>
      </c>
      <c r="AB99" s="6">
        <f t="shared" si="24"/>
        <v>0</v>
      </c>
      <c r="AC99" s="6">
        <f t="shared" si="19"/>
        <v>0</v>
      </c>
      <c r="AD99" s="6" t="e">
        <f>VLOOKUP($A99,'Rate Calculation'!$A$3:$AR$210,47,FALSE)+AC99</f>
        <v>#REF!</v>
      </c>
      <c r="AE99" s="6" t="e">
        <f>VLOOKUP($A99,'Rate Calculation'!$A$3:$CQ$210,100,FALSE)</f>
        <v>#REF!</v>
      </c>
      <c r="AF99" s="6">
        <f>VLOOKUP($A99,'Rate Calculation'!$A$3:$DE$210,101,FALSE)</f>
        <v>0</v>
      </c>
      <c r="AH99" s="175"/>
    </row>
    <row r="100" spans="1:34" x14ac:dyDescent="0.15">
      <c r="A100" s="130">
        <v>150</v>
      </c>
      <c r="B100" s="37" t="s">
        <v>224</v>
      </c>
      <c r="C100" s="1" t="str">
        <f>VLOOKUP(A100,'Rate Calculation'!$A$4:$F$210,6,FALSE)</f>
        <v>NON METRO</v>
      </c>
      <c r="D100" s="4">
        <v>19950</v>
      </c>
      <c r="E100" s="6">
        <f>VLOOKUP(A100,'Rate Calculation'!$A$4:$AM$208,39,FALSE)</f>
        <v>309.52</v>
      </c>
      <c r="F100" s="6">
        <f t="shared" si="20"/>
        <v>305.72000000000003</v>
      </c>
      <c r="G100" s="6">
        <f t="shared" si="21"/>
        <v>305.72000000000003</v>
      </c>
      <c r="H100" s="6">
        <f>VLOOKUP(A100,'Rate Calculation'!$A$4:$AL$208,38,FALSE)+G100</f>
        <v>305.72000000000003</v>
      </c>
      <c r="I100" s="6">
        <f>VLOOKUP(A100,'Rate Calculation'!$A$4:$AN$208,40,FALSE)</f>
        <v>228.74</v>
      </c>
      <c r="J100" s="1">
        <v>0</v>
      </c>
      <c r="K100" s="217">
        <v>0</v>
      </c>
      <c r="L100" s="6">
        <f>VLOOKUP(A100,'Rate Calculation'!$A$4:$AO$208,41,FALSE)</f>
        <v>147.96</v>
      </c>
      <c r="M100" s="1">
        <v>4</v>
      </c>
      <c r="N100" s="182">
        <f>VLOOKUP(A100,'Rate Calculation'!$A$4:$AL$208,38,FALSE)</f>
        <v>0</v>
      </c>
      <c r="O100" s="6" t="e">
        <f>VLOOKUP($A100,'Rate Calculation'!$A$3:$BR$210,65,FALSE)</f>
        <v>#DIV/0!</v>
      </c>
      <c r="P100" s="6" t="e">
        <f t="shared" si="22"/>
        <v>#DIV/0!</v>
      </c>
      <c r="Q100" s="6" t="e">
        <f t="shared" si="17"/>
        <v>#DIV/0!</v>
      </c>
      <c r="R100" s="6" t="e">
        <f>VLOOKUP($A100,'Rate Calculation'!$A$3:$AR$210,47,FALSE)+Q100</f>
        <v>#REF!</v>
      </c>
      <c r="S100" s="6" t="e">
        <f>VLOOKUP($A100,'Rate Calculation'!$A$4:$CQ$211,66,FALSE)</f>
        <v>#REF!</v>
      </c>
      <c r="T100" s="6" t="e">
        <f>VLOOKUP($A100,'Rate Calculation'!$A$3:$CQ$210,67,FALSE)</f>
        <v>#REF!</v>
      </c>
      <c r="U100" s="6" t="e">
        <f>VLOOKUP($A100,'Rate Calculation'!$A$3:$DE$210,82,FALSE)</f>
        <v>#DIV/0!</v>
      </c>
      <c r="V100" s="6" t="e">
        <f t="shared" si="23"/>
        <v>#DIV/0!</v>
      </c>
      <c r="W100" s="6" t="e">
        <f t="shared" si="18"/>
        <v>#DIV/0!</v>
      </c>
      <c r="X100" s="6" t="e">
        <f>VLOOKUP($A100,'Rate Calculation'!$A$3:$AR$210,47,FALSE)+W100</f>
        <v>#REF!</v>
      </c>
      <c r="Y100" s="6" t="e">
        <f>VLOOKUP($A100,'Rate Calculation'!$A$4:$CQ$210,83,FALSE)</f>
        <v>#REF!</v>
      </c>
      <c r="Z100" s="6" t="e">
        <f>VLOOKUP($A100,'Rate Calculation'!$A$3:$DE$210,84,FALSE)</f>
        <v>#REF!</v>
      </c>
      <c r="AA100" s="6">
        <f>VLOOKUP($A100,'Rate Calculation'!$A$3:$DE$210,99,FALSE)</f>
        <v>0</v>
      </c>
      <c r="AB100" s="6">
        <f t="shared" si="24"/>
        <v>0</v>
      </c>
      <c r="AC100" s="6">
        <f t="shared" si="19"/>
        <v>0</v>
      </c>
      <c r="AD100" s="6" t="e">
        <f>VLOOKUP($A100,'Rate Calculation'!$A$3:$AR$210,47,FALSE)+AC100</f>
        <v>#REF!</v>
      </c>
      <c r="AE100" s="6" t="e">
        <f>VLOOKUP($A100,'Rate Calculation'!$A$3:$CQ$210,100,FALSE)</f>
        <v>#REF!</v>
      </c>
      <c r="AF100" s="6">
        <f>VLOOKUP($A100,'Rate Calculation'!$A$3:$DE$210,101,FALSE)</f>
        <v>0</v>
      </c>
      <c r="AH100" s="175"/>
    </row>
    <row r="101" spans="1:34" x14ac:dyDescent="0.15">
      <c r="A101" s="130">
        <v>152</v>
      </c>
      <c r="B101" s="37" t="s">
        <v>383</v>
      </c>
      <c r="C101" s="1" t="str">
        <f>VLOOKUP(A101,'Rate Calculation'!$A$4:$F$210,6,FALSE)</f>
        <v>BALTIMORE METRO</v>
      </c>
      <c r="D101" s="4">
        <v>16645</v>
      </c>
      <c r="E101" s="6">
        <f>VLOOKUP(A101,'Rate Calculation'!$A$4:$AM$208,39,FALSE)</f>
        <v>329.79</v>
      </c>
      <c r="F101" s="6">
        <f t="shared" si="20"/>
        <v>325.74</v>
      </c>
      <c r="G101" s="6">
        <f t="shared" si="21"/>
        <v>325.74</v>
      </c>
      <c r="H101" s="6">
        <f>VLOOKUP(A101,'Rate Calculation'!$A$4:$AL$208,38,FALSE)+G101</f>
        <v>350.83</v>
      </c>
      <c r="I101" s="6">
        <f>VLOOKUP(A101,'Rate Calculation'!$A$4:$AN$208,40,FALSE)</f>
        <v>251.92</v>
      </c>
      <c r="J101" s="1">
        <v>0</v>
      </c>
      <c r="K101" s="217">
        <v>0</v>
      </c>
      <c r="L101" s="6">
        <f>VLOOKUP(A101,'Rate Calculation'!$A$4:$AO$208,41,FALSE)</f>
        <v>174.04</v>
      </c>
      <c r="M101" s="1">
        <v>25</v>
      </c>
      <c r="N101" s="182">
        <f>VLOOKUP(A101,'Rate Calculation'!$A$4:$AL$208,38,FALSE)</f>
        <v>25.09</v>
      </c>
      <c r="O101" s="6" t="e">
        <f>VLOOKUP($A101,'Rate Calculation'!$A$3:$BR$210,65,FALSE)</f>
        <v>#DIV/0!</v>
      </c>
      <c r="P101" s="6" t="e">
        <f t="shared" si="22"/>
        <v>#DIV/0!</v>
      </c>
      <c r="Q101" s="6" t="e">
        <f t="shared" si="17"/>
        <v>#DIV/0!</v>
      </c>
      <c r="R101" s="6" t="e">
        <f>VLOOKUP($A101,'Rate Calculation'!$A$3:$AR$210,47,FALSE)+Q101</f>
        <v>#REF!</v>
      </c>
      <c r="S101" s="6" t="e">
        <f>VLOOKUP($A101,'Rate Calculation'!$A$4:$CQ$211,66,FALSE)</f>
        <v>#REF!</v>
      </c>
      <c r="T101" s="6" t="e">
        <f>VLOOKUP($A101,'Rate Calculation'!$A$3:$CQ$210,67,FALSE)</f>
        <v>#REF!</v>
      </c>
      <c r="U101" s="6" t="e">
        <f>VLOOKUP($A101,'Rate Calculation'!$A$3:$DE$210,82,FALSE)</f>
        <v>#DIV/0!</v>
      </c>
      <c r="V101" s="6" t="e">
        <f t="shared" si="23"/>
        <v>#DIV/0!</v>
      </c>
      <c r="W101" s="6" t="e">
        <f t="shared" si="18"/>
        <v>#DIV/0!</v>
      </c>
      <c r="X101" s="6" t="e">
        <f>VLOOKUP($A101,'Rate Calculation'!$A$3:$AR$210,47,FALSE)+W101</f>
        <v>#REF!</v>
      </c>
      <c r="Y101" s="6" t="e">
        <f>VLOOKUP($A101,'Rate Calculation'!$A$4:$CQ$210,83,FALSE)</f>
        <v>#REF!</v>
      </c>
      <c r="Z101" s="6" t="e">
        <f>VLOOKUP($A101,'Rate Calculation'!$A$3:$DE$210,84,FALSE)</f>
        <v>#REF!</v>
      </c>
      <c r="AA101" s="6">
        <f>VLOOKUP($A101,'Rate Calculation'!$A$3:$DE$210,99,FALSE)</f>
        <v>0</v>
      </c>
      <c r="AB101" s="6">
        <f t="shared" si="24"/>
        <v>0</v>
      </c>
      <c r="AC101" s="6">
        <f t="shared" si="19"/>
        <v>0</v>
      </c>
      <c r="AD101" s="6" t="e">
        <f>VLOOKUP($A101,'Rate Calculation'!$A$3:$AR$210,47,FALSE)+AC101</f>
        <v>#REF!</v>
      </c>
      <c r="AE101" s="6" t="e">
        <f>VLOOKUP($A101,'Rate Calculation'!$A$3:$CQ$210,100,FALSE)</f>
        <v>#REF!</v>
      </c>
      <c r="AF101" s="6">
        <f>VLOOKUP($A101,'Rate Calculation'!$A$3:$DE$210,101,FALSE)</f>
        <v>0</v>
      </c>
      <c r="AH101" s="175"/>
    </row>
    <row r="102" spans="1:34" x14ac:dyDescent="0.15">
      <c r="A102" s="130">
        <v>1324</v>
      </c>
      <c r="B102" s="37" t="s">
        <v>477</v>
      </c>
      <c r="C102" s="1" t="str">
        <f>VLOOKUP(A102,'Rate Calculation'!$A$4:$F$210,6,FALSE)</f>
        <v>BALTIMORE METRO</v>
      </c>
      <c r="D102" s="4">
        <v>2503</v>
      </c>
      <c r="E102" s="6">
        <f>VLOOKUP(A102,'Rate Calculation'!$A$4:$AM$208,39,FALSE)</f>
        <v>291.57</v>
      </c>
      <c r="F102" s="6">
        <f t="shared" si="20"/>
        <v>287.99</v>
      </c>
      <c r="G102" s="6">
        <f t="shared" si="21"/>
        <v>287.99</v>
      </c>
      <c r="H102" s="6">
        <f>VLOOKUP(A102,'Rate Calculation'!$A$4:$AL$208,38,FALSE)+G102</f>
        <v>287.99</v>
      </c>
      <c r="I102" s="6">
        <f>VLOOKUP(A102,'Rate Calculation'!$A$4:$AN$208,40,FALSE)</f>
        <v>226.58</v>
      </c>
      <c r="J102" s="1">
        <v>0</v>
      </c>
      <c r="K102" s="217">
        <v>0</v>
      </c>
      <c r="L102" s="6">
        <f>VLOOKUP(A102,'Rate Calculation'!$A$4:$AO$208,41,FALSE)</f>
        <v>161.58000000000001</v>
      </c>
      <c r="M102" s="1">
        <v>0</v>
      </c>
      <c r="N102" s="182">
        <f>VLOOKUP(A102,'Rate Calculation'!$A$4:$AL$208,38,FALSE)</f>
        <v>0</v>
      </c>
      <c r="O102" s="6" t="e">
        <f>VLOOKUP($A102,'Rate Calculation'!$A$3:$BR$210,65,FALSE)</f>
        <v>#DIV/0!</v>
      </c>
      <c r="P102" s="6" t="e">
        <f t="shared" si="22"/>
        <v>#DIV/0!</v>
      </c>
      <c r="Q102" s="6" t="e">
        <f t="shared" si="17"/>
        <v>#DIV/0!</v>
      </c>
      <c r="R102" s="6" t="e">
        <f>VLOOKUP($A102,'Rate Calculation'!$A$3:$AR$210,47,FALSE)+Q102</f>
        <v>#REF!</v>
      </c>
      <c r="S102" s="6" t="e">
        <f>VLOOKUP($A102,'Rate Calculation'!$A$4:$CQ$211,66,FALSE)</f>
        <v>#REF!</v>
      </c>
      <c r="T102" s="6" t="e">
        <f>VLOOKUP($A102,'Rate Calculation'!$A$3:$CQ$210,67,FALSE)</f>
        <v>#REF!</v>
      </c>
      <c r="U102" s="6" t="e">
        <f>VLOOKUP($A102,'Rate Calculation'!$A$3:$DE$210,82,FALSE)</f>
        <v>#DIV/0!</v>
      </c>
      <c r="V102" s="6" t="e">
        <f t="shared" si="23"/>
        <v>#DIV/0!</v>
      </c>
      <c r="W102" s="6" t="e">
        <f t="shared" si="18"/>
        <v>#DIV/0!</v>
      </c>
      <c r="X102" s="6" t="e">
        <f>VLOOKUP($A102,'Rate Calculation'!$A$3:$AR$210,47,FALSE)+W102</f>
        <v>#REF!</v>
      </c>
      <c r="Y102" s="6" t="e">
        <f>VLOOKUP($A102,'Rate Calculation'!$A$4:$CQ$210,83,FALSE)</f>
        <v>#REF!</v>
      </c>
      <c r="Z102" s="6" t="e">
        <f>VLOOKUP($A102,'Rate Calculation'!$A$3:$DE$210,84,FALSE)</f>
        <v>#REF!</v>
      </c>
      <c r="AA102" s="6">
        <f>VLOOKUP($A102,'Rate Calculation'!$A$3:$DE$210,99,FALSE)</f>
        <v>0</v>
      </c>
      <c r="AB102" s="6">
        <f t="shared" si="24"/>
        <v>0</v>
      </c>
      <c r="AC102" s="6">
        <f t="shared" si="19"/>
        <v>0</v>
      </c>
      <c r="AD102" s="6" t="e">
        <f>VLOOKUP($A102,'Rate Calculation'!$A$3:$AR$210,47,FALSE)+AC102</f>
        <v>#REF!</v>
      </c>
      <c r="AE102" s="6" t="e">
        <f>VLOOKUP($A102,'Rate Calculation'!$A$3:$CQ$210,100,FALSE)</f>
        <v>#REF!</v>
      </c>
      <c r="AF102" s="6">
        <f>VLOOKUP($A102,'Rate Calculation'!$A$3:$DE$210,101,FALSE)</f>
        <v>0</v>
      </c>
      <c r="AH102" s="175"/>
    </row>
    <row r="103" spans="1:34" x14ac:dyDescent="0.15">
      <c r="A103" s="130">
        <v>26</v>
      </c>
      <c r="B103" s="37" t="s">
        <v>199</v>
      </c>
      <c r="C103" s="1" t="str">
        <f>VLOOKUP(A103,'Rate Calculation'!$A$4:$F$210,6,FALSE)</f>
        <v>WASHINGTON METRO</v>
      </c>
      <c r="D103" s="4">
        <v>16157</v>
      </c>
      <c r="E103" s="6">
        <f>VLOOKUP(A103,'Rate Calculation'!$A$4:$AM$208,39,FALSE)</f>
        <v>348.36</v>
      </c>
      <c r="F103" s="6">
        <f t="shared" si="20"/>
        <v>344.08</v>
      </c>
      <c r="G103" s="6">
        <f t="shared" si="21"/>
        <v>344.08</v>
      </c>
      <c r="H103" s="6">
        <f>VLOOKUP(A103,'Rate Calculation'!$A$4:$AL$208,38,FALSE)+G103</f>
        <v>373</v>
      </c>
      <c r="I103" s="6">
        <f>VLOOKUP(A103,'Rate Calculation'!$A$4:$AN$208,40,FALSE)</f>
        <v>253.11</v>
      </c>
      <c r="J103" s="1">
        <v>0</v>
      </c>
      <c r="K103" s="217">
        <v>31092</v>
      </c>
      <c r="L103" s="6">
        <f>VLOOKUP(A103,'Rate Calculation'!$A$4:$AO$208,41,FALSE)</f>
        <v>157.85</v>
      </c>
      <c r="M103" s="1">
        <v>24</v>
      </c>
      <c r="N103" s="182">
        <f>VLOOKUP(A103,'Rate Calculation'!$A$4:$AL$208,38,FALSE)</f>
        <v>28.92</v>
      </c>
      <c r="O103" s="6" t="e">
        <f>VLOOKUP($A103,'Rate Calculation'!$A$3:$BR$210,65,FALSE)</f>
        <v>#DIV/0!</v>
      </c>
      <c r="P103" s="6" t="e">
        <f t="shared" si="22"/>
        <v>#DIV/0!</v>
      </c>
      <c r="Q103" s="6" t="e">
        <f t="shared" si="17"/>
        <v>#DIV/0!</v>
      </c>
      <c r="R103" s="6" t="e">
        <f>VLOOKUP($A103,'Rate Calculation'!$A$3:$AR$210,47,FALSE)+Q103</f>
        <v>#REF!</v>
      </c>
      <c r="S103" s="6" t="e">
        <f>VLOOKUP($A103,'Rate Calculation'!$A$4:$CQ$211,66,FALSE)</f>
        <v>#REF!</v>
      </c>
      <c r="T103" s="6" t="e">
        <f>VLOOKUP($A103,'Rate Calculation'!$A$3:$CQ$210,67,FALSE)</f>
        <v>#REF!</v>
      </c>
      <c r="U103" s="6" t="e">
        <f>VLOOKUP($A103,'Rate Calculation'!$A$3:$DE$210,82,FALSE)</f>
        <v>#DIV/0!</v>
      </c>
      <c r="V103" s="6" t="e">
        <f t="shared" si="23"/>
        <v>#DIV/0!</v>
      </c>
      <c r="W103" s="6" t="e">
        <f t="shared" si="18"/>
        <v>#DIV/0!</v>
      </c>
      <c r="X103" s="6" t="e">
        <f>VLOOKUP($A103,'Rate Calculation'!$A$3:$AR$210,47,FALSE)+W103</f>
        <v>#REF!</v>
      </c>
      <c r="Y103" s="6" t="e">
        <f>VLOOKUP($A103,'Rate Calculation'!$A$4:$CQ$210,83,FALSE)</f>
        <v>#REF!</v>
      </c>
      <c r="Z103" s="6" t="e">
        <f>VLOOKUP($A103,'Rate Calculation'!$A$3:$DE$210,84,FALSE)</f>
        <v>#REF!</v>
      </c>
      <c r="AA103" s="6">
        <f>VLOOKUP($A103,'Rate Calculation'!$A$3:$DE$210,99,FALSE)</f>
        <v>0</v>
      </c>
      <c r="AB103" s="6">
        <f t="shared" si="24"/>
        <v>0</v>
      </c>
      <c r="AC103" s="6">
        <f t="shared" si="19"/>
        <v>0</v>
      </c>
      <c r="AD103" s="6" t="e">
        <f>VLOOKUP($A103,'Rate Calculation'!$A$3:$AR$210,47,FALSE)+AC103</f>
        <v>#REF!</v>
      </c>
      <c r="AE103" s="6" t="e">
        <f>VLOOKUP($A103,'Rate Calculation'!$A$3:$CQ$210,100,FALSE)</f>
        <v>#REF!</v>
      </c>
      <c r="AF103" s="6">
        <f>VLOOKUP($A103,'Rate Calculation'!$A$3:$DE$210,101,FALSE)</f>
        <v>0</v>
      </c>
      <c r="AH103" s="175"/>
    </row>
    <row r="104" spans="1:34" x14ac:dyDescent="0.15">
      <c r="A104" s="130">
        <v>729</v>
      </c>
      <c r="B104" s="37" t="s">
        <v>209</v>
      </c>
      <c r="C104" s="1" t="str">
        <f>VLOOKUP(A104,'Rate Calculation'!$A$4:$F$210,6,FALSE)</f>
        <v>BALTIMORE CITY</v>
      </c>
      <c r="D104" s="4">
        <v>39629</v>
      </c>
      <c r="E104" s="6">
        <f>VLOOKUP(A104,'Rate Calculation'!$A$4:$AM$208,39,FALSE)</f>
        <v>321.76</v>
      </c>
      <c r="F104" s="6">
        <f t="shared" si="20"/>
        <v>317.81</v>
      </c>
      <c r="G104" s="6">
        <f t="shared" si="21"/>
        <v>317.81</v>
      </c>
      <c r="H104" s="6">
        <f>VLOOKUP(A104,'Rate Calculation'!$A$4:$AL$208,38,FALSE)+G104</f>
        <v>349.79</v>
      </c>
      <c r="I104" s="6">
        <f>VLOOKUP(A104,'Rate Calculation'!$A$4:$AN$208,40,FALSE)</f>
        <v>251.9</v>
      </c>
      <c r="J104" s="1">
        <v>9</v>
      </c>
      <c r="K104" s="217">
        <v>28004</v>
      </c>
      <c r="L104" s="6">
        <f>VLOOKUP(A104,'Rate Calculation'!$A$4:$AO$208,41,FALSE)</f>
        <v>182.03</v>
      </c>
      <c r="M104" s="1">
        <v>26</v>
      </c>
      <c r="N104" s="182">
        <f>VLOOKUP(A104,'Rate Calculation'!$A$4:$AL$208,38,FALSE)</f>
        <v>31.98</v>
      </c>
      <c r="O104" s="6" t="e">
        <f>VLOOKUP($A104,'Rate Calculation'!$A$3:$BR$210,65,FALSE)</f>
        <v>#DIV/0!</v>
      </c>
      <c r="P104" s="6" t="e">
        <f t="shared" si="22"/>
        <v>#DIV/0!</v>
      </c>
      <c r="Q104" s="6" t="e">
        <f t="shared" si="17"/>
        <v>#DIV/0!</v>
      </c>
      <c r="R104" s="6" t="e">
        <f>VLOOKUP($A104,'Rate Calculation'!$A$3:$AR$210,47,FALSE)+Q104</f>
        <v>#REF!</v>
      </c>
      <c r="S104" s="6" t="e">
        <f>VLOOKUP($A104,'Rate Calculation'!$A$4:$CQ$211,66,FALSE)</f>
        <v>#REF!</v>
      </c>
      <c r="T104" s="6" t="e">
        <f>VLOOKUP($A104,'Rate Calculation'!$A$3:$CQ$210,67,FALSE)</f>
        <v>#REF!</v>
      </c>
      <c r="U104" s="6" t="e">
        <f>VLOOKUP($A104,'Rate Calculation'!$A$3:$DE$210,82,FALSE)</f>
        <v>#DIV/0!</v>
      </c>
      <c r="V104" s="6" t="e">
        <f t="shared" si="23"/>
        <v>#DIV/0!</v>
      </c>
      <c r="W104" s="6" t="e">
        <f t="shared" si="18"/>
        <v>#DIV/0!</v>
      </c>
      <c r="X104" s="6" t="e">
        <f>VLOOKUP($A104,'Rate Calculation'!$A$3:$AR$210,47,FALSE)+W104</f>
        <v>#REF!</v>
      </c>
      <c r="Y104" s="6" t="e">
        <f>VLOOKUP($A104,'Rate Calculation'!$A$4:$CQ$210,83,FALSE)</f>
        <v>#REF!</v>
      </c>
      <c r="Z104" s="6" t="e">
        <f>VLOOKUP($A104,'Rate Calculation'!$A$3:$DE$210,84,FALSE)</f>
        <v>#REF!</v>
      </c>
      <c r="AA104" s="6">
        <f>VLOOKUP($A104,'Rate Calculation'!$A$3:$DE$210,99,FALSE)</f>
        <v>0</v>
      </c>
      <c r="AB104" s="6">
        <f t="shared" si="24"/>
        <v>0</v>
      </c>
      <c r="AC104" s="6">
        <f t="shared" si="19"/>
        <v>0</v>
      </c>
      <c r="AD104" s="6" t="e">
        <f>VLOOKUP($A104,'Rate Calculation'!$A$3:$AR$210,47,FALSE)+AC104</f>
        <v>#REF!</v>
      </c>
      <c r="AE104" s="6" t="e">
        <f>VLOOKUP($A104,'Rate Calculation'!$A$3:$CQ$210,100,FALSE)</f>
        <v>#REF!</v>
      </c>
      <c r="AF104" s="6">
        <f>VLOOKUP($A104,'Rate Calculation'!$A$3:$DE$210,101,FALSE)</f>
        <v>0</v>
      </c>
      <c r="AH104" s="175"/>
    </row>
    <row r="105" spans="1:34" x14ac:dyDescent="0.15">
      <c r="A105" s="130">
        <v>156</v>
      </c>
      <c r="B105" s="37" t="s">
        <v>413</v>
      </c>
      <c r="C105" s="1" t="str">
        <f>VLOOKUP(A105,'Rate Calculation'!$A$4:$F$210,6,FALSE)</f>
        <v>BALTIMORE METRO</v>
      </c>
      <c r="D105" s="4">
        <v>44658</v>
      </c>
      <c r="E105" s="6">
        <f>VLOOKUP(A105,'Rate Calculation'!$A$4:$AM$208,39,FALSE)</f>
        <v>313.08999999999997</v>
      </c>
      <c r="F105" s="6">
        <f t="shared" si="20"/>
        <v>309.25</v>
      </c>
      <c r="G105" s="6">
        <f t="shared" si="21"/>
        <v>309.25</v>
      </c>
      <c r="H105" s="6">
        <f>VLOOKUP(A105,'Rate Calculation'!$A$4:$AL$208,38,FALSE)+G105</f>
        <v>341.55</v>
      </c>
      <c r="I105" s="6">
        <f>VLOOKUP(A105,'Rate Calculation'!$A$4:$AN$208,40,FALSE)</f>
        <v>234.21</v>
      </c>
      <c r="J105" s="1">
        <v>0</v>
      </c>
      <c r="K105" s="217">
        <v>0</v>
      </c>
      <c r="L105" s="6">
        <f>VLOOKUP(A105,'Rate Calculation'!$A$4:$AO$208,41,FALSE)</f>
        <v>155.32</v>
      </c>
      <c r="M105" s="1">
        <v>3</v>
      </c>
      <c r="N105" s="182">
        <f>VLOOKUP(A105,'Rate Calculation'!$A$4:$AL$208,38,FALSE)</f>
        <v>32.299999999999997</v>
      </c>
      <c r="O105" s="6" t="e">
        <f>VLOOKUP($A105,'Rate Calculation'!$A$3:$BR$210,65,FALSE)</f>
        <v>#DIV/0!</v>
      </c>
      <c r="P105" s="6" t="e">
        <f t="shared" si="22"/>
        <v>#DIV/0!</v>
      </c>
      <c r="Q105" s="6" t="e">
        <f t="shared" si="17"/>
        <v>#DIV/0!</v>
      </c>
      <c r="R105" s="6" t="e">
        <f>VLOOKUP($A105,'Rate Calculation'!$A$3:$AR$210,47,FALSE)+Q105</f>
        <v>#REF!</v>
      </c>
      <c r="S105" s="6" t="e">
        <f>VLOOKUP($A105,'Rate Calculation'!$A$4:$CQ$211,66,FALSE)</f>
        <v>#REF!</v>
      </c>
      <c r="T105" s="6" t="e">
        <f>VLOOKUP($A105,'Rate Calculation'!$A$3:$CQ$210,67,FALSE)</f>
        <v>#REF!</v>
      </c>
      <c r="U105" s="6" t="e">
        <f>VLOOKUP($A105,'Rate Calculation'!$A$3:$DE$210,82,FALSE)</f>
        <v>#DIV/0!</v>
      </c>
      <c r="V105" s="6" t="e">
        <f t="shared" si="23"/>
        <v>#DIV/0!</v>
      </c>
      <c r="W105" s="6" t="e">
        <f t="shared" si="18"/>
        <v>#DIV/0!</v>
      </c>
      <c r="X105" s="6" t="e">
        <f>VLOOKUP($A105,'Rate Calculation'!$A$3:$AR$210,47,FALSE)+W105</f>
        <v>#REF!</v>
      </c>
      <c r="Y105" s="6" t="e">
        <f>VLOOKUP($A105,'Rate Calculation'!$A$4:$CQ$210,83,FALSE)</f>
        <v>#REF!</v>
      </c>
      <c r="Z105" s="6" t="e">
        <f>VLOOKUP($A105,'Rate Calculation'!$A$3:$DE$210,84,FALSE)</f>
        <v>#REF!</v>
      </c>
      <c r="AA105" s="6">
        <f>VLOOKUP($A105,'Rate Calculation'!$A$3:$DE$210,99,FALSE)</f>
        <v>0</v>
      </c>
      <c r="AB105" s="6">
        <f t="shared" si="24"/>
        <v>0</v>
      </c>
      <c r="AC105" s="6">
        <f t="shared" si="19"/>
        <v>0</v>
      </c>
      <c r="AD105" s="6" t="e">
        <f>VLOOKUP($A105,'Rate Calculation'!$A$3:$AR$210,47,FALSE)+AC105</f>
        <v>#REF!</v>
      </c>
      <c r="AE105" s="6" t="e">
        <f>VLOOKUP($A105,'Rate Calculation'!$A$3:$CQ$210,100,FALSE)</f>
        <v>#REF!</v>
      </c>
      <c r="AF105" s="6">
        <f>VLOOKUP($A105,'Rate Calculation'!$A$3:$DE$210,101,FALSE)</f>
        <v>0</v>
      </c>
      <c r="AH105" s="175"/>
    </row>
    <row r="106" spans="1:34" x14ac:dyDescent="0.15">
      <c r="A106" s="130">
        <v>697</v>
      </c>
      <c r="B106" s="37" t="s">
        <v>215</v>
      </c>
      <c r="C106" s="1" t="str">
        <f>VLOOKUP(A106,'Rate Calculation'!$A$4:$F$210,6,FALSE)</f>
        <v>WASHINGTON METRO</v>
      </c>
      <c r="D106" s="4">
        <v>27415</v>
      </c>
      <c r="E106" s="6">
        <f>VLOOKUP(A106,'Rate Calculation'!$A$4:$AM$208,39,FALSE)</f>
        <v>287.2</v>
      </c>
      <c r="F106" s="6">
        <f t="shared" si="20"/>
        <v>283.67</v>
      </c>
      <c r="G106" s="6">
        <f t="shared" si="21"/>
        <v>283.67</v>
      </c>
      <c r="H106" s="6">
        <f>VLOOKUP(A106,'Rate Calculation'!$A$4:$AL$208,38,FALSE)+G106</f>
        <v>315</v>
      </c>
      <c r="I106" s="6">
        <f>VLOOKUP(A106,'Rate Calculation'!$A$4:$AN$208,40,FALSE)</f>
        <v>219.39</v>
      </c>
      <c r="J106" s="1">
        <v>0</v>
      </c>
      <c r="K106" s="217">
        <v>58500</v>
      </c>
      <c r="L106" s="6">
        <f>VLOOKUP(A106,'Rate Calculation'!$A$4:$AO$208,41,FALSE)</f>
        <v>151.58000000000001</v>
      </c>
      <c r="M106" s="1">
        <v>20</v>
      </c>
      <c r="N106" s="182">
        <f>VLOOKUP(A106,'Rate Calculation'!$A$4:$AL$208,38,FALSE)</f>
        <v>31.33</v>
      </c>
      <c r="O106" s="6" t="e">
        <f>VLOOKUP($A106,'Rate Calculation'!$A$3:$BR$210,65,FALSE)</f>
        <v>#DIV/0!</v>
      </c>
      <c r="P106" s="6" t="e">
        <f t="shared" si="22"/>
        <v>#DIV/0!</v>
      </c>
      <c r="Q106" s="6" t="e">
        <f t="shared" si="17"/>
        <v>#DIV/0!</v>
      </c>
      <c r="R106" s="6" t="e">
        <f>VLOOKUP($A106,'Rate Calculation'!$A$3:$AR$210,47,FALSE)+Q106</f>
        <v>#REF!</v>
      </c>
      <c r="S106" s="6" t="e">
        <f>VLOOKUP($A106,'Rate Calculation'!$A$4:$CQ$211,66,FALSE)</f>
        <v>#REF!</v>
      </c>
      <c r="T106" s="6" t="e">
        <f>VLOOKUP($A106,'Rate Calculation'!$A$3:$CQ$210,67,FALSE)</f>
        <v>#REF!</v>
      </c>
      <c r="U106" s="6" t="e">
        <f>VLOOKUP($A106,'Rate Calculation'!$A$3:$DE$210,82,FALSE)</f>
        <v>#DIV/0!</v>
      </c>
      <c r="V106" s="6" t="e">
        <f t="shared" si="23"/>
        <v>#DIV/0!</v>
      </c>
      <c r="W106" s="6" t="e">
        <f t="shared" si="18"/>
        <v>#DIV/0!</v>
      </c>
      <c r="X106" s="6" t="e">
        <f>VLOOKUP($A106,'Rate Calculation'!$A$3:$AR$210,47,FALSE)+W106</f>
        <v>#REF!</v>
      </c>
      <c r="Y106" s="6" t="e">
        <f>VLOOKUP($A106,'Rate Calculation'!$A$4:$CQ$210,83,FALSE)</f>
        <v>#REF!</v>
      </c>
      <c r="Z106" s="6" t="e">
        <f>VLOOKUP($A106,'Rate Calculation'!$A$3:$DE$210,84,FALSE)</f>
        <v>#REF!</v>
      </c>
      <c r="AA106" s="6">
        <f>VLOOKUP($A106,'Rate Calculation'!$A$3:$DE$210,99,FALSE)</f>
        <v>0</v>
      </c>
      <c r="AB106" s="6">
        <f t="shared" si="24"/>
        <v>0</v>
      </c>
      <c r="AC106" s="6">
        <f t="shared" si="19"/>
        <v>0</v>
      </c>
      <c r="AD106" s="6" t="e">
        <f>VLOOKUP($A106,'Rate Calculation'!$A$3:$AR$210,47,FALSE)+AC106</f>
        <v>#REF!</v>
      </c>
      <c r="AE106" s="6" t="e">
        <f>VLOOKUP($A106,'Rate Calculation'!$A$3:$CQ$210,100,FALSE)</f>
        <v>#REF!</v>
      </c>
      <c r="AF106" s="6">
        <f>VLOOKUP($A106,'Rate Calculation'!$A$3:$DE$210,101,FALSE)</f>
        <v>0</v>
      </c>
      <c r="AH106" s="175"/>
    </row>
    <row r="107" spans="1:34" x14ac:dyDescent="0.15">
      <c r="A107" s="130">
        <v>727</v>
      </c>
      <c r="B107" s="37" t="s">
        <v>214</v>
      </c>
      <c r="C107" s="1" t="str">
        <f>VLOOKUP(A107,'Rate Calculation'!$A$4:$F$210,6,FALSE)</f>
        <v>WASHINGTON METRO</v>
      </c>
      <c r="D107" s="4">
        <v>23384</v>
      </c>
      <c r="E107" s="6">
        <f>VLOOKUP(A107,'Rate Calculation'!$A$4:$AM$208,39,FALSE)</f>
        <v>319.58</v>
      </c>
      <c r="F107" s="6">
        <f t="shared" si="20"/>
        <v>315.66000000000003</v>
      </c>
      <c r="G107" s="6">
        <f t="shared" si="21"/>
        <v>315.66000000000003</v>
      </c>
      <c r="H107" s="6">
        <f>VLOOKUP(A107,'Rate Calculation'!$A$4:$AL$208,38,FALSE)+G107</f>
        <v>346.02</v>
      </c>
      <c r="I107" s="6">
        <f>VLOOKUP(A107,'Rate Calculation'!$A$4:$AN$208,40,FALSE)</f>
        <v>236.59</v>
      </c>
      <c r="J107" s="1">
        <v>15</v>
      </c>
      <c r="K107" s="217">
        <v>15335</v>
      </c>
      <c r="L107" s="6">
        <f>VLOOKUP(A107,'Rate Calculation'!$A$4:$AO$208,41,FALSE)</f>
        <v>153.6</v>
      </c>
      <c r="M107" s="1">
        <v>15</v>
      </c>
      <c r="N107" s="182">
        <f>VLOOKUP(A107,'Rate Calculation'!$A$4:$AL$208,38,FALSE)</f>
        <v>30.36</v>
      </c>
      <c r="O107" s="6" t="e">
        <f>VLOOKUP($A107,'Rate Calculation'!$A$3:$BR$210,65,FALSE)</f>
        <v>#DIV/0!</v>
      </c>
      <c r="P107" s="6" t="e">
        <f t="shared" si="22"/>
        <v>#DIV/0!</v>
      </c>
      <c r="Q107" s="6" t="e">
        <f t="shared" si="17"/>
        <v>#DIV/0!</v>
      </c>
      <c r="R107" s="6" t="e">
        <f>VLOOKUP($A107,'Rate Calculation'!$A$3:$AR$210,47,FALSE)+Q107</f>
        <v>#REF!</v>
      </c>
      <c r="S107" s="6" t="e">
        <f>VLOOKUP($A107,'Rate Calculation'!$A$4:$CQ$211,66,FALSE)</f>
        <v>#REF!</v>
      </c>
      <c r="T107" s="6" t="e">
        <f>VLOOKUP($A107,'Rate Calculation'!$A$3:$CQ$210,67,FALSE)</f>
        <v>#REF!</v>
      </c>
      <c r="U107" s="6" t="e">
        <f>VLOOKUP($A107,'Rate Calculation'!$A$3:$DE$210,82,FALSE)</f>
        <v>#DIV/0!</v>
      </c>
      <c r="V107" s="6" t="e">
        <f t="shared" si="23"/>
        <v>#DIV/0!</v>
      </c>
      <c r="W107" s="6" t="e">
        <f t="shared" si="18"/>
        <v>#DIV/0!</v>
      </c>
      <c r="X107" s="6" t="e">
        <f>VLOOKUP($A107,'Rate Calculation'!$A$3:$AR$210,47,FALSE)+W107</f>
        <v>#REF!</v>
      </c>
      <c r="Y107" s="6" t="e">
        <f>VLOOKUP($A107,'Rate Calculation'!$A$4:$CQ$210,83,FALSE)</f>
        <v>#REF!</v>
      </c>
      <c r="Z107" s="6" t="e">
        <f>VLOOKUP($A107,'Rate Calculation'!$A$3:$DE$210,84,FALSE)</f>
        <v>#REF!</v>
      </c>
      <c r="AA107" s="6">
        <f>VLOOKUP($A107,'Rate Calculation'!$A$3:$DE$210,99,FALSE)</f>
        <v>0</v>
      </c>
      <c r="AB107" s="6">
        <f t="shared" si="24"/>
        <v>0</v>
      </c>
      <c r="AC107" s="6">
        <f t="shared" si="19"/>
        <v>0</v>
      </c>
      <c r="AD107" s="6" t="e">
        <f>VLOOKUP($A107,'Rate Calculation'!$A$3:$AR$210,47,FALSE)+AC107</f>
        <v>#REF!</v>
      </c>
      <c r="AE107" s="6" t="e">
        <f>VLOOKUP($A107,'Rate Calculation'!$A$3:$CQ$210,100,FALSE)</f>
        <v>#REF!</v>
      </c>
      <c r="AF107" s="6">
        <f>VLOOKUP($A107,'Rate Calculation'!$A$3:$DE$210,101,FALSE)</f>
        <v>0</v>
      </c>
      <c r="AH107" s="175"/>
    </row>
    <row r="108" spans="1:34" x14ac:dyDescent="0.15">
      <c r="A108" s="130">
        <v>164</v>
      </c>
      <c r="B108" s="37" t="s">
        <v>712</v>
      </c>
      <c r="C108" s="1" t="str">
        <f>VLOOKUP(A108,'Rate Calculation'!$A$4:$F$210,6,FALSE)</f>
        <v>WASHINGTON METRO</v>
      </c>
      <c r="D108" s="4">
        <v>7507</v>
      </c>
      <c r="E108" s="6">
        <f>VLOOKUP(A108,'Rate Calculation'!$A$4:$AM$208,39,FALSE)</f>
        <v>272</v>
      </c>
      <c r="F108" s="6">
        <f t="shared" si="20"/>
        <v>268.66000000000003</v>
      </c>
      <c r="G108" s="6">
        <f t="shared" si="21"/>
        <v>268.66000000000003</v>
      </c>
      <c r="H108" s="6">
        <f>VLOOKUP(A108,'Rate Calculation'!$A$4:$AL$208,38,FALSE)+G108</f>
        <v>297.74</v>
      </c>
      <c r="I108" s="6">
        <f>VLOOKUP(A108,'Rate Calculation'!$A$4:$AN$208,40,FALSE)</f>
        <v>218.21</v>
      </c>
      <c r="J108" s="1">
        <v>0</v>
      </c>
      <c r="K108" s="217">
        <v>0</v>
      </c>
      <c r="L108" s="6">
        <f>VLOOKUP(A108,'Rate Calculation'!$A$4:$AO$208,41,FALSE)</f>
        <v>164.41</v>
      </c>
      <c r="M108" s="1">
        <v>19</v>
      </c>
      <c r="N108" s="182">
        <f>VLOOKUP(A108,'Rate Calculation'!$A$4:$AL$208,38,FALSE)</f>
        <v>29.08</v>
      </c>
      <c r="O108" s="6" t="e">
        <f>VLOOKUP($A108,'Rate Calculation'!$A$3:$BR$210,65,FALSE)</f>
        <v>#DIV/0!</v>
      </c>
      <c r="P108" s="6" t="e">
        <f t="shared" si="22"/>
        <v>#DIV/0!</v>
      </c>
      <c r="Q108" s="6" t="e">
        <f t="shared" si="17"/>
        <v>#DIV/0!</v>
      </c>
      <c r="R108" s="6" t="e">
        <f>VLOOKUP($A108,'Rate Calculation'!$A$3:$AR$210,47,FALSE)+Q108</f>
        <v>#REF!</v>
      </c>
      <c r="S108" s="6" t="e">
        <f>VLOOKUP($A108,'Rate Calculation'!$A$4:$CQ$211,66,FALSE)</f>
        <v>#REF!</v>
      </c>
      <c r="T108" s="6" t="e">
        <f>VLOOKUP($A108,'Rate Calculation'!$A$3:$CQ$210,67,FALSE)</f>
        <v>#REF!</v>
      </c>
      <c r="U108" s="6" t="e">
        <f>VLOOKUP($A108,'Rate Calculation'!$A$3:$DE$210,82,FALSE)</f>
        <v>#DIV/0!</v>
      </c>
      <c r="V108" s="6" t="e">
        <f t="shared" si="23"/>
        <v>#DIV/0!</v>
      </c>
      <c r="W108" s="6" t="e">
        <f t="shared" si="18"/>
        <v>#DIV/0!</v>
      </c>
      <c r="X108" s="6" t="e">
        <f>VLOOKUP($A108,'Rate Calculation'!$A$3:$AR$210,47,FALSE)+W108</f>
        <v>#REF!</v>
      </c>
      <c r="Y108" s="6" t="e">
        <f>VLOOKUP($A108,'Rate Calculation'!$A$4:$CQ$210,83,FALSE)</f>
        <v>#REF!</v>
      </c>
      <c r="Z108" s="6" t="e">
        <f>VLOOKUP($A108,'Rate Calculation'!$A$3:$DE$210,84,FALSE)</f>
        <v>#REF!</v>
      </c>
      <c r="AA108" s="6">
        <f>VLOOKUP($A108,'Rate Calculation'!$A$3:$DE$210,99,FALSE)</f>
        <v>0</v>
      </c>
      <c r="AB108" s="6">
        <f t="shared" si="24"/>
        <v>0</v>
      </c>
      <c r="AC108" s="6">
        <f t="shared" si="19"/>
        <v>0</v>
      </c>
      <c r="AD108" s="6" t="e">
        <f>VLOOKUP($A108,'Rate Calculation'!$A$3:$AR$210,47,FALSE)+AC108</f>
        <v>#REF!</v>
      </c>
      <c r="AE108" s="6" t="e">
        <f>VLOOKUP($A108,'Rate Calculation'!$A$3:$CQ$210,100,FALSE)</f>
        <v>#REF!</v>
      </c>
      <c r="AF108" s="6">
        <f>VLOOKUP($A108,'Rate Calculation'!$A$3:$DE$210,101,FALSE)</f>
        <v>0</v>
      </c>
      <c r="AH108" s="175"/>
    </row>
    <row r="109" spans="1:34" x14ac:dyDescent="0.15">
      <c r="A109" s="130">
        <v>168</v>
      </c>
      <c r="B109" s="37" t="s">
        <v>177</v>
      </c>
      <c r="C109" s="1" t="str">
        <f>VLOOKUP(A109,'Rate Calculation'!$A$4:$F$210,6,FALSE)</f>
        <v>BALTIMORE METRO</v>
      </c>
      <c r="D109" s="4">
        <v>13218</v>
      </c>
      <c r="E109" s="6">
        <f>VLOOKUP(A109,'Rate Calculation'!$A$4:$AM$208,39,FALSE)</f>
        <v>373.41</v>
      </c>
      <c r="F109" s="6">
        <f t="shared" si="20"/>
        <v>368.82</v>
      </c>
      <c r="G109" s="6">
        <f t="shared" si="21"/>
        <v>368.82</v>
      </c>
      <c r="H109" s="6">
        <f>VLOOKUP(A109,'Rate Calculation'!$A$4:$AL$208,38,FALSE)+G109</f>
        <v>385.02</v>
      </c>
      <c r="I109" s="6">
        <f>VLOOKUP(A109,'Rate Calculation'!$A$4:$AN$208,40,FALSE)</f>
        <v>270.31</v>
      </c>
      <c r="J109" s="1">
        <v>0</v>
      </c>
      <c r="K109" s="217">
        <v>3452</v>
      </c>
      <c r="L109" s="6">
        <f>VLOOKUP(A109,'Rate Calculation'!$A$4:$AO$208,41,FALSE)</f>
        <v>167.2</v>
      </c>
      <c r="M109" s="1">
        <v>0</v>
      </c>
      <c r="N109" s="182">
        <f>VLOOKUP(A109,'Rate Calculation'!$A$4:$AL$208,38,FALSE)</f>
        <v>16.2</v>
      </c>
      <c r="O109" s="6" t="e">
        <f>VLOOKUP($A109,'Rate Calculation'!$A$3:$BR$210,65,FALSE)</f>
        <v>#DIV/0!</v>
      </c>
      <c r="P109" s="6" t="e">
        <f t="shared" si="22"/>
        <v>#DIV/0!</v>
      </c>
      <c r="Q109" s="6" t="e">
        <f t="shared" si="17"/>
        <v>#DIV/0!</v>
      </c>
      <c r="R109" s="6" t="e">
        <f>VLOOKUP($A109,'Rate Calculation'!$A$3:$AR$210,47,FALSE)+Q109</f>
        <v>#REF!</v>
      </c>
      <c r="S109" s="6" t="e">
        <f>VLOOKUP($A109,'Rate Calculation'!$A$4:$CQ$211,66,FALSE)</f>
        <v>#REF!</v>
      </c>
      <c r="T109" s="6" t="e">
        <f>VLOOKUP($A109,'Rate Calculation'!$A$3:$CQ$210,67,FALSE)</f>
        <v>#REF!</v>
      </c>
      <c r="U109" s="6" t="e">
        <f>VLOOKUP($A109,'Rate Calculation'!$A$3:$DE$210,82,FALSE)</f>
        <v>#DIV/0!</v>
      </c>
      <c r="V109" s="6" t="e">
        <f t="shared" si="23"/>
        <v>#DIV/0!</v>
      </c>
      <c r="W109" s="6" t="e">
        <f t="shared" si="18"/>
        <v>#DIV/0!</v>
      </c>
      <c r="X109" s="6" t="e">
        <f>VLOOKUP($A109,'Rate Calculation'!$A$3:$AR$210,47,FALSE)+W109</f>
        <v>#REF!</v>
      </c>
      <c r="Y109" s="6" t="e">
        <f>VLOOKUP($A109,'Rate Calculation'!$A$4:$CQ$210,83,FALSE)</f>
        <v>#REF!</v>
      </c>
      <c r="Z109" s="6" t="e">
        <f>VLOOKUP($A109,'Rate Calculation'!$A$3:$DE$210,84,FALSE)</f>
        <v>#REF!</v>
      </c>
      <c r="AA109" s="6">
        <f>VLOOKUP($A109,'Rate Calculation'!$A$3:$DE$210,99,FALSE)</f>
        <v>0</v>
      </c>
      <c r="AB109" s="6">
        <f t="shared" si="24"/>
        <v>0</v>
      </c>
      <c r="AC109" s="6">
        <f t="shared" si="19"/>
        <v>0</v>
      </c>
      <c r="AD109" s="6" t="e">
        <f>VLOOKUP($A109,'Rate Calculation'!$A$3:$AR$210,47,FALSE)+AC109</f>
        <v>#REF!</v>
      </c>
      <c r="AE109" s="6" t="e">
        <f>VLOOKUP($A109,'Rate Calculation'!$A$3:$CQ$210,100,FALSE)</f>
        <v>#REF!</v>
      </c>
      <c r="AF109" s="6">
        <f>VLOOKUP($A109,'Rate Calculation'!$A$3:$DE$210,101,FALSE)</f>
        <v>0</v>
      </c>
      <c r="AH109" s="175"/>
    </row>
    <row r="110" spans="1:34" x14ac:dyDescent="0.15">
      <c r="A110" s="130">
        <v>62</v>
      </c>
      <c r="B110" s="37" t="s">
        <v>816</v>
      </c>
      <c r="C110" s="1" t="str">
        <f>VLOOKUP(A110,'Rate Calculation'!$A$4:$F$210,6,FALSE)</f>
        <v>NON METRO</v>
      </c>
      <c r="D110" s="4">
        <v>16679</v>
      </c>
      <c r="E110" s="6">
        <f>VLOOKUP(A110,'Rate Calculation'!$A$4:$AM$208,39,FALSE)</f>
        <v>305.52999999999997</v>
      </c>
      <c r="F110" s="6">
        <f t="shared" si="20"/>
        <v>301.77999999999997</v>
      </c>
      <c r="G110" s="6">
        <f t="shared" si="21"/>
        <v>301.77999999999997</v>
      </c>
      <c r="H110" s="6">
        <f>VLOOKUP(A110,'Rate Calculation'!$A$4:$AL$208,38,FALSE)+G110</f>
        <v>331.68</v>
      </c>
      <c r="I110" s="6">
        <f>VLOOKUP(A110,'Rate Calculation'!$A$4:$AN$208,40,FALSE)</f>
        <v>223.95</v>
      </c>
      <c r="J110" s="1">
        <v>0</v>
      </c>
      <c r="K110" s="217">
        <v>27629</v>
      </c>
      <c r="L110" s="6">
        <f>VLOOKUP(A110,'Rate Calculation'!$A$4:$AO$208,41,FALSE)</f>
        <v>142.36000000000001</v>
      </c>
      <c r="M110" s="1">
        <v>25</v>
      </c>
      <c r="N110" s="182">
        <f>VLOOKUP(A110,'Rate Calculation'!$A$4:$AL$208,38,FALSE)</f>
        <v>29.9</v>
      </c>
      <c r="O110" s="6" t="e">
        <f>VLOOKUP($A110,'Rate Calculation'!$A$3:$BR$210,65,FALSE)</f>
        <v>#DIV/0!</v>
      </c>
      <c r="P110" s="6" t="e">
        <f t="shared" si="22"/>
        <v>#DIV/0!</v>
      </c>
      <c r="Q110" s="6" t="e">
        <f t="shared" si="17"/>
        <v>#DIV/0!</v>
      </c>
      <c r="R110" s="6" t="e">
        <f>VLOOKUP($A110,'Rate Calculation'!$A$3:$AR$210,47,FALSE)+Q110</f>
        <v>#REF!</v>
      </c>
      <c r="S110" s="6" t="e">
        <f>VLOOKUP($A110,'Rate Calculation'!$A$4:$CQ$211,66,FALSE)</f>
        <v>#REF!</v>
      </c>
      <c r="T110" s="6" t="e">
        <f>VLOOKUP($A110,'Rate Calculation'!$A$3:$CQ$210,67,FALSE)</f>
        <v>#REF!</v>
      </c>
      <c r="U110" s="6" t="e">
        <f>VLOOKUP($A110,'Rate Calculation'!$A$3:$DE$210,82,FALSE)</f>
        <v>#DIV/0!</v>
      </c>
      <c r="V110" s="6" t="e">
        <f t="shared" si="23"/>
        <v>#DIV/0!</v>
      </c>
      <c r="W110" s="6" t="e">
        <f t="shared" si="18"/>
        <v>#DIV/0!</v>
      </c>
      <c r="X110" s="6" t="e">
        <f>VLOOKUP($A110,'Rate Calculation'!$A$3:$AR$210,47,FALSE)+W110</f>
        <v>#REF!</v>
      </c>
      <c r="Y110" s="6" t="e">
        <f>VLOOKUP($A110,'Rate Calculation'!$A$4:$CQ$210,83,FALSE)</f>
        <v>#REF!</v>
      </c>
      <c r="Z110" s="6" t="e">
        <f>VLOOKUP($A110,'Rate Calculation'!$A$3:$DE$210,84,FALSE)</f>
        <v>#REF!</v>
      </c>
      <c r="AA110" s="6">
        <f>VLOOKUP($A110,'Rate Calculation'!$A$3:$DE$210,99,FALSE)</f>
        <v>0</v>
      </c>
      <c r="AB110" s="6">
        <f t="shared" si="24"/>
        <v>0</v>
      </c>
      <c r="AC110" s="6">
        <f t="shared" si="19"/>
        <v>0</v>
      </c>
      <c r="AD110" s="6" t="e">
        <f>VLOOKUP($A110,'Rate Calculation'!$A$3:$AR$210,47,FALSE)+AC110</f>
        <v>#REF!</v>
      </c>
      <c r="AE110" s="6" t="e">
        <f>VLOOKUP($A110,'Rate Calculation'!$A$3:$CQ$210,100,FALSE)</f>
        <v>#REF!</v>
      </c>
      <c r="AF110" s="6">
        <f>VLOOKUP($A110,'Rate Calculation'!$A$3:$DE$210,101,FALSE)</f>
        <v>0</v>
      </c>
      <c r="AH110" s="175"/>
    </row>
    <row r="111" spans="1:34" x14ac:dyDescent="0.15">
      <c r="A111" s="130">
        <v>172</v>
      </c>
      <c r="B111" s="37" t="s">
        <v>709</v>
      </c>
      <c r="C111" s="1" t="str">
        <f>VLOOKUP(A111,'Rate Calculation'!$A$4:$F$210,6,FALSE)</f>
        <v>BALTIMORE METRO</v>
      </c>
      <c r="D111" s="4">
        <v>24727</v>
      </c>
      <c r="E111" s="6">
        <f>VLOOKUP(A111,'Rate Calculation'!$A$4:$AM$208,39,FALSE)</f>
        <v>289.75</v>
      </c>
      <c r="F111" s="6">
        <f t="shared" si="20"/>
        <v>286.19</v>
      </c>
      <c r="G111" s="6">
        <f t="shared" si="21"/>
        <v>286.19</v>
      </c>
      <c r="H111" s="6">
        <f>VLOOKUP(A111,'Rate Calculation'!$A$4:$AL$208,38,FALSE)+G111</f>
        <v>316.29000000000002</v>
      </c>
      <c r="I111" s="6">
        <f>VLOOKUP(A111,'Rate Calculation'!$A$4:$AN$208,40,FALSE)</f>
        <v>222.4</v>
      </c>
      <c r="J111" s="1">
        <v>0</v>
      </c>
      <c r="K111" s="217">
        <v>0</v>
      </c>
      <c r="L111" s="6">
        <f>VLOOKUP(A111,'Rate Calculation'!$A$4:$AO$208,41,FALSE)</f>
        <v>155.04</v>
      </c>
      <c r="M111" s="1">
        <v>3</v>
      </c>
      <c r="N111" s="182">
        <f>VLOOKUP(A111,'Rate Calculation'!$A$4:$AL$208,38,FALSE)</f>
        <v>30.1</v>
      </c>
      <c r="O111" s="6" t="e">
        <f>VLOOKUP($A111,'Rate Calculation'!$A$3:$BR$210,65,FALSE)</f>
        <v>#DIV/0!</v>
      </c>
      <c r="P111" s="6" t="e">
        <f t="shared" si="22"/>
        <v>#DIV/0!</v>
      </c>
      <c r="Q111" s="6" t="e">
        <f t="shared" si="17"/>
        <v>#DIV/0!</v>
      </c>
      <c r="R111" s="6" t="e">
        <f>VLOOKUP($A111,'Rate Calculation'!$A$3:$AR$210,47,FALSE)+Q111</f>
        <v>#REF!</v>
      </c>
      <c r="S111" s="6" t="e">
        <f>VLOOKUP($A111,'Rate Calculation'!$A$4:$CQ$211,66,FALSE)</f>
        <v>#REF!</v>
      </c>
      <c r="T111" s="6" t="e">
        <f>VLOOKUP($A111,'Rate Calculation'!$A$3:$CQ$210,67,FALSE)</f>
        <v>#REF!</v>
      </c>
      <c r="U111" s="6" t="e">
        <f>VLOOKUP($A111,'Rate Calculation'!$A$3:$DE$210,82,FALSE)</f>
        <v>#DIV/0!</v>
      </c>
      <c r="V111" s="6" t="e">
        <f t="shared" si="23"/>
        <v>#DIV/0!</v>
      </c>
      <c r="W111" s="6" t="e">
        <f t="shared" si="18"/>
        <v>#DIV/0!</v>
      </c>
      <c r="X111" s="6" t="e">
        <f>VLOOKUP($A111,'Rate Calculation'!$A$3:$AR$210,47,FALSE)+W111</f>
        <v>#REF!</v>
      </c>
      <c r="Y111" s="6" t="e">
        <f>VLOOKUP($A111,'Rate Calculation'!$A$4:$CQ$210,83,FALSE)</f>
        <v>#REF!</v>
      </c>
      <c r="Z111" s="6" t="e">
        <f>VLOOKUP($A111,'Rate Calculation'!$A$3:$DE$210,84,FALSE)</f>
        <v>#REF!</v>
      </c>
      <c r="AA111" s="6">
        <f>VLOOKUP($A111,'Rate Calculation'!$A$3:$DE$210,99,FALSE)</f>
        <v>0</v>
      </c>
      <c r="AB111" s="6">
        <f t="shared" si="24"/>
        <v>0</v>
      </c>
      <c r="AC111" s="6">
        <f t="shared" si="19"/>
        <v>0</v>
      </c>
      <c r="AD111" s="6" t="e">
        <f>VLOOKUP($A111,'Rate Calculation'!$A$3:$AR$210,47,FALSE)+AC111</f>
        <v>#REF!</v>
      </c>
      <c r="AE111" s="6" t="e">
        <f>VLOOKUP($A111,'Rate Calculation'!$A$3:$CQ$210,100,FALSE)</f>
        <v>#REF!</v>
      </c>
      <c r="AF111" s="6">
        <f>VLOOKUP($A111,'Rate Calculation'!$A$3:$DE$210,101,FALSE)</f>
        <v>0</v>
      </c>
      <c r="AH111" s="175"/>
    </row>
    <row r="112" spans="1:34" x14ac:dyDescent="0.15">
      <c r="A112" s="130">
        <v>174</v>
      </c>
      <c r="B112" s="37" t="s">
        <v>221</v>
      </c>
      <c r="C112" s="1" t="str">
        <f>VLOOKUP(A112,'Rate Calculation'!$A$4:$F$210,6,FALSE)</f>
        <v>WASHINGTON METRO</v>
      </c>
      <c r="D112" s="4">
        <v>13519</v>
      </c>
      <c r="E112" s="6">
        <f>VLOOKUP(A112,'Rate Calculation'!$A$4:$AM$208,39,FALSE)</f>
        <v>310.26</v>
      </c>
      <c r="F112" s="6">
        <f t="shared" si="20"/>
        <v>306.45</v>
      </c>
      <c r="G112" s="6">
        <f t="shared" si="21"/>
        <v>306.45</v>
      </c>
      <c r="H112" s="6">
        <f>VLOOKUP(A112,'Rate Calculation'!$A$4:$AL$208,38,FALSE)+G112</f>
        <v>306.45</v>
      </c>
      <c r="I112" s="6">
        <f>VLOOKUP(A112,'Rate Calculation'!$A$4:$AN$208,40,FALSE)</f>
        <v>239.48</v>
      </c>
      <c r="J112" s="1">
        <v>0</v>
      </c>
      <c r="K112" s="217">
        <v>23399</v>
      </c>
      <c r="L112" s="6">
        <f>VLOOKUP(A112,'Rate Calculation'!$A$4:$AO$208,41,FALSE)</f>
        <v>168.7</v>
      </c>
      <c r="M112" s="1">
        <v>0</v>
      </c>
      <c r="N112" s="182">
        <f>VLOOKUP(A112,'Rate Calculation'!$A$4:$AL$208,38,FALSE)</f>
        <v>0</v>
      </c>
      <c r="O112" s="6" t="e">
        <f>VLOOKUP($A112,'Rate Calculation'!$A$3:$BR$210,65,FALSE)</f>
        <v>#DIV/0!</v>
      </c>
      <c r="P112" s="6" t="e">
        <f t="shared" si="22"/>
        <v>#DIV/0!</v>
      </c>
      <c r="Q112" s="6" t="e">
        <f t="shared" si="17"/>
        <v>#DIV/0!</v>
      </c>
      <c r="R112" s="6" t="e">
        <f>VLOOKUP($A112,'Rate Calculation'!$A$3:$AR$210,47,FALSE)+Q112</f>
        <v>#REF!</v>
      </c>
      <c r="S112" s="6" t="e">
        <f>VLOOKUP($A112,'Rate Calculation'!$A$4:$CQ$211,66,FALSE)</f>
        <v>#REF!</v>
      </c>
      <c r="T112" s="6" t="e">
        <f>VLOOKUP($A112,'Rate Calculation'!$A$3:$CQ$210,67,FALSE)</f>
        <v>#REF!</v>
      </c>
      <c r="U112" s="6" t="e">
        <f>VLOOKUP($A112,'Rate Calculation'!$A$3:$DE$210,82,FALSE)</f>
        <v>#DIV/0!</v>
      </c>
      <c r="V112" s="6" t="e">
        <f t="shared" si="23"/>
        <v>#DIV/0!</v>
      </c>
      <c r="W112" s="6" t="e">
        <f t="shared" si="18"/>
        <v>#DIV/0!</v>
      </c>
      <c r="X112" s="6" t="e">
        <f>VLOOKUP($A112,'Rate Calculation'!$A$3:$AR$210,47,FALSE)+W112</f>
        <v>#REF!</v>
      </c>
      <c r="Y112" s="6" t="e">
        <f>VLOOKUP($A112,'Rate Calculation'!$A$4:$CQ$210,83,FALSE)</f>
        <v>#REF!</v>
      </c>
      <c r="Z112" s="6" t="e">
        <f>VLOOKUP($A112,'Rate Calculation'!$A$3:$DE$210,84,FALSE)</f>
        <v>#REF!</v>
      </c>
      <c r="AA112" s="6">
        <f>VLOOKUP($A112,'Rate Calculation'!$A$3:$DE$210,99,FALSE)</f>
        <v>0</v>
      </c>
      <c r="AB112" s="6">
        <f t="shared" si="24"/>
        <v>0</v>
      </c>
      <c r="AC112" s="6">
        <f t="shared" si="19"/>
        <v>0</v>
      </c>
      <c r="AD112" s="6" t="e">
        <f>VLOOKUP($A112,'Rate Calculation'!$A$3:$AR$210,47,FALSE)+AC112</f>
        <v>#REF!</v>
      </c>
      <c r="AE112" s="6" t="e">
        <f>VLOOKUP($A112,'Rate Calculation'!$A$3:$CQ$210,100,FALSE)</f>
        <v>#REF!</v>
      </c>
      <c r="AF112" s="6">
        <f>VLOOKUP($A112,'Rate Calculation'!$A$3:$DE$210,101,FALSE)</f>
        <v>0</v>
      </c>
      <c r="AH112" s="175"/>
    </row>
    <row r="113" spans="1:34" x14ac:dyDescent="0.15">
      <c r="A113" s="130">
        <v>178</v>
      </c>
      <c r="B113" s="37" t="s">
        <v>185</v>
      </c>
      <c r="C113" s="1" t="str">
        <f>VLOOKUP(A113,'Rate Calculation'!$A$4:$F$210,6,FALSE)</f>
        <v>BALTIMORE CITY</v>
      </c>
      <c r="D113" s="4">
        <v>39585</v>
      </c>
      <c r="E113" s="6">
        <f>VLOOKUP(A113,'Rate Calculation'!$A$4:$AM$208,39,FALSE)</f>
        <v>397.4</v>
      </c>
      <c r="F113" s="6">
        <f t="shared" si="20"/>
        <v>392.52</v>
      </c>
      <c r="G113" s="6">
        <f t="shared" si="21"/>
        <v>392.52</v>
      </c>
      <c r="H113" s="6">
        <f>VLOOKUP(A113,'Rate Calculation'!$A$4:$AL$208,38,FALSE)+G113</f>
        <v>421.46</v>
      </c>
      <c r="I113" s="6">
        <f>VLOOKUP(A113,'Rate Calculation'!$A$4:$AN$208,40,FALSE)</f>
        <v>295.33</v>
      </c>
      <c r="J113" s="1">
        <v>789</v>
      </c>
      <c r="K113" s="217">
        <v>80916</v>
      </c>
      <c r="L113" s="6">
        <f>VLOOKUP(A113,'Rate Calculation'!$A$4:$AO$208,41,FALSE)</f>
        <v>193.25</v>
      </c>
      <c r="M113" s="1">
        <v>0</v>
      </c>
      <c r="N113" s="182">
        <f>VLOOKUP(A113,'Rate Calculation'!$A$4:$AL$208,38,FALSE)</f>
        <v>28.94</v>
      </c>
      <c r="O113" s="6" t="e">
        <f>VLOOKUP($A113,'Rate Calculation'!$A$3:$BR$210,65,FALSE)</f>
        <v>#DIV/0!</v>
      </c>
      <c r="P113" s="6" t="e">
        <f t="shared" si="22"/>
        <v>#DIV/0!</v>
      </c>
      <c r="Q113" s="6" t="e">
        <f t="shared" si="17"/>
        <v>#DIV/0!</v>
      </c>
      <c r="R113" s="6" t="e">
        <f>VLOOKUP($A113,'Rate Calculation'!$A$3:$AR$210,47,FALSE)+Q113</f>
        <v>#REF!</v>
      </c>
      <c r="S113" s="6" t="e">
        <f>VLOOKUP($A113,'Rate Calculation'!$A$4:$CQ$211,66,FALSE)</f>
        <v>#REF!</v>
      </c>
      <c r="T113" s="6" t="e">
        <f>VLOOKUP($A113,'Rate Calculation'!$A$3:$CQ$210,67,FALSE)</f>
        <v>#REF!</v>
      </c>
      <c r="U113" s="6" t="e">
        <f>VLOOKUP($A113,'Rate Calculation'!$A$3:$DE$210,82,FALSE)</f>
        <v>#DIV/0!</v>
      </c>
      <c r="V113" s="6" t="e">
        <f t="shared" si="23"/>
        <v>#DIV/0!</v>
      </c>
      <c r="W113" s="6" t="e">
        <f t="shared" si="18"/>
        <v>#DIV/0!</v>
      </c>
      <c r="X113" s="6" t="e">
        <f>VLOOKUP($A113,'Rate Calculation'!$A$3:$AR$210,47,FALSE)+W113</f>
        <v>#REF!</v>
      </c>
      <c r="Y113" s="6" t="e">
        <f>VLOOKUP($A113,'Rate Calculation'!$A$4:$CQ$210,83,FALSE)</f>
        <v>#REF!</v>
      </c>
      <c r="Z113" s="6" t="e">
        <f>VLOOKUP($A113,'Rate Calculation'!$A$3:$DE$210,84,FALSE)</f>
        <v>#REF!</v>
      </c>
      <c r="AA113" s="6">
        <f>VLOOKUP($A113,'Rate Calculation'!$A$3:$DE$210,99,FALSE)</f>
        <v>0</v>
      </c>
      <c r="AB113" s="6">
        <f t="shared" si="24"/>
        <v>0</v>
      </c>
      <c r="AC113" s="6">
        <f t="shared" si="19"/>
        <v>0</v>
      </c>
      <c r="AD113" s="6" t="e">
        <f>VLOOKUP($A113,'Rate Calculation'!$A$3:$AR$210,47,FALSE)+AC113</f>
        <v>#REF!</v>
      </c>
      <c r="AE113" s="6" t="e">
        <f>VLOOKUP($A113,'Rate Calculation'!$A$3:$CQ$210,100,FALSE)</f>
        <v>#REF!</v>
      </c>
      <c r="AF113" s="6">
        <f>VLOOKUP($A113,'Rate Calculation'!$A$3:$DE$210,101,FALSE)</f>
        <v>0</v>
      </c>
      <c r="AH113" s="175"/>
    </row>
    <row r="114" spans="1:34" x14ac:dyDescent="0.15">
      <c r="A114" s="130">
        <v>1366</v>
      </c>
      <c r="B114" s="37" t="s">
        <v>438</v>
      </c>
      <c r="C114" s="1" t="str">
        <f>VLOOKUP(A114,'Rate Calculation'!$A$4:$F$210,6,FALSE)</f>
        <v>WASHINGTON METRO</v>
      </c>
      <c r="D114" s="4">
        <v>17735</v>
      </c>
      <c r="E114" s="6">
        <f>VLOOKUP(A114,'Rate Calculation'!$A$4:$AM$208,39,FALSE)</f>
        <v>369.29</v>
      </c>
      <c r="F114" s="6">
        <f t="shared" si="20"/>
        <v>364.76</v>
      </c>
      <c r="G114" s="6">
        <f t="shared" si="21"/>
        <v>364.76</v>
      </c>
      <c r="H114" s="6">
        <f>VLOOKUP(A114,'Rate Calculation'!$A$4:$AL$208,38,FALSE)+G114</f>
        <v>382.14</v>
      </c>
      <c r="I114" s="6">
        <f>VLOOKUP(A114,'Rate Calculation'!$A$4:$AN$208,40,FALSE)</f>
        <v>268.56</v>
      </c>
      <c r="J114" s="1">
        <v>294</v>
      </c>
      <c r="K114" s="217">
        <v>20403</v>
      </c>
      <c r="L114" s="6">
        <f>VLOOKUP(A114,'Rate Calculation'!$A$4:$AO$208,41,FALSE)</f>
        <v>167.82</v>
      </c>
      <c r="M114" s="1">
        <v>5</v>
      </c>
      <c r="N114" s="182">
        <f>VLOOKUP(A114,'Rate Calculation'!$A$4:$AL$208,38,FALSE)</f>
        <v>17.38</v>
      </c>
      <c r="O114" s="6" t="e">
        <f>VLOOKUP($A114,'Rate Calculation'!$A$3:$BR$210,65,FALSE)</f>
        <v>#DIV/0!</v>
      </c>
      <c r="P114" s="6" t="e">
        <f t="shared" si="22"/>
        <v>#DIV/0!</v>
      </c>
      <c r="Q114" s="6" t="e">
        <f t="shared" si="17"/>
        <v>#DIV/0!</v>
      </c>
      <c r="R114" s="6" t="e">
        <f>VLOOKUP($A114,'Rate Calculation'!$A$3:$AR$210,47,FALSE)+Q114</f>
        <v>#REF!</v>
      </c>
      <c r="S114" s="6" t="e">
        <f>VLOOKUP($A114,'Rate Calculation'!$A$4:$CQ$211,66,FALSE)</f>
        <v>#REF!</v>
      </c>
      <c r="T114" s="6" t="e">
        <f>VLOOKUP($A114,'Rate Calculation'!$A$3:$CQ$210,67,FALSE)</f>
        <v>#REF!</v>
      </c>
      <c r="U114" s="6" t="e">
        <f>VLOOKUP($A114,'Rate Calculation'!$A$3:$DE$210,82,FALSE)</f>
        <v>#DIV/0!</v>
      </c>
      <c r="V114" s="6" t="e">
        <f t="shared" si="23"/>
        <v>#DIV/0!</v>
      </c>
      <c r="W114" s="6" t="e">
        <f t="shared" si="18"/>
        <v>#DIV/0!</v>
      </c>
      <c r="X114" s="6" t="e">
        <f>VLOOKUP($A114,'Rate Calculation'!$A$3:$AR$210,47,FALSE)+W114</f>
        <v>#REF!</v>
      </c>
      <c r="Y114" s="6" t="e">
        <f>VLOOKUP($A114,'Rate Calculation'!$A$4:$CQ$210,83,FALSE)</f>
        <v>#REF!</v>
      </c>
      <c r="Z114" s="6" t="e">
        <f>VLOOKUP($A114,'Rate Calculation'!$A$3:$DE$210,84,FALSE)</f>
        <v>#REF!</v>
      </c>
      <c r="AA114" s="6">
        <f>VLOOKUP($A114,'Rate Calculation'!$A$3:$DE$210,99,FALSE)</f>
        <v>0</v>
      </c>
      <c r="AB114" s="6">
        <f t="shared" si="24"/>
        <v>0</v>
      </c>
      <c r="AC114" s="6">
        <f t="shared" si="19"/>
        <v>0</v>
      </c>
      <c r="AD114" s="6" t="e">
        <f>VLOOKUP($A114,'Rate Calculation'!$A$3:$AR$210,47,FALSE)+AC114</f>
        <v>#REF!</v>
      </c>
      <c r="AE114" s="6" t="e">
        <f>VLOOKUP($A114,'Rate Calculation'!$A$3:$CQ$210,100,FALSE)</f>
        <v>#REF!</v>
      </c>
      <c r="AF114" s="6">
        <f>VLOOKUP($A114,'Rate Calculation'!$A$3:$DE$210,101,FALSE)</f>
        <v>0</v>
      </c>
      <c r="AH114" s="175"/>
    </row>
    <row r="115" spans="1:34" x14ac:dyDescent="0.15">
      <c r="A115" s="130">
        <v>723</v>
      </c>
      <c r="B115" s="37" t="s">
        <v>188</v>
      </c>
      <c r="C115" s="1" t="str">
        <f>VLOOKUP(A115,'Rate Calculation'!$A$4:$F$210,6,FALSE)</f>
        <v>BALTIMORE CITY</v>
      </c>
      <c r="D115" s="4">
        <v>26735</v>
      </c>
      <c r="E115" s="6">
        <f>VLOOKUP(A115,'Rate Calculation'!$A$4:$AM$208,39,FALSE)</f>
        <v>358.69</v>
      </c>
      <c r="F115" s="6">
        <f t="shared" si="20"/>
        <v>354.29</v>
      </c>
      <c r="G115" s="6">
        <f t="shared" si="21"/>
        <v>354.29</v>
      </c>
      <c r="H115" s="6">
        <f>VLOOKUP(A115,'Rate Calculation'!$A$4:$AL$208,38,FALSE)+G115</f>
        <v>381.51</v>
      </c>
      <c r="I115" s="6">
        <f>VLOOKUP(A115,'Rate Calculation'!$A$4:$AN$208,40,FALSE)</f>
        <v>271.70999999999998</v>
      </c>
      <c r="J115" s="1">
        <v>61</v>
      </c>
      <c r="K115" s="217">
        <v>48727</v>
      </c>
      <c r="L115" s="6">
        <f>VLOOKUP(A115,'Rate Calculation'!$A$4:$AO$208,41,FALSE)</f>
        <v>184.72</v>
      </c>
      <c r="M115" s="1">
        <v>1</v>
      </c>
      <c r="N115" s="182">
        <f>VLOOKUP(A115,'Rate Calculation'!$A$4:$AL$208,38,FALSE)</f>
        <v>27.22</v>
      </c>
      <c r="O115" s="6" t="e">
        <f>VLOOKUP($A115,'Rate Calculation'!$A$3:$BR$210,65,FALSE)</f>
        <v>#DIV/0!</v>
      </c>
      <c r="P115" s="6" t="e">
        <f t="shared" si="22"/>
        <v>#DIV/0!</v>
      </c>
      <c r="Q115" s="6" t="e">
        <f t="shared" si="17"/>
        <v>#DIV/0!</v>
      </c>
      <c r="R115" s="6" t="e">
        <f>VLOOKUP($A115,'Rate Calculation'!$A$3:$AR$210,47,FALSE)+Q115</f>
        <v>#REF!</v>
      </c>
      <c r="S115" s="6" t="e">
        <f>VLOOKUP($A115,'Rate Calculation'!$A$4:$CQ$211,66,FALSE)</f>
        <v>#REF!</v>
      </c>
      <c r="T115" s="6" t="e">
        <f>VLOOKUP($A115,'Rate Calculation'!$A$3:$CQ$210,67,FALSE)</f>
        <v>#REF!</v>
      </c>
      <c r="U115" s="6" t="e">
        <f>VLOOKUP($A115,'Rate Calculation'!$A$3:$DE$210,82,FALSE)</f>
        <v>#DIV/0!</v>
      </c>
      <c r="V115" s="6" t="e">
        <f t="shared" si="23"/>
        <v>#DIV/0!</v>
      </c>
      <c r="W115" s="6" t="e">
        <f t="shared" si="18"/>
        <v>#DIV/0!</v>
      </c>
      <c r="X115" s="6" t="e">
        <f>VLOOKUP($A115,'Rate Calculation'!$A$3:$AR$210,47,FALSE)+W115</f>
        <v>#REF!</v>
      </c>
      <c r="Y115" s="6" t="e">
        <f>VLOOKUP($A115,'Rate Calculation'!$A$4:$CQ$210,83,FALSE)</f>
        <v>#REF!</v>
      </c>
      <c r="Z115" s="6" t="e">
        <f>VLOOKUP($A115,'Rate Calculation'!$A$3:$DE$210,84,FALSE)</f>
        <v>#REF!</v>
      </c>
      <c r="AA115" s="6">
        <f>VLOOKUP($A115,'Rate Calculation'!$A$3:$DE$210,99,FALSE)</f>
        <v>0</v>
      </c>
      <c r="AB115" s="6">
        <f t="shared" si="24"/>
        <v>0</v>
      </c>
      <c r="AC115" s="6">
        <f t="shared" si="19"/>
        <v>0</v>
      </c>
      <c r="AD115" s="6" t="e">
        <f>VLOOKUP($A115,'Rate Calculation'!$A$3:$AR$210,47,FALSE)+AC115</f>
        <v>#REF!</v>
      </c>
      <c r="AE115" s="6" t="e">
        <f>VLOOKUP($A115,'Rate Calculation'!$A$3:$CQ$210,100,FALSE)</f>
        <v>#REF!</v>
      </c>
      <c r="AF115" s="6">
        <f>VLOOKUP($A115,'Rate Calculation'!$A$3:$DE$210,101,FALSE)</f>
        <v>0</v>
      </c>
      <c r="AH115" s="175"/>
    </row>
    <row r="116" spans="1:34" x14ac:dyDescent="0.15">
      <c r="A116" s="130">
        <v>182</v>
      </c>
      <c r="B116" s="37" t="s">
        <v>219</v>
      </c>
      <c r="C116" s="1" t="str">
        <f>VLOOKUP(A116,'Rate Calculation'!$A$4:$F$210,6,FALSE)</f>
        <v>BALTIMORE METRO</v>
      </c>
      <c r="D116" s="4">
        <v>40538</v>
      </c>
      <c r="E116" s="6">
        <f>VLOOKUP(A116,'Rate Calculation'!$A$4:$AM$208,39,FALSE)</f>
        <v>336.09</v>
      </c>
      <c r="F116" s="6">
        <f t="shared" si="20"/>
        <v>331.96</v>
      </c>
      <c r="G116" s="6">
        <f t="shared" si="21"/>
        <v>331.96</v>
      </c>
      <c r="H116" s="6">
        <f>VLOOKUP(A116,'Rate Calculation'!$A$4:$AL$208,38,FALSE)+G116</f>
        <v>359.86</v>
      </c>
      <c r="I116" s="6">
        <f>VLOOKUP(A116,'Rate Calculation'!$A$4:$AN$208,40,FALSE)</f>
        <v>247.96</v>
      </c>
      <c r="J116" s="1">
        <v>0</v>
      </c>
      <c r="K116" s="217">
        <v>53072</v>
      </c>
      <c r="L116" s="6">
        <f>VLOOKUP(A116,'Rate Calculation'!$A$4:$AO$208,41,FALSE)</f>
        <v>159.83000000000001</v>
      </c>
      <c r="M116" s="1">
        <v>9</v>
      </c>
      <c r="N116" s="182">
        <f>VLOOKUP(A116,'Rate Calculation'!$A$4:$AL$208,38,FALSE)</f>
        <v>27.9</v>
      </c>
      <c r="O116" s="6" t="e">
        <f>VLOOKUP($A116,'Rate Calculation'!$A$3:$BR$210,65,FALSE)</f>
        <v>#DIV/0!</v>
      </c>
      <c r="P116" s="6" t="e">
        <f t="shared" si="22"/>
        <v>#DIV/0!</v>
      </c>
      <c r="Q116" s="6" t="e">
        <f t="shared" si="17"/>
        <v>#DIV/0!</v>
      </c>
      <c r="R116" s="6" t="e">
        <f>VLOOKUP($A116,'Rate Calculation'!$A$3:$AR$210,47,FALSE)+Q116</f>
        <v>#REF!</v>
      </c>
      <c r="S116" s="6" t="e">
        <f>VLOOKUP($A116,'Rate Calculation'!$A$4:$CQ$211,66,FALSE)</f>
        <v>#REF!</v>
      </c>
      <c r="T116" s="6" t="e">
        <f>VLOOKUP($A116,'Rate Calculation'!$A$3:$CQ$210,67,FALSE)</f>
        <v>#REF!</v>
      </c>
      <c r="U116" s="6" t="e">
        <f>VLOOKUP($A116,'Rate Calculation'!$A$3:$DE$210,82,FALSE)</f>
        <v>#DIV/0!</v>
      </c>
      <c r="V116" s="6" t="e">
        <f t="shared" si="23"/>
        <v>#DIV/0!</v>
      </c>
      <c r="W116" s="6" t="e">
        <f t="shared" si="18"/>
        <v>#DIV/0!</v>
      </c>
      <c r="X116" s="6" t="e">
        <f>VLOOKUP($A116,'Rate Calculation'!$A$3:$AR$210,47,FALSE)+W116</f>
        <v>#REF!</v>
      </c>
      <c r="Y116" s="6" t="e">
        <f>VLOOKUP($A116,'Rate Calculation'!$A$4:$CQ$210,83,FALSE)</f>
        <v>#REF!</v>
      </c>
      <c r="Z116" s="6" t="e">
        <f>VLOOKUP($A116,'Rate Calculation'!$A$3:$DE$210,84,FALSE)</f>
        <v>#REF!</v>
      </c>
      <c r="AA116" s="6">
        <f>VLOOKUP($A116,'Rate Calculation'!$A$3:$DE$210,99,FALSE)</f>
        <v>0</v>
      </c>
      <c r="AB116" s="6">
        <f t="shared" si="24"/>
        <v>0</v>
      </c>
      <c r="AC116" s="6">
        <f t="shared" si="19"/>
        <v>0</v>
      </c>
      <c r="AD116" s="6" t="e">
        <f>VLOOKUP($A116,'Rate Calculation'!$A$3:$AR$210,47,FALSE)+AC116</f>
        <v>#REF!</v>
      </c>
      <c r="AE116" s="6" t="e">
        <f>VLOOKUP($A116,'Rate Calculation'!$A$3:$CQ$210,100,FALSE)</f>
        <v>#REF!</v>
      </c>
      <c r="AF116" s="6">
        <f>VLOOKUP($A116,'Rate Calculation'!$A$3:$DE$210,101,FALSE)</f>
        <v>0</v>
      </c>
      <c r="AH116" s="175"/>
    </row>
    <row r="117" spans="1:34" x14ac:dyDescent="0.15">
      <c r="A117" s="130">
        <v>184</v>
      </c>
      <c r="B117" s="37" t="s">
        <v>175</v>
      </c>
      <c r="C117" s="1" t="str">
        <f>VLOOKUP(A117,'Rate Calculation'!$A$4:$F$210,6,FALSE)</f>
        <v>BALTIMORE METRO</v>
      </c>
      <c r="D117" s="4">
        <v>24783</v>
      </c>
      <c r="E117" s="6">
        <f>VLOOKUP(A117,'Rate Calculation'!$A$4:$AM$208,39,FALSE)</f>
        <v>343.36</v>
      </c>
      <c r="F117" s="6">
        <f t="shared" si="20"/>
        <v>339.14</v>
      </c>
      <c r="G117" s="6">
        <f t="shared" si="21"/>
        <v>339.14</v>
      </c>
      <c r="H117" s="6">
        <f>VLOOKUP(A117,'Rate Calculation'!$A$4:$AL$208,38,FALSE)+G117</f>
        <v>364.8</v>
      </c>
      <c r="I117" s="6">
        <f>VLOOKUP(A117,'Rate Calculation'!$A$4:$AN$208,40,FALSE)</f>
        <v>249.54</v>
      </c>
      <c r="J117" s="1">
        <v>0</v>
      </c>
      <c r="K117" s="217">
        <v>95714</v>
      </c>
      <c r="L117" s="6">
        <f>VLOOKUP(A117,'Rate Calculation'!$A$4:$AO$208,41,FALSE)</f>
        <v>155.71</v>
      </c>
      <c r="M117" s="1">
        <v>10</v>
      </c>
      <c r="N117" s="182">
        <f>VLOOKUP(A117,'Rate Calculation'!$A$4:$AL$208,38,FALSE)</f>
        <v>25.66</v>
      </c>
      <c r="O117" s="6" t="e">
        <f>VLOOKUP($A117,'Rate Calculation'!$A$3:$BR$210,65,FALSE)</f>
        <v>#DIV/0!</v>
      </c>
      <c r="P117" s="6" t="e">
        <f t="shared" si="22"/>
        <v>#DIV/0!</v>
      </c>
      <c r="Q117" s="6" t="e">
        <f t="shared" si="17"/>
        <v>#DIV/0!</v>
      </c>
      <c r="R117" s="6" t="e">
        <f>VLOOKUP($A117,'Rate Calculation'!$A$3:$AR$210,47,FALSE)+Q117</f>
        <v>#REF!</v>
      </c>
      <c r="S117" s="6" t="e">
        <f>VLOOKUP($A117,'Rate Calculation'!$A$4:$CQ$211,66,FALSE)</f>
        <v>#REF!</v>
      </c>
      <c r="T117" s="6" t="e">
        <f>VLOOKUP($A117,'Rate Calculation'!$A$3:$CQ$210,67,FALSE)</f>
        <v>#REF!</v>
      </c>
      <c r="U117" s="6" t="e">
        <f>VLOOKUP($A117,'Rate Calculation'!$A$3:$DE$210,82,FALSE)</f>
        <v>#DIV/0!</v>
      </c>
      <c r="V117" s="6" t="e">
        <f t="shared" si="23"/>
        <v>#DIV/0!</v>
      </c>
      <c r="W117" s="6" t="e">
        <f t="shared" si="18"/>
        <v>#DIV/0!</v>
      </c>
      <c r="X117" s="6" t="e">
        <f>VLOOKUP($A117,'Rate Calculation'!$A$3:$AR$210,47,FALSE)+W117</f>
        <v>#REF!</v>
      </c>
      <c r="Y117" s="6" t="e">
        <f>VLOOKUP($A117,'Rate Calculation'!$A$4:$CQ$210,83,FALSE)</f>
        <v>#REF!</v>
      </c>
      <c r="Z117" s="6" t="e">
        <f>VLOOKUP($A117,'Rate Calculation'!$A$3:$DE$210,84,FALSE)</f>
        <v>#REF!</v>
      </c>
      <c r="AA117" s="6">
        <f>VLOOKUP($A117,'Rate Calculation'!$A$3:$DE$210,99,FALSE)</f>
        <v>0</v>
      </c>
      <c r="AB117" s="6">
        <f t="shared" si="24"/>
        <v>0</v>
      </c>
      <c r="AC117" s="6">
        <f t="shared" si="19"/>
        <v>0</v>
      </c>
      <c r="AD117" s="6" t="e">
        <f>VLOOKUP($A117,'Rate Calculation'!$A$3:$AR$210,47,FALSE)+AC117</f>
        <v>#REF!</v>
      </c>
      <c r="AE117" s="6" t="e">
        <f>VLOOKUP($A117,'Rate Calculation'!$A$3:$CQ$210,100,FALSE)</f>
        <v>#REF!</v>
      </c>
      <c r="AF117" s="6">
        <f>VLOOKUP($A117,'Rate Calculation'!$A$3:$DE$210,101,FALSE)</f>
        <v>0</v>
      </c>
      <c r="AH117" s="175"/>
    </row>
    <row r="118" spans="1:34" x14ac:dyDescent="0.15">
      <c r="A118" s="130">
        <v>220</v>
      </c>
      <c r="B118" s="37" t="s">
        <v>198</v>
      </c>
      <c r="C118" s="1" t="str">
        <f>VLOOKUP(A118,'Rate Calculation'!$A$4:$F$210,6,FALSE)</f>
        <v>BALTIMORE CITY</v>
      </c>
      <c r="D118" s="4">
        <v>29110</v>
      </c>
      <c r="E118" s="6">
        <f>VLOOKUP(A118,'Rate Calculation'!$A$4:$AM$208,39,FALSE)</f>
        <v>377.36</v>
      </c>
      <c r="F118" s="6">
        <f t="shared" si="20"/>
        <v>372.73</v>
      </c>
      <c r="G118" s="6">
        <f t="shared" si="21"/>
        <v>372.73</v>
      </c>
      <c r="H118" s="6">
        <f>VLOOKUP(A118,'Rate Calculation'!$A$4:$AL$208,38,FALSE)+G118</f>
        <v>398.41</v>
      </c>
      <c r="I118" s="6">
        <f>VLOOKUP(A118,'Rate Calculation'!$A$4:$AN$208,40,FALSE)</f>
        <v>281.44</v>
      </c>
      <c r="J118" s="1">
        <v>473</v>
      </c>
      <c r="K118" s="217">
        <v>34109</v>
      </c>
      <c r="L118" s="6">
        <f>VLOOKUP(A118,'Rate Calculation'!$A$4:$AO$208,41,FALSE)</f>
        <v>185.51</v>
      </c>
      <c r="M118" s="1">
        <v>0</v>
      </c>
      <c r="N118" s="182">
        <f>VLOOKUP(A118,'Rate Calculation'!$A$4:$AL$208,38,FALSE)</f>
        <v>25.68</v>
      </c>
      <c r="O118" s="6" t="e">
        <f>VLOOKUP($A118,'Rate Calculation'!$A$3:$BR$210,65,FALSE)</f>
        <v>#DIV/0!</v>
      </c>
      <c r="P118" s="6" t="e">
        <f t="shared" si="22"/>
        <v>#DIV/0!</v>
      </c>
      <c r="Q118" s="6" t="e">
        <f t="shared" si="17"/>
        <v>#DIV/0!</v>
      </c>
      <c r="R118" s="6" t="e">
        <f>VLOOKUP($A118,'Rate Calculation'!$A$3:$AR$210,47,FALSE)+Q118</f>
        <v>#REF!</v>
      </c>
      <c r="S118" s="6" t="e">
        <f>VLOOKUP($A118,'Rate Calculation'!$A$4:$CQ$211,66,FALSE)</f>
        <v>#REF!</v>
      </c>
      <c r="T118" s="6" t="e">
        <f>VLOOKUP($A118,'Rate Calculation'!$A$3:$CQ$210,67,FALSE)</f>
        <v>#REF!</v>
      </c>
      <c r="U118" s="6" t="e">
        <f>VLOOKUP($A118,'Rate Calculation'!$A$3:$DE$210,82,FALSE)</f>
        <v>#DIV/0!</v>
      </c>
      <c r="V118" s="6" t="e">
        <f t="shared" si="23"/>
        <v>#DIV/0!</v>
      </c>
      <c r="W118" s="6" t="e">
        <f t="shared" si="18"/>
        <v>#DIV/0!</v>
      </c>
      <c r="X118" s="6" t="e">
        <f>VLOOKUP($A118,'Rate Calculation'!$A$3:$AR$210,47,FALSE)+W118</f>
        <v>#REF!</v>
      </c>
      <c r="Y118" s="6" t="e">
        <f>VLOOKUP($A118,'Rate Calculation'!$A$4:$CQ$210,83,FALSE)</f>
        <v>#REF!</v>
      </c>
      <c r="Z118" s="6" t="e">
        <f>VLOOKUP($A118,'Rate Calculation'!$A$3:$DE$210,84,FALSE)</f>
        <v>#REF!</v>
      </c>
      <c r="AA118" s="6">
        <f>VLOOKUP($A118,'Rate Calculation'!$A$3:$DE$210,99,FALSE)</f>
        <v>0</v>
      </c>
      <c r="AB118" s="6">
        <f t="shared" si="24"/>
        <v>0</v>
      </c>
      <c r="AC118" s="6">
        <f t="shared" si="19"/>
        <v>0</v>
      </c>
      <c r="AD118" s="6" t="e">
        <f>VLOOKUP($A118,'Rate Calculation'!$A$3:$AR$210,47,FALSE)+AC118</f>
        <v>#REF!</v>
      </c>
      <c r="AE118" s="6" t="e">
        <f>VLOOKUP($A118,'Rate Calculation'!$A$3:$CQ$210,100,FALSE)</f>
        <v>#REF!</v>
      </c>
      <c r="AF118" s="6">
        <f>VLOOKUP($A118,'Rate Calculation'!$A$3:$DE$210,101,FALSE)</f>
        <v>0</v>
      </c>
      <c r="AH118" s="175"/>
    </row>
    <row r="119" spans="1:34" x14ac:dyDescent="0.15">
      <c r="A119" s="130">
        <v>250</v>
      </c>
      <c r="B119" s="37" t="s">
        <v>319</v>
      </c>
      <c r="C119" s="1" t="str">
        <f>VLOOKUP(A119,'Rate Calculation'!$A$4:$F$210,6,FALSE)</f>
        <v>BALTIMORE METRO</v>
      </c>
      <c r="D119" s="4">
        <v>41289</v>
      </c>
      <c r="E119" s="6">
        <f>VLOOKUP(A119,'Rate Calculation'!$A$4:$AM$208,39,FALSE)</f>
        <v>360.24</v>
      </c>
      <c r="F119" s="6">
        <f t="shared" si="20"/>
        <v>355.82</v>
      </c>
      <c r="G119" s="6">
        <f t="shared" si="21"/>
        <v>355.82</v>
      </c>
      <c r="H119" s="6">
        <f>VLOOKUP(A119,'Rate Calculation'!$A$4:$AL$208,38,FALSE)+G119</f>
        <v>385.17</v>
      </c>
      <c r="I119" s="6">
        <f>VLOOKUP(A119,'Rate Calculation'!$A$4:$AN$208,40,FALSE)</f>
        <v>262.55</v>
      </c>
      <c r="J119" s="1">
        <v>0</v>
      </c>
      <c r="K119" s="217">
        <v>71135</v>
      </c>
      <c r="L119" s="6">
        <f>VLOOKUP(A119,'Rate Calculation'!$A$4:$AO$208,41,FALSE)</f>
        <v>164.85</v>
      </c>
      <c r="M119" s="1">
        <v>37</v>
      </c>
      <c r="N119" s="182">
        <f>VLOOKUP(A119,'Rate Calculation'!$A$4:$AL$208,38,FALSE)</f>
        <v>29.35</v>
      </c>
      <c r="O119" s="6" t="e">
        <f>VLOOKUP($A119,'Rate Calculation'!$A$3:$BR$210,65,FALSE)</f>
        <v>#DIV/0!</v>
      </c>
      <c r="P119" s="6" t="e">
        <f t="shared" si="22"/>
        <v>#DIV/0!</v>
      </c>
      <c r="Q119" s="6" t="e">
        <f t="shared" si="17"/>
        <v>#DIV/0!</v>
      </c>
      <c r="R119" s="6" t="e">
        <f>VLOOKUP($A119,'Rate Calculation'!$A$3:$AR$210,47,FALSE)+Q119</f>
        <v>#REF!</v>
      </c>
      <c r="S119" s="6" t="e">
        <f>VLOOKUP($A119,'Rate Calculation'!$A$4:$CQ$211,66,FALSE)</f>
        <v>#REF!</v>
      </c>
      <c r="T119" s="6" t="e">
        <f>VLOOKUP($A119,'Rate Calculation'!$A$3:$CQ$210,67,FALSE)</f>
        <v>#REF!</v>
      </c>
      <c r="U119" s="6" t="e">
        <f>VLOOKUP($A119,'Rate Calculation'!$A$3:$DE$210,82,FALSE)</f>
        <v>#DIV/0!</v>
      </c>
      <c r="V119" s="6" t="e">
        <f t="shared" si="23"/>
        <v>#DIV/0!</v>
      </c>
      <c r="W119" s="6" t="e">
        <f t="shared" si="18"/>
        <v>#DIV/0!</v>
      </c>
      <c r="X119" s="6" t="e">
        <f>VLOOKUP($A119,'Rate Calculation'!$A$3:$AR$210,47,FALSE)+W119</f>
        <v>#REF!</v>
      </c>
      <c r="Y119" s="6" t="e">
        <f>VLOOKUP($A119,'Rate Calculation'!$A$4:$CQ$210,83,FALSE)</f>
        <v>#REF!</v>
      </c>
      <c r="Z119" s="6" t="e">
        <f>VLOOKUP($A119,'Rate Calculation'!$A$3:$DE$210,84,FALSE)</f>
        <v>#REF!</v>
      </c>
      <c r="AA119" s="6">
        <f>VLOOKUP($A119,'Rate Calculation'!$A$3:$DE$210,99,FALSE)</f>
        <v>0</v>
      </c>
      <c r="AB119" s="6">
        <f t="shared" si="24"/>
        <v>0</v>
      </c>
      <c r="AC119" s="6">
        <f t="shared" si="19"/>
        <v>0</v>
      </c>
      <c r="AD119" s="6" t="e">
        <f>VLOOKUP($A119,'Rate Calculation'!$A$3:$AR$210,47,FALSE)+AC119</f>
        <v>#REF!</v>
      </c>
      <c r="AE119" s="6" t="e">
        <f>VLOOKUP($A119,'Rate Calculation'!$A$3:$CQ$210,100,FALSE)</f>
        <v>#REF!</v>
      </c>
      <c r="AF119" s="6">
        <f>VLOOKUP($A119,'Rate Calculation'!$A$3:$DE$210,101,FALSE)</f>
        <v>0</v>
      </c>
      <c r="AH119" s="175"/>
    </row>
    <row r="120" spans="1:34" x14ac:dyDescent="0.15">
      <c r="A120" s="130">
        <v>186</v>
      </c>
      <c r="B120" s="37" t="s">
        <v>44</v>
      </c>
      <c r="C120" s="1" t="str">
        <f>VLOOKUP(A120,'Rate Calculation'!$A$4:$F$210,6,FALSE)</f>
        <v>BALTIMORE CITY</v>
      </c>
      <c r="D120" s="4">
        <v>24242</v>
      </c>
      <c r="E120" s="6">
        <f>VLOOKUP(A120,'Rate Calculation'!$A$4:$AM$208,39,FALSE)</f>
        <v>414.36</v>
      </c>
      <c r="F120" s="6">
        <f t="shared" si="20"/>
        <v>409.27</v>
      </c>
      <c r="G120" s="6">
        <f t="shared" si="21"/>
        <v>409.27</v>
      </c>
      <c r="H120" s="6">
        <f>VLOOKUP(A120,'Rate Calculation'!$A$4:$AL$208,38,FALSE)+G120</f>
        <v>435.53</v>
      </c>
      <c r="I120" s="6">
        <f>VLOOKUP(A120,'Rate Calculation'!$A$4:$AN$208,40,FALSE)</f>
        <v>307.43</v>
      </c>
      <c r="J120" s="1">
        <v>232</v>
      </c>
      <c r="K120" s="217">
        <v>60108</v>
      </c>
      <c r="L120" s="6">
        <f>VLOOKUP(A120,'Rate Calculation'!$A$4:$AO$208,41,FALSE)</f>
        <v>200.49</v>
      </c>
      <c r="M120" s="1">
        <v>1</v>
      </c>
      <c r="N120" s="182">
        <f>VLOOKUP(A120,'Rate Calculation'!$A$4:$AL$208,38,FALSE)</f>
        <v>26.26</v>
      </c>
      <c r="O120" s="6" t="e">
        <f>VLOOKUP($A120,'Rate Calculation'!$A$3:$BR$210,65,FALSE)</f>
        <v>#DIV/0!</v>
      </c>
      <c r="P120" s="6" t="e">
        <f t="shared" si="22"/>
        <v>#DIV/0!</v>
      </c>
      <c r="Q120" s="6" t="e">
        <f t="shared" si="17"/>
        <v>#DIV/0!</v>
      </c>
      <c r="R120" s="6" t="e">
        <f>VLOOKUP($A120,'Rate Calculation'!$A$3:$AR$210,47,FALSE)+Q120</f>
        <v>#REF!</v>
      </c>
      <c r="S120" s="6" t="e">
        <f>VLOOKUP($A120,'Rate Calculation'!$A$4:$CQ$211,66,FALSE)</f>
        <v>#REF!</v>
      </c>
      <c r="T120" s="6" t="e">
        <f>VLOOKUP($A120,'Rate Calculation'!$A$3:$CQ$210,67,FALSE)</f>
        <v>#REF!</v>
      </c>
      <c r="U120" s="6" t="e">
        <f>VLOOKUP($A120,'Rate Calculation'!$A$3:$DE$210,82,FALSE)</f>
        <v>#DIV/0!</v>
      </c>
      <c r="V120" s="6" t="e">
        <f t="shared" si="23"/>
        <v>#DIV/0!</v>
      </c>
      <c r="W120" s="6" t="e">
        <f t="shared" si="18"/>
        <v>#DIV/0!</v>
      </c>
      <c r="X120" s="6" t="e">
        <f>VLOOKUP($A120,'Rate Calculation'!$A$3:$AR$210,47,FALSE)+W120</f>
        <v>#REF!</v>
      </c>
      <c r="Y120" s="6" t="e">
        <f>VLOOKUP($A120,'Rate Calculation'!$A$4:$CQ$210,83,FALSE)</f>
        <v>#REF!</v>
      </c>
      <c r="Z120" s="6" t="e">
        <f>VLOOKUP($A120,'Rate Calculation'!$A$3:$DE$210,84,FALSE)</f>
        <v>#REF!</v>
      </c>
      <c r="AA120" s="6">
        <f>VLOOKUP($A120,'Rate Calculation'!$A$3:$DE$210,99,FALSE)</f>
        <v>0</v>
      </c>
      <c r="AB120" s="6">
        <f t="shared" si="24"/>
        <v>0</v>
      </c>
      <c r="AC120" s="6">
        <f t="shared" si="19"/>
        <v>0</v>
      </c>
      <c r="AD120" s="6" t="e">
        <f>VLOOKUP($A120,'Rate Calculation'!$A$3:$AR$210,47,FALSE)+AC120</f>
        <v>#REF!</v>
      </c>
      <c r="AE120" s="6" t="e">
        <f>VLOOKUP($A120,'Rate Calculation'!$A$3:$CQ$210,100,FALSE)</f>
        <v>#REF!</v>
      </c>
      <c r="AF120" s="6">
        <f>VLOOKUP($A120,'Rate Calculation'!$A$3:$DE$210,101,FALSE)</f>
        <v>0</v>
      </c>
      <c r="AH120" s="175"/>
    </row>
    <row r="121" spans="1:34" x14ac:dyDescent="0.15">
      <c r="A121" s="130">
        <v>713</v>
      </c>
      <c r="B121" s="37" t="s">
        <v>41</v>
      </c>
      <c r="C121" s="1" t="str">
        <f>VLOOKUP(A121,'Rate Calculation'!$A$4:$F$210,6,FALSE)</f>
        <v>BALTIMORE CITY</v>
      </c>
      <c r="D121" s="4">
        <v>40959</v>
      </c>
      <c r="E121" s="6">
        <f>VLOOKUP(A121,'Rate Calculation'!$A$4:$AM$208,39,FALSE)</f>
        <v>411.29</v>
      </c>
      <c r="F121" s="6">
        <f t="shared" si="20"/>
        <v>406.24</v>
      </c>
      <c r="G121" s="6">
        <f t="shared" si="21"/>
        <v>406.24</v>
      </c>
      <c r="H121" s="6">
        <f>VLOOKUP(A121,'Rate Calculation'!$A$4:$AL$208,38,FALSE)+G121</f>
        <v>434.91</v>
      </c>
      <c r="I121" s="6">
        <f>VLOOKUP(A121,'Rate Calculation'!$A$4:$AN$208,40,FALSE)</f>
        <v>302.94</v>
      </c>
      <c r="J121" s="1">
        <v>1078</v>
      </c>
      <c r="K121" s="217">
        <v>49023</v>
      </c>
      <c r="L121" s="6">
        <f>VLOOKUP(A121,'Rate Calculation'!$A$4:$AO$208,41,FALSE)</f>
        <v>194.58</v>
      </c>
      <c r="M121" s="1">
        <v>0</v>
      </c>
      <c r="N121" s="182">
        <f>VLOOKUP(A121,'Rate Calculation'!$A$4:$AL$208,38,FALSE)</f>
        <v>28.67</v>
      </c>
      <c r="O121" s="6" t="e">
        <f>VLOOKUP($A121,'Rate Calculation'!$A$3:$BR$210,65,FALSE)</f>
        <v>#DIV/0!</v>
      </c>
      <c r="P121" s="6" t="e">
        <f t="shared" si="22"/>
        <v>#DIV/0!</v>
      </c>
      <c r="Q121" s="6" t="e">
        <f t="shared" si="17"/>
        <v>#DIV/0!</v>
      </c>
      <c r="R121" s="6" t="e">
        <f>VLOOKUP($A121,'Rate Calculation'!$A$3:$AR$210,47,FALSE)+Q121</f>
        <v>#REF!</v>
      </c>
      <c r="S121" s="6" t="e">
        <f>VLOOKUP($A121,'Rate Calculation'!$A$4:$CQ$211,66,FALSE)</f>
        <v>#REF!</v>
      </c>
      <c r="T121" s="6" t="e">
        <f>VLOOKUP($A121,'Rate Calculation'!$A$3:$CQ$210,67,FALSE)</f>
        <v>#REF!</v>
      </c>
      <c r="U121" s="6" t="e">
        <f>VLOOKUP($A121,'Rate Calculation'!$A$3:$DE$210,82,FALSE)</f>
        <v>#DIV/0!</v>
      </c>
      <c r="V121" s="6" t="e">
        <f t="shared" si="23"/>
        <v>#DIV/0!</v>
      </c>
      <c r="W121" s="6" t="e">
        <f t="shared" si="18"/>
        <v>#DIV/0!</v>
      </c>
      <c r="X121" s="6" t="e">
        <f>VLOOKUP($A121,'Rate Calculation'!$A$3:$AR$210,47,FALSE)+W121</f>
        <v>#REF!</v>
      </c>
      <c r="Y121" s="6" t="e">
        <f>VLOOKUP($A121,'Rate Calculation'!$A$4:$CQ$210,83,FALSE)</f>
        <v>#REF!</v>
      </c>
      <c r="Z121" s="6" t="e">
        <f>VLOOKUP($A121,'Rate Calculation'!$A$3:$DE$210,84,FALSE)</f>
        <v>#REF!</v>
      </c>
      <c r="AA121" s="6">
        <f>VLOOKUP($A121,'Rate Calculation'!$A$3:$DE$210,99,FALSE)</f>
        <v>0</v>
      </c>
      <c r="AB121" s="6">
        <f t="shared" si="24"/>
        <v>0</v>
      </c>
      <c r="AC121" s="6">
        <f t="shared" si="19"/>
        <v>0</v>
      </c>
      <c r="AD121" s="6" t="e">
        <f>VLOOKUP($A121,'Rate Calculation'!$A$3:$AR$210,47,FALSE)+AC121</f>
        <v>#REF!</v>
      </c>
      <c r="AE121" s="6" t="e">
        <f>VLOOKUP($A121,'Rate Calculation'!$A$3:$CQ$210,100,FALSE)</f>
        <v>#REF!</v>
      </c>
      <c r="AF121" s="6">
        <f>VLOOKUP($A121,'Rate Calculation'!$A$3:$DE$210,101,FALSE)</f>
        <v>0</v>
      </c>
      <c r="AH121" s="175"/>
    </row>
    <row r="122" spans="1:34" x14ac:dyDescent="0.15">
      <c r="A122" s="130">
        <v>717</v>
      </c>
      <c r="B122" s="37" t="s">
        <v>190</v>
      </c>
      <c r="C122" s="1" t="str">
        <f>VLOOKUP(A122,'Rate Calculation'!$A$4:$F$210,6,FALSE)</f>
        <v>BALTIMORE CITY</v>
      </c>
      <c r="D122" s="4">
        <v>54555</v>
      </c>
      <c r="E122" s="6">
        <f>VLOOKUP(A122,'Rate Calculation'!$A$4:$AM$208,39,FALSE)</f>
        <v>387.59</v>
      </c>
      <c r="F122" s="6">
        <f t="shared" si="20"/>
        <v>382.83</v>
      </c>
      <c r="G122" s="6">
        <f t="shared" si="21"/>
        <v>382.83</v>
      </c>
      <c r="H122" s="6">
        <f>VLOOKUP(A122,'Rate Calculation'!$A$4:$AL$208,38,FALSE)+G122</f>
        <v>385.38</v>
      </c>
      <c r="I122" s="6">
        <f>VLOOKUP(A122,'Rate Calculation'!$A$4:$AN$208,40,FALSE)</f>
        <v>288.58</v>
      </c>
      <c r="J122" s="1">
        <v>0</v>
      </c>
      <c r="K122" s="217">
        <v>51091</v>
      </c>
      <c r="L122" s="6">
        <f>VLOOKUP(A122,'Rate Calculation'!$A$4:$AO$208,41,FALSE)</f>
        <v>189.57</v>
      </c>
      <c r="M122" s="1">
        <v>17</v>
      </c>
      <c r="N122" s="182">
        <f>VLOOKUP(A122,'Rate Calculation'!$A$4:$AL$208,38,FALSE)</f>
        <v>2.5499999999999998</v>
      </c>
      <c r="O122" s="6" t="e">
        <f>VLOOKUP($A122,'Rate Calculation'!$A$3:$BR$210,65,FALSE)</f>
        <v>#DIV/0!</v>
      </c>
      <c r="P122" s="6" t="e">
        <f t="shared" si="22"/>
        <v>#DIV/0!</v>
      </c>
      <c r="Q122" s="6" t="e">
        <f t="shared" si="17"/>
        <v>#DIV/0!</v>
      </c>
      <c r="R122" s="6" t="e">
        <f>VLOOKUP($A122,'Rate Calculation'!$A$3:$AR$210,47,FALSE)+Q122</f>
        <v>#REF!</v>
      </c>
      <c r="S122" s="6" t="e">
        <f>VLOOKUP($A122,'Rate Calculation'!$A$4:$CQ$211,66,FALSE)</f>
        <v>#REF!</v>
      </c>
      <c r="T122" s="6" t="e">
        <f>VLOOKUP($A122,'Rate Calculation'!$A$3:$CQ$210,67,FALSE)</f>
        <v>#REF!</v>
      </c>
      <c r="U122" s="6" t="e">
        <f>VLOOKUP($A122,'Rate Calculation'!$A$3:$DE$210,82,FALSE)</f>
        <v>#DIV/0!</v>
      </c>
      <c r="V122" s="6" t="e">
        <f t="shared" si="23"/>
        <v>#DIV/0!</v>
      </c>
      <c r="W122" s="6" t="e">
        <f t="shared" si="18"/>
        <v>#DIV/0!</v>
      </c>
      <c r="X122" s="6" t="e">
        <f>VLOOKUP($A122,'Rate Calculation'!$A$3:$AR$210,47,FALSE)+W122</f>
        <v>#REF!</v>
      </c>
      <c r="Y122" s="6" t="e">
        <f>VLOOKUP($A122,'Rate Calculation'!$A$4:$CQ$210,83,FALSE)</f>
        <v>#REF!</v>
      </c>
      <c r="Z122" s="6" t="e">
        <f>VLOOKUP($A122,'Rate Calculation'!$A$3:$DE$210,84,FALSE)</f>
        <v>#REF!</v>
      </c>
      <c r="AA122" s="6">
        <f>VLOOKUP($A122,'Rate Calculation'!$A$3:$DE$210,99,FALSE)</f>
        <v>0</v>
      </c>
      <c r="AB122" s="6">
        <f t="shared" si="24"/>
        <v>0</v>
      </c>
      <c r="AC122" s="6">
        <f t="shared" si="19"/>
        <v>0</v>
      </c>
      <c r="AD122" s="6" t="e">
        <f>VLOOKUP($A122,'Rate Calculation'!$A$3:$AR$210,47,FALSE)+AC122</f>
        <v>#REF!</v>
      </c>
      <c r="AE122" s="6" t="e">
        <f>VLOOKUP($A122,'Rate Calculation'!$A$3:$CQ$210,100,FALSE)</f>
        <v>#REF!</v>
      </c>
      <c r="AF122" s="6">
        <f>VLOOKUP($A122,'Rate Calculation'!$A$3:$DE$210,101,FALSE)</f>
        <v>0</v>
      </c>
      <c r="AH122" s="175"/>
    </row>
    <row r="123" spans="1:34" x14ac:dyDescent="0.15">
      <c r="A123" s="130">
        <v>144</v>
      </c>
      <c r="B123" s="37" t="s">
        <v>193</v>
      </c>
      <c r="C123" s="1" t="str">
        <f>VLOOKUP(A123,'Rate Calculation'!$A$4:$F$210,6,FALSE)</f>
        <v>BALTIMORE METRO</v>
      </c>
      <c r="D123" s="4">
        <v>27911</v>
      </c>
      <c r="E123" s="6">
        <f>VLOOKUP(A123,'Rate Calculation'!$A$4:$AM$208,39,FALSE)</f>
        <v>356.73</v>
      </c>
      <c r="F123" s="6">
        <f t="shared" si="20"/>
        <v>352.35</v>
      </c>
      <c r="G123" s="6">
        <f t="shared" si="21"/>
        <v>352.35</v>
      </c>
      <c r="H123" s="6">
        <f>VLOOKUP(A123,'Rate Calculation'!$A$4:$AL$208,38,FALSE)+G123</f>
        <v>377.32</v>
      </c>
      <c r="I123" s="6">
        <f>VLOOKUP(A123,'Rate Calculation'!$A$4:$AN$208,40,FALSE)</f>
        <v>258.3</v>
      </c>
      <c r="J123" s="1">
        <v>0</v>
      </c>
      <c r="K123" s="217">
        <v>3282</v>
      </c>
      <c r="L123" s="6">
        <f>VLOOKUP(A123,'Rate Calculation'!$A$4:$AO$208,41,FALSE)</f>
        <v>159.87</v>
      </c>
      <c r="M123" s="1">
        <v>24</v>
      </c>
      <c r="N123" s="182">
        <f>VLOOKUP(A123,'Rate Calculation'!$A$4:$AL$208,38,FALSE)</f>
        <v>24.97</v>
      </c>
      <c r="O123" s="6" t="e">
        <f>VLOOKUP($A123,'Rate Calculation'!$A$3:$BR$210,65,FALSE)</f>
        <v>#DIV/0!</v>
      </c>
      <c r="P123" s="6" t="e">
        <f t="shared" si="22"/>
        <v>#DIV/0!</v>
      </c>
      <c r="Q123" s="6" t="e">
        <f t="shared" si="17"/>
        <v>#DIV/0!</v>
      </c>
      <c r="R123" s="6" t="e">
        <f>VLOOKUP($A123,'Rate Calculation'!$A$3:$AR$210,47,FALSE)+Q123</f>
        <v>#REF!</v>
      </c>
      <c r="S123" s="6" t="e">
        <f>VLOOKUP($A123,'Rate Calculation'!$A$4:$CQ$211,66,FALSE)</f>
        <v>#REF!</v>
      </c>
      <c r="T123" s="6" t="e">
        <f>VLOOKUP($A123,'Rate Calculation'!$A$3:$CQ$210,67,FALSE)</f>
        <v>#REF!</v>
      </c>
      <c r="U123" s="6" t="e">
        <f>VLOOKUP($A123,'Rate Calculation'!$A$3:$DE$210,82,FALSE)</f>
        <v>#DIV/0!</v>
      </c>
      <c r="V123" s="6" t="e">
        <f t="shared" si="23"/>
        <v>#DIV/0!</v>
      </c>
      <c r="W123" s="6" t="e">
        <f t="shared" si="18"/>
        <v>#DIV/0!</v>
      </c>
      <c r="X123" s="6" t="e">
        <f>VLOOKUP($A123,'Rate Calculation'!$A$3:$AR$210,47,FALSE)+W123</f>
        <v>#REF!</v>
      </c>
      <c r="Y123" s="6" t="e">
        <f>VLOOKUP($A123,'Rate Calculation'!$A$4:$CQ$210,83,FALSE)</f>
        <v>#REF!</v>
      </c>
      <c r="Z123" s="6" t="e">
        <f>VLOOKUP($A123,'Rate Calculation'!$A$3:$DE$210,84,FALSE)</f>
        <v>#REF!</v>
      </c>
      <c r="AA123" s="6">
        <f>VLOOKUP($A123,'Rate Calculation'!$A$3:$DE$210,99,FALSE)</f>
        <v>0</v>
      </c>
      <c r="AB123" s="6">
        <f t="shared" si="24"/>
        <v>0</v>
      </c>
      <c r="AC123" s="6">
        <f t="shared" si="19"/>
        <v>0</v>
      </c>
      <c r="AD123" s="6" t="e">
        <f>VLOOKUP($A123,'Rate Calculation'!$A$3:$AR$210,47,FALSE)+AC123</f>
        <v>#REF!</v>
      </c>
      <c r="AE123" s="6" t="e">
        <f>VLOOKUP($A123,'Rate Calculation'!$A$3:$CQ$210,100,FALSE)</f>
        <v>#REF!</v>
      </c>
      <c r="AF123" s="6">
        <f>VLOOKUP($A123,'Rate Calculation'!$A$3:$DE$210,101,FALSE)</f>
        <v>0</v>
      </c>
      <c r="AH123" s="175"/>
    </row>
    <row r="124" spans="1:34" x14ac:dyDescent="0.15">
      <c r="A124" s="130">
        <v>190</v>
      </c>
      <c r="B124" s="37" t="s">
        <v>376</v>
      </c>
      <c r="C124" s="1" t="str">
        <f>VLOOKUP(A124,'Rate Calculation'!$A$4:$F$210,6,FALSE)</f>
        <v>BALTIMORE METRO</v>
      </c>
      <c r="D124" s="4">
        <v>35343</v>
      </c>
      <c r="E124" s="6">
        <f>VLOOKUP(A124,'Rate Calculation'!$A$4:$AM$208,39,FALSE)</f>
        <v>333.3</v>
      </c>
      <c r="F124" s="6">
        <f t="shared" si="20"/>
        <v>329.21</v>
      </c>
      <c r="G124" s="6">
        <f t="shared" si="21"/>
        <v>329.21</v>
      </c>
      <c r="H124" s="6">
        <f>VLOOKUP(A124,'Rate Calculation'!$A$4:$AL$208,38,FALSE)+G124</f>
        <v>356.65</v>
      </c>
      <c r="I124" s="6">
        <f>VLOOKUP(A124,'Rate Calculation'!$A$4:$AN$208,40,FALSE)</f>
        <v>241.95</v>
      </c>
      <c r="J124" s="1">
        <v>134</v>
      </c>
      <c r="K124" s="217">
        <v>3483</v>
      </c>
      <c r="L124" s="6">
        <f>VLOOKUP(A124,'Rate Calculation'!$A$4:$AO$208,41,FALSE)</f>
        <v>150.6</v>
      </c>
      <c r="M124" s="1">
        <v>8</v>
      </c>
      <c r="N124" s="182">
        <f>VLOOKUP(A124,'Rate Calculation'!$A$4:$AL$208,38,FALSE)</f>
        <v>27.44</v>
      </c>
      <c r="O124" s="6" t="e">
        <f>VLOOKUP($A124,'Rate Calculation'!$A$3:$BR$210,65,FALSE)</f>
        <v>#DIV/0!</v>
      </c>
      <c r="P124" s="6" t="e">
        <f t="shared" si="22"/>
        <v>#DIV/0!</v>
      </c>
      <c r="Q124" s="6" t="e">
        <f t="shared" si="17"/>
        <v>#DIV/0!</v>
      </c>
      <c r="R124" s="6" t="e">
        <f>VLOOKUP($A124,'Rate Calculation'!$A$3:$AR$210,47,FALSE)+Q124</f>
        <v>#REF!</v>
      </c>
      <c r="S124" s="6" t="e">
        <f>VLOOKUP($A124,'Rate Calculation'!$A$4:$CQ$211,66,FALSE)</f>
        <v>#REF!</v>
      </c>
      <c r="T124" s="6" t="e">
        <f>VLOOKUP($A124,'Rate Calculation'!$A$3:$CQ$210,67,FALSE)</f>
        <v>#REF!</v>
      </c>
      <c r="U124" s="6" t="e">
        <f>VLOOKUP($A124,'Rate Calculation'!$A$3:$DE$210,82,FALSE)</f>
        <v>#DIV/0!</v>
      </c>
      <c r="V124" s="6" t="e">
        <f t="shared" si="23"/>
        <v>#DIV/0!</v>
      </c>
      <c r="W124" s="6" t="e">
        <f t="shared" si="18"/>
        <v>#DIV/0!</v>
      </c>
      <c r="X124" s="6" t="e">
        <f>VLOOKUP($A124,'Rate Calculation'!$A$3:$AR$210,47,FALSE)+W124</f>
        <v>#REF!</v>
      </c>
      <c r="Y124" s="6" t="e">
        <f>VLOOKUP($A124,'Rate Calculation'!$A$4:$CQ$210,83,FALSE)</f>
        <v>#REF!</v>
      </c>
      <c r="Z124" s="6" t="e">
        <f>VLOOKUP($A124,'Rate Calculation'!$A$3:$DE$210,84,FALSE)</f>
        <v>#REF!</v>
      </c>
      <c r="AA124" s="6">
        <f>VLOOKUP($A124,'Rate Calculation'!$A$3:$DE$210,99,FALSE)</f>
        <v>0</v>
      </c>
      <c r="AB124" s="6">
        <f t="shared" si="24"/>
        <v>0</v>
      </c>
      <c r="AC124" s="6">
        <f t="shared" si="19"/>
        <v>0</v>
      </c>
      <c r="AD124" s="6" t="e">
        <f>VLOOKUP($A124,'Rate Calculation'!$A$3:$AR$210,47,FALSE)+AC124</f>
        <v>#REF!</v>
      </c>
      <c r="AE124" s="6" t="e">
        <f>VLOOKUP($A124,'Rate Calculation'!$A$3:$CQ$210,100,FALSE)</f>
        <v>#REF!</v>
      </c>
      <c r="AF124" s="6">
        <f>VLOOKUP($A124,'Rate Calculation'!$A$3:$DE$210,101,FALSE)</f>
        <v>0</v>
      </c>
      <c r="AH124" s="175"/>
    </row>
    <row r="125" spans="1:34" x14ac:dyDescent="0.15">
      <c r="A125" s="130">
        <v>192</v>
      </c>
      <c r="B125" s="37" t="s">
        <v>39</v>
      </c>
      <c r="C125" s="1" t="str">
        <f>VLOOKUP(A125,'Rate Calculation'!$A$4:$F$210,6,FALSE)</f>
        <v>WASHINGTON METRO</v>
      </c>
      <c r="D125" s="4">
        <v>33069</v>
      </c>
      <c r="E125" s="6">
        <f>VLOOKUP(A125,'Rate Calculation'!$A$4:$AM$208,39,FALSE)</f>
        <v>356.87</v>
      </c>
      <c r="F125" s="6">
        <f t="shared" si="20"/>
        <v>352.49</v>
      </c>
      <c r="G125" s="6">
        <f t="shared" si="21"/>
        <v>352.49</v>
      </c>
      <c r="H125" s="6">
        <f>VLOOKUP(A125,'Rate Calculation'!$A$4:$AL$208,38,FALSE)+G125</f>
        <v>379.64</v>
      </c>
      <c r="I125" s="6">
        <f>VLOOKUP(A125,'Rate Calculation'!$A$4:$AN$208,40,FALSE)</f>
        <v>258.77</v>
      </c>
      <c r="J125" s="1">
        <v>0</v>
      </c>
      <c r="K125" s="217">
        <v>5768</v>
      </c>
      <c r="L125" s="6">
        <f>VLOOKUP(A125,'Rate Calculation'!$A$4:$AO$208,41,FALSE)</f>
        <v>160.66</v>
      </c>
      <c r="M125" s="1">
        <v>30</v>
      </c>
      <c r="N125" s="182">
        <f>VLOOKUP(A125,'Rate Calculation'!$A$4:$AL$208,38,FALSE)</f>
        <v>27.15</v>
      </c>
      <c r="O125" s="6" t="e">
        <f>VLOOKUP($A125,'Rate Calculation'!$A$3:$BR$210,65,FALSE)</f>
        <v>#DIV/0!</v>
      </c>
      <c r="P125" s="6" t="e">
        <f t="shared" si="22"/>
        <v>#DIV/0!</v>
      </c>
      <c r="Q125" s="6" t="e">
        <f t="shared" si="17"/>
        <v>#DIV/0!</v>
      </c>
      <c r="R125" s="6" t="e">
        <f>VLOOKUP($A125,'Rate Calculation'!$A$3:$AR$210,47,FALSE)+Q125</f>
        <v>#REF!</v>
      </c>
      <c r="S125" s="6" t="e">
        <f>VLOOKUP($A125,'Rate Calculation'!$A$4:$CQ$211,66,FALSE)</f>
        <v>#REF!</v>
      </c>
      <c r="T125" s="6" t="e">
        <f>VLOOKUP($A125,'Rate Calculation'!$A$3:$CQ$210,67,FALSE)</f>
        <v>#REF!</v>
      </c>
      <c r="U125" s="6" t="e">
        <f>VLOOKUP($A125,'Rate Calculation'!$A$3:$DE$210,82,FALSE)</f>
        <v>#DIV/0!</v>
      </c>
      <c r="V125" s="6" t="e">
        <f t="shared" si="23"/>
        <v>#DIV/0!</v>
      </c>
      <c r="W125" s="6" t="e">
        <f t="shared" si="18"/>
        <v>#DIV/0!</v>
      </c>
      <c r="X125" s="6" t="e">
        <f>VLOOKUP($A125,'Rate Calculation'!$A$3:$AR$210,47,FALSE)+W125</f>
        <v>#REF!</v>
      </c>
      <c r="Y125" s="6" t="e">
        <f>VLOOKUP($A125,'Rate Calculation'!$A$4:$CQ$210,83,FALSE)</f>
        <v>#REF!</v>
      </c>
      <c r="Z125" s="6" t="e">
        <f>VLOOKUP($A125,'Rate Calculation'!$A$3:$DE$210,84,FALSE)</f>
        <v>#REF!</v>
      </c>
      <c r="AA125" s="6">
        <f>VLOOKUP($A125,'Rate Calculation'!$A$3:$DE$210,99,FALSE)</f>
        <v>0</v>
      </c>
      <c r="AB125" s="6">
        <f t="shared" si="24"/>
        <v>0</v>
      </c>
      <c r="AC125" s="6">
        <f t="shared" si="19"/>
        <v>0</v>
      </c>
      <c r="AD125" s="6" t="e">
        <f>VLOOKUP($A125,'Rate Calculation'!$A$3:$AR$210,47,FALSE)+AC125</f>
        <v>#REF!</v>
      </c>
      <c r="AE125" s="6" t="e">
        <f>VLOOKUP($A125,'Rate Calculation'!$A$3:$CQ$210,100,FALSE)</f>
        <v>#REF!</v>
      </c>
      <c r="AF125" s="6">
        <f>VLOOKUP($A125,'Rate Calculation'!$A$3:$DE$210,101,FALSE)</f>
        <v>0</v>
      </c>
      <c r="AH125" s="175"/>
    </row>
    <row r="126" spans="1:34" x14ac:dyDescent="0.15">
      <c r="A126" s="130">
        <v>194</v>
      </c>
      <c r="B126" s="37" t="s">
        <v>187</v>
      </c>
      <c r="C126" s="1" t="str">
        <f>VLOOKUP(A126,'Rate Calculation'!$A$4:$F$210,6,FALSE)</f>
        <v>BALTIMORE CITY</v>
      </c>
      <c r="D126" s="4">
        <v>37390</v>
      </c>
      <c r="E126" s="6">
        <f>VLOOKUP(A126,'Rate Calculation'!$A$4:$AM$208,39,FALSE)</f>
        <v>355.35</v>
      </c>
      <c r="F126" s="6">
        <f t="shared" si="20"/>
        <v>350.99</v>
      </c>
      <c r="G126" s="6">
        <f t="shared" si="21"/>
        <v>350.99</v>
      </c>
      <c r="H126" s="6">
        <f>VLOOKUP(A126,'Rate Calculation'!$A$4:$AL$208,38,FALSE)+G126</f>
        <v>380.49</v>
      </c>
      <c r="I126" s="6">
        <f>VLOOKUP(A126,'Rate Calculation'!$A$4:$AN$208,40,FALSE)</f>
        <v>268.95999999999998</v>
      </c>
      <c r="J126" s="1">
        <v>305</v>
      </c>
      <c r="K126" s="217">
        <v>16271</v>
      </c>
      <c r="L126" s="6">
        <f>VLOOKUP(A126,'Rate Calculation'!$A$4:$AO$208,41,FALSE)</f>
        <v>182.57</v>
      </c>
      <c r="M126" s="1">
        <v>3</v>
      </c>
      <c r="N126" s="182">
        <f>VLOOKUP(A126,'Rate Calculation'!$A$4:$AL$208,38,FALSE)</f>
        <v>29.5</v>
      </c>
      <c r="O126" s="6" t="e">
        <f>VLOOKUP($A126,'Rate Calculation'!$A$3:$BR$210,65,FALSE)</f>
        <v>#DIV/0!</v>
      </c>
      <c r="P126" s="6" t="e">
        <f t="shared" si="22"/>
        <v>#DIV/0!</v>
      </c>
      <c r="Q126" s="6" t="e">
        <f t="shared" si="17"/>
        <v>#DIV/0!</v>
      </c>
      <c r="R126" s="6" t="e">
        <f>VLOOKUP($A126,'Rate Calculation'!$A$3:$AR$210,47,FALSE)+Q126</f>
        <v>#REF!</v>
      </c>
      <c r="S126" s="6" t="e">
        <f>VLOOKUP($A126,'Rate Calculation'!$A$4:$CQ$211,66,FALSE)</f>
        <v>#REF!</v>
      </c>
      <c r="T126" s="6" t="e">
        <f>VLOOKUP($A126,'Rate Calculation'!$A$3:$CQ$210,67,FALSE)</f>
        <v>#REF!</v>
      </c>
      <c r="U126" s="6" t="e">
        <f>VLOOKUP($A126,'Rate Calculation'!$A$3:$DE$210,82,FALSE)</f>
        <v>#DIV/0!</v>
      </c>
      <c r="V126" s="6" t="e">
        <f t="shared" si="23"/>
        <v>#DIV/0!</v>
      </c>
      <c r="W126" s="6" t="e">
        <f t="shared" si="18"/>
        <v>#DIV/0!</v>
      </c>
      <c r="X126" s="6" t="e">
        <f>VLOOKUP($A126,'Rate Calculation'!$A$3:$AR$210,47,FALSE)+W126</f>
        <v>#REF!</v>
      </c>
      <c r="Y126" s="6" t="e">
        <f>VLOOKUP($A126,'Rate Calculation'!$A$4:$CQ$210,83,FALSE)</f>
        <v>#REF!</v>
      </c>
      <c r="Z126" s="6" t="e">
        <f>VLOOKUP($A126,'Rate Calculation'!$A$3:$DE$210,84,FALSE)</f>
        <v>#REF!</v>
      </c>
      <c r="AA126" s="6">
        <f>VLOOKUP($A126,'Rate Calculation'!$A$3:$DE$210,99,FALSE)</f>
        <v>0</v>
      </c>
      <c r="AB126" s="6">
        <f t="shared" si="24"/>
        <v>0</v>
      </c>
      <c r="AC126" s="6">
        <f t="shared" si="19"/>
        <v>0</v>
      </c>
      <c r="AD126" s="6" t="e">
        <f>VLOOKUP($A126,'Rate Calculation'!$A$3:$AR$210,47,FALSE)+AC126</f>
        <v>#REF!</v>
      </c>
      <c r="AE126" s="6" t="e">
        <f>VLOOKUP($A126,'Rate Calculation'!$A$3:$CQ$210,100,FALSE)</f>
        <v>#REF!</v>
      </c>
      <c r="AF126" s="6">
        <f>VLOOKUP($A126,'Rate Calculation'!$A$3:$DE$210,101,FALSE)</f>
        <v>0</v>
      </c>
      <c r="AH126" s="175"/>
    </row>
    <row r="127" spans="1:34" x14ac:dyDescent="0.15">
      <c r="A127" s="130">
        <v>208</v>
      </c>
      <c r="B127" s="37" t="s">
        <v>367</v>
      </c>
      <c r="C127" s="1" t="str">
        <f>VLOOKUP(A127,'Rate Calculation'!$A$4:$F$210,6,FALSE)</f>
        <v>BALTIMORE CITY</v>
      </c>
      <c r="D127" s="4">
        <v>32220</v>
      </c>
      <c r="E127" s="6">
        <f>VLOOKUP(A127,'Rate Calculation'!$A$4:$AM$208,39,FALSE)</f>
        <v>382.47</v>
      </c>
      <c r="F127" s="6">
        <f t="shared" si="20"/>
        <v>377.77</v>
      </c>
      <c r="G127" s="6">
        <f t="shared" si="21"/>
        <v>377.77</v>
      </c>
      <c r="H127" s="6">
        <f>VLOOKUP(A127,'Rate Calculation'!$A$4:$AL$208,38,FALSE)+G127</f>
        <v>402.27</v>
      </c>
      <c r="I127" s="6">
        <f>VLOOKUP(A127,'Rate Calculation'!$A$4:$AN$208,40,FALSE)</f>
        <v>285.45</v>
      </c>
      <c r="J127" s="1">
        <v>0</v>
      </c>
      <c r="K127" s="217">
        <v>33302</v>
      </c>
      <c r="L127" s="6">
        <f>VLOOKUP(A127,'Rate Calculation'!$A$4:$AO$208,41,FALSE)</f>
        <v>188.42</v>
      </c>
      <c r="M127" s="1">
        <v>17</v>
      </c>
      <c r="N127" s="182">
        <f>VLOOKUP(A127,'Rate Calculation'!$A$4:$AL$208,38,FALSE)</f>
        <v>24.5</v>
      </c>
      <c r="O127" s="6" t="e">
        <f>VLOOKUP($A127,'Rate Calculation'!$A$3:$BR$210,65,FALSE)</f>
        <v>#DIV/0!</v>
      </c>
      <c r="P127" s="6" t="e">
        <f t="shared" si="22"/>
        <v>#DIV/0!</v>
      </c>
      <c r="Q127" s="6" t="e">
        <f t="shared" si="17"/>
        <v>#DIV/0!</v>
      </c>
      <c r="R127" s="6" t="e">
        <f>VLOOKUP($A127,'Rate Calculation'!$A$3:$AR$210,47,FALSE)+Q127</f>
        <v>#REF!</v>
      </c>
      <c r="S127" s="6" t="e">
        <f>VLOOKUP($A127,'Rate Calculation'!$A$4:$CQ$211,66,FALSE)</f>
        <v>#REF!</v>
      </c>
      <c r="T127" s="6" t="e">
        <f>VLOOKUP($A127,'Rate Calculation'!$A$3:$CQ$210,67,FALSE)</f>
        <v>#REF!</v>
      </c>
      <c r="U127" s="6" t="e">
        <f>VLOOKUP($A127,'Rate Calculation'!$A$3:$DE$210,82,FALSE)</f>
        <v>#DIV/0!</v>
      </c>
      <c r="V127" s="6" t="e">
        <f t="shared" si="23"/>
        <v>#DIV/0!</v>
      </c>
      <c r="W127" s="6" t="e">
        <f t="shared" si="18"/>
        <v>#DIV/0!</v>
      </c>
      <c r="X127" s="6" t="e">
        <f>VLOOKUP($A127,'Rate Calculation'!$A$3:$AR$210,47,FALSE)+W127</f>
        <v>#REF!</v>
      </c>
      <c r="Y127" s="6" t="e">
        <f>VLOOKUP($A127,'Rate Calculation'!$A$4:$CQ$210,83,FALSE)</f>
        <v>#REF!</v>
      </c>
      <c r="Z127" s="6" t="e">
        <f>VLOOKUP($A127,'Rate Calculation'!$A$3:$DE$210,84,FALSE)</f>
        <v>#REF!</v>
      </c>
      <c r="AA127" s="6">
        <f>VLOOKUP($A127,'Rate Calculation'!$A$3:$DE$210,99,FALSE)</f>
        <v>0</v>
      </c>
      <c r="AB127" s="6">
        <f t="shared" si="24"/>
        <v>0</v>
      </c>
      <c r="AC127" s="6">
        <f t="shared" si="19"/>
        <v>0</v>
      </c>
      <c r="AD127" s="6" t="e">
        <f>VLOOKUP($A127,'Rate Calculation'!$A$3:$AR$210,47,FALSE)+AC127</f>
        <v>#REF!</v>
      </c>
      <c r="AE127" s="6" t="e">
        <f>VLOOKUP($A127,'Rate Calculation'!$A$3:$CQ$210,100,FALSE)</f>
        <v>#REF!</v>
      </c>
      <c r="AF127" s="6">
        <f>VLOOKUP($A127,'Rate Calculation'!$A$3:$DE$210,101,FALSE)</f>
        <v>0</v>
      </c>
      <c r="AH127" s="175"/>
    </row>
    <row r="128" spans="1:34" x14ac:dyDescent="0.15">
      <c r="A128" s="130">
        <v>204</v>
      </c>
      <c r="B128" s="37" t="s">
        <v>181</v>
      </c>
      <c r="C128" s="1" t="str">
        <f>VLOOKUP(A128,'Rate Calculation'!$A$4:$F$210,6,FALSE)</f>
        <v>BALTIMORE METRO</v>
      </c>
      <c r="D128" s="4">
        <v>2498</v>
      </c>
      <c r="E128" s="6">
        <f>VLOOKUP(A128,'Rate Calculation'!$A$4:$AM$208,39,FALSE)</f>
        <v>329.52</v>
      </c>
      <c r="F128" s="6">
        <f t="shared" si="20"/>
        <v>325.47000000000003</v>
      </c>
      <c r="G128" s="6">
        <f t="shared" si="21"/>
        <v>325.47000000000003</v>
      </c>
      <c r="H128" s="6">
        <f>VLOOKUP(A128,'Rate Calculation'!$A$4:$AL$208,38,FALSE)+G128</f>
        <v>325.47000000000003</v>
      </c>
      <c r="I128" s="6">
        <f>VLOOKUP(A128,'Rate Calculation'!$A$4:$AN$208,40,FALSE)</f>
        <v>250.25</v>
      </c>
      <c r="J128" s="1">
        <v>0</v>
      </c>
      <c r="K128" s="217">
        <v>0</v>
      </c>
      <c r="L128" s="6">
        <f>VLOOKUP(A128,'Rate Calculation'!$A$4:$AO$208,41,FALSE)</f>
        <v>170.97</v>
      </c>
      <c r="M128" s="1">
        <v>0</v>
      </c>
      <c r="N128" s="182">
        <f>VLOOKUP(A128,'Rate Calculation'!$A$4:$AL$208,38,FALSE)</f>
        <v>0</v>
      </c>
      <c r="O128" s="6" t="e">
        <f>VLOOKUP($A128,'Rate Calculation'!$A$3:$BR$210,65,FALSE)</f>
        <v>#DIV/0!</v>
      </c>
      <c r="P128" s="6" t="e">
        <f t="shared" si="22"/>
        <v>#DIV/0!</v>
      </c>
      <c r="Q128" s="6" t="e">
        <f t="shared" si="17"/>
        <v>#DIV/0!</v>
      </c>
      <c r="R128" s="6" t="e">
        <f>VLOOKUP($A128,'Rate Calculation'!$A$3:$AR$210,47,FALSE)+Q128</f>
        <v>#REF!</v>
      </c>
      <c r="S128" s="6" t="e">
        <f>VLOOKUP($A128,'Rate Calculation'!$A$4:$CQ$211,66,FALSE)</f>
        <v>#REF!</v>
      </c>
      <c r="T128" s="6" t="e">
        <f>VLOOKUP($A128,'Rate Calculation'!$A$3:$CQ$210,67,FALSE)</f>
        <v>#REF!</v>
      </c>
      <c r="U128" s="6" t="e">
        <f>VLOOKUP($A128,'Rate Calculation'!$A$3:$DE$210,82,FALSE)</f>
        <v>#DIV/0!</v>
      </c>
      <c r="V128" s="6" t="e">
        <f t="shared" si="23"/>
        <v>#DIV/0!</v>
      </c>
      <c r="W128" s="6" t="e">
        <f t="shared" si="18"/>
        <v>#DIV/0!</v>
      </c>
      <c r="X128" s="6" t="e">
        <f>VLOOKUP($A128,'Rate Calculation'!$A$3:$AR$210,47,FALSE)+W128</f>
        <v>#REF!</v>
      </c>
      <c r="Y128" s="6" t="e">
        <f>VLOOKUP($A128,'Rate Calculation'!$A$4:$CQ$210,83,FALSE)</f>
        <v>#REF!</v>
      </c>
      <c r="Z128" s="6" t="e">
        <f>VLOOKUP($A128,'Rate Calculation'!$A$3:$DE$210,84,FALSE)</f>
        <v>#REF!</v>
      </c>
      <c r="AA128" s="6">
        <f>VLOOKUP($A128,'Rate Calculation'!$A$3:$DE$210,99,FALSE)</f>
        <v>0</v>
      </c>
      <c r="AB128" s="6">
        <f t="shared" si="24"/>
        <v>0</v>
      </c>
      <c r="AC128" s="6">
        <f t="shared" si="19"/>
        <v>0</v>
      </c>
      <c r="AD128" s="6" t="e">
        <f>VLOOKUP($A128,'Rate Calculation'!$A$3:$AR$210,47,FALSE)+AC128</f>
        <v>#REF!</v>
      </c>
      <c r="AE128" s="6" t="e">
        <f>VLOOKUP($A128,'Rate Calculation'!$A$3:$CQ$210,100,FALSE)</f>
        <v>#REF!</v>
      </c>
      <c r="AF128" s="6">
        <f>VLOOKUP($A128,'Rate Calculation'!$A$3:$DE$210,101,FALSE)</f>
        <v>0</v>
      </c>
      <c r="AH128" s="175"/>
    </row>
    <row r="129" spans="1:34" x14ac:dyDescent="0.15">
      <c r="A129" s="130">
        <v>210</v>
      </c>
      <c r="B129" s="37" t="s">
        <v>173</v>
      </c>
      <c r="C129" s="1" t="str">
        <f>VLOOKUP(A129,'Rate Calculation'!$A$4:$F$210,6,FALSE)</f>
        <v>NON METRO</v>
      </c>
      <c r="D129" s="4">
        <v>29393</v>
      </c>
      <c r="E129" s="6">
        <f>VLOOKUP(A129,'Rate Calculation'!$A$4:$AM$208,39,FALSE)</f>
        <v>301.14999999999998</v>
      </c>
      <c r="F129" s="6">
        <f t="shared" si="20"/>
        <v>297.45</v>
      </c>
      <c r="G129" s="6">
        <f t="shared" si="21"/>
        <v>297.45</v>
      </c>
      <c r="H129" s="6">
        <f>VLOOKUP(A129,'Rate Calculation'!$A$4:$AL$208,38,FALSE)+G129</f>
        <v>297.45</v>
      </c>
      <c r="I129" s="6">
        <f>VLOOKUP(A129,'Rate Calculation'!$A$4:$AN$208,40,FALSE)</f>
        <v>226.32</v>
      </c>
      <c r="J129" s="1">
        <v>0</v>
      </c>
      <c r="K129" s="217">
        <v>0</v>
      </c>
      <c r="L129" s="6">
        <f>VLOOKUP(A129,'Rate Calculation'!$A$4:$AO$208,41,FALSE)</f>
        <v>151.47999999999999</v>
      </c>
      <c r="M129" s="1">
        <v>8</v>
      </c>
      <c r="N129" s="182">
        <f>VLOOKUP(A129,'Rate Calculation'!$A$4:$AL$208,38,FALSE)</f>
        <v>0</v>
      </c>
      <c r="O129" s="6" t="e">
        <f>VLOOKUP($A129,'Rate Calculation'!$A$3:$BR$210,65,FALSE)</f>
        <v>#DIV/0!</v>
      </c>
      <c r="P129" s="6" t="e">
        <f t="shared" si="22"/>
        <v>#DIV/0!</v>
      </c>
      <c r="Q129" s="6" t="e">
        <f t="shared" si="17"/>
        <v>#DIV/0!</v>
      </c>
      <c r="R129" s="6" t="e">
        <f>VLOOKUP($A129,'Rate Calculation'!$A$3:$AR$210,47,FALSE)+Q129</f>
        <v>#REF!</v>
      </c>
      <c r="S129" s="6" t="e">
        <f>VLOOKUP($A129,'Rate Calculation'!$A$4:$CQ$211,66,FALSE)</f>
        <v>#REF!</v>
      </c>
      <c r="T129" s="6" t="e">
        <f>VLOOKUP($A129,'Rate Calculation'!$A$3:$CQ$210,67,FALSE)</f>
        <v>#REF!</v>
      </c>
      <c r="U129" s="6" t="e">
        <f>VLOOKUP($A129,'Rate Calculation'!$A$3:$DE$210,82,FALSE)</f>
        <v>#DIV/0!</v>
      </c>
      <c r="V129" s="6" t="e">
        <f t="shared" si="23"/>
        <v>#DIV/0!</v>
      </c>
      <c r="W129" s="6" t="e">
        <f t="shared" si="18"/>
        <v>#DIV/0!</v>
      </c>
      <c r="X129" s="6" t="e">
        <f>VLOOKUP($A129,'Rate Calculation'!$A$3:$AR$210,47,FALSE)+W129</f>
        <v>#REF!</v>
      </c>
      <c r="Y129" s="6" t="e">
        <f>VLOOKUP($A129,'Rate Calculation'!$A$4:$CQ$210,83,FALSE)</f>
        <v>#REF!</v>
      </c>
      <c r="Z129" s="6" t="e">
        <f>VLOOKUP($A129,'Rate Calculation'!$A$3:$DE$210,84,FALSE)</f>
        <v>#REF!</v>
      </c>
      <c r="AA129" s="6">
        <f>VLOOKUP($A129,'Rate Calculation'!$A$3:$DE$210,99,FALSE)</f>
        <v>0</v>
      </c>
      <c r="AB129" s="6">
        <f t="shared" si="24"/>
        <v>0</v>
      </c>
      <c r="AC129" s="6">
        <f t="shared" si="19"/>
        <v>0</v>
      </c>
      <c r="AD129" s="6" t="e">
        <f>VLOOKUP($A129,'Rate Calculation'!$A$3:$AR$210,47,FALSE)+AC129</f>
        <v>#REF!</v>
      </c>
      <c r="AE129" s="6" t="e">
        <f>VLOOKUP($A129,'Rate Calculation'!$A$3:$CQ$210,100,FALSE)</f>
        <v>#REF!</v>
      </c>
      <c r="AF129" s="6">
        <f>VLOOKUP($A129,'Rate Calculation'!$A$3:$DE$210,101,FALSE)</f>
        <v>0</v>
      </c>
      <c r="AH129" s="175"/>
    </row>
    <row r="130" spans="1:34" x14ac:dyDescent="0.15">
      <c r="A130" s="130">
        <v>64</v>
      </c>
      <c r="B130" s="37" t="s">
        <v>398</v>
      </c>
      <c r="C130" s="1" t="str">
        <f>VLOOKUP(A130,'Rate Calculation'!$A$4:$F$210,6,FALSE)</f>
        <v>NON METRO</v>
      </c>
      <c r="D130" s="4">
        <v>33672</v>
      </c>
      <c r="E130" s="6">
        <f>VLOOKUP(A130,'Rate Calculation'!$A$4:$AM$208,39,FALSE)</f>
        <v>292.73</v>
      </c>
      <c r="F130" s="6">
        <f t="shared" si="20"/>
        <v>289.14</v>
      </c>
      <c r="G130" s="6">
        <f t="shared" si="21"/>
        <v>289.14</v>
      </c>
      <c r="H130" s="6">
        <f>VLOOKUP(A130,'Rate Calculation'!$A$4:$AL$208,38,FALSE)+G130</f>
        <v>319.12</v>
      </c>
      <c r="I130" s="6">
        <f>VLOOKUP(A130,'Rate Calculation'!$A$4:$AN$208,40,FALSE)</f>
        <v>219.12</v>
      </c>
      <c r="J130" s="1">
        <v>305</v>
      </c>
      <c r="K130" s="217">
        <v>30030</v>
      </c>
      <c r="L130" s="6">
        <f>VLOOKUP(A130,'Rate Calculation'!$A$4:$AO$208,41,FALSE)</f>
        <v>145.51</v>
      </c>
      <c r="M130" s="1">
        <v>16</v>
      </c>
      <c r="N130" s="182">
        <f>VLOOKUP(A130,'Rate Calculation'!$A$4:$AL$208,38,FALSE)</f>
        <v>29.98</v>
      </c>
      <c r="O130" s="6" t="e">
        <f>VLOOKUP($A130,'Rate Calculation'!$A$3:$BR$210,65,FALSE)</f>
        <v>#DIV/0!</v>
      </c>
      <c r="P130" s="6" t="e">
        <f t="shared" si="22"/>
        <v>#DIV/0!</v>
      </c>
      <c r="Q130" s="6" t="e">
        <f t="shared" si="17"/>
        <v>#DIV/0!</v>
      </c>
      <c r="R130" s="6" t="e">
        <f>VLOOKUP($A130,'Rate Calculation'!$A$3:$AR$210,47,FALSE)+Q130</f>
        <v>#REF!</v>
      </c>
      <c r="S130" s="6" t="e">
        <f>VLOOKUP($A130,'Rate Calculation'!$A$4:$CQ$211,66,FALSE)</f>
        <v>#REF!</v>
      </c>
      <c r="T130" s="6" t="e">
        <f>VLOOKUP($A130,'Rate Calculation'!$A$3:$CQ$210,67,FALSE)</f>
        <v>#REF!</v>
      </c>
      <c r="U130" s="6" t="e">
        <f>VLOOKUP($A130,'Rate Calculation'!$A$3:$DE$210,82,FALSE)</f>
        <v>#DIV/0!</v>
      </c>
      <c r="V130" s="6" t="e">
        <f t="shared" si="23"/>
        <v>#DIV/0!</v>
      </c>
      <c r="W130" s="6" t="e">
        <f t="shared" si="18"/>
        <v>#DIV/0!</v>
      </c>
      <c r="X130" s="6" t="e">
        <f>VLOOKUP($A130,'Rate Calculation'!$A$3:$AR$210,47,FALSE)+W130</f>
        <v>#REF!</v>
      </c>
      <c r="Y130" s="6" t="e">
        <f>VLOOKUP($A130,'Rate Calculation'!$A$4:$CQ$210,83,FALSE)</f>
        <v>#REF!</v>
      </c>
      <c r="Z130" s="6" t="e">
        <f>VLOOKUP($A130,'Rate Calculation'!$A$3:$DE$210,84,FALSE)</f>
        <v>#REF!</v>
      </c>
      <c r="AA130" s="6">
        <f>VLOOKUP($A130,'Rate Calculation'!$A$3:$DE$210,99,FALSE)</f>
        <v>0</v>
      </c>
      <c r="AB130" s="6">
        <f t="shared" si="24"/>
        <v>0</v>
      </c>
      <c r="AC130" s="6">
        <f t="shared" si="19"/>
        <v>0</v>
      </c>
      <c r="AD130" s="6" t="e">
        <f>VLOOKUP($A130,'Rate Calculation'!$A$3:$AR$210,47,FALSE)+AC130</f>
        <v>#REF!</v>
      </c>
      <c r="AE130" s="6" t="e">
        <f>VLOOKUP($A130,'Rate Calculation'!$A$3:$CQ$210,100,FALSE)</f>
        <v>#REF!</v>
      </c>
      <c r="AF130" s="6">
        <f>VLOOKUP($A130,'Rate Calculation'!$A$3:$DE$210,101,FALSE)</f>
        <v>0</v>
      </c>
      <c r="AH130" s="175"/>
    </row>
    <row r="131" spans="1:34" x14ac:dyDescent="0.15">
      <c r="A131" s="130">
        <v>218</v>
      </c>
      <c r="B131" s="37" t="s">
        <v>195</v>
      </c>
      <c r="C131" s="1" t="str">
        <f>VLOOKUP(A131,'Rate Calculation'!$A$4:$F$210,6,FALSE)</f>
        <v>BALTIMORE METRO</v>
      </c>
      <c r="D131" s="4">
        <v>26331</v>
      </c>
      <c r="E131" s="6">
        <f>VLOOKUP(A131,'Rate Calculation'!$A$4:$AM$208,39,FALSE)</f>
        <v>341.95</v>
      </c>
      <c r="F131" s="6">
        <f t="shared" si="20"/>
        <v>337.75</v>
      </c>
      <c r="G131" s="6">
        <f t="shared" si="21"/>
        <v>337.75</v>
      </c>
      <c r="H131" s="6">
        <f>VLOOKUP(A131,'Rate Calculation'!$A$4:$AL$208,38,FALSE)+G131</f>
        <v>366.68</v>
      </c>
      <c r="I131" s="6">
        <f>VLOOKUP(A131,'Rate Calculation'!$A$4:$AN$208,40,FALSE)</f>
        <v>247.81</v>
      </c>
      <c r="J131" s="1">
        <v>0</v>
      </c>
      <c r="K131" s="217">
        <v>7973</v>
      </c>
      <c r="L131" s="6">
        <f>VLOOKUP(A131,'Rate Calculation'!$A$4:$AO$208,41,FALSE)</f>
        <v>153.66</v>
      </c>
      <c r="M131" s="1">
        <v>6</v>
      </c>
      <c r="N131" s="182">
        <f>VLOOKUP(A131,'Rate Calculation'!$A$4:$AL$208,38,FALSE)</f>
        <v>28.93</v>
      </c>
      <c r="O131" s="6" t="e">
        <f>VLOOKUP($A131,'Rate Calculation'!$A$3:$BR$210,65,FALSE)</f>
        <v>#DIV/0!</v>
      </c>
      <c r="P131" s="6" t="e">
        <f t="shared" si="22"/>
        <v>#DIV/0!</v>
      </c>
      <c r="Q131" s="6" t="e">
        <f t="shared" si="17"/>
        <v>#DIV/0!</v>
      </c>
      <c r="R131" s="6" t="e">
        <f>VLOOKUP($A131,'Rate Calculation'!$A$3:$AR$210,47,FALSE)+Q131</f>
        <v>#REF!</v>
      </c>
      <c r="S131" s="6" t="e">
        <f>VLOOKUP($A131,'Rate Calculation'!$A$4:$CQ$211,66,FALSE)</f>
        <v>#REF!</v>
      </c>
      <c r="T131" s="6" t="e">
        <f>VLOOKUP($A131,'Rate Calculation'!$A$3:$CQ$210,67,FALSE)</f>
        <v>#REF!</v>
      </c>
      <c r="U131" s="6" t="e">
        <f>VLOOKUP($A131,'Rate Calculation'!$A$3:$DE$210,82,FALSE)</f>
        <v>#DIV/0!</v>
      </c>
      <c r="V131" s="6" t="e">
        <f t="shared" si="23"/>
        <v>#DIV/0!</v>
      </c>
      <c r="W131" s="6" t="e">
        <f t="shared" si="18"/>
        <v>#DIV/0!</v>
      </c>
      <c r="X131" s="6" t="e">
        <f>VLOOKUP($A131,'Rate Calculation'!$A$3:$AR$210,47,FALSE)+W131</f>
        <v>#REF!</v>
      </c>
      <c r="Y131" s="6" t="e">
        <f>VLOOKUP($A131,'Rate Calculation'!$A$4:$CQ$210,83,FALSE)</f>
        <v>#REF!</v>
      </c>
      <c r="Z131" s="6" t="e">
        <f>VLOOKUP($A131,'Rate Calculation'!$A$3:$DE$210,84,FALSE)</f>
        <v>#REF!</v>
      </c>
      <c r="AA131" s="6">
        <f>VLOOKUP($A131,'Rate Calculation'!$A$3:$DE$210,99,FALSE)</f>
        <v>0</v>
      </c>
      <c r="AB131" s="6">
        <f t="shared" si="24"/>
        <v>0</v>
      </c>
      <c r="AC131" s="6">
        <f t="shared" si="19"/>
        <v>0</v>
      </c>
      <c r="AD131" s="6" t="e">
        <f>VLOOKUP($A131,'Rate Calculation'!$A$3:$AR$210,47,FALSE)+AC131</f>
        <v>#REF!</v>
      </c>
      <c r="AE131" s="6" t="e">
        <f>VLOOKUP($A131,'Rate Calculation'!$A$3:$CQ$210,100,FALSE)</f>
        <v>#REF!</v>
      </c>
      <c r="AF131" s="6">
        <f>VLOOKUP($A131,'Rate Calculation'!$A$3:$DE$210,101,FALSE)</f>
        <v>0</v>
      </c>
      <c r="AH131" s="175"/>
    </row>
    <row r="132" spans="1:34" x14ac:dyDescent="0.15">
      <c r="A132" s="130">
        <v>222</v>
      </c>
      <c r="B132" s="37" t="s">
        <v>680</v>
      </c>
      <c r="C132" s="1" t="str">
        <f>VLOOKUP(A132,'Rate Calculation'!$A$4:$F$210,6,FALSE)</f>
        <v>NON METRO</v>
      </c>
      <c r="D132" s="4">
        <v>16089</v>
      </c>
      <c r="E132" s="6">
        <f>VLOOKUP(A132,'Rate Calculation'!$A$4:$AM$208,39,FALSE)</f>
        <v>305.75</v>
      </c>
      <c r="F132" s="6">
        <f t="shared" si="20"/>
        <v>302</v>
      </c>
      <c r="G132" s="6">
        <f t="shared" si="21"/>
        <v>302</v>
      </c>
      <c r="H132" s="6">
        <f>VLOOKUP(A132,'Rate Calculation'!$A$4:$AL$208,38,FALSE)+G132</f>
        <v>332.01</v>
      </c>
      <c r="I132" s="6">
        <f>VLOOKUP(A132,'Rate Calculation'!$A$4:$AN$208,40,FALSE)</f>
        <v>227.41</v>
      </c>
      <c r="J132" s="1">
        <v>109</v>
      </c>
      <c r="K132" s="217">
        <v>0</v>
      </c>
      <c r="L132" s="6">
        <f>VLOOKUP(A132,'Rate Calculation'!$A$4:$AO$208,41,FALSE)</f>
        <v>149.06</v>
      </c>
      <c r="M132" s="1">
        <v>0</v>
      </c>
      <c r="N132" s="182">
        <f>VLOOKUP(A132,'Rate Calculation'!$A$4:$AL$208,38,FALSE)</f>
        <v>30.01</v>
      </c>
      <c r="O132" s="6" t="e">
        <f>VLOOKUP($A132,'Rate Calculation'!$A$3:$BR$210,65,FALSE)</f>
        <v>#DIV/0!</v>
      </c>
      <c r="P132" s="6" t="e">
        <f t="shared" si="22"/>
        <v>#DIV/0!</v>
      </c>
      <c r="Q132" s="6" t="e">
        <f t="shared" si="17"/>
        <v>#DIV/0!</v>
      </c>
      <c r="R132" s="6" t="e">
        <f>VLOOKUP($A132,'Rate Calculation'!$A$3:$AR$210,47,FALSE)+Q132</f>
        <v>#REF!</v>
      </c>
      <c r="S132" s="6" t="e">
        <f>VLOOKUP($A132,'Rate Calculation'!$A$4:$CQ$211,66,FALSE)</f>
        <v>#REF!</v>
      </c>
      <c r="T132" s="6" t="e">
        <f>VLOOKUP($A132,'Rate Calculation'!$A$3:$CQ$210,67,FALSE)</f>
        <v>#REF!</v>
      </c>
      <c r="U132" s="6" t="e">
        <f>VLOOKUP($A132,'Rate Calculation'!$A$3:$DE$210,82,FALSE)</f>
        <v>#DIV/0!</v>
      </c>
      <c r="V132" s="6" t="e">
        <f t="shared" si="23"/>
        <v>#DIV/0!</v>
      </c>
      <c r="W132" s="6" t="e">
        <f t="shared" si="18"/>
        <v>#DIV/0!</v>
      </c>
      <c r="X132" s="6" t="e">
        <f>VLOOKUP($A132,'Rate Calculation'!$A$3:$AR$210,47,FALSE)+W132</f>
        <v>#REF!</v>
      </c>
      <c r="Y132" s="6" t="e">
        <f>VLOOKUP($A132,'Rate Calculation'!$A$4:$CQ$210,83,FALSE)</f>
        <v>#REF!</v>
      </c>
      <c r="Z132" s="6" t="e">
        <f>VLOOKUP($A132,'Rate Calculation'!$A$3:$DE$210,84,FALSE)</f>
        <v>#REF!</v>
      </c>
      <c r="AA132" s="6">
        <f>VLOOKUP($A132,'Rate Calculation'!$A$3:$DE$210,99,FALSE)</f>
        <v>0</v>
      </c>
      <c r="AB132" s="6">
        <f t="shared" si="24"/>
        <v>0</v>
      </c>
      <c r="AC132" s="6">
        <f t="shared" si="19"/>
        <v>0</v>
      </c>
      <c r="AD132" s="6" t="e">
        <f>VLOOKUP($A132,'Rate Calculation'!$A$3:$AR$210,47,FALSE)+AC132</f>
        <v>#REF!</v>
      </c>
      <c r="AE132" s="6" t="e">
        <f>VLOOKUP($A132,'Rate Calculation'!$A$3:$CQ$210,100,FALSE)</f>
        <v>#REF!</v>
      </c>
      <c r="AF132" s="6">
        <f>VLOOKUP($A132,'Rate Calculation'!$A$3:$DE$210,101,FALSE)</f>
        <v>0</v>
      </c>
      <c r="AH132" s="175"/>
    </row>
    <row r="133" spans="1:34" x14ac:dyDescent="0.15">
      <c r="A133" s="130">
        <v>230</v>
      </c>
      <c r="B133" s="37" t="s">
        <v>183</v>
      </c>
      <c r="C133" s="1" t="str">
        <f>VLOOKUP(A133,'Rate Calculation'!$A$4:$F$210,6,FALSE)</f>
        <v>WASHINGTON METRO</v>
      </c>
      <c r="D133" s="4">
        <v>95665</v>
      </c>
      <c r="E133" s="6">
        <f>VLOOKUP(A133,'Rate Calculation'!$A$4:$AM$208,39,FALSE)</f>
        <v>342.8</v>
      </c>
      <c r="F133" s="6">
        <f t="shared" si="20"/>
        <v>338.59</v>
      </c>
      <c r="G133" s="6">
        <f t="shared" si="21"/>
        <v>338.59</v>
      </c>
      <c r="H133" s="6">
        <f>VLOOKUP(A133,'Rate Calculation'!$A$4:$AL$208,38,FALSE)+G133</f>
        <v>341.02</v>
      </c>
      <c r="I133" s="6">
        <f>VLOOKUP(A133,'Rate Calculation'!$A$4:$AN$208,40,FALSE)</f>
        <v>257.38</v>
      </c>
      <c r="J133" s="1">
        <v>0</v>
      </c>
      <c r="K133" s="217">
        <v>164893</v>
      </c>
      <c r="L133" s="6">
        <f>VLOOKUP(A133,'Rate Calculation'!$A$4:$AO$208,41,FALSE)</f>
        <v>171.95</v>
      </c>
      <c r="M133" s="1">
        <v>99</v>
      </c>
      <c r="N133" s="182">
        <f>VLOOKUP(A133,'Rate Calculation'!$A$4:$AL$208,38,FALSE)</f>
        <v>2.4300000000000002</v>
      </c>
      <c r="O133" s="6" t="e">
        <f>VLOOKUP($A133,'Rate Calculation'!$A$3:$BR$210,65,FALSE)</f>
        <v>#DIV/0!</v>
      </c>
      <c r="P133" s="6" t="e">
        <f t="shared" si="22"/>
        <v>#DIV/0!</v>
      </c>
      <c r="Q133" s="6" t="e">
        <f t="shared" si="17"/>
        <v>#DIV/0!</v>
      </c>
      <c r="R133" s="6" t="e">
        <f>VLOOKUP($A133,'Rate Calculation'!$A$3:$AR$210,47,FALSE)+Q133</f>
        <v>#REF!</v>
      </c>
      <c r="S133" s="6" t="e">
        <f>VLOOKUP($A133,'Rate Calculation'!$A$4:$CQ$211,66,FALSE)</f>
        <v>#REF!</v>
      </c>
      <c r="T133" s="6" t="e">
        <f>VLOOKUP($A133,'Rate Calculation'!$A$3:$CQ$210,67,FALSE)</f>
        <v>#REF!</v>
      </c>
      <c r="U133" s="6" t="e">
        <f>VLOOKUP($A133,'Rate Calculation'!$A$3:$DE$210,82,FALSE)</f>
        <v>#DIV/0!</v>
      </c>
      <c r="V133" s="6" t="e">
        <f t="shared" si="23"/>
        <v>#DIV/0!</v>
      </c>
      <c r="W133" s="6" t="e">
        <f t="shared" si="18"/>
        <v>#DIV/0!</v>
      </c>
      <c r="X133" s="6" t="e">
        <f>VLOOKUP($A133,'Rate Calculation'!$A$3:$AR$210,47,FALSE)+W133</f>
        <v>#REF!</v>
      </c>
      <c r="Y133" s="6" t="e">
        <f>VLOOKUP($A133,'Rate Calculation'!$A$4:$CQ$210,83,FALSE)</f>
        <v>#REF!</v>
      </c>
      <c r="Z133" s="6" t="e">
        <f>VLOOKUP($A133,'Rate Calculation'!$A$3:$DE$210,84,FALSE)</f>
        <v>#REF!</v>
      </c>
      <c r="AA133" s="6">
        <f>VLOOKUP($A133,'Rate Calculation'!$A$3:$DE$210,99,FALSE)</f>
        <v>0</v>
      </c>
      <c r="AB133" s="6">
        <f t="shared" si="24"/>
        <v>0</v>
      </c>
      <c r="AC133" s="6">
        <f t="shared" si="19"/>
        <v>0</v>
      </c>
      <c r="AD133" s="6" t="e">
        <f>VLOOKUP($A133,'Rate Calculation'!$A$3:$AR$210,47,FALSE)+AC133</f>
        <v>#REF!</v>
      </c>
      <c r="AE133" s="6" t="e">
        <f>VLOOKUP($A133,'Rate Calculation'!$A$3:$CQ$210,100,FALSE)</f>
        <v>#REF!</v>
      </c>
      <c r="AF133" s="6">
        <f>VLOOKUP($A133,'Rate Calculation'!$A$3:$DE$210,101,FALSE)</f>
        <v>0</v>
      </c>
      <c r="AH133" s="175"/>
    </row>
    <row r="134" spans="1:34" x14ac:dyDescent="0.15">
      <c r="A134" s="130">
        <v>460</v>
      </c>
      <c r="B134" s="37" t="s">
        <v>182</v>
      </c>
      <c r="C134" s="1" t="str">
        <f>VLOOKUP(A134,'Rate Calculation'!$A$4:$F$210,6,FALSE)</f>
        <v>WASHINGTON METRO</v>
      </c>
      <c r="D134" s="4">
        <v>28358</v>
      </c>
      <c r="E134" s="6">
        <f>VLOOKUP(A134,'Rate Calculation'!$A$4:$AM$208,39,FALSE)</f>
        <v>326.14</v>
      </c>
      <c r="F134" s="6">
        <f t="shared" si="20"/>
        <v>322.14</v>
      </c>
      <c r="G134" s="6">
        <f t="shared" si="21"/>
        <v>322.14</v>
      </c>
      <c r="H134" s="6">
        <f>VLOOKUP(A134,'Rate Calculation'!$A$4:$AL$208,38,FALSE)+G134</f>
        <v>322.14</v>
      </c>
      <c r="I134" s="6">
        <f>VLOOKUP(A134,'Rate Calculation'!$A$4:$AN$208,40,FALSE)</f>
        <v>247</v>
      </c>
      <c r="J134" s="1">
        <v>0</v>
      </c>
      <c r="K134" s="217">
        <v>71480</v>
      </c>
      <c r="L134" s="6">
        <f>VLOOKUP(A134,'Rate Calculation'!$A$4:$AO$208,41,FALSE)</f>
        <v>167.85</v>
      </c>
      <c r="M134" s="1">
        <v>32</v>
      </c>
      <c r="N134" s="182">
        <f>VLOOKUP(A134,'Rate Calculation'!$A$4:$AL$208,38,FALSE)</f>
        <v>0</v>
      </c>
      <c r="O134" s="6" t="e">
        <f>VLOOKUP($A134,'Rate Calculation'!$A$3:$BR$210,65,FALSE)</f>
        <v>#DIV/0!</v>
      </c>
      <c r="P134" s="6" t="e">
        <f t="shared" si="22"/>
        <v>#DIV/0!</v>
      </c>
      <c r="Q134" s="6" t="e">
        <f t="shared" si="17"/>
        <v>#DIV/0!</v>
      </c>
      <c r="R134" s="6" t="e">
        <f>VLOOKUP($A134,'Rate Calculation'!$A$3:$AR$210,47,FALSE)+Q134</f>
        <v>#REF!</v>
      </c>
      <c r="S134" s="6" t="e">
        <f>VLOOKUP($A134,'Rate Calculation'!$A$4:$CQ$211,66,FALSE)</f>
        <v>#REF!</v>
      </c>
      <c r="T134" s="6" t="e">
        <f>VLOOKUP($A134,'Rate Calculation'!$A$3:$CQ$210,67,FALSE)</f>
        <v>#REF!</v>
      </c>
      <c r="U134" s="6" t="e">
        <f>VLOOKUP($A134,'Rate Calculation'!$A$3:$DE$210,82,FALSE)</f>
        <v>#DIV/0!</v>
      </c>
      <c r="V134" s="6" t="e">
        <f t="shared" si="23"/>
        <v>#DIV/0!</v>
      </c>
      <c r="W134" s="6" t="e">
        <f t="shared" si="18"/>
        <v>#DIV/0!</v>
      </c>
      <c r="X134" s="6" t="e">
        <f>VLOOKUP($A134,'Rate Calculation'!$A$3:$AR$210,47,FALSE)+W134</f>
        <v>#REF!</v>
      </c>
      <c r="Y134" s="6" t="e">
        <f>VLOOKUP($A134,'Rate Calculation'!$A$4:$CQ$210,83,FALSE)</f>
        <v>#REF!</v>
      </c>
      <c r="Z134" s="6" t="e">
        <f>VLOOKUP($A134,'Rate Calculation'!$A$3:$DE$210,84,FALSE)</f>
        <v>#REF!</v>
      </c>
      <c r="AA134" s="6">
        <f>VLOOKUP($A134,'Rate Calculation'!$A$3:$DE$210,99,FALSE)</f>
        <v>0</v>
      </c>
      <c r="AB134" s="6">
        <f t="shared" si="24"/>
        <v>0</v>
      </c>
      <c r="AC134" s="6">
        <f t="shared" si="19"/>
        <v>0</v>
      </c>
      <c r="AD134" s="6" t="e">
        <f>VLOOKUP($A134,'Rate Calculation'!$A$3:$AR$210,47,FALSE)+AC134</f>
        <v>#REF!</v>
      </c>
      <c r="AE134" s="6" t="e">
        <f>VLOOKUP($A134,'Rate Calculation'!$A$3:$CQ$210,100,FALSE)</f>
        <v>#REF!</v>
      </c>
      <c r="AF134" s="6">
        <f>VLOOKUP($A134,'Rate Calculation'!$A$3:$DE$210,101,FALSE)</f>
        <v>0</v>
      </c>
      <c r="AH134" s="175"/>
    </row>
    <row r="135" spans="1:34" x14ac:dyDescent="0.15">
      <c r="A135" s="130">
        <v>238</v>
      </c>
      <c r="B135" s="37" t="s">
        <v>235</v>
      </c>
      <c r="C135" s="1" t="str">
        <f>VLOOKUP(A135,'Rate Calculation'!$A$4:$F$210,6,FALSE)</f>
        <v>BALTIMORE METRO</v>
      </c>
      <c r="D135" s="4">
        <v>21131</v>
      </c>
      <c r="E135" s="6">
        <f>VLOOKUP(A135,'Rate Calculation'!$A$4:$AM$208,39,FALSE)</f>
        <v>349.72</v>
      </c>
      <c r="F135" s="6">
        <f t="shared" si="20"/>
        <v>345.43</v>
      </c>
      <c r="G135" s="6">
        <f t="shared" si="21"/>
        <v>345.43</v>
      </c>
      <c r="H135" s="6">
        <f>VLOOKUP(A135,'Rate Calculation'!$A$4:$AL$208,38,FALSE)+G135</f>
        <v>376.56</v>
      </c>
      <c r="I135" s="6">
        <f>VLOOKUP(A135,'Rate Calculation'!$A$4:$AN$208,40,FALSE)</f>
        <v>259.77</v>
      </c>
      <c r="J135" s="1">
        <v>0</v>
      </c>
      <c r="K135" s="217">
        <v>3733</v>
      </c>
      <c r="L135" s="6">
        <f>VLOOKUP(A135,'Rate Calculation'!$A$4:$AO$208,41,FALSE)</f>
        <v>169.81</v>
      </c>
      <c r="M135" s="1">
        <v>28</v>
      </c>
      <c r="N135" s="182">
        <f>VLOOKUP(A135,'Rate Calculation'!$A$4:$AL$208,38,FALSE)</f>
        <v>31.13</v>
      </c>
      <c r="O135" s="6" t="e">
        <f>VLOOKUP($A135,'Rate Calculation'!$A$3:$BR$210,65,FALSE)</f>
        <v>#DIV/0!</v>
      </c>
      <c r="P135" s="6" t="e">
        <f t="shared" si="22"/>
        <v>#DIV/0!</v>
      </c>
      <c r="Q135" s="6" t="e">
        <f t="shared" si="17"/>
        <v>#DIV/0!</v>
      </c>
      <c r="R135" s="6" t="e">
        <f>VLOOKUP($A135,'Rate Calculation'!$A$3:$AR$210,47,FALSE)+Q135</f>
        <v>#REF!</v>
      </c>
      <c r="S135" s="6" t="e">
        <f>VLOOKUP($A135,'Rate Calculation'!$A$4:$CQ$211,66,FALSE)</f>
        <v>#REF!</v>
      </c>
      <c r="T135" s="6" t="e">
        <f>VLOOKUP($A135,'Rate Calculation'!$A$3:$CQ$210,67,FALSE)</f>
        <v>#REF!</v>
      </c>
      <c r="U135" s="6" t="e">
        <f>VLOOKUP($A135,'Rate Calculation'!$A$3:$DE$210,82,FALSE)</f>
        <v>#DIV/0!</v>
      </c>
      <c r="V135" s="6" t="e">
        <f t="shared" si="23"/>
        <v>#DIV/0!</v>
      </c>
      <c r="W135" s="6" t="e">
        <f t="shared" si="18"/>
        <v>#DIV/0!</v>
      </c>
      <c r="X135" s="6" t="e">
        <f>VLOOKUP($A135,'Rate Calculation'!$A$3:$AR$210,47,FALSE)+W135</f>
        <v>#REF!</v>
      </c>
      <c r="Y135" s="6" t="e">
        <f>VLOOKUP($A135,'Rate Calculation'!$A$4:$CQ$210,83,FALSE)</f>
        <v>#REF!</v>
      </c>
      <c r="Z135" s="6" t="e">
        <f>VLOOKUP($A135,'Rate Calculation'!$A$3:$DE$210,84,FALSE)</f>
        <v>#REF!</v>
      </c>
      <c r="AA135" s="6">
        <f>VLOOKUP($A135,'Rate Calculation'!$A$3:$DE$210,99,FALSE)</f>
        <v>0</v>
      </c>
      <c r="AB135" s="6">
        <f t="shared" si="24"/>
        <v>0</v>
      </c>
      <c r="AC135" s="6">
        <f t="shared" si="19"/>
        <v>0</v>
      </c>
      <c r="AD135" s="6" t="e">
        <f>VLOOKUP($A135,'Rate Calculation'!$A$3:$AR$210,47,FALSE)+AC135</f>
        <v>#REF!</v>
      </c>
      <c r="AE135" s="6" t="e">
        <f>VLOOKUP($A135,'Rate Calculation'!$A$3:$CQ$210,100,FALSE)</f>
        <v>#REF!</v>
      </c>
      <c r="AF135" s="6">
        <f>VLOOKUP($A135,'Rate Calculation'!$A$3:$DE$210,101,FALSE)</f>
        <v>0</v>
      </c>
      <c r="AH135" s="175"/>
    </row>
    <row r="136" spans="1:34" x14ac:dyDescent="0.15">
      <c r="A136" s="130">
        <v>242</v>
      </c>
      <c r="B136" s="37" t="s">
        <v>200</v>
      </c>
      <c r="C136" s="1" t="str">
        <f>VLOOKUP(A136,'Rate Calculation'!$A$4:$F$210,6,FALSE)</f>
        <v>NON METRO</v>
      </c>
      <c r="D136" s="4">
        <v>5090</v>
      </c>
      <c r="E136" s="6">
        <f>VLOOKUP(A136,'Rate Calculation'!$A$4:$AM$208,39,FALSE)</f>
        <v>314.70999999999998</v>
      </c>
      <c r="F136" s="6">
        <f t="shared" si="20"/>
        <v>310.85000000000002</v>
      </c>
      <c r="G136" s="6">
        <f t="shared" si="21"/>
        <v>310.85000000000002</v>
      </c>
      <c r="H136" s="6">
        <f>VLOOKUP(A136,'Rate Calculation'!$A$4:$AL$208,38,FALSE)+G136</f>
        <v>310.85000000000002</v>
      </c>
      <c r="I136" s="6">
        <f>VLOOKUP(A136,'Rate Calculation'!$A$4:$AN$208,40,FALSE)</f>
        <v>236.1</v>
      </c>
      <c r="J136" s="1">
        <v>0</v>
      </c>
      <c r="K136" s="217">
        <v>0</v>
      </c>
      <c r="L136" s="6">
        <f>VLOOKUP(A136,'Rate Calculation'!$A$4:$AO$208,41,FALSE)</f>
        <v>157.49</v>
      </c>
      <c r="M136" s="1">
        <v>0</v>
      </c>
      <c r="N136" s="182">
        <f>VLOOKUP(A136,'Rate Calculation'!$A$4:$AL$208,38,FALSE)</f>
        <v>0</v>
      </c>
      <c r="O136" s="6" t="e">
        <f>VLOOKUP($A136,'Rate Calculation'!$A$3:$BR$210,65,FALSE)</f>
        <v>#DIV/0!</v>
      </c>
      <c r="P136" s="6" t="e">
        <f t="shared" si="22"/>
        <v>#DIV/0!</v>
      </c>
      <c r="Q136" s="6" t="e">
        <f t="shared" si="17"/>
        <v>#DIV/0!</v>
      </c>
      <c r="R136" s="6" t="e">
        <f>VLOOKUP($A136,'Rate Calculation'!$A$3:$AR$210,47,FALSE)+Q136</f>
        <v>#REF!</v>
      </c>
      <c r="S136" s="6" t="e">
        <f>VLOOKUP($A136,'Rate Calculation'!$A$4:$CQ$211,66,FALSE)</f>
        <v>#REF!</v>
      </c>
      <c r="T136" s="6" t="e">
        <f>VLOOKUP($A136,'Rate Calculation'!$A$3:$CQ$210,67,FALSE)</f>
        <v>#REF!</v>
      </c>
      <c r="U136" s="6" t="e">
        <f>VLOOKUP($A136,'Rate Calculation'!$A$3:$DE$210,82,FALSE)</f>
        <v>#DIV/0!</v>
      </c>
      <c r="V136" s="6" t="e">
        <f t="shared" si="23"/>
        <v>#DIV/0!</v>
      </c>
      <c r="W136" s="6" t="e">
        <f t="shared" si="18"/>
        <v>#DIV/0!</v>
      </c>
      <c r="X136" s="6" t="e">
        <f>VLOOKUP($A136,'Rate Calculation'!$A$3:$AR$210,47,FALSE)+W136</f>
        <v>#REF!</v>
      </c>
      <c r="Y136" s="6" t="e">
        <f>VLOOKUP($A136,'Rate Calculation'!$A$4:$CQ$210,83,FALSE)</f>
        <v>#REF!</v>
      </c>
      <c r="Z136" s="6" t="e">
        <f>VLOOKUP($A136,'Rate Calculation'!$A$3:$DE$210,84,FALSE)</f>
        <v>#REF!</v>
      </c>
      <c r="AA136" s="6">
        <f>VLOOKUP($A136,'Rate Calculation'!$A$3:$DE$210,99,FALSE)</f>
        <v>0</v>
      </c>
      <c r="AB136" s="6">
        <f t="shared" si="24"/>
        <v>0</v>
      </c>
      <c r="AC136" s="6">
        <f t="shared" si="19"/>
        <v>0</v>
      </c>
      <c r="AD136" s="6" t="e">
        <f>VLOOKUP($A136,'Rate Calculation'!$A$3:$AR$210,47,FALSE)+AC136</f>
        <v>#REF!</v>
      </c>
      <c r="AE136" s="6" t="e">
        <f>VLOOKUP($A136,'Rate Calculation'!$A$3:$CQ$210,100,FALSE)</f>
        <v>#REF!</v>
      </c>
      <c r="AF136" s="6">
        <f>VLOOKUP($A136,'Rate Calculation'!$A$3:$DE$210,101,FALSE)</f>
        <v>0</v>
      </c>
      <c r="AH136" s="175"/>
    </row>
    <row r="137" spans="1:34" x14ac:dyDescent="0.15">
      <c r="A137" s="130">
        <v>244</v>
      </c>
      <c r="B137" s="37" t="s">
        <v>186</v>
      </c>
      <c r="C137" s="1" t="str">
        <f>VLOOKUP(A137,'Rate Calculation'!$A$4:$F$210,6,FALSE)</f>
        <v>NON METRO</v>
      </c>
      <c r="D137" s="4">
        <v>7618</v>
      </c>
      <c r="E137" s="6">
        <f>VLOOKUP(A137,'Rate Calculation'!$A$4:$AM$208,39,FALSE)</f>
        <v>301.92</v>
      </c>
      <c r="F137" s="6">
        <f t="shared" si="20"/>
        <v>298.20999999999998</v>
      </c>
      <c r="G137" s="6">
        <f t="shared" si="21"/>
        <v>298.20999999999998</v>
      </c>
      <c r="H137" s="6">
        <f>VLOOKUP(A137,'Rate Calculation'!$A$4:$AL$208,38,FALSE)+G137</f>
        <v>298.20999999999998</v>
      </c>
      <c r="I137" s="6">
        <f>VLOOKUP(A137,'Rate Calculation'!$A$4:$AN$208,40,FALSE)</f>
        <v>229.71</v>
      </c>
      <c r="J137" s="1">
        <v>0</v>
      </c>
      <c r="K137" s="217">
        <v>0</v>
      </c>
      <c r="L137" s="6">
        <f>VLOOKUP(A137,'Rate Calculation'!$A$4:$AO$208,41,FALSE)</f>
        <v>157.49</v>
      </c>
      <c r="M137" s="1">
        <v>1</v>
      </c>
      <c r="N137" s="182">
        <f>VLOOKUP(A137,'Rate Calculation'!$A$4:$AL$208,38,FALSE)</f>
        <v>0</v>
      </c>
      <c r="O137" s="6" t="e">
        <f>VLOOKUP($A137,'Rate Calculation'!$A$3:$BR$210,65,FALSE)</f>
        <v>#DIV/0!</v>
      </c>
      <c r="P137" s="6" t="e">
        <f t="shared" si="22"/>
        <v>#DIV/0!</v>
      </c>
      <c r="Q137" s="6" t="e">
        <f t="shared" si="17"/>
        <v>#DIV/0!</v>
      </c>
      <c r="R137" s="6" t="e">
        <f>VLOOKUP($A137,'Rate Calculation'!$A$3:$AR$210,47,FALSE)+Q137</f>
        <v>#REF!</v>
      </c>
      <c r="S137" s="6" t="e">
        <f>VLOOKUP($A137,'Rate Calculation'!$A$4:$CQ$211,66,FALSE)</f>
        <v>#REF!</v>
      </c>
      <c r="T137" s="6" t="e">
        <f>VLOOKUP($A137,'Rate Calculation'!$A$3:$CQ$210,67,FALSE)</f>
        <v>#REF!</v>
      </c>
      <c r="U137" s="6" t="e">
        <f>VLOOKUP($A137,'Rate Calculation'!$A$3:$DE$210,82,FALSE)</f>
        <v>#DIV/0!</v>
      </c>
      <c r="V137" s="6" t="e">
        <f t="shared" si="23"/>
        <v>#DIV/0!</v>
      </c>
      <c r="W137" s="6" t="e">
        <f t="shared" si="18"/>
        <v>#DIV/0!</v>
      </c>
      <c r="X137" s="6" t="e">
        <f>VLOOKUP($A137,'Rate Calculation'!$A$3:$AR$210,47,FALSE)+W137</f>
        <v>#REF!</v>
      </c>
      <c r="Y137" s="6" t="e">
        <f>VLOOKUP($A137,'Rate Calculation'!$A$4:$CQ$210,83,FALSE)</f>
        <v>#REF!</v>
      </c>
      <c r="Z137" s="6" t="e">
        <f>VLOOKUP($A137,'Rate Calculation'!$A$3:$DE$210,84,FALSE)</f>
        <v>#REF!</v>
      </c>
      <c r="AA137" s="6">
        <f>VLOOKUP($A137,'Rate Calculation'!$A$3:$DE$210,99,FALSE)</f>
        <v>0</v>
      </c>
      <c r="AB137" s="6">
        <f t="shared" si="24"/>
        <v>0</v>
      </c>
      <c r="AC137" s="6">
        <f t="shared" si="19"/>
        <v>0</v>
      </c>
      <c r="AD137" s="6" t="e">
        <f>VLOOKUP($A137,'Rate Calculation'!$A$3:$AR$210,47,FALSE)+AC137</f>
        <v>#REF!</v>
      </c>
      <c r="AE137" s="6" t="e">
        <f>VLOOKUP($A137,'Rate Calculation'!$A$3:$CQ$210,100,FALSE)</f>
        <v>#REF!</v>
      </c>
      <c r="AF137" s="6">
        <f>VLOOKUP($A137,'Rate Calculation'!$A$3:$DE$210,101,FALSE)</f>
        <v>0</v>
      </c>
      <c r="AH137" s="175"/>
    </row>
    <row r="138" spans="1:34" x14ac:dyDescent="0.15">
      <c r="A138" s="130">
        <v>226</v>
      </c>
      <c r="B138" s="37" t="s">
        <v>496</v>
      </c>
      <c r="C138" s="1" t="str">
        <f>VLOOKUP(A138,'Rate Calculation'!$A$4:$F$210,6,FALSE)</f>
        <v>WASHINGTON METRO</v>
      </c>
      <c r="D138" s="4">
        <v>22629</v>
      </c>
      <c r="E138" s="6">
        <f>VLOOKUP(A138,'Rate Calculation'!$A$4:$AM$208,39,FALSE)</f>
        <v>286.83</v>
      </c>
      <c r="F138" s="6">
        <f t="shared" si="20"/>
        <v>283.31</v>
      </c>
      <c r="G138" s="6">
        <f t="shared" si="21"/>
        <v>283.31</v>
      </c>
      <c r="H138" s="6">
        <f>VLOOKUP(A138,'Rate Calculation'!$A$4:$AL$208,38,FALSE)+G138</f>
        <v>312.27999999999997</v>
      </c>
      <c r="I138" s="6">
        <f>VLOOKUP(A138,'Rate Calculation'!$A$4:$AN$208,40,FALSE)</f>
        <v>218.13</v>
      </c>
      <c r="J138" s="1">
        <v>0</v>
      </c>
      <c r="K138" s="217">
        <v>25222</v>
      </c>
      <c r="L138" s="6">
        <f>VLOOKUP(A138,'Rate Calculation'!$A$4:$AO$208,41,FALSE)</f>
        <v>149.43</v>
      </c>
      <c r="M138" s="1">
        <v>18</v>
      </c>
      <c r="N138" s="182">
        <f>VLOOKUP(A138,'Rate Calculation'!$A$4:$AL$208,38,FALSE)</f>
        <v>28.97</v>
      </c>
      <c r="O138" s="6" t="e">
        <f>VLOOKUP($A138,'Rate Calculation'!$A$3:$BR$210,65,FALSE)</f>
        <v>#DIV/0!</v>
      </c>
      <c r="P138" s="6" t="e">
        <f t="shared" si="22"/>
        <v>#DIV/0!</v>
      </c>
      <c r="Q138" s="6" t="e">
        <f t="shared" si="17"/>
        <v>#DIV/0!</v>
      </c>
      <c r="R138" s="6" t="e">
        <f>VLOOKUP($A138,'Rate Calculation'!$A$3:$AR$210,47,FALSE)+Q138</f>
        <v>#REF!</v>
      </c>
      <c r="S138" s="6" t="e">
        <f>VLOOKUP($A138,'Rate Calculation'!$A$4:$CQ$211,66,FALSE)</f>
        <v>#REF!</v>
      </c>
      <c r="T138" s="6" t="e">
        <f>VLOOKUP($A138,'Rate Calculation'!$A$3:$CQ$210,67,FALSE)</f>
        <v>#REF!</v>
      </c>
      <c r="U138" s="6" t="e">
        <f>VLOOKUP($A138,'Rate Calculation'!$A$3:$DE$210,82,FALSE)</f>
        <v>#DIV/0!</v>
      </c>
      <c r="V138" s="6" t="e">
        <f t="shared" si="23"/>
        <v>#DIV/0!</v>
      </c>
      <c r="W138" s="6" t="e">
        <f t="shared" si="18"/>
        <v>#DIV/0!</v>
      </c>
      <c r="X138" s="6" t="e">
        <f>VLOOKUP($A138,'Rate Calculation'!$A$3:$AR$210,47,FALSE)+W138</f>
        <v>#REF!</v>
      </c>
      <c r="Y138" s="6" t="e">
        <f>VLOOKUP($A138,'Rate Calculation'!$A$4:$CQ$210,83,FALSE)</f>
        <v>#REF!</v>
      </c>
      <c r="Z138" s="6" t="e">
        <f>VLOOKUP($A138,'Rate Calculation'!$A$3:$DE$210,84,FALSE)</f>
        <v>#REF!</v>
      </c>
      <c r="AA138" s="6">
        <f>VLOOKUP($A138,'Rate Calculation'!$A$3:$DE$210,99,FALSE)</f>
        <v>0</v>
      </c>
      <c r="AB138" s="6">
        <f t="shared" si="24"/>
        <v>0</v>
      </c>
      <c r="AC138" s="6">
        <f t="shared" si="19"/>
        <v>0</v>
      </c>
      <c r="AD138" s="6" t="e">
        <f>VLOOKUP($A138,'Rate Calculation'!$A$3:$AR$210,47,FALSE)+AC138</f>
        <v>#REF!</v>
      </c>
      <c r="AE138" s="6" t="e">
        <f>VLOOKUP($A138,'Rate Calculation'!$A$3:$CQ$210,100,FALSE)</f>
        <v>#REF!</v>
      </c>
      <c r="AF138" s="6">
        <f>VLOOKUP($A138,'Rate Calculation'!$A$3:$DE$210,101,FALSE)</f>
        <v>0</v>
      </c>
      <c r="AH138" s="175"/>
    </row>
    <row r="139" spans="1:34" x14ac:dyDescent="0.15">
      <c r="A139" s="130">
        <v>1194</v>
      </c>
      <c r="B139" s="37" t="s">
        <v>237</v>
      </c>
      <c r="C139" s="1" t="str">
        <f>VLOOKUP(A139,'Rate Calculation'!$A$4:$F$210,6,FALSE)</f>
        <v>WASHINGTON METRO</v>
      </c>
      <c r="D139" s="4">
        <v>0</v>
      </c>
      <c r="E139" s="6">
        <f>VLOOKUP(A139,'Rate Calculation'!$A$4:$AM$208,39,FALSE)</f>
        <v>344.55</v>
      </c>
      <c r="F139" s="6">
        <f t="shared" si="20"/>
        <v>340.32</v>
      </c>
      <c r="G139" s="6">
        <f t="shared" si="21"/>
        <v>340.32</v>
      </c>
      <c r="H139" s="6">
        <f>VLOOKUP(A139,'Rate Calculation'!$A$4:$AL$208,38,FALSE)+G139</f>
        <v>340.32</v>
      </c>
      <c r="I139" s="6">
        <f>VLOOKUP(A139,'Rate Calculation'!$A$4:$AN$208,40,FALSE)</f>
        <v>256.14</v>
      </c>
      <c r="J139" s="1">
        <v>0</v>
      </c>
      <c r="K139" s="217">
        <v>0</v>
      </c>
      <c r="L139" s="6">
        <f>VLOOKUP(A139,'Rate Calculation'!$A$4:$AO$208,41,FALSE)</f>
        <v>167.73</v>
      </c>
      <c r="M139" s="1">
        <v>0</v>
      </c>
      <c r="N139" s="182">
        <f>VLOOKUP(A139,'Rate Calculation'!$A$4:$AL$208,38,FALSE)</f>
        <v>0</v>
      </c>
      <c r="O139" s="6" t="e">
        <f>VLOOKUP($A139,'Rate Calculation'!$A$3:$BR$210,65,FALSE)</f>
        <v>#DIV/0!</v>
      </c>
      <c r="P139" s="6" t="e">
        <f t="shared" si="22"/>
        <v>#DIV/0!</v>
      </c>
      <c r="Q139" s="6" t="e">
        <f t="shared" si="17"/>
        <v>#DIV/0!</v>
      </c>
      <c r="R139" s="6" t="e">
        <f>VLOOKUP($A139,'Rate Calculation'!$A$3:$AR$210,47,FALSE)+Q139</f>
        <v>#REF!</v>
      </c>
      <c r="S139" s="6" t="e">
        <f>VLOOKUP($A139,'Rate Calculation'!$A$4:$CQ$211,66,FALSE)</f>
        <v>#REF!</v>
      </c>
      <c r="T139" s="6" t="e">
        <f>VLOOKUP($A139,'Rate Calculation'!$A$3:$CQ$210,67,FALSE)</f>
        <v>#REF!</v>
      </c>
      <c r="U139" s="6" t="e">
        <f>VLOOKUP($A139,'Rate Calculation'!$A$3:$DE$210,82,FALSE)</f>
        <v>#DIV/0!</v>
      </c>
      <c r="V139" s="6" t="e">
        <f t="shared" si="23"/>
        <v>#DIV/0!</v>
      </c>
      <c r="W139" s="6" t="e">
        <f t="shared" si="18"/>
        <v>#DIV/0!</v>
      </c>
      <c r="X139" s="6" t="e">
        <f>VLOOKUP($A139,'Rate Calculation'!$A$3:$AR$210,47,FALSE)+W139</f>
        <v>#REF!</v>
      </c>
      <c r="Y139" s="6" t="e">
        <f>VLOOKUP($A139,'Rate Calculation'!$A$4:$CQ$210,83,FALSE)</f>
        <v>#REF!</v>
      </c>
      <c r="Z139" s="6" t="e">
        <f>VLOOKUP($A139,'Rate Calculation'!$A$3:$DE$210,84,FALSE)</f>
        <v>#REF!</v>
      </c>
      <c r="AA139" s="6">
        <f>VLOOKUP($A139,'Rate Calculation'!$A$3:$DE$210,99,FALSE)</f>
        <v>0</v>
      </c>
      <c r="AB139" s="6">
        <f t="shared" si="24"/>
        <v>0</v>
      </c>
      <c r="AC139" s="6">
        <f t="shared" si="19"/>
        <v>0</v>
      </c>
      <c r="AD139" s="6" t="e">
        <f>VLOOKUP($A139,'Rate Calculation'!$A$3:$AR$210,47,FALSE)+AC139</f>
        <v>#REF!</v>
      </c>
      <c r="AE139" s="6" t="e">
        <f>VLOOKUP($A139,'Rate Calculation'!$A$3:$CQ$210,100,FALSE)</f>
        <v>#REF!</v>
      </c>
      <c r="AF139" s="6">
        <f>VLOOKUP($A139,'Rate Calculation'!$A$3:$DE$210,101,FALSE)</f>
        <v>0</v>
      </c>
      <c r="AH139" s="175"/>
    </row>
    <row r="140" spans="1:34" x14ac:dyDescent="0.15">
      <c r="A140" s="130">
        <v>254</v>
      </c>
      <c r="B140" s="37" t="s">
        <v>378</v>
      </c>
      <c r="C140" s="1" t="str">
        <f>VLOOKUP(A140,'Rate Calculation'!$A$4:$F$210,6,FALSE)</f>
        <v>NON METRO</v>
      </c>
      <c r="D140" s="4">
        <v>28352</v>
      </c>
      <c r="E140" s="6">
        <f>VLOOKUP(A140,'Rate Calculation'!$A$4:$AM$208,39,FALSE)</f>
        <v>292.36</v>
      </c>
      <c r="F140" s="6">
        <f t="shared" si="20"/>
        <v>288.77</v>
      </c>
      <c r="G140" s="6">
        <f t="shared" si="21"/>
        <v>288.77</v>
      </c>
      <c r="H140" s="6">
        <f>VLOOKUP(A140,'Rate Calculation'!$A$4:$AL$208,38,FALSE)+G140</f>
        <v>317.19</v>
      </c>
      <c r="I140" s="6">
        <f>VLOOKUP(A140,'Rate Calculation'!$A$4:$AN$208,40,FALSE)</f>
        <v>225.25</v>
      </c>
      <c r="J140" s="1">
        <v>0</v>
      </c>
      <c r="K140" s="217">
        <v>6</v>
      </c>
      <c r="L140" s="6">
        <f>VLOOKUP(A140,'Rate Calculation'!$A$4:$AO$208,41,FALSE)</f>
        <v>158.13</v>
      </c>
      <c r="M140" s="1">
        <v>13</v>
      </c>
      <c r="N140" s="182">
        <f>VLOOKUP(A140,'Rate Calculation'!$A$4:$AL$208,38,FALSE)</f>
        <v>28.42</v>
      </c>
      <c r="O140" s="6" t="e">
        <f>VLOOKUP($A140,'Rate Calculation'!$A$3:$BR$210,65,FALSE)</f>
        <v>#DIV/0!</v>
      </c>
      <c r="P140" s="6" t="e">
        <f t="shared" si="22"/>
        <v>#DIV/0!</v>
      </c>
      <c r="Q140" s="6" t="e">
        <f t="shared" si="17"/>
        <v>#DIV/0!</v>
      </c>
      <c r="R140" s="6" t="e">
        <f>VLOOKUP($A140,'Rate Calculation'!$A$3:$AR$210,47,FALSE)+Q140</f>
        <v>#REF!</v>
      </c>
      <c r="S140" s="6" t="e">
        <f>VLOOKUP($A140,'Rate Calculation'!$A$4:$CQ$211,66,FALSE)</f>
        <v>#REF!</v>
      </c>
      <c r="T140" s="6" t="e">
        <f>VLOOKUP($A140,'Rate Calculation'!$A$3:$CQ$210,67,FALSE)</f>
        <v>#REF!</v>
      </c>
      <c r="U140" s="6" t="e">
        <f>VLOOKUP($A140,'Rate Calculation'!$A$3:$DE$210,82,FALSE)</f>
        <v>#DIV/0!</v>
      </c>
      <c r="V140" s="6" t="e">
        <f t="shared" si="23"/>
        <v>#DIV/0!</v>
      </c>
      <c r="W140" s="6" t="e">
        <f t="shared" si="18"/>
        <v>#DIV/0!</v>
      </c>
      <c r="X140" s="6" t="e">
        <f>VLOOKUP($A140,'Rate Calculation'!$A$3:$AR$210,47,FALSE)+W140</f>
        <v>#REF!</v>
      </c>
      <c r="Y140" s="6" t="e">
        <f>VLOOKUP($A140,'Rate Calculation'!$A$4:$CQ$210,83,FALSE)</f>
        <v>#REF!</v>
      </c>
      <c r="Z140" s="6" t="e">
        <f>VLOOKUP($A140,'Rate Calculation'!$A$3:$DE$210,84,FALSE)</f>
        <v>#REF!</v>
      </c>
      <c r="AA140" s="6">
        <f>VLOOKUP($A140,'Rate Calculation'!$A$3:$DE$210,99,FALSE)</f>
        <v>0</v>
      </c>
      <c r="AB140" s="6">
        <f t="shared" si="24"/>
        <v>0</v>
      </c>
      <c r="AC140" s="6">
        <f t="shared" si="19"/>
        <v>0</v>
      </c>
      <c r="AD140" s="6" t="e">
        <f>VLOOKUP($A140,'Rate Calculation'!$A$3:$AR$210,47,FALSE)+AC140</f>
        <v>#REF!</v>
      </c>
      <c r="AE140" s="6" t="e">
        <f>VLOOKUP($A140,'Rate Calculation'!$A$3:$CQ$210,100,FALSE)</f>
        <v>#REF!</v>
      </c>
      <c r="AF140" s="6">
        <f>VLOOKUP($A140,'Rate Calculation'!$A$3:$DE$210,101,FALSE)</f>
        <v>0</v>
      </c>
      <c r="AH140" s="175"/>
    </row>
    <row r="141" spans="1:34" x14ac:dyDescent="0.15">
      <c r="A141" s="130">
        <v>256</v>
      </c>
      <c r="B141" s="37" t="s">
        <v>228</v>
      </c>
      <c r="C141" s="1" t="str">
        <f>VLOOKUP(A141,'Rate Calculation'!$A$4:$F$210,6,FALSE)</f>
        <v>WASHINGTON METRO</v>
      </c>
      <c r="D141" s="4">
        <v>16825</v>
      </c>
      <c r="E141" s="6">
        <f>VLOOKUP(A141,'Rate Calculation'!$A$4:$AM$208,39,FALSE)</f>
        <v>301.08999999999997</v>
      </c>
      <c r="F141" s="6">
        <f t="shared" si="20"/>
        <v>297.39</v>
      </c>
      <c r="G141" s="6">
        <f t="shared" si="21"/>
        <v>297.39</v>
      </c>
      <c r="H141" s="6">
        <f>VLOOKUP(A141,'Rate Calculation'!$A$4:$AL$208,38,FALSE)+G141</f>
        <v>329.47</v>
      </c>
      <c r="I141" s="6">
        <f>VLOOKUP(A141,'Rate Calculation'!$A$4:$AN$208,40,FALSE)</f>
        <v>228.04</v>
      </c>
      <c r="J141" s="1">
        <v>0</v>
      </c>
      <c r="K141" s="217">
        <v>57252</v>
      </c>
      <c r="L141" s="6">
        <f>VLOOKUP(A141,'Rate Calculation'!$A$4:$AO$208,41,FALSE)</f>
        <v>154.97999999999999</v>
      </c>
      <c r="M141" s="1">
        <v>19</v>
      </c>
      <c r="N141" s="182">
        <f>VLOOKUP(A141,'Rate Calculation'!$A$4:$AL$208,38,FALSE)</f>
        <v>32.08</v>
      </c>
      <c r="O141" s="6" t="e">
        <f>VLOOKUP($A141,'Rate Calculation'!$A$3:$BR$210,65,FALSE)</f>
        <v>#DIV/0!</v>
      </c>
      <c r="P141" s="6" t="e">
        <f t="shared" si="22"/>
        <v>#DIV/0!</v>
      </c>
      <c r="Q141" s="6" t="e">
        <f t="shared" si="17"/>
        <v>#DIV/0!</v>
      </c>
      <c r="R141" s="6" t="e">
        <f>VLOOKUP($A141,'Rate Calculation'!$A$3:$AR$210,47,FALSE)+Q141</f>
        <v>#REF!</v>
      </c>
      <c r="S141" s="6" t="e">
        <f>VLOOKUP($A141,'Rate Calculation'!$A$4:$CQ$211,66,FALSE)</f>
        <v>#REF!</v>
      </c>
      <c r="T141" s="6" t="e">
        <f>VLOOKUP($A141,'Rate Calculation'!$A$3:$CQ$210,67,FALSE)</f>
        <v>#REF!</v>
      </c>
      <c r="U141" s="6" t="e">
        <f>VLOOKUP($A141,'Rate Calculation'!$A$3:$DE$210,82,FALSE)</f>
        <v>#DIV/0!</v>
      </c>
      <c r="V141" s="6" t="e">
        <f t="shared" si="23"/>
        <v>#DIV/0!</v>
      </c>
      <c r="W141" s="6" t="e">
        <f t="shared" si="18"/>
        <v>#DIV/0!</v>
      </c>
      <c r="X141" s="6" t="e">
        <f>VLOOKUP($A141,'Rate Calculation'!$A$3:$AR$210,47,FALSE)+W141</f>
        <v>#REF!</v>
      </c>
      <c r="Y141" s="6" t="e">
        <f>VLOOKUP($A141,'Rate Calculation'!$A$4:$CQ$210,83,FALSE)</f>
        <v>#REF!</v>
      </c>
      <c r="Z141" s="6" t="e">
        <f>VLOOKUP($A141,'Rate Calculation'!$A$3:$DE$210,84,FALSE)</f>
        <v>#REF!</v>
      </c>
      <c r="AA141" s="6">
        <f>VLOOKUP($A141,'Rate Calculation'!$A$3:$DE$210,99,FALSE)</f>
        <v>0</v>
      </c>
      <c r="AB141" s="6">
        <f t="shared" si="24"/>
        <v>0</v>
      </c>
      <c r="AC141" s="6">
        <f t="shared" si="19"/>
        <v>0</v>
      </c>
      <c r="AD141" s="6" t="e">
        <f>VLOOKUP($A141,'Rate Calculation'!$A$3:$AR$210,47,FALSE)+AC141</f>
        <v>#REF!</v>
      </c>
      <c r="AE141" s="6" t="e">
        <f>VLOOKUP($A141,'Rate Calculation'!$A$3:$CQ$210,100,FALSE)</f>
        <v>#REF!</v>
      </c>
      <c r="AF141" s="6">
        <f>VLOOKUP($A141,'Rate Calculation'!$A$3:$DE$210,101,FALSE)</f>
        <v>0</v>
      </c>
      <c r="AH141" s="175"/>
    </row>
    <row r="142" spans="1:34" x14ac:dyDescent="0.15">
      <c r="A142" s="130">
        <v>258</v>
      </c>
      <c r="B142" s="37" t="s">
        <v>204</v>
      </c>
      <c r="C142" s="1" t="str">
        <f>VLOOKUP(A142,'Rate Calculation'!$A$4:$F$210,6,FALSE)</f>
        <v>BALTIMORE CITY</v>
      </c>
      <c r="D142" s="4">
        <v>37506</v>
      </c>
      <c r="E142" s="6">
        <f>VLOOKUP(A142,'Rate Calculation'!$A$4:$AM$208,39,FALSE)</f>
        <v>401.27</v>
      </c>
      <c r="F142" s="6">
        <f t="shared" si="20"/>
        <v>396.34</v>
      </c>
      <c r="G142" s="6">
        <f t="shared" si="21"/>
        <v>396.34</v>
      </c>
      <c r="H142" s="6">
        <f>VLOOKUP(A142,'Rate Calculation'!$A$4:$AL$208,38,FALSE)+G142</f>
        <v>422.91</v>
      </c>
      <c r="I142" s="6">
        <f>VLOOKUP(A142,'Rate Calculation'!$A$4:$AN$208,40,FALSE)</f>
        <v>299.99</v>
      </c>
      <c r="J142" s="1">
        <v>0</v>
      </c>
      <c r="K142" s="217">
        <v>112618</v>
      </c>
      <c r="L142" s="6">
        <f>VLOOKUP(A142,'Rate Calculation'!$A$4:$AO$208,41,FALSE)</f>
        <v>198.71</v>
      </c>
      <c r="M142" s="1">
        <v>8</v>
      </c>
      <c r="N142" s="182">
        <f>VLOOKUP(A142,'Rate Calculation'!$A$4:$AL$208,38,FALSE)</f>
        <v>26.57</v>
      </c>
      <c r="O142" s="6" t="e">
        <f>VLOOKUP($A142,'Rate Calculation'!$A$3:$BR$210,65,FALSE)</f>
        <v>#DIV/0!</v>
      </c>
      <c r="P142" s="6" t="e">
        <f t="shared" si="22"/>
        <v>#DIV/0!</v>
      </c>
      <c r="Q142" s="6" t="e">
        <f t="shared" si="17"/>
        <v>#DIV/0!</v>
      </c>
      <c r="R142" s="6" t="e">
        <f>VLOOKUP($A142,'Rate Calculation'!$A$3:$AR$210,47,FALSE)+Q142</f>
        <v>#REF!</v>
      </c>
      <c r="S142" s="6" t="e">
        <f>VLOOKUP($A142,'Rate Calculation'!$A$4:$CQ$211,66,FALSE)</f>
        <v>#REF!</v>
      </c>
      <c r="T142" s="6" t="e">
        <f>VLOOKUP($A142,'Rate Calculation'!$A$3:$CQ$210,67,FALSE)</f>
        <v>#REF!</v>
      </c>
      <c r="U142" s="6" t="e">
        <f>VLOOKUP($A142,'Rate Calculation'!$A$3:$DE$210,82,FALSE)</f>
        <v>#DIV/0!</v>
      </c>
      <c r="V142" s="6" t="e">
        <f t="shared" si="23"/>
        <v>#DIV/0!</v>
      </c>
      <c r="W142" s="6" t="e">
        <f t="shared" si="18"/>
        <v>#DIV/0!</v>
      </c>
      <c r="X142" s="6" t="e">
        <f>VLOOKUP($A142,'Rate Calculation'!$A$3:$AR$210,47,FALSE)+W142</f>
        <v>#REF!</v>
      </c>
      <c r="Y142" s="6" t="e">
        <f>VLOOKUP($A142,'Rate Calculation'!$A$4:$CQ$210,83,FALSE)</f>
        <v>#REF!</v>
      </c>
      <c r="Z142" s="6" t="e">
        <f>VLOOKUP($A142,'Rate Calculation'!$A$3:$DE$210,84,FALSE)</f>
        <v>#REF!</v>
      </c>
      <c r="AA142" s="6">
        <f>VLOOKUP($A142,'Rate Calculation'!$A$3:$DE$210,99,FALSE)</f>
        <v>0</v>
      </c>
      <c r="AB142" s="6">
        <f t="shared" si="24"/>
        <v>0</v>
      </c>
      <c r="AC142" s="6">
        <f t="shared" si="19"/>
        <v>0</v>
      </c>
      <c r="AD142" s="6" t="e">
        <f>VLOOKUP($A142,'Rate Calculation'!$A$3:$AR$210,47,FALSE)+AC142</f>
        <v>#REF!</v>
      </c>
      <c r="AE142" s="6" t="e">
        <f>VLOOKUP($A142,'Rate Calculation'!$A$3:$CQ$210,100,FALSE)</f>
        <v>#REF!</v>
      </c>
      <c r="AF142" s="6">
        <f>VLOOKUP($A142,'Rate Calculation'!$A$3:$DE$210,101,FALSE)</f>
        <v>0</v>
      </c>
      <c r="AH142" s="175"/>
    </row>
    <row r="143" spans="1:34" x14ac:dyDescent="0.15">
      <c r="A143" s="130">
        <v>336</v>
      </c>
      <c r="B143" s="37" t="s">
        <v>385</v>
      </c>
      <c r="C143" s="1" t="str">
        <f>VLOOKUP(A143,'Rate Calculation'!$A$4:$F$210,6,FALSE)</f>
        <v>BALTIMORE METRO</v>
      </c>
      <c r="D143" s="4">
        <v>21535</v>
      </c>
      <c r="E143" s="6">
        <f>VLOOKUP(A143,'Rate Calculation'!$A$4:$AM$208,39,FALSE)</f>
        <v>314.70999999999998</v>
      </c>
      <c r="F143" s="6">
        <f t="shared" si="20"/>
        <v>310.85000000000002</v>
      </c>
      <c r="G143" s="6">
        <f t="shared" si="21"/>
        <v>310.85000000000002</v>
      </c>
      <c r="H143" s="6">
        <f>VLOOKUP(A143,'Rate Calculation'!$A$4:$AL$208,38,FALSE)+G143</f>
        <v>331.31</v>
      </c>
      <c r="I143" s="6">
        <f>VLOOKUP(A143,'Rate Calculation'!$A$4:$AN$208,40,FALSE)</f>
        <v>241.28</v>
      </c>
      <c r="J143" s="1">
        <v>0</v>
      </c>
      <c r="K143" s="217">
        <v>19243</v>
      </c>
      <c r="L143" s="6">
        <f>VLOOKUP(A143,'Rate Calculation'!$A$4:$AO$208,41,FALSE)</f>
        <v>167.84</v>
      </c>
      <c r="M143" s="1">
        <v>10</v>
      </c>
      <c r="N143" s="182">
        <f>VLOOKUP(A143,'Rate Calculation'!$A$4:$AL$208,38,FALSE)</f>
        <v>20.46</v>
      </c>
      <c r="O143" s="6" t="e">
        <f>VLOOKUP($A143,'Rate Calculation'!$A$3:$BR$210,65,FALSE)</f>
        <v>#DIV/0!</v>
      </c>
      <c r="P143" s="6" t="e">
        <f t="shared" si="22"/>
        <v>#DIV/0!</v>
      </c>
      <c r="Q143" s="6" t="e">
        <f t="shared" si="17"/>
        <v>#DIV/0!</v>
      </c>
      <c r="R143" s="6" t="e">
        <f>VLOOKUP($A143,'Rate Calculation'!$A$3:$AR$210,47,FALSE)+Q143</f>
        <v>#REF!</v>
      </c>
      <c r="S143" s="6" t="e">
        <f>VLOOKUP($A143,'Rate Calculation'!$A$4:$CQ$211,66,FALSE)</f>
        <v>#REF!</v>
      </c>
      <c r="T143" s="6" t="e">
        <f>VLOOKUP($A143,'Rate Calculation'!$A$3:$CQ$210,67,FALSE)</f>
        <v>#REF!</v>
      </c>
      <c r="U143" s="6" t="e">
        <f>VLOOKUP($A143,'Rate Calculation'!$A$3:$DE$210,82,FALSE)</f>
        <v>#DIV/0!</v>
      </c>
      <c r="V143" s="6" t="e">
        <f t="shared" si="23"/>
        <v>#DIV/0!</v>
      </c>
      <c r="W143" s="6" t="e">
        <f t="shared" si="18"/>
        <v>#DIV/0!</v>
      </c>
      <c r="X143" s="6" t="e">
        <f>VLOOKUP($A143,'Rate Calculation'!$A$3:$AR$210,47,FALSE)+W143</f>
        <v>#REF!</v>
      </c>
      <c r="Y143" s="6" t="e">
        <f>VLOOKUP($A143,'Rate Calculation'!$A$4:$CQ$210,83,FALSE)</f>
        <v>#REF!</v>
      </c>
      <c r="Z143" s="6" t="e">
        <f>VLOOKUP($A143,'Rate Calculation'!$A$3:$DE$210,84,FALSE)</f>
        <v>#REF!</v>
      </c>
      <c r="AA143" s="6">
        <f>VLOOKUP($A143,'Rate Calculation'!$A$3:$DE$210,99,FALSE)</f>
        <v>0</v>
      </c>
      <c r="AB143" s="6">
        <f t="shared" si="24"/>
        <v>0</v>
      </c>
      <c r="AC143" s="6">
        <f t="shared" si="19"/>
        <v>0</v>
      </c>
      <c r="AD143" s="6" t="e">
        <f>VLOOKUP($A143,'Rate Calculation'!$A$3:$AR$210,47,FALSE)+AC143</f>
        <v>#REF!</v>
      </c>
      <c r="AE143" s="6" t="e">
        <f>VLOOKUP($A143,'Rate Calculation'!$A$3:$CQ$210,100,FALSE)</f>
        <v>#REF!</v>
      </c>
      <c r="AF143" s="6">
        <f>VLOOKUP($A143,'Rate Calculation'!$A$3:$DE$210,101,FALSE)</f>
        <v>0</v>
      </c>
      <c r="AH143" s="175"/>
    </row>
    <row r="144" spans="1:34" x14ac:dyDescent="0.15">
      <c r="A144" s="130">
        <v>312</v>
      </c>
      <c r="B144" s="37" t="s">
        <v>497</v>
      </c>
      <c r="C144" s="1" t="str">
        <f>VLOOKUP(A144,'Rate Calculation'!$A$4:$F$210,6,FALSE)</f>
        <v>WASHINGTON METRO</v>
      </c>
      <c r="D144" s="4">
        <v>23180</v>
      </c>
      <c r="E144" s="6">
        <f>VLOOKUP(A144,'Rate Calculation'!$A$4:$AM$208,39,FALSE)</f>
        <v>291.54000000000002</v>
      </c>
      <c r="F144" s="6">
        <f t="shared" si="20"/>
        <v>287.95999999999998</v>
      </c>
      <c r="G144" s="6">
        <f t="shared" si="21"/>
        <v>287.95999999999998</v>
      </c>
      <c r="H144" s="6">
        <f>VLOOKUP(A144,'Rate Calculation'!$A$4:$AL$208,38,FALSE)+G144</f>
        <v>313.26</v>
      </c>
      <c r="I144" s="6">
        <f>VLOOKUP(A144,'Rate Calculation'!$A$4:$AN$208,40,FALSE)</f>
        <v>221.18</v>
      </c>
      <c r="J144" s="1">
        <v>0</v>
      </c>
      <c r="K144" s="217">
        <v>16006</v>
      </c>
      <c r="L144" s="6">
        <f>VLOOKUP(A144,'Rate Calculation'!$A$4:$AO$208,41,FALSE)</f>
        <v>150.81</v>
      </c>
      <c r="M144" s="1">
        <v>4</v>
      </c>
      <c r="N144" s="182">
        <f>VLOOKUP(A144,'Rate Calculation'!$A$4:$AL$208,38,FALSE)</f>
        <v>25.3</v>
      </c>
      <c r="O144" s="6" t="e">
        <f>VLOOKUP($A144,'Rate Calculation'!$A$3:$BR$210,65,FALSE)</f>
        <v>#DIV/0!</v>
      </c>
      <c r="P144" s="6" t="e">
        <f t="shared" si="22"/>
        <v>#DIV/0!</v>
      </c>
      <c r="Q144" s="6" t="e">
        <f t="shared" si="17"/>
        <v>#DIV/0!</v>
      </c>
      <c r="R144" s="6" t="e">
        <f>VLOOKUP($A144,'Rate Calculation'!$A$3:$AR$210,47,FALSE)+Q144</f>
        <v>#REF!</v>
      </c>
      <c r="S144" s="6" t="e">
        <f>VLOOKUP($A144,'Rate Calculation'!$A$4:$CQ$211,66,FALSE)</f>
        <v>#REF!</v>
      </c>
      <c r="T144" s="6" t="e">
        <f>VLOOKUP($A144,'Rate Calculation'!$A$3:$CQ$210,67,FALSE)</f>
        <v>#REF!</v>
      </c>
      <c r="U144" s="6" t="e">
        <f>VLOOKUP($A144,'Rate Calculation'!$A$3:$DE$210,82,FALSE)</f>
        <v>#DIV/0!</v>
      </c>
      <c r="V144" s="6" t="e">
        <f t="shared" si="23"/>
        <v>#DIV/0!</v>
      </c>
      <c r="W144" s="6" t="e">
        <f t="shared" si="18"/>
        <v>#DIV/0!</v>
      </c>
      <c r="X144" s="6" t="e">
        <f>VLOOKUP($A144,'Rate Calculation'!$A$3:$AR$210,47,FALSE)+W144</f>
        <v>#REF!</v>
      </c>
      <c r="Y144" s="6" t="e">
        <f>VLOOKUP($A144,'Rate Calculation'!$A$4:$CQ$210,83,FALSE)</f>
        <v>#REF!</v>
      </c>
      <c r="Z144" s="6" t="e">
        <f>VLOOKUP($A144,'Rate Calculation'!$A$3:$DE$210,84,FALSE)</f>
        <v>#REF!</v>
      </c>
      <c r="AA144" s="6">
        <f>VLOOKUP($A144,'Rate Calculation'!$A$3:$DE$210,99,FALSE)</f>
        <v>0</v>
      </c>
      <c r="AB144" s="6">
        <f t="shared" si="24"/>
        <v>0</v>
      </c>
      <c r="AC144" s="6">
        <f t="shared" si="19"/>
        <v>0</v>
      </c>
      <c r="AD144" s="6" t="e">
        <f>VLOOKUP($A144,'Rate Calculation'!$A$3:$AR$210,47,FALSE)+AC144</f>
        <v>#REF!</v>
      </c>
      <c r="AE144" s="6" t="e">
        <f>VLOOKUP($A144,'Rate Calculation'!$A$3:$CQ$210,100,FALSE)</f>
        <v>#REF!</v>
      </c>
      <c r="AF144" s="6">
        <f>VLOOKUP($A144,'Rate Calculation'!$A$3:$DE$210,101,FALSE)</f>
        <v>0</v>
      </c>
      <c r="AH144" s="175"/>
    </row>
    <row r="145" spans="1:34" x14ac:dyDescent="0.15">
      <c r="A145" s="130">
        <v>264</v>
      </c>
      <c r="B145" s="37" t="s">
        <v>400</v>
      </c>
      <c r="C145" s="1" t="str">
        <f>VLOOKUP(A145,'Rate Calculation'!$A$4:$F$210,6,FALSE)</f>
        <v>WASHINGTON METRO</v>
      </c>
      <c r="D145" s="4">
        <v>24831</v>
      </c>
      <c r="E145" s="6">
        <f>VLOOKUP(A145,'Rate Calculation'!$A$4:$AM$208,39,FALSE)</f>
        <v>421.03</v>
      </c>
      <c r="F145" s="6">
        <f t="shared" si="20"/>
        <v>415.86</v>
      </c>
      <c r="G145" s="6">
        <f t="shared" si="21"/>
        <v>415.86</v>
      </c>
      <c r="H145" s="6">
        <f>VLOOKUP(A145,'Rate Calculation'!$A$4:$AL$208,38,FALSE)+G145</f>
        <v>433</v>
      </c>
      <c r="I145" s="6">
        <f>VLOOKUP(A145,'Rate Calculation'!$A$4:$AN$208,40,FALSE)</f>
        <v>293.44</v>
      </c>
      <c r="J145" s="1">
        <v>0</v>
      </c>
      <c r="K145" s="217">
        <v>0</v>
      </c>
      <c r="L145" s="6">
        <f>VLOOKUP(A145,'Rate Calculation'!$A$4:$AO$208,41,FALSE)</f>
        <v>165.85</v>
      </c>
      <c r="M145" s="1">
        <v>0</v>
      </c>
      <c r="N145" s="182">
        <f>VLOOKUP(A145,'Rate Calculation'!$A$4:$AL$208,38,FALSE)</f>
        <v>17.14</v>
      </c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H145" s="175"/>
    </row>
    <row r="146" spans="1:34" x14ac:dyDescent="0.15">
      <c r="A146" s="130">
        <v>737</v>
      </c>
      <c r="B146" s="37" t="s">
        <v>229</v>
      </c>
      <c r="C146" s="1" t="str">
        <f>VLOOKUP(A146,'Rate Calculation'!$A$4:$F$210,6,FALSE)</f>
        <v>NON METRO</v>
      </c>
      <c r="D146" s="4">
        <v>25422</v>
      </c>
      <c r="E146" s="6">
        <f>VLOOKUP(A146,'Rate Calculation'!$A$4:$AM$208,39,FALSE)</f>
        <v>284.35000000000002</v>
      </c>
      <c r="F146" s="6">
        <f t="shared" si="20"/>
        <v>280.86</v>
      </c>
      <c r="G146" s="6">
        <f t="shared" si="21"/>
        <v>280.86</v>
      </c>
      <c r="H146" s="6">
        <f>VLOOKUP(A146,'Rate Calculation'!$A$4:$AL$208,38,FALSE)+G146</f>
        <v>312.06</v>
      </c>
      <c r="I146" s="6">
        <f>VLOOKUP(A146,'Rate Calculation'!$A$4:$AN$208,40,FALSE)</f>
        <v>212.25</v>
      </c>
      <c r="J146" s="1">
        <v>0</v>
      </c>
      <c r="K146" s="217">
        <v>254</v>
      </c>
      <c r="L146" s="6">
        <f>VLOOKUP(A146,'Rate Calculation'!$A$4:$AO$208,41,FALSE)</f>
        <v>140.15</v>
      </c>
      <c r="M146" s="1">
        <v>3</v>
      </c>
      <c r="N146" s="182">
        <f>VLOOKUP(A146,'Rate Calculation'!$A$4:$AL$208,38,FALSE)</f>
        <v>31.2</v>
      </c>
      <c r="O146" s="6" t="e">
        <f>VLOOKUP($A146,'Rate Calculation'!$A$3:$BR$210,65,FALSE)</f>
        <v>#DIV/0!</v>
      </c>
      <c r="P146" s="6" t="e">
        <f t="shared" si="22"/>
        <v>#DIV/0!</v>
      </c>
      <c r="Q146" s="6" t="e">
        <f t="shared" ref="Q146:Q209" si="25">+P146</f>
        <v>#DIV/0!</v>
      </c>
      <c r="R146" s="6" t="e">
        <f>VLOOKUP($A146,'Rate Calculation'!$A$3:$AR$210,47,FALSE)+Q146</f>
        <v>#REF!</v>
      </c>
      <c r="S146" s="6" t="e">
        <f>VLOOKUP($A146,'Rate Calculation'!$A$4:$CQ$211,66,FALSE)</f>
        <v>#REF!</v>
      </c>
      <c r="T146" s="6" t="e">
        <f>VLOOKUP($A146,'Rate Calculation'!$A$3:$CQ$210,67,FALSE)</f>
        <v>#REF!</v>
      </c>
      <c r="U146" s="6" t="e">
        <f>VLOOKUP($A146,'Rate Calculation'!$A$3:$DE$210,82,FALSE)</f>
        <v>#DIV/0!</v>
      </c>
      <c r="V146" s="6" t="e">
        <f t="shared" si="23"/>
        <v>#DIV/0!</v>
      </c>
      <c r="W146" s="6" t="e">
        <f t="shared" ref="W146:W209" si="26">+V146</f>
        <v>#DIV/0!</v>
      </c>
      <c r="X146" s="6" t="e">
        <f>VLOOKUP($A146,'Rate Calculation'!$A$3:$AR$210,47,FALSE)+W146</f>
        <v>#REF!</v>
      </c>
      <c r="Y146" s="6" t="e">
        <f>VLOOKUP($A146,'Rate Calculation'!$A$4:$CQ$210,83,FALSE)</f>
        <v>#REF!</v>
      </c>
      <c r="Z146" s="6" t="e">
        <f>VLOOKUP($A146,'Rate Calculation'!$A$3:$DE$210,84,FALSE)</f>
        <v>#REF!</v>
      </c>
      <c r="AA146" s="6">
        <f>VLOOKUP($A146,'Rate Calculation'!$A$3:$DE$210,99,FALSE)</f>
        <v>0</v>
      </c>
      <c r="AB146" s="6">
        <f t="shared" si="24"/>
        <v>0</v>
      </c>
      <c r="AC146" s="6">
        <f t="shared" ref="AC146:AC209" si="27">+AB146</f>
        <v>0</v>
      </c>
      <c r="AD146" s="6" t="e">
        <f>VLOOKUP($A146,'Rate Calculation'!$A$3:$AR$210,47,FALSE)+AC146</f>
        <v>#REF!</v>
      </c>
      <c r="AE146" s="6" t="e">
        <f>VLOOKUP($A146,'Rate Calculation'!$A$3:$CQ$210,100,FALSE)</f>
        <v>#REF!</v>
      </c>
      <c r="AF146" s="6">
        <f>VLOOKUP($A146,'Rate Calculation'!$A$3:$DE$210,101,FALSE)</f>
        <v>0</v>
      </c>
      <c r="AH146" s="175"/>
    </row>
    <row r="147" spans="1:34" x14ac:dyDescent="0.15">
      <c r="A147" s="130">
        <v>268</v>
      </c>
      <c r="B147" s="37" t="s">
        <v>452</v>
      </c>
      <c r="C147" s="1" t="str">
        <f>VLOOKUP(A147,'Rate Calculation'!$A$4:$F$210,6,FALSE)</f>
        <v>WASHINGTON METRO</v>
      </c>
      <c r="D147" s="4">
        <v>25417</v>
      </c>
      <c r="E147" s="6">
        <f>VLOOKUP(A147,'Rate Calculation'!$A$4:$AM$208,39,FALSE)</f>
        <v>307.89</v>
      </c>
      <c r="F147" s="6">
        <f t="shared" ref="F147:F210" si="28">ROUND(E147*$G$12,2)</f>
        <v>304.11</v>
      </c>
      <c r="G147" s="6">
        <f t="shared" ref="G147:G210" si="29">+F147</f>
        <v>304.11</v>
      </c>
      <c r="H147" s="6">
        <f>VLOOKUP(A147,'Rate Calculation'!$A$4:$AL$208,38,FALSE)+G147</f>
        <v>326.88</v>
      </c>
      <c r="I147" s="6">
        <f>VLOOKUP(A147,'Rate Calculation'!$A$4:$AN$208,40,FALSE)</f>
        <v>236.54</v>
      </c>
      <c r="J147" s="1">
        <v>0</v>
      </c>
      <c r="K147" s="217">
        <v>80773</v>
      </c>
      <c r="L147" s="6">
        <f>VLOOKUP(A147,'Rate Calculation'!$A$4:$AO$208,41,FALSE)</f>
        <v>165.18</v>
      </c>
      <c r="M147" s="1">
        <v>0</v>
      </c>
      <c r="N147" s="182">
        <f>VLOOKUP(A147,'Rate Calculation'!$A$4:$AL$208,38,FALSE)</f>
        <v>22.77</v>
      </c>
      <c r="O147" s="6" t="e">
        <f>VLOOKUP($A147,'Rate Calculation'!$A$3:$BR$210,65,FALSE)</f>
        <v>#DIV/0!</v>
      </c>
      <c r="P147" s="6" t="e">
        <f t="shared" ref="P147:P210" si="30">ROUND(O147*$G$12,2)</f>
        <v>#DIV/0!</v>
      </c>
      <c r="Q147" s="6" t="e">
        <f t="shared" si="25"/>
        <v>#DIV/0!</v>
      </c>
      <c r="R147" s="6" t="e">
        <f>VLOOKUP($A147,'Rate Calculation'!$A$3:$AR$210,47,FALSE)+Q147</f>
        <v>#REF!</v>
      </c>
      <c r="S147" s="6" t="e">
        <f>VLOOKUP($A147,'Rate Calculation'!$A$4:$CQ$211,66,FALSE)</f>
        <v>#REF!</v>
      </c>
      <c r="T147" s="6" t="e">
        <f>VLOOKUP($A147,'Rate Calculation'!$A$3:$CQ$210,67,FALSE)</f>
        <v>#REF!</v>
      </c>
      <c r="U147" s="6" t="e">
        <f>VLOOKUP($A147,'Rate Calculation'!$A$3:$DE$210,82,FALSE)</f>
        <v>#DIV/0!</v>
      </c>
      <c r="V147" s="6" t="e">
        <f t="shared" ref="V147:V210" si="31">ROUND(U147*$G$12,2)</f>
        <v>#DIV/0!</v>
      </c>
      <c r="W147" s="6" t="e">
        <f t="shared" si="26"/>
        <v>#DIV/0!</v>
      </c>
      <c r="X147" s="6" t="e">
        <f>VLOOKUP($A147,'Rate Calculation'!$A$3:$AR$210,47,FALSE)+W147</f>
        <v>#REF!</v>
      </c>
      <c r="Y147" s="6" t="e">
        <f>VLOOKUP($A147,'Rate Calculation'!$A$4:$CQ$210,83,FALSE)</f>
        <v>#REF!</v>
      </c>
      <c r="Z147" s="6" t="e">
        <f>VLOOKUP($A147,'Rate Calculation'!$A$3:$DE$210,84,FALSE)</f>
        <v>#REF!</v>
      </c>
      <c r="AA147" s="6">
        <f>VLOOKUP($A147,'Rate Calculation'!$A$3:$DE$210,99,FALSE)</f>
        <v>0</v>
      </c>
      <c r="AB147" s="6">
        <f t="shared" ref="AB147:AB210" si="32">ROUND(AA147*$G$12,2)</f>
        <v>0</v>
      </c>
      <c r="AC147" s="6">
        <f t="shared" si="27"/>
        <v>0</v>
      </c>
      <c r="AD147" s="6" t="e">
        <f>VLOOKUP($A147,'Rate Calculation'!$A$3:$AR$210,47,FALSE)+AC147</f>
        <v>#REF!</v>
      </c>
      <c r="AE147" s="6" t="e">
        <f>VLOOKUP($A147,'Rate Calculation'!$A$3:$CQ$210,100,FALSE)</f>
        <v>#REF!</v>
      </c>
      <c r="AF147" s="6">
        <f>VLOOKUP($A147,'Rate Calculation'!$A$3:$DE$210,101,FALSE)</f>
        <v>0</v>
      </c>
      <c r="AH147" s="175"/>
    </row>
    <row r="148" spans="1:34" x14ac:dyDescent="0.15">
      <c r="A148" s="130">
        <v>270</v>
      </c>
      <c r="B148" s="37" t="s">
        <v>38</v>
      </c>
      <c r="C148" s="1" t="str">
        <f>VLOOKUP(A148,'Rate Calculation'!$A$4:$F$210,6,FALSE)</f>
        <v>BALTIMORE CITY</v>
      </c>
      <c r="D148" s="4">
        <v>32573</v>
      </c>
      <c r="E148" s="6">
        <f>VLOOKUP(A148,'Rate Calculation'!$A$4:$AM$208,39,FALSE)</f>
        <v>390.51</v>
      </c>
      <c r="F148" s="6">
        <f t="shared" si="28"/>
        <v>385.71</v>
      </c>
      <c r="G148" s="6">
        <f t="shared" si="29"/>
        <v>385.71</v>
      </c>
      <c r="H148" s="6">
        <f>VLOOKUP(A148,'Rate Calculation'!$A$4:$AL$208,38,FALSE)+G148</f>
        <v>412.61</v>
      </c>
      <c r="I148" s="6">
        <f>VLOOKUP(A148,'Rate Calculation'!$A$4:$AN$208,40,FALSE)</f>
        <v>294.88</v>
      </c>
      <c r="J148" s="1">
        <v>0</v>
      </c>
      <c r="K148" s="217">
        <v>61761</v>
      </c>
      <c r="L148" s="6">
        <f>VLOOKUP(A148,'Rate Calculation'!$A$4:$AO$208,41,FALSE)</f>
        <v>199.25</v>
      </c>
      <c r="M148" s="1">
        <v>5</v>
      </c>
      <c r="N148" s="182">
        <f>VLOOKUP(A148,'Rate Calculation'!$A$4:$AL$208,38,FALSE)</f>
        <v>26.9</v>
      </c>
      <c r="O148" s="6" t="e">
        <f>VLOOKUP($A148,'Rate Calculation'!$A$3:$BR$210,65,FALSE)</f>
        <v>#DIV/0!</v>
      </c>
      <c r="P148" s="6" t="e">
        <f t="shared" si="30"/>
        <v>#DIV/0!</v>
      </c>
      <c r="Q148" s="6" t="e">
        <f t="shared" si="25"/>
        <v>#DIV/0!</v>
      </c>
      <c r="R148" s="6" t="e">
        <f>VLOOKUP($A148,'Rate Calculation'!$A$3:$AR$210,47,FALSE)+Q148</f>
        <v>#REF!</v>
      </c>
      <c r="S148" s="6" t="e">
        <f>VLOOKUP($A148,'Rate Calculation'!$A$4:$CQ$211,66,FALSE)</f>
        <v>#REF!</v>
      </c>
      <c r="T148" s="6" t="e">
        <f>VLOOKUP($A148,'Rate Calculation'!$A$3:$CQ$210,67,FALSE)</f>
        <v>#REF!</v>
      </c>
      <c r="U148" s="6" t="e">
        <f>VLOOKUP($A148,'Rate Calculation'!$A$3:$DE$210,82,FALSE)</f>
        <v>#DIV/0!</v>
      </c>
      <c r="V148" s="6" t="e">
        <f t="shared" si="31"/>
        <v>#DIV/0!</v>
      </c>
      <c r="W148" s="6" t="e">
        <f t="shared" si="26"/>
        <v>#DIV/0!</v>
      </c>
      <c r="X148" s="6" t="e">
        <f>VLOOKUP($A148,'Rate Calculation'!$A$3:$AR$210,47,FALSE)+W148</f>
        <v>#REF!</v>
      </c>
      <c r="Y148" s="6" t="e">
        <f>VLOOKUP($A148,'Rate Calculation'!$A$4:$CQ$210,83,FALSE)</f>
        <v>#REF!</v>
      </c>
      <c r="Z148" s="6" t="e">
        <f>VLOOKUP($A148,'Rate Calculation'!$A$3:$DE$210,84,FALSE)</f>
        <v>#REF!</v>
      </c>
      <c r="AA148" s="6">
        <f>VLOOKUP($A148,'Rate Calculation'!$A$3:$DE$210,99,FALSE)</f>
        <v>0</v>
      </c>
      <c r="AB148" s="6">
        <f t="shared" si="32"/>
        <v>0</v>
      </c>
      <c r="AC148" s="6">
        <f t="shared" si="27"/>
        <v>0</v>
      </c>
      <c r="AD148" s="6" t="e">
        <f>VLOOKUP($A148,'Rate Calculation'!$A$3:$AR$210,47,FALSE)+AC148</f>
        <v>#REF!</v>
      </c>
      <c r="AE148" s="6" t="e">
        <f>VLOOKUP($A148,'Rate Calculation'!$A$3:$CQ$210,100,FALSE)</f>
        <v>#REF!</v>
      </c>
      <c r="AF148" s="6">
        <f>VLOOKUP($A148,'Rate Calculation'!$A$3:$DE$210,101,FALSE)</f>
        <v>0</v>
      </c>
      <c r="AH148" s="175"/>
    </row>
    <row r="149" spans="1:34" x14ac:dyDescent="0.15">
      <c r="A149" s="130">
        <v>276</v>
      </c>
      <c r="B149" s="37" t="s">
        <v>180</v>
      </c>
      <c r="C149" s="1" t="str">
        <f>VLOOKUP(A149,'Rate Calculation'!$A$4:$F$210,6,FALSE)</f>
        <v>BALTIMORE METRO</v>
      </c>
      <c r="D149" s="4">
        <v>5639</v>
      </c>
      <c r="E149" s="6">
        <f>VLOOKUP(A149,'Rate Calculation'!$A$4:$AM$208,39,FALSE)</f>
        <v>308.38</v>
      </c>
      <c r="F149" s="6">
        <f t="shared" si="28"/>
        <v>304.58999999999997</v>
      </c>
      <c r="G149" s="6">
        <f t="shared" si="29"/>
        <v>304.58999999999997</v>
      </c>
      <c r="H149" s="6">
        <f>VLOOKUP(A149,'Rate Calculation'!$A$4:$AL$208,38,FALSE)+G149</f>
        <v>304.58999999999997</v>
      </c>
      <c r="I149" s="6">
        <f>VLOOKUP(A149,'Rate Calculation'!$A$4:$AN$208,40,FALSE)</f>
        <v>232.69</v>
      </c>
      <c r="J149" s="1">
        <v>0</v>
      </c>
      <c r="K149" s="217">
        <v>0</v>
      </c>
      <c r="L149" s="6">
        <f>VLOOKUP(A149,'Rate Calculation'!$A$4:$AO$208,41,FALSE)</f>
        <v>156.99</v>
      </c>
      <c r="M149" s="1">
        <v>0</v>
      </c>
      <c r="N149" s="182">
        <f>VLOOKUP(A149,'Rate Calculation'!$A$4:$AL$208,38,FALSE)</f>
        <v>0</v>
      </c>
      <c r="O149" s="6" t="e">
        <f>VLOOKUP($A149,'Rate Calculation'!$A$3:$BR$210,65,FALSE)</f>
        <v>#DIV/0!</v>
      </c>
      <c r="P149" s="6" t="e">
        <f t="shared" si="30"/>
        <v>#DIV/0!</v>
      </c>
      <c r="Q149" s="6" t="e">
        <f t="shared" si="25"/>
        <v>#DIV/0!</v>
      </c>
      <c r="R149" s="6" t="e">
        <f>VLOOKUP($A149,'Rate Calculation'!$A$3:$AR$210,47,FALSE)+Q149</f>
        <v>#REF!</v>
      </c>
      <c r="S149" s="6" t="e">
        <f>VLOOKUP($A149,'Rate Calculation'!$A$4:$CQ$211,66,FALSE)</f>
        <v>#REF!</v>
      </c>
      <c r="T149" s="6" t="e">
        <f>VLOOKUP($A149,'Rate Calculation'!$A$3:$CQ$210,67,FALSE)</f>
        <v>#REF!</v>
      </c>
      <c r="U149" s="6" t="e">
        <f>VLOOKUP($A149,'Rate Calculation'!$A$3:$DE$210,82,FALSE)</f>
        <v>#DIV/0!</v>
      </c>
      <c r="V149" s="6" t="e">
        <f t="shared" si="31"/>
        <v>#DIV/0!</v>
      </c>
      <c r="W149" s="6" t="e">
        <f t="shared" si="26"/>
        <v>#DIV/0!</v>
      </c>
      <c r="X149" s="6" t="e">
        <f>VLOOKUP($A149,'Rate Calculation'!$A$3:$AR$210,47,FALSE)+W149</f>
        <v>#REF!</v>
      </c>
      <c r="Y149" s="6" t="e">
        <f>VLOOKUP($A149,'Rate Calculation'!$A$4:$CQ$210,83,FALSE)</f>
        <v>#REF!</v>
      </c>
      <c r="Z149" s="6" t="e">
        <f>VLOOKUP($A149,'Rate Calculation'!$A$3:$DE$210,84,FALSE)</f>
        <v>#REF!</v>
      </c>
      <c r="AA149" s="6">
        <f>VLOOKUP($A149,'Rate Calculation'!$A$3:$DE$210,99,FALSE)</f>
        <v>0</v>
      </c>
      <c r="AB149" s="6">
        <f t="shared" si="32"/>
        <v>0</v>
      </c>
      <c r="AC149" s="6">
        <f t="shared" si="27"/>
        <v>0</v>
      </c>
      <c r="AD149" s="6" t="e">
        <f>VLOOKUP($A149,'Rate Calculation'!$A$3:$AR$210,47,FALSE)+AC149</f>
        <v>#REF!</v>
      </c>
      <c r="AE149" s="6" t="e">
        <f>VLOOKUP($A149,'Rate Calculation'!$A$3:$CQ$210,100,FALSE)</f>
        <v>#REF!</v>
      </c>
      <c r="AF149" s="6">
        <f>VLOOKUP($A149,'Rate Calculation'!$A$3:$DE$210,101,FALSE)</f>
        <v>0</v>
      </c>
      <c r="AH149" s="175"/>
    </row>
    <row r="150" spans="1:34" x14ac:dyDescent="0.15">
      <c r="A150" s="130">
        <v>1232</v>
      </c>
      <c r="B150" s="37" t="s">
        <v>255</v>
      </c>
      <c r="C150" s="1" t="str">
        <f>VLOOKUP(A150,'Rate Calculation'!$A$4:$F$210,6,FALSE)</f>
        <v>BALTIMORE METRO</v>
      </c>
      <c r="D150" s="4">
        <v>16409</v>
      </c>
      <c r="E150" s="6">
        <f>VLOOKUP(A150,'Rate Calculation'!$A$4:$AM$208,39,FALSE)</f>
        <v>358.96</v>
      </c>
      <c r="F150" s="6">
        <f t="shared" si="28"/>
        <v>354.55</v>
      </c>
      <c r="G150" s="6">
        <f t="shared" si="29"/>
        <v>354.55</v>
      </c>
      <c r="H150" s="6">
        <f>VLOOKUP(A150,'Rate Calculation'!$A$4:$AL$208,38,FALSE)+G150</f>
        <v>378.62</v>
      </c>
      <c r="I150" s="6">
        <f>VLOOKUP(A150,'Rate Calculation'!$A$4:$AN$208,40,FALSE)</f>
        <v>266.66000000000003</v>
      </c>
      <c r="J150" s="1">
        <v>0</v>
      </c>
      <c r="K150" s="217">
        <v>21630</v>
      </c>
      <c r="L150" s="6">
        <f>VLOOKUP(A150,'Rate Calculation'!$A$4:$AO$208,41,FALSE)</f>
        <v>174.36</v>
      </c>
      <c r="M150" s="1">
        <v>0</v>
      </c>
      <c r="N150" s="182">
        <f>VLOOKUP(A150,'Rate Calculation'!$A$4:$AL$208,38,FALSE)</f>
        <v>24.07</v>
      </c>
      <c r="O150" s="6" t="e">
        <f>VLOOKUP($A150,'Rate Calculation'!$A$3:$BR$210,65,FALSE)</f>
        <v>#DIV/0!</v>
      </c>
      <c r="P150" s="6" t="e">
        <f t="shared" si="30"/>
        <v>#DIV/0!</v>
      </c>
      <c r="Q150" s="6" t="e">
        <f t="shared" si="25"/>
        <v>#DIV/0!</v>
      </c>
      <c r="R150" s="6" t="e">
        <f>VLOOKUP($A150,'Rate Calculation'!$A$3:$AR$210,47,FALSE)+Q150</f>
        <v>#REF!</v>
      </c>
      <c r="S150" s="6" t="e">
        <f>VLOOKUP($A150,'Rate Calculation'!$A$4:$CQ$211,66,FALSE)</f>
        <v>#REF!</v>
      </c>
      <c r="T150" s="6" t="e">
        <f>VLOOKUP($A150,'Rate Calculation'!$A$3:$CQ$210,67,FALSE)</f>
        <v>#REF!</v>
      </c>
      <c r="U150" s="6" t="e">
        <f>VLOOKUP($A150,'Rate Calculation'!$A$3:$DE$210,82,FALSE)</f>
        <v>#DIV/0!</v>
      </c>
      <c r="V150" s="6" t="e">
        <f t="shared" si="31"/>
        <v>#DIV/0!</v>
      </c>
      <c r="W150" s="6" t="e">
        <f t="shared" si="26"/>
        <v>#DIV/0!</v>
      </c>
      <c r="X150" s="6" t="e">
        <f>VLOOKUP($A150,'Rate Calculation'!$A$3:$AR$210,47,FALSE)+W150</f>
        <v>#REF!</v>
      </c>
      <c r="Y150" s="6" t="e">
        <f>VLOOKUP($A150,'Rate Calculation'!$A$4:$CQ$210,83,FALSE)</f>
        <v>#REF!</v>
      </c>
      <c r="Z150" s="6" t="e">
        <f>VLOOKUP($A150,'Rate Calculation'!$A$3:$DE$210,84,FALSE)</f>
        <v>#REF!</v>
      </c>
      <c r="AA150" s="6">
        <f>VLOOKUP($A150,'Rate Calculation'!$A$3:$DE$210,99,FALSE)</f>
        <v>0</v>
      </c>
      <c r="AB150" s="6">
        <f t="shared" si="32"/>
        <v>0</v>
      </c>
      <c r="AC150" s="6">
        <f t="shared" si="27"/>
        <v>0</v>
      </c>
      <c r="AD150" s="6" t="e">
        <f>VLOOKUP($A150,'Rate Calculation'!$A$3:$AR$210,47,FALSE)+AC150</f>
        <v>#REF!</v>
      </c>
      <c r="AE150" s="6" t="e">
        <f>VLOOKUP($A150,'Rate Calculation'!$A$3:$CQ$210,100,FALSE)</f>
        <v>#REF!</v>
      </c>
      <c r="AF150" s="6">
        <f>VLOOKUP($A150,'Rate Calculation'!$A$3:$DE$210,101,FALSE)</f>
        <v>0</v>
      </c>
      <c r="AH150" s="175"/>
    </row>
    <row r="151" spans="1:34" x14ac:dyDescent="0.15">
      <c r="A151" s="130">
        <v>940</v>
      </c>
      <c r="B151" s="37" t="s">
        <v>43</v>
      </c>
      <c r="C151" s="1" t="str">
        <f>VLOOKUP(A151,'Rate Calculation'!$A$4:$F$210,6,FALSE)</f>
        <v>BALTIMORE METRO</v>
      </c>
      <c r="D151" s="4">
        <v>18195</v>
      </c>
      <c r="E151" s="6">
        <f>VLOOKUP(A151,'Rate Calculation'!$A$4:$AM$208,39,FALSE)</f>
        <v>345.01</v>
      </c>
      <c r="F151" s="6">
        <f t="shared" si="28"/>
        <v>340.77</v>
      </c>
      <c r="G151" s="6">
        <f t="shared" si="29"/>
        <v>340.77</v>
      </c>
      <c r="H151" s="6">
        <f>VLOOKUP(A151,'Rate Calculation'!$A$4:$AL$208,38,FALSE)+G151</f>
        <v>366.06</v>
      </c>
      <c r="I151" s="6">
        <f>VLOOKUP(A151,'Rate Calculation'!$A$4:$AN$208,40,FALSE)</f>
        <v>256.24</v>
      </c>
      <c r="J151" s="1">
        <v>0</v>
      </c>
      <c r="K151" s="217">
        <v>0</v>
      </c>
      <c r="L151" s="6">
        <f>VLOOKUP(A151,'Rate Calculation'!$A$4:$AO$208,41,FALSE)</f>
        <v>167.46</v>
      </c>
      <c r="M151" s="1">
        <v>0</v>
      </c>
      <c r="N151" s="182">
        <f>VLOOKUP(A151,'Rate Calculation'!$A$4:$AL$208,38,FALSE)</f>
        <v>25.29</v>
      </c>
      <c r="O151" s="6" t="e">
        <f>VLOOKUP($A151,'Rate Calculation'!$A$3:$BR$210,65,FALSE)</f>
        <v>#DIV/0!</v>
      </c>
      <c r="P151" s="6" t="e">
        <f t="shared" si="30"/>
        <v>#DIV/0!</v>
      </c>
      <c r="Q151" s="6" t="e">
        <f t="shared" si="25"/>
        <v>#DIV/0!</v>
      </c>
      <c r="R151" s="6" t="e">
        <f>VLOOKUP($A151,'Rate Calculation'!$A$3:$AR$210,47,FALSE)+Q151</f>
        <v>#REF!</v>
      </c>
      <c r="S151" s="6" t="e">
        <f>VLOOKUP($A151,'Rate Calculation'!$A$4:$CQ$211,66,FALSE)</f>
        <v>#REF!</v>
      </c>
      <c r="T151" s="6" t="e">
        <f>VLOOKUP($A151,'Rate Calculation'!$A$3:$CQ$210,67,FALSE)</f>
        <v>#REF!</v>
      </c>
      <c r="U151" s="6" t="e">
        <f>VLOOKUP($A151,'Rate Calculation'!$A$3:$DE$210,82,FALSE)</f>
        <v>#DIV/0!</v>
      </c>
      <c r="V151" s="6" t="e">
        <f t="shared" si="31"/>
        <v>#DIV/0!</v>
      </c>
      <c r="W151" s="6" t="e">
        <f t="shared" si="26"/>
        <v>#DIV/0!</v>
      </c>
      <c r="X151" s="6" t="e">
        <f>VLOOKUP($A151,'Rate Calculation'!$A$3:$AR$210,47,FALSE)+W151</f>
        <v>#REF!</v>
      </c>
      <c r="Y151" s="6" t="e">
        <f>VLOOKUP($A151,'Rate Calculation'!$A$4:$CQ$210,83,FALSE)</f>
        <v>#REF!</v>
      </c>
      <c r="Z151" s="6" t="e">
        <f>VLOOKUP($A151,'Rate Calculation'!$A$3:$DE$210,84,FALSE)</f>
        <v>#REF!</v>
      </c>
      <c r="AA151" s="6">
        <f>VLOOKUP($A151,'Rate Calculation'!$A$3:$DE$210,99,FALSE)</f>
        <v>0</v>
      </c>
      <c r="AB151" s="6">
        <f t="shared" si="32"/>
        <v>0</v>
      </c>
      <c r="AC151" s="6">
        <f t="shared" si="27"/>
        <v>0</v>
      </c>
      <c r="AD151" s="6" t="e">
        <f>VLOOKUP($A151,'Rate Calculation'!$A$3:$AR$210,47,FALSE)+AC151</f>
        <v>#REF!</v>
      </c>
      <c r="AE151" s="6" t="e">
        <f>VLOOKUP($A151,'Rate Calculation'!$A$3:$CQ$210,100,FALSE)</f>
        <v>#REF!</v>
      </c>
      <c r="AF151" s="6">
        <f>VLOOKUP($A151,'Rate Calculation'!$A$3:$DE$210,101,FALSE)</f>
        <v>0</v>
      </c>
      <c r="AH151" s="175"/>
    </row>
    <row r="152" spans="1:34" x14ac:dyDescent="0.15">
      <c r="A152" s="130">
        <v>290</v>
      </c>
      <c r="B152" s="37" t="s">
        <v>40</v>
      </c>
      <c r="C152" s="1" t="str">
        <f>VLOOKUP(A152,'Rate Calculation'!$A$4:$F$210,6,FALSE)</f>
        <v>BALTIMORE METRO</v>
      </c>
      <c r="D152" s="4">
        <v>11120</v>
      </c>
      <c r="E152" s="6">
        <f>VLOOKUP(A152,'Rate Calculation'!$A$4:$AM$208,39,FALSE)</f>
        <v>385.38</v>
      </c>
      <c r="F152" s="6">
        <f t="shared" si="28"/>
        <v>380.65</v>
      </c>
      <c r="G152" s="6">
        <f t="shared" si="29"/>
        <v>380.65</v>
      </c>
      <c r="H152" s="6">
        <f>VLOOKUP(A152,'Rate Calculation'!$A$4:$AL$208,38,FALSE)+G152</f>
        <v>404.65</v>
      </c>
      <c r="I152" s="6">
        <f>VLOOKUP(A152,'Rate Calculation'!$A$4:$AN$208,40,FALSE)</f>
        <v>277.74</v>
      </c>
      <c r="J152" s="1">
        <v>0</v>
      </c>
      <c r="K152" s="217">
        <v>47095</v>
      </c>
      <c r="L152" s="6">
        <f>VLOOKUP(A152,'Rate Calculation'!$A$4:$AO$208,41,FALSE)</f>
        <v>170.09</v>
      </c>
      <c r="M152" s="1">
        <v>2</v>
      </c>
      <c r="N152" s="182">
        <f>VLOOKUP(A152,'Rate Calculation'!$A$4:$AL$208,38,FALSE)</f>
        <v>24</v>
      </c>
      <c r="O152" s="6" t="e">
        <f>VLOOKUP($A152,'Rate Calculation'!$A$3:$BR$210,65,FALSE)</f>
        <v>#DIV/0!</v>
      </c>
      <c r="P152" s="6" t="e">
        <f t="shared" si="30"/>
        <v>#DIV/0!</v>
      </c>
      <c r="Q152" s="6" t="e">
        <f t="shared" si="25"/>
        <v>#DIV/0!</v>
      </c>
      <c r="R152" s="6" t="e">
        <f>VLOOKUP($A152,'Rate Calculation'!$A$3:$AR$210,47,FALSE)+Q152</f>
        <v>#REF!</v>
      </c>
      <c r="S152" s="6" t="e">
        <f>VLOOKUP($A152,'Rate Calculation'!$A$4:$CQ$211,66,FALSE)</f>
        <v>#REF!</v>
      </c>
      <c r="T152" s="6" t="e">
        <f>VLOOKUP($A152,'Rate Calculation'!$A$3:$CQ$210,67,FALSE)</f>
        <v>#REF!</v>
      </c>
      <c r="U152" s="6" t="e">
        <f>VLOOKUP($A152,'Rate Calculation'!$A$3:$DE$210,82,FALSE)</f>
        <v>#DIV/0!</v>
      </c>
      <c r="V152" s="6" t="e">
        <f t="shared" si="31"/>
        <v>#DIV/0!</v>
      </c>
      <c r="W152" s="6" t="e">
        <f t="shared" si="26"/>
        <v>#DIV/0!</v>
      </c>
      <c r="X152" s="6" t="e">
        <f>VLOOKUP($A152,'Rate Calculation'!$A$3:$AR$210,47,FALSE)+W152</f>
        <v>#REF!</v>
      </c>
      <c r="Y152" s="6" t="e">
        <f>VLOOKUP($A152,'Rate Calculation'!$A$4:$CQ$210,83,FALSE)</f>
        <v>#REF!</v>
      </c>
      <c r="Z152" s="6" t="e">
        <f>VLOOKUP($A152,'Rate Calculation'!$A$3:$DE$210,84,FALSE)</f>
        <v>#REF!</v>
      </c>
      <c r="AA152" s="6">
        <f>VLOOKUP($A152,'Rate Calculation'!$A$3:$DE$210,99,FALSE)</f>
        <v>0</v>
      </c>
      <c r="AB152" s="6">
        <f t="shared" si="32"/>
        <v>0</v>
      </c>
      <c r="AC152" s="6">
        <f t="shared" si="27"/>
        <v>0</v>
      </c>
      <c r="AD152" s="6" t="e">
        <f>VLOOKUP($A152,'Rate Calculation'!$A$3:$AR$210,47,FALSE)+AC152</f>
        <v>#REF!</v>
      </c>
      <c r="AE152" s="6" t="e">
        <f>VLOOKUP($A152,'Rate Calculation'!$A$3:$CQ$210,100,FALSE)</f>
        <v>#REF!</v>
      </c>
      <c r="AF152" s="6">
        <f>VLOOKUP($A152,'Rate Calculation'!$A$3:$DE$210,101,FALSE)</f>
        <v>0</v>
      </c>
      <c r="AH152" s="175"/>
    </row>
    <row r="153" spans="1:34" x14ac:dyDescent="0.15">
      <c r="A153" s="130">
        <v>286</v>
      </c>
      <c r="B153" s="37" t="s">
        <v>37</v>
      </c>
      <c r="C153" s="1" t="str">
        <f>VLOOKUP(A153,'Rate Calculation'!$A$4:$F$210,6,FALSE)</f>
        <v>BALTIMORE METRO</v>
      </c>
      <c r="D153" s="4">
        <v>43767</v>
      </c>
      <c r="E153" s="6">
        <f>VLOOKUP(A153,'Rate Calculation'!$A$4:$AM$208,39,FALSE)</f>
        <v>363.41</v>
      </c>
      <c r="F153" s="6">
        <f t="shared" si="28"/>
        <v>358.95</v>
      </c>
      <c r="G153" s="6">
        <f t="shared" si="29"/>
        <v>358.95</v>
      </c>
      <c r="H153" s="6">
        <f>VLOOKUP(A153,'Rate Calculation'!$A$4:$AL$208,38,FALSE)+G153</f>
        <v>383.33</v>
      </c>
      <c r="I153" s="6">
        <f>VLOOKUP(A153,'Rate Calculation'!$A$4:$AN$208,40,FALSE)</f>
        <v>267.89</v>
      </c>
      <c r="J153" s="1">
        <v>0</v>
      </c>
      <c r="K153" s="217">
        <v>256899</v>
      </c>
      <c r="L153" s="6">
        <f>VLOOKUP(A153,'Rate Calculation'!$A$4:$AO$208,41,FALSE)</f>
        <v>172.37</v>
      </c>
      <c r="M153" s="1">
        <v>28</v>
      </c>
      <c r="N153" s="182">
        <f>VLOOKUP(A153,'Rate Calculation'!$A$4:$AL$208,38,FALSE)</f>
        <v>24.38</v>
      </c>
      <c r="O153" s="6" t="e">
        <f>VLOOKUP($A153,'Rate Calculation'!$A$3:$BR$210,65,FALSE)</f>
        <v>#DIV/0!</v>
      </c>
      <c r="P153" s="6" t="e">
        <f t="shared" si="30"/>
        <v>#DIV/0!</v>
      </c>
      <c r="Q153" s="6" t="e">
        <f t="shared" si="25"/>
        <v>#DIV/0!</v>
      </c>
      <c r="R153" s="6" t="e">
        <f>VLOOKUP($A153,'Rate Calculation'!$A$3:$AR$210,47,FALSE)+Q153</f>
        <v>#REF!</v>
      </c>
      <c r="S153" s="6" t="e">
        <f>VLOOKUP($A153,'Rate Calculation'!$A$4:$CQ$211,66,FALSE)</f>
        <v>#REF!</v>
      </c>
      <c r="T153" s="6" t="e">
        <f>VLOOKUP($A153,'Rate Calculation'!$A$3:$CQ$210,67,FALSE)</f>
        <v>#REF!</v>
      </c>
      <c r="U153" s="6" t="e">
        <f>VLOOKUP($A153,'Rate Calculation'!$A$3:$DE$210,82,FALSE)</f>
        <v>#DIV/0!</v>
      </c>
      <c r="V153" s="6" t="e">
        <f t="shared" si="31"/>
        <v>#DIV/0!</v>
      </c>
      <c r="W153" s="6" t="e">
        <f t="shared" si="26"/>
        <v>#DIV/0!</v>
      </c>
      <c r="X153" s="6" t="e">
        <f>VLOOKUP($A153,'Rate Calculation'!$A$3:$AR$210,47,FALSE)+W153</f>
        <v>#REF!</v>
      </c>
      <c r="Y153" s="6" t="e">
        <f>VLOOKUP($A153,'Rate Calculation'!$A$4:$CQ$210,83,FALSE)</f>
        <v>#REF!</v>
      </c>
      <c r="Z153" s="6" t="e">
        <f>VLOOKUP($A153,'Rate Calculation'!$A$3:$DE$210,84,FALSE)</f>
        <v>#REF!</v>
      </c>
      <c r="AA153" s="6">
        <f>VLOOKUP($A153,'Rate Calculation'!$A$3:$DE$210,99,FALSE)</f>
        <v>0</v>
      </c>
      <c r="AB153" s="6">
        <f t="shared" si="32"/>
        <v>0</v>
      </c>
      <c r="AC153" s="6">
        <f t="shared" si="27"/>
        <v>0</v>
      </c>
      <c r="AD153" s="6" t="e">
        <f>VLOOKUP($A153,'Rate Calculation'!$A$3:$AR$210,47,FALSE)+AC153</f>
        <v>#REF!</v>
      </c>
      <c r="AE153" s="6" t="e">
        <f>VLOOKUP($A153,'Rate Calculation'!$A$3:$CQ$210,100,FALSE)</f>
        <v>#REF!</v>
      </c>
      <c r="AF153" s="6">
        <f>VLOOKUP($A153,'Rate Calculation'!$A$3:$DE$210,101,FALSE)</f>
        <v>0</v>
      </c>
      <c r="AH153" s="175"/>
    </row>
    <row r="154" spans="1:34" x14ac:dyDescent="0.15">
      <c r="A154" s="130">
        <v>1209</v>
      </c>
      <c r="B154" s="37" t="s">
        <v>217</v>
      </c>
      <c r="C154" s="1" t="str">
        <f>VLOOKUP(A154,'Rate Calculation'!$A$4:$F$210,6,FALSE)</f>
        <v>BALTIMORE METRO</v>
      </c>
      <c r="D154" s="4">
        <v>12077</v>
      </c>
      <c r="E154" s="6">
        <f>VLOOKUP(A154,'Rate Calculation'!$A$4:$AM$208,39,FALSE)</f>
        <v>324.85000000000002</v>
      </c>
      <c r="F154" s="6">
        <f t="shared" si="28"/>
        <v>320.86</v>
      </c>
      <c r="G154" s="6">
        <f t="shared" si="29"/>
        <v>320.86</v>
      </c>
      <c r="H154" s="6">
        <f>VLOOKUP(A154,'Rate Calculation'!$A$4:$AL$208,38,FALSE)+G154</f>
        <v>343.87</v>
      </c>
      <c r="I154" s="6">
        <f>VLOOKUP(A154,'Rate Calculation'!$A$4:$AN$208,40,FALSE)</f>
        <v>247.32</v>
      </c>
      <c r="J154" s="1">
        <v>0</v>
      </c>
      <c r="K154" s="217">
        <v>0</v>
      </c>
      <c r="L154" s="6">
        <f>VLOOKUP(A154,'Rate Calculation'!$A$4:$AO$208,41,FALSE)</f>
        <v>169.78</v>
      </c>
      <c r="M154" s="1">
        <v>4</v>
      </c>
      <c r="N154" s="182">
        <f>VLOOKUP(A154,'Rate Calculation'!$A$4:$AL$208,38,FALSE)</f>
        <v>23.01</v>
      </c>
      <c r="O154" s="6" t="e">
        <f>VLOOKUP($A154,'Rate Calculation'!$A$3:$BR$210,65,FALSE)</f>
        <v>#DIV/0!</v>
      </c>
      <c r="P154" s="6" t="e">
        <f t="shared" si="30"/>
        <v>#DIV/0!</v>
      </c>
      <c r="Q154" s="6" t="e">
        <f t="shared" si="25"/>
        <v>#DIV/0!</v>
      </c>
      <c r="R154" s="6" t="e">
        <f>VLOOKUP($A154,'Rate Calculation'!$A$3:$AR$210,47,FALSE)+Q154</f>
        <v>#REF!</v>
      </c>
      <c r="S154" s="6" t="e">
        <f>VLOOKUP($A154,'Rate Calculation'!$A$4:$CQ$211,66,FALSE)</f>
        <v>#REF!</v>
      </c>
      <c r="T154" s="6" t="e">
        <f>VLOOKUP($A154,'Rate Calculation'!$A$3:$CQ$210,67,FALSE)</f>
        <v>#REF!</v>
      </c>
      <c r="U154" s="6" t="e">
        <f>VLOOKUP($A154,'Rate Calculation'!$A$3:$DE$210,82,FALSE)</f>
        <v>#DIV/0!</v>
      </c>
      <c r="V154" s="6" t="e">
        <f t="shared" si="31"/>
        <v>#DIV/0!</v>
      </c>
      <c r="W154" s="6" t="e">
        <f t="shared" si="26"/>
        <v>#DIV/0!</v>
      </c>
      <c r="X154" s="6" t="e">
        <f>VLOOKUP($A154,'Rate Calculation'!$A$3:$AR$210,47,FALSE)+W154</f>
        <v>#REF!</v>
      </c>
      <c r="Y154" s="6" t="e">
        <f>VLOOKUP($A154,'Rate Calculation'!$A$4:$CQ$210,83,FALSE)</f>
        <v>#REF!</v>
      </c>
      <c r="Z154" s="6" t="e">
        <f>VLOOKUP($A154,'Rate Calculation'!$A$3:$DE$210,84,FALSE)</f>
        <v>#REF!</v>
      </c>
      <c r="AA154" s="6">
        <f>VLOOKUP($A154,'Rate Calculation'!$A$3:$DE$210,99,FALSE)</f>
        <v>0</v>
      </c>
      <c r="AB154" s="6">
        <f t="shared" si="32"/>
        <v>0</v>
      </c>
      <c r="AC154" s="6">
        <f t="shared" si="27"/>
        <v>0</v>
      </c>
      <c r="AD154" s="6" t="e">
        <f>VLOOKUP($A154,'Rate Calculation'!$A$3:$AR$210,47,FALSE)+AC154</f>
        <v>#REF!</v>
      </c>
      <c r="AE154" s="6" t="e">
        <f>VLOOKUP($A154,'Rate Calculation'!$A$3:$CQ$210,100,FALSE)</f>
        <v>#REF!</v>
      </c>
      <c r="AF154" s="6">
        <f>VLOOKUP($A154,'Rate Calculation'!$A$3:$DE$210,101,FALSE)</f>
        <v>0</v>
      </c>
      <c r="AH154" s="175"/>
    </row>
    <row r="155" spans="1:34" x14ac:dyDescent="0.15">
      <c r="A155" s="130">
        <v>296</v>
      </c>
      <c r="B155" s="37" t="s">
        <v>189</v>
      </c>
      <c r="C155" s="1" t="str">
        <f>VLOOKUP(A155,'Rate Calculation'!$A$4:$F$210,6,FALSE)</f>
        <v>BALTIMORE METRO</v>
      </c>
      <c r="D155" s="4">
        <v>10724</v>
      </c>
      <c r="E155" s="6">
        <f>VLOOKUP(A155,'Rate Calculation'!$A$4:$AM$208,39,FALSE)</f>
        <v>364.68</v>
      </c>
      <c r="F155" s="6">
        <f t="shared" si="28"/>
        <v>360.2</v>
      </c>
      <c r="G155" s="6">
        <f t="shared" si="29"/>
        <v>360.2</v>
      </c>
      <c r="H155" s="6">
        <f>VLOOKUP(A155,'Rate Calculation'!$A$4:$AL$208,38,FALSE)+G155</f>
        <v>384.58</v>
      </c>
      <c r="I155" s="6">
        <f>VLOOKUP(A155,'Rate Calculation'!$A$4:$AN$208,40,FALSE)</f>
        <v>267.98</v>
      </c>
      <c r="J155" s="1">
        <v>128</v>
      </c>
      <c r="K155" s="217">
        <v>1475</v>
      </c>
      <c r="L155" s="6">
        <f>VLOOKUP(A155,'Rate Calculation'!$A$4:$AO$208,41,FALSE)</f>
        <v>171.27</v>
      </c>
      <c r="M155" s="1">
        <v>0</v>
      </c>
      <c r="N155" s="182">
        <f>VLOOKUP(A155,'Rate Calculation'!$A$4:$AL$208,38,FALSE)</f>
        <v>24.38</v>
      </c>
      <c r="O155" s="6" t="e">
        <f>VLOOKUP($A155,'Rate Calculation'!$A$3:$BR$210,65,FALSE)</f>
        <v>#DIV/0!</v>
      </c>
      <c r="P155" s="6" t="e">
        <f t="shared" si="30"/>
        <v>#DIV/0!</v>
      </c>
      <c r="Q155" s="6" t="e">
        <f t="shared" si="25"/>
        <v>#DIV/0!</v>
      </c>
      <c r="R155" s="6" t="e">
        <f>VLOOKUP($A155,'Rate Calculation'!$A$3:$AR$210,47,FALSE)+Q155</f>
        <v>#REF!</v>
      </c>
      <c r="S155" s="6" t="e">
        <f>VLOOKUP($A155,'Rate Calculation'!$A$4:$CQ$211,66,FALSE)</f>
        <v>#REF!</v>
      </c>
      <c r="T155" s="6" t="e">
        <f>VLOOKUP($A155,'Rate Calculation'!$A$3:$CQ$210,67,FALSE)</f>
        <v>#REF!</v>
      </c>
      <c r="U155" s="6" t="e">
        <f>VLOOKUP($A155,'Rate Calculation'!$A$3:$DE$210,82,FALSE)</f>
        <v>#DIV/0!</v>
      </c>
      <c r="V155" s="6" t="e">
        <f t="shared" si="31"/>
        <v>#DIV/0!</v>
      </c>
      <c r="W155" s="6" t="e">
        <f t="shared" si="26"/>
        <v>#DIV/0!</v>
      </c>
      <c r="X155" s="6" t="e">
        <f>VLOOKUP($A155,'Rate Calculation'!$A$3:$AR$210,47,FALSE)+W155</f>
        <v>#REF!</v>
      </c>
      <c r="Y155" s="6" t="e">
        <f>VLOOKUP($A155,'Rate Calculation'!$A$4:$CQ$210,83,FALSE)</f>
        <v>#REF!</v>
      </c>
      <c r="Z155" s="6" t="e">
        <f>VLOOKUP($A155,'Rate Calculation'!$A$3:$DE$210,84,FALSE)</f>
        <v>#REF!</v>
      </c>
      <c r="AA155" s="6">
        <f>VLOOKUP($A155,'Rate Calculation'!$A$3:$DE$210,99,FALSE)</f>
        <v>0</v>
      </c>
      <c r="AB155" s="6">
        <f t="shared" si="32"/>
        <v>0</v>
      </c>
      <c r="AC155" s="6">
        <f t="shared" si="27"/>
        <v>0</v>
      </c>
      <c r="AD155" s="6" t="e">
        <f>VLOOKUP($A155,'Rate Calculation'!$A$3:$AR$210,47,FALSE)+AC155</f>
        <v>#REF!</v>
      </c>
      <c r="AE155" s="6" t="e">
        <f>VLOOKUP($A155,'Rate Calculation'!$A$3:$CQ$210,100,FALSE)</f>
        <v>#REF!</v>
      </c>
      <c r="AF155" s="6">
        <f>VLOOKUP($A155,'Rate Calculation'!$A$3:$DE$210,101,FALSE)</f>
        <v>0</v>
      </c>
      <c r="AH155" s="175"/>
    </row>
    <row r="156" spans="1:34" x14ac:dyDescent="0.15">
      <c r="A156" s="130">
        <v>292</v>
      </c>
      <c r="B156" s="37" t="s">
        <v>191</v>
      </c>
      <c r="C156" s="1" t="str">
        <f>VLOOKUP(A156,'Rate Calculation'!$A$4:$F$210,6,FALSE)</f>
        <v>BALTIMORE METRO</v>
      </c>
      <c r="D156" s="4">
        <v>18509</v>
      </c>
      <c r="E156" s="6">
        <f>VLOOKUP(A156,'Rate Calculation'!$A$4:$AM$208,39,FALSE)</f>
        <v>359.59</v>
      </c>
      <c r="F156" s="6">
        <f t="shared" si="28"/>
        <v>355.17</v>
      </c>
      <c r="G156" s="6">
        <f t="shared" si="29"/>
        <v>355.17</v>
      </c>
      <c r="H156" s="6">
        <f>VLOOKUP(A156,'Rate Calculation'!$A$4:$AL$208,38,FALSE)+G156</f>
        <v>376.34</v>
      </c>
      <c r="I156" s="6">
        <f>VLOOKUP(A156,'Rate Calculation'!$A$4:$AN$208,40,FALSE)</f>
        <v>266.18</v>
      </c>
      <c r="J156" s="1">
        <v>0</v>
      </c>
      <c r="K156" s="217">
        <v>0</v>
      </c>
      <c r="L156" s="6">
        <f>VLOOKUP(A156,'Rate Calculation'!$A$4:$AO$208,41,FALSE)</f>
        <v>172.77</v>
      </c>
      <c r="M156" s="1">
        <v>17</v>
      </c>
      <c r="N156" s="182">
        <f>VLOOKUP(A156,'Rate Calculation'!$A$4:$AL$208,38,FALSE)</f>
        <v>21.17</v>
      </c>
      <c r="O156" s="6" t="e">
        <f>VLOOKUP($A156,'Rate Calculation'!$A$3:$BR$210,65,FALSE)</f>
        <v>#DIV/0!</v>
      </c>
      <c r="P156" s="6" t="e">
        <f t="shared" si="30"/>
        <v>#DIV/0!</v>
      </c>
      <c r="Q156" s="6" t="e">
        <f t="shared" si="25"/>
        <v>#DIV/0!</v>
      </c>
      <c r="R156" s="6" t="e">
        <f>VLOOKUP($A156,'Rate Calculation'!$A$3:$AR$210,47,FALSE)+Q156</f>
        <v>#REF!</v>
      </c>
      <c r="S156" s="6" t="e">
        <f>VLOOKUP($A156,'Rate Calculation'!$A$4:$CQ$211,66,FALSE)</f>
        <v>#REF!</v>
      </c>
      <c r="T156" s="6" t="e">
        <f>VLOOKUP($A156,'Rate Calculation'!$A$3:$CQ$210,67,FALSE)</f>
        <v>#REF!</v>
      </c>
      <c r="U156" s="6" t="e">
        <f>VLOOKUP($A156,'Rate Calculation'!$A$3:$DE$210,82,FALSE)</f>
        <v>#DIV/0!</v>
      </c>
      <c r="V156" s="6" t="e">
        <f t="shared" si="31"/>
        <v>#DIV/0!</v>
      </c>
      <c r="W156" s="6" t="e">
        <f t="shared" si="26"/>
        <v>#DIV/0!</v>
      </c>
      <c r="X156" s="6" t="e">
        <f>VLOOKUP($A156,'Rate Calculation'!$A$3:$AR$210,47,FALSE)+W156</f>
        <v>#REF!</v>
      </c>
      <c r="Y156" s="6" t="e">
        <f>VLOOKUP($A156,'Rate Calculation'!$A$4:$CQ$210,83,FALSE)</f>
        <v>#REF!</v>
      </c>
      <c r="Z156" s="6" t="e">
        <f>VLOOKUP($A156,'Rate Calculation'!$A$3:$DE$210,84,FALSE)</f>
        <v>#REF!</v>
      </c>
      <c r="AA156" s="6">
        <f>VLOOKUP($A156,'Rate Calculation'!$A$3:$DE$210,99,FALSE)</f>
        <v>0</v>
      </c>
      <c r="AB156" s="6">
        <f t="shared" si="32"/>
        <v>0</v>
      </c>
      <c r="AC156" s="6">
        <f t="shared" si="27"/>
        <v>0</v>
      </c>
      <c r="AD156" s="6" t="e">
        <f>VLOOKUP($A156,'Rate Calculation'!$A$3:$AR$210,47,FALSE)+AC156</f>
        <v>#REF!</v>
      </c>
      <c r="AE156" s="6" t="e">
        <f>VLOOKUP($A156,'Rate Calculation'!$A$3:$CQ$210,100,FALSE)</f>
        <v>#REF!</v>
      </c>
      <c r="AF156" s="6">
        <f>VLOOKUP($A156,'Rate Calculation'!$A$3:$DE$210,101,FALSE)</f>
        <v>0</v>
      </c>
      <c r="AH156" s="175"/>
    </row>
    <row r="157" spans="1:34" x14ac:dyDescent="0.15">
      <c r="A157" s="130">
        <v>693</v>
      </c>
      <c r="B157" s="37" t="s">
        <v>670</v>
      </c>
      <c r="C157" s="1" t="str">
        <f>VLOOKUP(A157,'Rate Calculation'!$A$4:$F$210,6,FALSE)</f>
        <v>NON METRO</v>
      </c>
      <c r="D157" s="4">
        <v>23549</v>
      </c>
      <c r="E157" s="6">
        <f>VLOOKUP(A157,'Rate Calculation'!$A$4:$AM$208,39,FALSE)</f>
        <v>329.21</v>
      </c>
      <c r="F157" s="6">
        <f t="shared" si="28"/>
        <v>325.17</v>
      </c>
      <c r="G157" s="6">
        <f t="shared" si="29"/>
        <v>325.17</v>
      </c>
      <c r="H157" s="6">
        <f>VLOOKUP(A157,'Rate Calculation'!$A$4:$AL$208,38,FALSE)+G157</f>
        <v>351.87</v>
      </c>
      <c r="I157" s="6">
        <f>VLOOKUP(A157,'Rate Calculation'!$A$4:$AN$208,40,FALSE)</f>
        <v>233.88</v>
      </c>
      <c r="J157" s="1">
        <v>0</v>
      </c>
      <c r="K157" s="217">
        <v>0</v>
      </c>
      <c r="L157" s="6">
        <f>VLOOKUP(A157,'Rate Calculation'!$A$4:$AO$208,41,FALSE)</f>
        <v>138.55000000000001</v>
      </c>
      <c r="M157" s="1">
        <v>2</v>
      </c>
      <c r="N157" s="182">
        <f>VLOOKUP(A157,'Rate Calculation'!$A$4:$AL$208,38,FALSE)</f>
        <v>26.7</v>
      </c>
      <c r="O157" s="6" t="e">
        <f>VLOOKUP($A157,'Rate Calculation'!$A$3:$BR$210,65,FALSE)</f>
        <v>#DIV/0!</v>
      </c>
      <c r="P157" s="6" t="e">
        <f t="shared" si="30"/>
        <v>#DIV/0!</v>
      </c>
      <c r="Q157" s="6" t="e">
        <f t="shared" si="25"/>
        <v>#DIV/0!</v>
      </c>
      <c r="R157" s="6" t="e">
        <f>VLOOKUP($A157,'Rate Calculation'!$A$3:$AR$210,47,FALSE)+Q157</f>
        <v>#REF!</v>
      </c>
      <c r="S157" s="6" t="e">
        <f>VLOOKUP($A157,'Rate Calculation'!$A$4:$CQ$211,66,FALSE)</f>
        <v>#REF!</v>
      </c>
      <c r="T157" s="6" t="e">
        <f>VLOOKUP($A157,'Rate Calculation'!$A$3:$CQ$210,67,FALSE)</f>
        <v>#REF!</v>
      </c>
      <c r="U157" s="6" t="e">
        <f>VLOOKUP($A157,'Rate Calculation'!$A$3:$DE$210,82,FALSE)</f>
        <v>#DIV/0!</v>
      </c>
      <c r="V157" s="6" t="e">
        <f t="shared" si="31"/>
        <v>#DIV/0!</v>
      </c>
      <c r="W157" s="6" t="e">
        <f t="shared" si="26"/>
        <v>#DIV/0!</v>
      </c>
      <c r="X157" s="6" t="e">
        <f>VLOOKUP($A157,'Rate Calculation'!$A$3:$AR$210,47,FALSE)+W157</f>
        <v>#REF!</v>
      </c>
      <c r="Y157" s="6" t="e">
        <f>VLOOKUP($A157,'Rate Calculation'!$A$4:$CQ$210,83,FALSE)</f>
        <v>#REF!</v>
      </c>
      <c r="Z157" s="6" t="e">
        <f>VLOOKUP($A157,'Rate Calculation'!$A$3:$DE$210,84,FALSE)</f>
        <v>#REF!</v>
      </c>
      <c r="AA157" s="6">
        <f>VLOOKUP($A157,'Rate Calculation'!$A$3:$DE$210,99,FALSE)</f>
        <v>0</v>
      </c>
      <c r="AB157" s="6">
        <f t="shared" si="32"/>
        <v>0</v>
      </c>
      <c r="AC157" s="6">
        <f t="shared" si="27"/>
        <v>0</v>
      </c>
      <c r="AD157" s="6" t="e">
        <f>VLOOKUP($A157,'Rate Calculation'!$A$3:$AR$210,47,FALSE)+AC157</f>
        <v>#REF!</v>
      </c>
      <c r="AE157" s="6" t="e">
        <f>VLOOKUP($A157,'Rate Calculation'!$A$3:$CQ$210,100,FALSE)</f>
        <v>#REF!</v>
      </c>
      <c r="AF157" s="6">
        <f>VLOOKUP($A157,'Rate Calculation'!$A$3:$DE$210,101,FALSE)</f>
        <v>0</v>
      </c>
      <c r="AH157" s="175"/>
    </row>
    <row r="158" spans="1:34" x14ac:dyDescent="0.15">
      <c r="A158" s="130">
        <v>302</v>
      </c>
      <c r="B158" s="37" t="s">
        <v>662</v>
      </c>
      <c r="C158" s="1" t="str">
        <f>VLOOKUP(A158,'Rate Calculation'!$A$4:$F$210,6,FALSE)</f>
        <v>NON METRO</v>
      </c>
      <c r="D158" s="4">
        <v>28701</v>
      </c>
      <c r="E158" s="6">
        <f>VLOOKUP(A158,'Rate Calculation'!$A$4:$AM$208,39,FALSE)</f>
        <v>292.19</v>
      </c>
      <c r="F158" s="6">
        <f t="shared" si="28"/>
        <v>288.60000000000002</v>
      </c>
      <c r="G158" s="6">
        <f t="shared" si="29"/>
        <v>288.60000000000002</v>
      </c>
      <c r="H158" s="6">
        <f>VLOOKUP(A158,'Rate Calculation'!$A$4:$AL$208,38,FALSE)+G158</f>
        <v>318.64999999999998</v>
      </c>
      <c r="I158" s="6">
        <f>VLOOKUP(A158,'Rate Calculation'!$A$4:$AN$208,40,FALSE)</f>
        <v>217.1</v>
      </c>
      <c r="J158" s="1">
        <v>0</v>
      </c>
      <c r="K158" s="217">
        <v>1527</v>
      </c>
      <c r="L158" s="6">
        <f>VLOOKUP(A158,'Rate Calculation'!$A$4:$AO$208,41,FALSE)</f>
        <v>142</v>
      </c>
      <c r="M158" s="1">
        <v>8</v>
      </c>
      <c r="N158" s="182">
        <f>VLOOKUP(A158,'Rate Calculation'!$A$4:$AL$208,38,FALSE)</f>
        <v>30.05</v>
      </c>
      <c r="O158" s="6" t="e">
        <f>VLOOKUP($A158,'Rate Calculation'!$A$3:$BR$210,65,FALSE)</f>
        <v>#DIV/0!</v>
      </c>
      <c r="P158" s="6" t="e">
        <f t="shared" si="30"/>
        <v>#DIV/0!</v>
      </c>
      <c r="Q158" s="6" t="e">
        <f t="shared" si="25"/>
        <v>#DIV/0!</v>
      </c>
      <c r="R158" s="6" t="e">
        <f>VLOOKUP($A158,'Rate Calculation'!$A$3:$AR$210,47,FALSE)+Q158</f>
        <v>#REF!</v>
      </c>
      <c r="S158" s="6" t="e">
        <f>VLOOKUP($A158,'Rate Calculation'!$A$4:$CQ$211,66,FALSE)</f>
        <v>#REF!</v>
      </c>
      <c r="T158" s="6" t="e">
        <f>VLOOKUP($A158,'Rate Calculation'!$A$3:$CQ$210,67,FALSE)</f>
        <v>#REF!</v>
      </c>
      <c r="U158" s="6" t="e">
        <f>VLOOKUP($A158,'Rate Calculation'!$A$3:$DE$210,82,FALSE)</f>
        <v>#DIV/0!</v>
      </c>
      <c r="V158" s="6" t="e">
        <f t="shared" si="31"/>
        <v>#DIV/0!</v>
      </c>
      <c r="W158" s="6" t="e">
        <f t="shared" si="26"/>
        <v>#DIV/0!</v>
      </c>
      <c r="X158" s="6" t="e">
        <f>VLOOKUP($A158,'Rate Calculation'!$A$3:$AR$210,47,FALSE)+W158</f>
        <v>#REF!</v>
      </c>
      <c r="Y158" s="6" t="e">
        <f>VLOOKUP($A158,'Rate Calculation'!$A$4:$CQ$210,83,FALSE)</f>
        <v>#REF!</v>
      </c>
      <c r="Z158" s="6" t="e">
        <f>VLOOKUP($A158,'Rate Calculation'!$A$3:$DE$210,84,FALSE)</f>
        <v>#REF!</v>
      </c>
      <c r="AA158" s="6">
        <f>VLOOKUP($A158,'Rate Calculation'!$A$3:$DE$210,99,FALSE)</f>
        <v>0</v>
      </c>
      <c r="AB158" s="6">
        <f t="shared" si="32"/>
        <v>0</v>
      </c>
      <c r="AC158" s="6">
        <f t="shared" si="27"/>
        <v>0</v>
      </c>
      <c r="AD158" s="6" t="e">
        <f>VLOOKUP($A158,'Rate Calculation'!$A$3:$AR$210,47,FALSE)+AC158</f>
        <v>#REF!</v>
      </c>
      <c r="AE158" s="6" t="e">
        <f>VLOOKUP($A158,'Rate Calculation'!$A$3:$CQ$210,100,FALSE)</f>
        <v>#REF!</v>
      </c>
      <c r="AF158" s="6">
        <f>VLOOKUP($A158,'Rate Calculation'!$A$3:$DE$210,101,FALSE)</f>
        <v>0</v>
      </c>
      <c r="AH158" s="175"/>
    </row>
    <row r="159" spans="1:34" x14ac:dyDescent="0.15">
      <c r="A159" s="130">
        <v>320</v>
      </c>
      <c r="B159" s="37" t="s">
        <v>751</v>
      </c>
      <c r="C159" s="1" t="str">
        <f>VLOOKUP(A159,'Rate Calculation'!$A$4:$F$210,6,FALSE)</f>
        <v>BALTIMORE CITY</v>
      </c>
      <c r="D159" s="4">
        <v>24533</v>
      </c>
      <c r="E159" s="6">
        <f>VLOOKUP(A159,'Rate Calculation'!$A$4:$AM$208,39,FALSE)</f>
        <v>378.25</v>
      </c>
      <c r="F159" s="6">
        <f t="shared" si="28"/>
        <v>373.61</v>
      </c>
      <c r="G159" s="6">
        <f t="shared" si="29"/>
        <v>373.61</v>
      </c>
      <c r="H159" s="6">
        <f>VLOOKUP(A159,'Rate Calculation'!$A$4:$AL$208,38,FALSE)+G159</f>
        <v>400.68</v>
      </c>
      <c r="I159" s="6">
        <f>VLOOKUP(A159,'Rate Calculation'!$A$4:$AN$208,40,FALSE)</f>
        <v>288.58</v>
      </c>
      <c r="J159" s="1">
        <v>0</v>
      </c>
      <c r="K159" s="217">
        <v>64494</v>
      </c>
      <c r="L159" s="6">
        <f>VLOOKUP(A159,'Rate Calculation'!$A$4:$AO$208,41,FALSE)</f>
        <v>198.9</v>
      </c>
      <c r="M159" s="1">
        <v>0</v>
      </c>
      <c r="N159" s="182">
        <f>VLOOKUP(A159,'Rate Calculation'!$A$4:$AL$208,38,FALSE)</f>
        <v>27.07</v>
      </c>
      <c r="O159" s="6" t="e">
        <f>VLOOKUP($A159,'Rate Calculation'!$A$3:$BR$210,65,FALSE)</f>
        <v>#DIV/0!</v>
      </c>
      <c r="P159" s="6" t="e">
        <f t="shared" si="30"/>
        <v>#DIV/0!</v>
      </c>
      <c r="Q159" s="6" t="e">
        <f t="shared" si="25"/>
        <v>#DIV/0!</v>
      </c>
      <c r="R159" s="6" t="e">
        <f>VLOOKUP($A159,'Rate Calculation'!$A$3:$AR$210,47,FALSE)+Q159</f>
        <v>#REF!</v>
      </c>
      <c r="S159" s="6" t="e">
        <f>VLOOKUP($A159,'Rate Calculation'!$A$4:$CQ$211,66,FALSE)</f>
        <v>#REF!</v>
      </c>
      <c r="T159" s="6" t="e">
        <f>VLOOKUP($A159,'Rate Calculation'!$A$3:$CQ$210,67,FALSE)</f>
        <v>#REF!</v>
      </c>
      <c r="U159" s="6" t="e">
        <f>VLOOKUP($A159,'Rate Calculation'!$A$3:$DE$210,82,FALSE)</f>
        <v>#DIV/0!</v>
      </c>
      <c r="V159" s="6" t="e">
        <f t="shared" si="31"/>
        <v>#DIV/0!</v>
      </c>
      <c r="W159" s="6" t="e">
        <f t="shared" si="26"/>
        <v>#DIV/0!</v>
      </c>
      <c r="X159" s="6" t="e">
        <f>VLOOKUP($A159,'Rate Calculation'!$A$3:$AR$210,47,FALSE)+W159</f>
        <v>#REF!</v>
      </c>
      <c r="Y159" s="6" t="e">
        <f>VLOOKUP($A159,'Rate Calculation'!$A$4:$CQ$210,83,FALSE)</f>
        <v>#REF!</v>
      </c>
      <c r="Z159" s="6" t="e">
        <f>VLOOKUP($A159,'Rate Calculation'!$A$3:$DE$210,84,FALSE)</f>
        <v>#REF!</v>
      </c>
      <c r="AA159" s="6">
        <f>VLOOKUP($A159,'Rate Calculation'!$A$3:$DE$210,99,FALSE)</f>
        <v>0</v>
      </c>
      <c r="AB159" s="6">
        <f t="shared" si="32"/>
        <v>0</v>
      </c>
      <c r="AC159" s="6">
        <f t="shared" si="27"/>
        <v>0</v>
      </c>
      <c r="AD159" s="6" t="e">
        <f>VLOOKUP($A159,'Rate Calculation'!$A$3:$AR$210,47,FALSE)+AC159</f>
        <v>#REF!</v>
      </c>
      <c r="AE159" s="6" t="e">
        <f>VLOOKUP($A159,'Rate Calculation'!$A$3:$CQ$210,100,FALSE)</f>
        <v>#REF!</v>
      </c>
      <c r="AF159" s="6">
        <f>VLOOKUP($A159,'Rate Calculation'!$A$3:$DE$210,101,FALSE)</f>
        <v>0</v>
      </c>
      <c r="AH159" s="175"/>
    </row>
    <row r="160" spans="1:34" x14ac:dyDescent="0.15">
      <c r="A160" s="130">
        <v>322</v>
      </c>
      <c r="B160" s="37" t="s">
        <v>741</v>
      </c>
      <c r="C160" s="1" t="str">
        <f>VLOOKUP(A160,'Rate Calculation'!$A$4:$F$210,6,FALSE)</f>
        <v>BALTIMORE METRO</v>
      </c>
      <c r="D160" s="4">
        <v>25694</v>
      </c>
      <c r="E160" s="6">
        <f>VLOOKUP(A160,'Rate Calculation'!$A$4:$AM$208,39,FALSE)</f>
        <v>355.79</v>
      </c>
      <c r="F160" s="6">
        <f t="shared" si="28"/>
        <v>351.42</v>
      </c>
      <c r="G160" s="6">
        <f t="shared" si="29"/>
        <v>351.42</v>
      </c>
      <c r="H160" s="6">
        <f>VLOOKUP(A160,'Rate Calculation'!$A$4:$AL$208,38,FALSE)+G160</f>
        <v>374.25</v>
      </c>
      <c r="I160" s="6">
        <f>VLOOKUP(A160,'Rate Calculation'!$A$4:$AN$208,40,FALSE)</f>
        <v>254.74</v>
      </c>
      <c r="J160" s="1">
        <v>0</v>
      </c>
      <c r="K160" s="217">
        <v>106684</v>
      </c>
      <c r="L160" s="6">
        <f>VLOOKUP(A160,'Rate Calculation'!$A$4:$AO$208,41,FALSE)</f>
        <v>153.69</v>
      </c>
      <c r="M160" s="1">
        <v>0</v>
      </c>
      <c r="N160" s="182">
        <f>VLOOKUP(A160,'Rate Calculation'!$A$4:$AL$208,38,FALSE)</f>
        <v>22.83</v>
      </c>
      <c r="O160" s="6" t="e">
        <f>VLOOKUP($A160,'Rate Calculation'!$A$3:$BR$210,65,FALSE)</f>
        <v>#DIV/0!</v>
      </c>
      <c r="P160" s="6" t="e">
        <f t="shared" si="30"/>
        <v>#DIV/0!</v>
      </c>
      <c r="Q160" s="6" t="e">
        <f t="shared" si="25"/>
        <v>#DIV/0!</v>
      </c>
      <c r="R160" s="6" t="e">
        <f>VLOOKUP($A160,'Rate Calculation'!$A$3:$AR$210,47,FALSE)+Q160</f>
        <v>#REF!</v>
      </c>
      <c r="S160" s="6" t="e">
        <f>VLOOKUP($A160,'Rate Calculation'!$A$4:$CQ$211,66,FALSE)</f>
        <v>#REF!</v>
      </c>
      <c r="T160" s="6" t="e">
        <f>VLOOKUP($A160,'Rate Calculation'!$A$3:$CQ$210,67,FALSE)</f>
        <v>#REF!</v>
      </c>
      <c r="U160" s="6" t="e">
        <f>VLOOKUP($A160,'Rate Calculation'!$A$3:$DE$210,82,FALSE)</f>
        <v>#DIV/0!</v>
      </c>
      <c r="V160" s="6" t="e">
        <f t="shared" si="31"/>
        <v>#DIV/0!</v>
      </c>
      <c r="W160" s="6" t="e">
        <f t="shared" si="26"/>
        <v>#DIV/0!</v>
      </c>
      <c r="X160" s="6" t="e">
        <f>VLOOKUP($A160,'Rate Calculation'!$A$3:$AR$210,47,FALSE)+W160</f>
        <v>#REF!</v>
      </c>
      <c r="Y160" s="6" t="e">
        <f>VLOOKUP($A160,'Rate Calculation'!$A$4:$CQ$210,83,FALSE)</f>
        <v>#REF!</v>
      </c>
      <c r="Z160" s="6" t="e">
        <f>VLOOKUP($A160,'Rate Calculation'!$A$3:$DE$210,84,FALSE)</f>
        <v>#REF!</v>
      </c>
      <c r="AA160" s="6">
        <f>VLOOKUP($A160,'Rate Calculation'!$A$3:$DE$210,99,FALSE)</f>
        <v>0</v>
      </c>
      <c r="AB160" s="6">
        <f t="shared" si="32"/>
        <v>0</v>
      </c>
      <c r="AC160" s="6">
        <f t="shared" si="27"/>
        <v>0</v>
      </c>
      <c r="AD160" s="6" t="e">
        <f>VLOOKUP($A160,'Rate Calculation'!$A$3:$AR$210,47,FALSE)+AC160</f>
        <v>#REF!</v>
      </c>
      <c r="AE160" s="6" t="e">
        <f>VLOOKUP($A160,'Rate Calculation'!$A$3:$CQ$210,100,FALSE)</f>
        <v>#REF!</v>
      </c>
      <c r="AF160" s="6">
        <f>VLOOKUP($A160,'Rate Calculation'!$A$3:$DE$210,101,FALSE)</f>
        <v>0</v>
      </c>
      <c r="AH160" s="175"/>
    </row>
    <row r="161" spans="1:34" x14ac:dyDescent="0.15">
      <c r="A161" s="130">
        <v>316</v>
      </c>
      <c r="B161" s="37" t="s">
        <v>740</v>
      </c>
      <c r="C161" s="1" t="str">
        <f>VLOOKUP(A161,'Rate Calculation'!$A$4:$F$210,6,FALSE)</f>
        <v>BALTIMORE METRO</v>
      </c>
      <c r="D161" s="4">
        <v>21984</v>
      </c>
      <c r="E161" s="6">
        <f>VLOOKUP(A161,'Rate Calculation'!$A$4:$AM$208,39,FALSE)</f>
        <v>353.32</v>
      </c>
      <c r="F161" s="6">
        <f t="shared" si="28"/>
        <v>348.98</v>
      </c>
      <c r="G161" s="6">
        <f t="shared" si="29"/>
        <v>348.98</v>
      </c>
      <c r="H161" s="6">
        <f>VLOOKUP(A161,'Rate Calculation'!$A$4:$AL$208,38,FALSE)+G161</f>
        <v>372.74</v>
      </c>
      <c r="I161" s="6">
        <f>VLOOKUP(A161,'Rate Calculation'!$A$4:$AN$208,40,FALSE)</f>
        <v>254.63</v>
      </c>
      <c r="J161" s="1">
        <v>0</v>
      </c>
      <c r="K161" s="217">
        <v>146910</v>
      </c>
      <c r="L161" s="6">
        <f>VLOOKUP(A161,'Rate Calculation'!$A$4:$AO$208,41,FALSE)</f>
        <v>155.94</v>
      </c>
      <c r="M161" s="1">
        <v>3</v>
      </c>
      <c r="N161" s="182">
        <f>VLOOKUP(A161,'Rate Calculation'!$A$4:$AL$208,38,FALSE)</f>
        <v>23.76</v>
      </c>
      <c r="O161" s="6" t="e">
        <f>VLOOKUP($A161,'Rate Calculation'!$A$3:$BR$210,65,FALSE)</f>
        <v>#DIV/0!</v>
      </c>
      <c r="P161" s="6" t="e">
        <f t="shared" si="30"/>
        <v>#DIV/0!</v>
      </c>
      <c r="Q161" s="6" t="e">
        <f t="shared" si="25"/>
        <v>#DIV/0!</v>
      </c>
      <c r="R161" s="6" t="e">
        <f>VLOOKUP($A161,'Rate Calculation'!$A$3:$AR$210,47,FALSE)+Q161</f>
        <v>#REF!</v>
      </c>
      <c r="S161" s="6" t="e">
        <f>VLOOKUP($A161,'Rate Calculation'!$A$4:$CQ$211,66,FALSE)</f>
        <v>#REF!</v>
      </c>
      <c r="T161" s="6" t="e">
        <f>VLOOKUP($A161,'Rate Calculation'!$A$3:$CQ$210,67,FALSE)</f>
        <v>#REF!</v>
      </c>
      <c r="U161" s="6" t="e">
        <f>VLOOKUP($A161,'Rate Calculation'!$A$3:$DE$210,82,FALSE)</f>
        <v>#DIV/0!</v>
      </c>
      <c r="V161" s="6" t="e">
        <f t="shared" si="31"/>
        <v>#DIV/0!</v>
      </c>
      <c r="W161" s="6" t="e">
        <f t="shared" si="26"/>
        <v>#DIV/0!</v>
      </c>
      <c r="X161" s="6" t="e">
        <f>VLOOKUP($A161,'Rate Calculation'!$A$3:$AR$210,47,FALSE)+W161</f>
        <v>#REF!</v>
      </c>
      <c r="Y161" s="6" t="e">
        <f>VLOOKUP($A161,'Rate Calculation'!$A$4:$CQ$210,83,FALSE)</f>
        <v>#REF!</v>
      </c>
      <c r="Z161" s="6" t="e">
        <f>VLOOKUP($A161,'Rate Calculation'!$A$3:$DE$210,84,FALSE)</f>
        <v>#REF!</v>
      </c>
      <c r="AA161" s="6">
        <f>VLOOKUP($A161,'Rate Calculation'!$A$3:$DE$210,99,FALSE)</f>
        <v>0</v>
      </c>
      <c r="AB161" s="6">
        <f t="shared" si="32"/>
        <v>0</v>
      </c>
      <c r="AC161" s="6">
        <f t="shared" si="27"/>
        <v>0</v>
      </c>
      <c r="AD161" s="6" t="e">
        <f>VLOOKUP($A161,'Rate Calculation'!$A$3:$AR$210,47,FALSE)+AC161</f>
        <v>#REF!</v>
      </c>
      <c r="AE161" s="6" t="e">
        <f>VLOOKUP($A161,'Rate Calculation'!$A$3:$CQ$210,100,FALSE)</f>
        <v>#REF!</v>
      </c>
      <c r="AF161" s="6">
        <f>VLOOKUP($A161,'Rate Calculation'!$A$3:$DE$210,101,FALSE)</f>
        <v>0</v>
      </c>
      <c r="AH161" s="175"/>
    </row>
    <row r="162" spans="1:34" x14ac:dyDescent="0.15">
      <c r="A162" s="130">
        <v>739</v>
      </c>
      <c r="B162" s="37" t="s">
        <v>212</v>
      </c>
      <c r="C162" s="1" t="str">
        <f>VLOOKUP(A162,'Rate Calculation'!$A$4:$F$210,6,FALSE)</f>
        <v>BALTIMORE METRO</v>
      </c>
      <c r="D162" s="4">
        <v>19580</v>
      </c>
      <c r="E162" s="6">
        <f>VLOOKUP(A162,'Rate Calculation'!$A$4:$AM$208,39,FALSE)</f>
        <v>311.92</v>
      </c>
      <c r="F162" s="6">
        <f t="shared" si="28"/>
        <v>308.08999999999997</v>
      </c>
      <c r="G162" s="6">
        <f t="shared" si="29"/>
        <v>308.08999999999997</v>
      </c>
      <c r="H162" s="6">
        <f>VLOOKUP(A162,'Rate Calculation'!$A$4:$AL$208,38,FALSE)+G162</f>
        <v>333.86</v>
      </c>
      <c r="I162" s="6">
        <f>VLOOKUP(A162,'Rate Calculation'!$A$4:$AN$208,40,FALSE)</f>
        <v>231.32</v>
      </c>
      <c r="J162" s="1">
        <v>0</v>
      </c>
      <c r="K162" s="217">
        <v>42325</v>
      </c>
      <c r="L162" s="6">
        <f>VLOOKUP(A162,'Rate Calculation'!$A$4:$AO$208,41,FALSE)</f>
        <v>150.72</v>
      </c>
      <c r="M162" s="1">
        <v>12</v>
      </c>
      <c r="N162" s="182">
        <f>VLOOKUP(A162,'Rate Calculation'!$A$4:$AL$208,38,FALSE)</f>
        <v>25.77</v>
      </c>
      <c r="O162" s="6" t="e">
        <f>VLOOKUP($A162,'Rate Calculation'!$A$3:$BR$210,65,FALSE)</f>
        <v>#DIV/0!</v>
      </c>
      <c r="P162" s="6" t="e">
        <f t="shared" si="30"/>
        <v>#DIV/0!</v>
      </c>
      <c r="Q162" s="6" t="e">
        <f t="shared" si="25"/>
        <v>#DIV/0!</v>
      </c>
      <c r="R162" s="6" t="e">
        <f>VLOOKUP($A162,'Rate Calculation'!$A$3:$AR$210,47,FALSE)+Q162</f>
        <v>#REF!</v>
      </c>
      <c r="S162" s="6" t="e">
        <f>VLOOKUP($A162,'Rate Calculation'!$A$4:$CQ$211,66,FALSE)</f>
        <v>#REF!</v>
      </c>
      <c r="T162" s="6" t="e">
        <f>VLOOKUP($A162,'Rate Calculation'!$A$3:$CQ$210,67,FALSE)</f>
        <v>#REF!</v>
      </c>
      <c r="U162" s="6" t="e">
        <f>VLOOKUP($A162,'Rate Calculation'!$A$3:$DE$210,82,FALSE)</f>
        <v>#DIV/0!</v>
      </c>
      <c r="V162" s="6" t="e">
        <f t="shared" si="31"/>
        <v>#DIV/0!</v>
      </c>
      <c r="W162" s="6" t="e">
        <f t="shared" si="26"/>
        <v>#DIV/0!</v>
      </c>
      <c r="X162" s="6" t="e">
        <f>VLOOKUP($A162,'Rate Calculation'!$A$3:$AR$210,47,FALSE)+W162</f>
        <v>#REF!</v>
      </c>
      <c r="Y162" s="6" t="e">
        <f>VLOOKUP($A162,'Rate Calculation'!$A$4:$CQ$210,83,FALSE)</f>
        <v>#REF!</v>
      </c>
      <c r="Z162" s="6" t="e">
        <f>VLOOKUP($A162,'Rate Calculation'!$A$3:$DE$210,84,FALSE)</f>
        <v>#REF!</v>
      </c>
      <c r="AA162" s="6">
        <f>VLOOKUP($A162,'Rate Calculation'!$A$3:$DE$210,99,FALSE)</f>
        <v>0</v>
      </c>
      <c r="AB162" s="6">
        <f t="shared" si="32"/>
        <v>0</v>
      </c>
      <c r="AC162" s="6">
        <f t="shared" si="27"/>
        <v>0</v>
      </c>
      <c r="AD162" s="6" t="e">
        <f>VLOOKUP($A162,'Rate Calculation'!$A$3:$AR$210,47,FALSE)+AC162</f>
        <v>#REF!</v>
      </c>
      <c r="AE162" s="6" t="e">
        <f>VLOOKUP($A162,'Rate Calculation'!$A$3:$CQ$210,100,FALSE)</f>
        <v>#REF!</v>
      </c>
      <c r="AF162" s="6">
        <f>VLOOKUP($A162,'Rate Calculation'!$A$3:$DE$210,101,FALSE)</f>
        <v>0</v>
      </c>
      <c r="AH162" s="175"/>
    </row>
    <row r="163" spans="1:34" x14ac:dyDescent="0.15">
      <c r="A163" s="130">
        <v>332</v>
      </c>
      <c r="B163" s="37" t="s">
        <v>172</v>
      </c>
      <c r="C163" s="1" t="str">
        <f>VLOOKUP(A163,'Rate Calculation'!$A$4:$F$210,6,FALSE)</f>
        <v>BALTIMORE CITY</v>
      </c>
      <c r="D163" s="4">
        <v>8366</v>
      </c>
      <c r="E163" s="6">
        <f>VLOOKUP(A163,'Rate Calculation'!$A$4:$AM$208,39,FALSE)</f>
        <v>279.93</v>
      </c>
      <c r="F163" s="6">
        <f t="shared" si="28"/>
        <v>276.49</v>
      </c>
      <c r="G163" s="6">
        <f t="shared" si="29"/>
        <v>276.49</v>
      </c>
      <c r="H163" s="6">
        <f>VLOOKUP(A163,'Rate Calculation'!$A$4:$AL$208,38,FALSE)+G163</f>
        <v>276.49</v>
      </c>
      <c r="I163" s="6">
        <f>VLOOKUP(A163,'Rate Calculation'!$A$4:$AN$208,40,FALSE)</f>
        <v>219.36</v>
      </c>
      <c r="J163" s="1">
        <v>0</v>
      </c>
      <c r="K163" s="217">
        <v>0</v>
      </c>
      <c r="L163" s="6">
        <f>VLOOKUP(A163,'Rate Calculation'!$A$4:$AO$208,41,FALSE)</f>
        <v>158.79</v>
      </c>
      <c r="M163" s="1">
        <v>0</v>
      </c>
      <c r="N163" s="182">
        <f>VLOOKUP(A163,'Rate Calculation'!$A$4:$AL$208,38,FALSE)</f>
        <v>0</v>
      </c>
      <c r="O163" s="6" t="e">
        <f>VLOOKUP($A163,'Rate Calculation'!$A$3:$BR$210,65,FALSE)</f>
        <v>#DIV/0!</v>
      </c>
      <c r="P163" s="6" t="e">
        <f t="shared" si="30"/>
        <v>#DIV/0!</v>
      </c>
      <c r="Q163" s="6" t="e">
        <f t="shared" si="25"/>
        <v>#DIV/0!</v>
      </c>
      <c r="R163" s="6" t="e">
        <f>VLOOKUP($A163,'Rate Calculation'!$A$3:$AR$210,47,FALSE)+Q163</f>
        <v>#REF!</v>
      </c>
      <c r="S163" s="6" t="e">
        <f>VLOOKUP($A163,'Rate Calculation'!$A$4:$CQ$211,66,FALSE)</f>
        <v>#REF!</v>
      </c>
      <c r="T163" s="6" t="e">
        <f>VLOOKUP($A163,'Rate Calculation'!$A$3:$CQ$210,67,FALSE)</f>
        <v>#REF!</v>
      </c>
      <c r="U163" s="6" t="e">
        <f>VLOOKUP($A163,'Rate Calculation'!$A$3:$DE$210,82,FALSE)</f>
        <v>#DIV/0!</v>
      </c>
      <c r="V163" s="6" t="e">
        <f t="shared" si="31"/>
        <v>#DIV/0!</v>
      </c>
      <c r="W163" s="6" t="e">
        <f t="shared" si="26"/>
        <v>#DIV/0!</v>
      </c>
      <c r="X163" s="6" t="e">
        <f>VLOOKUP($A163,'Rate Calculation'!$A$3:$AR$210,47,FALSE)+W163</f>
        <v>#REF!</v>
      </c>
      <c r="Y163" s="6" t="e">
        <f>VLOOKUP($A163,'Rate Calculation'!$A$4:$CQ$210,83,FALSE)</f>
        <v>#REF!</v>
      </c>
      <c r="Z163" s="6" t="e">
        <f>VLOOKUP($A163,'Rate Calculation'!$A$3:$DE$210,84,FALSE)</f>
        <v>#REF!</v>
      </c>
      <c r="AA163" s="6">
        <f>VLOOKUP($A163,'Rate Calculation'!$A$3:$DE$210,99,FALSE)</f>
        <v>0</v>
      </c>
      <c r="AB163" s="6">
        <f t="shared" si="32"/>
        <v>0</v>
      </c>
      <c r="AC163" s="6">
        <f t="shared" si="27"/>
        <v>0</v>
      </c>
      <c r="AD163" s="6" t="e">
        <f>VLOOKUP($A163,'Rate Calculation'!$A$3:$AR$210,47,FALSE)+AC163</f>
        <v>#REF!</v>
      </c>
      <c r="AE163" s="6" t="e">
        <f>VLOOKUP($A163,'Rate Calculation'!$A$3:$CQ$210,100,FALSE)</f>
        <v>#REF!</v>
      </c>
      <c r="AF163" s="6">
        <f>VLOOKUP($A163,'Rate Calculation'!$A$3:$DE$210,101,FALSE)</f>
        <v>0</v>
      </c>
      <c r="AH163" s="175"/>
    </row>
    <row r="164" spans="1:34" x14ac:dyDescent="0.15">
      <c r="A164" s="130">
        <v>1326</v>
      </c>
      <c r="B164" s="37" t="s">
        <v>675</v>
      </c>
      <c r="C164" s="1" t="str">
        <f>VLOOKUP(A164,'Rate Calculation'!$A$4:$F$210,6,FALSE)</f>
        <v>BALTIMORE METRO</v>
      </c>
      <c r="D164" s="4">
        <v>7469</v>
      </c>
      <c r="E164" s="6">
        <f>VLOOKUP(A164,'Rate Calculation'!$A$4:$AM$208,39,FALSE)</f>
        <v>348.07</v>
      </c>
      <c r="F164" s="6">
        <f t="shared" si="28"/>
        <v>343.8</v>
      </c>
      <c r="G164" s="6">
        <f t="shared" si="29"/>
        <v>343.8</v>
      </c>
      <c r="H164" s="6">
        <f>VLOOKUP(A164,'Rate Calculation'!$A$4:$AL$208,38,FALSE)+G164</f>
        <v>343.8</v>
      </c>
      <c r="I164" s="6">
        <f>VLOOKUP(A164,'Rate Calculation'!$A$4:$AN$208,40,FALSE)</f>
        <v>260.05</v>
      </c>
      <c r="J164" s="1">
        <v>0</v>
      </c>
      <c r="K164" s="217">
        <v>0</v>
      </c>
      <c r="L164" s="6">
        <f>VLOOKUP(A164,'Rate Calculation'!$A$4:$AO$208,41,FALSE)</f>
        <v>172.02</v>
      </c>
      <c r="M164" s="1">
        <v>2</v>
      </c>
      <c r="N164" s="182">
        <f>VLOOKUP(A164,'Rate Calculation'!$A$4:$AL$208,38,FALSE)</f>
        <v>0</v>
      </c>
      <c r="O164" s="6" t="e">
        <f>VLOOKUP($A164,'Rate Calculation'!$A$3:$BR$210,65,FALSE)</f>
        <v>#DIV/0!</v>
      </c>
      <c r="P164" s="6" t="e">
        <f t="shared" si="30"/>
        <v>#DIV/0!</v>
      </c>
      <c r="Q164" s="6" t="e">
        <f t="shared" si="25"/>
        <v>#DIV/0!</v>
      </c>
      <c r="R164" s="6" t="e">
        <f>VLOOKUP($A164,'Rate Calculation'!$A$3:$AR$210,47,FALSE)+Q164</f>
        <v>#REF!</v>
      </c>
      <c r="S164" s="6" t="e">
        <f>VLOOKUP($A164,'Rate Calculation'!$A$4:$CQ$211,66,FALSE)</f>
        <v>#REF!</v>
      </c>
      <c r="T164" s="6" t="e">
        <f>VLOOKUP($A164,'Rate Calculation'!$A$3:$CQ$210,67,FALSE)</f>
        <v>#REF!</v>
      </c>
      <c r="U164" s="6" t="e">
        <f>VLOOKUP($A164,'Rate Calculation'!$A$3:$DE$210,82,FALSE)</f>
        <v>#DIV/0!</v>
      </c>
      <c r="V164" s="6" t="e">
        <f t="shared" si="31"/>
        <v>#DIV/0!</v>
      </c>
      <c r="W164" s="6" t="e">
        <f t="shared" si="26"/>
        <v>#DIV/0!</v>
      </c>
      <c r="X164" s="6" t="e">
        <f>VLOOKUP($A164,'Rate Calculation'!$A$3:$AR$210,47,FALSE)+W164</f>
        <v>#REF!</v>
      </c>
      <c r="Y164" s="6" t="e">
        <f>VLOOKUP($A164,'Rate Calculation'!$A$4:$CQ$210,83,FALSE)</f>
        <v>#REF!</v>
      </c>
      <c r="Z164" s="6" t="e">
        <f>VLOOKUP($A164,'Rate Calculation'!$A$3:$DE$210,84,FALSE)</f>
        <v>#REF!</v>
      </c>
      <c r="AA164" s="6">
        <f>VLOOKUP($A164,'Rate Calculation'!$A$3:$DE$210,99,FALSE)</f>
        <v>0</v>
      </c>
      <c r="AB164" s="6">
        <f t="shared" si="32"/>
        <v>0</v>
      </c>
      <c r="AC164" s="6">
        <f t="shared" si="27"/>
        <v>0</v>
      </c>
      <c r="AD164" s="6" t="e">
        <f>VLOOKUP($A164,'Rate Calculation'!$A$3:$AR$210,47,FALSE)+AC164</f>
        <v>#REF!</v>
      </c>
      <c r="AE164" s="6" t="e">
        <f>VLOOKUP($A164,'Rate Calculation'!$A$3:$CQ$210,100,FALSE)</f>
        <v>#REF!</v>
      </c>
      <c r="AF164" s="6">
        <f>VLOOKUP($A164,'Rate Calculation'!$A$3:$DE$210,101,FALSE)</f>
        <v>0</v>
      </c>
      <c r="AH164" s="175"/>
    </row>
    <row r="165" spans="1:34" x14ac:dyDescent="0.15">
      <c r="A165" s="130">
        <v>326</v>
      </c>
      <c r="B165" s="37" t="s">
        <v>456</v>
      </c>
      <c r="C165" s="1" t="str">
        <f>VLOOKUP(A165,'Rate Calculation'!$A$4:$F$210,6,FALSE)</f>
        <v>BALTIMORE METRO</v>
      </c>
      <c r="D165" s="4">
        <v>28024</v>
      </c>
      <c r="E165" s="6">
        <f>VLOOKUP(A165,'Rate Calculation'!$A$4:$AM$208,39,FALSE)</f>
        <v>385.55</v>
      </c>
      <c r="F165" s="6">
        <f t="shared" si="28"/>
        <v>380.82</v>
      </c>
      <c r="G165" s="6">
        <f t="shared" si="29"/>
        <v>380.82</v>
      </c>
      <c r="H165" s="6">
        <f>VLOOKUP(A165,'Rate Calculation'!$A$4:$AL$208,38,FALSE)+G165</f>
        <v>405.19</v>
      </c>
      <c r="I165" s="6">
        <f>VLOOKUP(A165,'Rate Calculation'!$A$4:$AN$208,40,FALSE)</f>
        <v>274.38</v>
      </c>
      <c r="J165" s="1">
        <v>0</v>
      </c>
      <c r="K165" s="217">
        <v>127687</v>
      </c>
      <c r="L165" s="6">
        <f>VLOOKUP(A165,'Rate Calculation'!$A$4:$AO$208,41,FALSE)</f>
        <v>163.19999999999999</v>
      </c>
      <c r="M165" s="1">
        <v>3</v>
      </c>
      <c r="N165" s="182">
        <f>VLOOKUP(A165,'Rate Calculation'!$A$4:$AL$208,38,FALSE)</f>
        <v>24.37</v>
      </c>
      <c r="O165" s="6" t="e">
        <f>VLOOKUP($A165,'Rate Calculation'!$A$3:$BR$210,65,FALSE)</f>
        <v>#DIV/0!</v>
      </c>
      <c r="P165" s="6" t="e">
        <f t="shared" si="30"/>
        <v>#DIV/0!</v>
      </c>
      <c r="Q165" s="6" t="e">
        <f t="shared" si="25"/>
        <v>#DIV/0!</v>
      </c>
      <c r="R165" s="6" t="e">
        <f>VLOOKUP($A165,'Rate Calculation'!$A$3:$AR$210,47,FALSE)+Q165</f>
        <v>#REF!</v>
      </c>
      <c r="S165" s="6" t="e">
        <f>VLOOKUP($A165,'Rate Calculation'!$A$4:$CQ$211,66,FALSE)</f>
        <v>#REF!</v>
      </c>
      <c r="T165" s="6" t="e">
        <f>VLOOKUP($A165,'Rate Calculation'!$A$3:$CQ$210,67,FALSE)</f>
        <v>#REF!</v>
      </c>
      <c r="U165" s="6" t="e">
        <f>VLOOKUP($A165,'Rate Calculation'!$A$3:$DE$210,82,FALSE)</f>
        <v>#DIV/0!</v>
      </c>
      <c r="V165" s="6" t="e">
        <f t="shared" si="31"/>
        <v>#DIV/0!</v>
      </c>
      <c r="W165" s="6" t="e">
        <f t="shared" si="26"/>
        <v>#DIV/0!</v>
      </c>
      <c r="X165" s="6" t="e">
        <f>VLOOKUP($A165,'Rate Calculation'!$A$3:$AR$210,47,FALSE)+W165</f>
        <v>#REF!</v>
      </c>
      <c r="Y165" s="6" t="e">
        <f>VLOOKUP($A165,'Rate Calculation'!$A$4:$CQ$210,83,FALSE)</f>
        <v>#REF!</v>
      </c>
      <c r="Z165" s="6" t="e">
        <f>VLOOKUP($A165,'Rate Calculation'!$A$3:$DE$210,84,FALSE)</f>
        <v>#REF!</v>
      </c>
      <c r="AA165" s="6">
        <f>VLOOKUP($A165,'Rate Calculation'!$A$3:$DE$210,99,FALSE)</f>
        <v>0</v>
      </c>
      <c r="AB165" s="6">
        <f t="shared" si="32"/>
        <v>0</v>
      </c>
      <c r="AC165" s="6">
        <f t="shared" si="27"/>
        <v>0</v>
      </c>
      <c r="AD165" s="6" t="e">
        <f>VLOOKUP($A165,'Rate Calculation'!$A$3:$AR$210,47,FALSE)+AC165</f>
        <v>#REF!</v>
      </c>
      <c r="AE165" s="6" t="e">
        <f>VLOOKUP($A165,'Rate Calculation'!$A$3:$CQ$210,100,FALSE)</f>
        <v>#REF!</v>
      </c>
      <c r="AF165" s="6">
        <f>VLOOKUP($A165,'Rate Calculation'!$A$3:$DE$210,101,FALSE)</f>
        <v>0</v>
      </c>
      <c r="AH165" s="175"/>
    </row>
    <row r="166" spans="1:34" x14ac:dyDescent="0.15">
      <c r="A166" s="130">
        <v>304</v>
      </c>
      <c r="B166" s="37" t="s">
        <v>699</v>
      </c>
      <c r="C166" s="1" t="str">
        <f>VLOOKUP(A166,'Rate Calculation'!$A$4:$F$210,6,FALSE)</f>
        <v>WASHINGTON METRO</v>
      </c>
      <c r="D166" s="4">
        <v>12913</v>
      </c>
      <c r="E166" s="6">
        <f>VLOOKUP(A166,'Rate Calculation'!$A$4:$AM$208,39,FALSE)</f>
        <v>343.93</v>
      </c>
      <c r="F166" s="6">
        <f t="shared" si="28"/>
        <v>339.71</v>
      </c>
      <c r="G166" s="6">
        <f t="shared" si="29"/>
        <v>339.71</v>
      </c>
      <c r="H166" s="6">
        <f>VLOOKUP(A166,'Rate Calculation'!$A$4:$AL$208,38,FALSE)+G166</f>
        <v>362.08</v>
      </c>
      <c r="I166" s="6">
        <f>VLOOKUP(A166,'Rate Calculation'!$A$4:$AN$208,40,FALSE)</f>
        <v>253</v>
      </c>
      <c r="J166" s="1">
        <v>0</v>
      </c>
      <c r="K166" s="217">
        <v>31087</v>
      </c>
      <c r="L166" s="6">
        <f>VLOOKUP(A166,'Rate Calculation'!$A$4:$AO$208,41,FALSE)</f>
        <v>162.06</v>
      </c>
      <c r="M166" s="1">
        <v>0</v>
      </c>
      <c r="N166" s="182">
        <f>VLOOKUP(A166,'Rate Calculation'!$A$4:$AL$208,38,FALSE)</f>
        <v>22.37</v>
      </c>
      <c r="O166" s="6" t="e">
        <f>VLOOKUP($A166,'Rate Calculation'!$A$3:$BR$210,65,FALSE)</f>
        <v>#DIV/0!</v>
      </c>
      <c r="P166" s="6" t="e">
        <f t="shared" si="30"/>
        <v>#DIV/0!</v>
      </c>
      <c r="Q166" s="6" t="e">
        <f t="shared" si="25"/>
        <v>#DIV/0!</v>
      </c>
      <c r="R166" s="6" t="e">
        <f>VLOOKUP($A166,'Rate Calculation'!$A$3:$AR$210,47,FALSE)+Q166</f>
        <v>#REF!</v>
      </c>
      <c r="S166" s="6" t="e">
        <f>VLOOKUP($A166,'Rate Calculation'!$A$4:$CQ$211,66,FALSE)</f>
        <v>#REF!</v>
      </c>
      <c r="T166" s="6" t="e">
        <f>VLOOKUP($A166,'Rate Calculation'!$A$3:$CQ$210,67,FALSE)</f>
        <v>#REF!</v>
      </c>
      <c r="U166" s="6" t="e">
        <f>VLOOKUP($A166,'Rate Calculation'!$A$3:$DE$210,82,FALSE)</f>
        <v>#DIV/0!</v>
      </c>
      <c r="V166" s="6" t="e">
        <f t="shared" si="31"/>
        <v>#DIV/0!</v>
      </c>
      <c r="W166" s="6" t="e">
        <f t="shared" si="26"/>
        <v>#DIV/0!</v>
      </c>
      <c r="X166" s="6" t="e">
        <f>VLOOKUP($A166,'Rate Calculation'!$A$3:$AR$210,47,FALSE)+W166</f>
        <v>#REF!</v>
      </c>
      <c r="Y166" s="6" t="e">
        <f>VLOOKUP($A166,'Rate Calculation'!$A$4:$CQ$210,83,FALSE)</f>
        <v>#REF!</v>
      </c>
      <c r="Z166" s="6" t="e">
        <f>VLOOKUP($A166,'Rate Calculation'!$A$3:$DE$210,84,FALSE)</f>
        <v>#REF!</v>
      </c>
      <c r="AA166" s="6">
        <f>VLOOKUP($A166,'Rate Calculation'!$A$3:$DE$210,99,FALSE)</f>
        <v>0</v>
      </c>
      <c r="AB166" s="6">
        <f t="shared" si="32"/>
        <v>0</v>
      </c>
      <c r="AC166" s="6">
        <f t="shared" si="27"/>
        <v>0</v>
      </c>
      <c r="AD166" s="6" t="e">
        <f>VLOOKUP($A166,'Rate Calculation'!$A$3:$AR$210,47,FALSE)+AC166</f>
        <v>#REF!</v>
      </c>
      <c r="AE166" s="6" t="e">
        <f>VLOOKUP($A166,'Rate Calculation'!$A$3:$CQ$210,100,FALSE)</f>
        <v>#REF!</v>
      </c>
      <c r="AF166" s="6">
        <f>VLOOKUP($A166,'Rate Calculation'!$A$3:$DE$210,101,FALSE)</f>
        <v>0</v>
      </c>
      <c r="AH166" s="175"/>
    </row>
    <row r="167" spans="1:34" x14ac:dyDescent="0.15">
      <c r="A167" s="130">
        <v>306</v>
      </c>
      <c r="B167" s="37" t="s">
        <v>701</v>
      </c>
      <c r="C167" s="1" t="str">
        <f>VLOOKUP(A167,'Rate Calculation'!$A$4:$F$210,6,FALSE)</f>
        <v>WASHINGTON METRO</v>
      </c>
      <c r="D167" s="4">
        <v>0</v>
      </c>
      <c r="E167" s="6">
        <f>VLOOKUP(A167,'Rate Calculation'!$A$4:$AM$208,39,FALSE)</f>
        <v>351.08</v>
      </c>
      <c r="F167" s="6">
        <f t="shared" si="28"/>
        <v>346.77</v>
      </c>
      <c r="G167" s="6">
        <f t="shared" si="29"/>
        <v>346.77</v>
      </c>
      <c r="H167" s="6">
        <f>VLOOKUP(A167,'Rate Calculation'!$A$4:$AL$208,38,FALSE)+G167</f>
        <v>367.24</v>
      </c>
      <c r="I167" s="6">
        <f>VLOOKUP(A167,'Rate Calculation'!$A$4:$AN$208,40,FALSE)</f>
        <v>259.54000000000002</v>
      </c>
      <c r="J167" s="1">
        <v>0</v>
      </c>
      <c r="K167" s="217">
        <v>0</v>
      </c>
      <c r="L167" s="6">
        <f>VLOOKUP(A167,'Rate Calculation'!$A$4:$AO$208,41,FALSE)</f>
        <v>167.99</v>
      </c>
      <c r="M167" s="1">
        <v>0</v>
      </c>
      <c r="N167" s="182">
        <f>VLOOKUP(A167,'Rate Calculation'!$A$4:$AL$208,38,FALSE)</f>
        <v>20.47</v>
      </c>
      <c r="O167" s="6" t="e">
        <f>VLOOKUP($A167,'Rate Calculation'!$A$3:$BR$210,65,FALSE)</f>
        <v>#DIV/0!</v>
      </c>
      <c r="P167" s="6" t="e">
        <f t="shared" si="30"/>
        <v>#DIV/0!</v>
      </c>
      <c r="Q167" s="6" t="e">
        <f t="shared" si="25"/>
        <v>#DIV/0!</v>
      </c>
      <c r="R167" s="6" t="e">
        <f>VLOOKUP($A167,'Rate Calculation'!$A$3:$AR$210,47,FALSE)+Q167</f>
        <v>#REF!</v>
      </c>
      <c r="S167" s="6" t="e">
        <f>VLOOKUP($A167,'Rate Calculation'!$A$4:$CQ$211,66,FALSE)</f>
        <v>#REF!</v>
      </c>
      <c r="T167" s="6" t="e">
        <f>VLOOKUP($A167,'Rate Calculation'!$A$3:$CQ$210,67,FALSE)</f>
        <v>#REF!</v>
      </c>
      <c r="U167" s="6" t="e">
        <f>VLOOKUP($A167,'Rate Calculation'!$A$3:$DE$210,82,FALSE)</f>
        <v>#DIV/0!</v>
      </c>
      <c r="V167" s="6" t="e">
        <f t="shared" si="31"/>
        <v>#DIV/0!</v>
      </c>
      <c r="W167" s="6" t="e">
        <f t="shared" si="26"/>
        <v>#DIV/0!</v>
      </c>
      <c r="X167" s="6" t="e">
        <f>VLOOKUP($A167,'Rate Calculation'!$A$3:$AR$210,47,FALSE)+W167</f>
        <v>#REF!</v>
      </c>
      <c r="Y167" s="6" t="e">
        <f>VLOOKUP($A167,'Rate Calculation'!$A$4:$CQ$210,83,FALSE)</f>
        <v>#REF!</v>
      </c>
      <c r="Z167" s="6" t="e">
        <f>VLOOKUP($A167,'Rate Calculation'!$A$3:$DE$210,84,FALSE)</f>
        <v>#REF!</v>
      </c>
      <c r="AA167" s="6">
        <f>VLOOKUP($A167,'Rate Calculation'!$A$3:$DE$210,99,FALSE)</f>
        <v>0</v>
      </c>
      <c r="AB167" s="6">
        <f t="shared" si="32"/>
        <v>0</v>
      </c>
      <c r="AC167" s="6">
        <f t="shared" si="27"/>
        <v>0</v>
      </c>
      <c r="AD167" s="6" t="e">
        <f>VLOOKUP($A167,'Rate Calculation'!$A$3:$AR$210,47,FALSE)+AC167</f>
        <v>#REF!</v>
      </c>
      <c r="AE167" s="6" t="e">
        <f>VLOOKUP($A167,'Rate Calculation'!$A$3:$CQ$210,100,FALSE)</f>
        <v>#REF!</v>
      </c>
      <c r="AF167" s="6">
        <f>VLOOKUP($A167,'Rate Calculation'!$A$3:$DE$210,101,FALSE)</f>
        <v>0</v>
      </c>
      <c r="AH167" s="175"/>
    </row>
    <row r="168" spans="1:34" x14ac:dyDescent="0.15">
      <c r="A168" s="130">
        <v>308</v>
      </c>
      <c r="B168" s="37" t="s">
        <v>703</v>
      </c>
      <c r="C168" s="1" t="str">
        <f>VLOOKUP(A168,'Rate Calculation'!$A$4:$F$210,6,FALSE)</f>
        <v>WASHINGTON METRO</v>
      </c>
      <c r="D168" s="4">
        <v>16189</v>
      </c>
      <c r="E168" s="6">
        <f>VLOOKUP(A168,'Rate Calculation'!$A$4:$AM$208,39,FALSE)</f>
        <v>350.49</v>
      </c>
      <c r="F168" s="6">
        <f t="shared" si="28"/>
        <v>346.19</v>
      </c>
      <c r="G168" s="6">
        <f t="shared" si="29"/>
        <v>346.19</v>
      </c>
      <c r="H168" s="6">
        <f>VLOOKUP(A168,'Rate Calculation'!$A$4:$AL$208,38,FALSE)+G168</f>
        <v>365.61</v>
      </c>
      <c r="I168" s="6">
        <f>VLOOKUP(A168,'Rate Calculation'!$A$4:$AN$208,40,FALSE)</f>
        <v>259.01</v>
      </c>
      <c r="J168" s="1">
        <v>0</v>
      </c>
      <c r="K168" s="217">
        <v>0</v>
      </c>
      <c r="L168" s="6">
        <f>VLOOKUP(A168,'Rate Calculation'!$A$4:$AO$208,41,FALSE)</f>
        <v>167.52</v>
      </c>
      <c r="M168" s="1">
        <v>5</v>
      </c>
      <c r="N168" s="182">
        <f>VLOOKUP(A168,'Rate Calculation'!$A$4:$AL$208,38,FALSE)</f>
        <v>19.420000000000002</v>
      </c>
      <c r="O168" s="6" t="e">
        <f>VLOOKUP($A168,'Rate Calculation'!$A$3:$BR$210,65,FALSE)</f>
        <v>#DIV/0!</v>
      </c>
      <c r="P168" s="6" t="e">
        <f t="shared" si="30"/>
        <v>#DIV/0!</v>
      </c>
      <c r="Q168" s="6" t="e">
        <f t="shared" si="25"/>
        <v>#DIV/0!</v>
      </c>
      <c r="R168" s="6" t="e">
        <f>VLOOKUP($A168,'Rate Calculation'!$A$3:$AR$210,47,FALSE)+Q168</f>
        <v>#REF!</v>
      </c>
      <c r="S168" s="6" t="e">
        <f>VLOOKUP($A168,'Rate Calculation'!$A$4:$CQ$211,66,FALSE)</f>
        <v>#REF!</v>
      </c>
      <c r="T168" s="6" t="e">
        <f>VLOOKUP($A168,'Rate Calculation'!$A$3:$CQ$210,67,FALSE)</f>
        <v>#REF!</v>
      </c>
      <c r="U168" s="6" t="e">
        <f>VLOOKUP($A168,'Rate Calculation'!$A$3:$DE$210,82,FALSE)</f>
        <v>#DIV/0!</v>
      </c>
      <c r="V168" s="6" t="e">
        <f t="shared" si="31"/>
        <v>#DIV/0!</v>
      </c>
      <c r="W168" s="6" t="e">
        <f t="shared" si="26"/>
        <v>#DIV/0!</v>
      </c>
      <c r="X168" s="6" t="e">
        <f>VLOOKUP($A168,'Rate Calculation'!$A$3:$AR$210,47,FALSE)+W168</f>
        <v>#REF!</v>
      </c>
      <c r="Y168" s="6" t="e">
        <f>VLOOKUP($A168,'Rate Calculation'!$A$4:$CQ$210,83,FALSE)</f>
        <v>#REF!</v>
      </c>
      <c r="Z168" s="6" t="e">
        <f>VLOOKUP($A168,'Rate Calculation'!$A$3:$DE$210,84,FALSE)</f>
        <v>#REF!</v>
      </c>
      <c r="AA168" s="6">
        <f>VLOOKUP($A168,'Rate Calculation'!$A$3:$DE$210,99,FALSE)</f>
        <v>0</v>
      </c>
      <c r="AB168" s="6">
        <f t="shared" si="32"/>
        <v>0</v>
      </c>
      <c r="AC168" s="6">
        <f t="shared" si="27"/>
        <v>0</v>
      </c>
      <c r="AD168" s="6" t="e">
        <f>VLOOKUP($A168,'Rate Calculation'!$A$3:$AR$210,47,FALSE)+AC168</f>
        <v>#REF!</v>
      </c>
      <c r="AE168" s="6" t="e">
        <f>VLOOKUP($A168,'Rate Calculation'!$A$3:$CQ$210,100,FALSE)</f>
        <v>#REF!</v>
      </c>
      <c r="AF168" s="6">
        <f>VLOOKUP($A168,'Rate Calculation'!$A$3:$DE$210,101,FALSE)</f>
        <v>0</v>
      </c>
      <c r="AH168" s="175"/>
    </row>
    <row r="169" spans="1:34" x14ac:dyDescent="0.15">
      <c r="A169" s="130">
        <v>685</v>
      </c>
      <c r="B169" s="37" t="s">
        <v>607</v>
      </c>
      <c r="C169" s="1" t="str">
        <f>VLOOKUP(A169,'Rate Calculation'!$A$4:$F$210,6,FALSE)</f>
        <v>WASHINGTON METRO</v>
      </c>
      <c r="D169" s="4">
        <v>32568</v>
      </c>
      <c r="E169" s="6">
        <f>VLOOKUP(A169,'Rate Calculation'!$A$4:$AM$208,39,FALSE)</f>
        <v>330.98</v>
      </c>
      <c r="F169" s="6">
        <f t="shared" si="28"/>
        <v>326.92</v>
      </c>
      <c r="G169" s="6">
        <f t="shared" si="29"/>
        <v>326.92</v>
      </c>
      <c r="H169" s="6">
        <f>VLOOKUP(A169,'Rate Calculation'!$A$4:$AL$208,38,FALSE)+G169</f>
        <v>348.17</v>
      </c>
      <c r="I169" s="6">
        <f>VLOOKUP(A169,'Rate Calculation'!$A$4:$AN$208,40,FALSE)</f>
        <v>248.03</v>
      </c>
      <c r="J169" s="1">
        <v>0</v>
      </c>
      <c r="K169" s="217">
        <v>117530</v>
      </c>
      <c r="L169" s="6">
        <f>VLOOKUP(A169,'Rate Calculation'!$A$4:$AO$208,41,FALSE)</f>
        <v>165.08</v>
      </c>
      <c r="M169" s="1">
        <v>15</v>
      </c>
      <c r="N169" s="182">
        <f>VLOOKUP(A169,'Rate Calculation'!$A$4:$AL$208,38,FALSE)</f>
        <v>21.25</v>
      </c>
      <c r="O169" s="6" t="e">
        <f>VLOOKUP($A169,'Rate Calculation'!$A$3:$BR$210,65,FALSE)</f>
        <v>#DIV/0!</v>
      </c>
      <c r="P169" s="6" t="e">
        <f t="shared" si="30"/>
        <v>#DIV/0!</v>
      </c>
      <c r="Q169" s="6" t="e">
        <f t="shared" si="25"/>
        <v>#DIV/0!</v>
      </c>
      <c r="R169" s="6" t="e">
        <f>VLOOKUP($A169,'Rate Calculation'!$A$3:$AR$210,47,FALSE)+Q169</f>
        <v>#REF!</v>
      </c>
      <c r="S169" s="6" t="e">
        <f>VLOOKUP($A169,'Rate Calculation'!$A$4:$CQ$211,66,FALSE)</f>
        <v>#REF!</v>
      </c>
      <c r="T169" s="6" t="e">
        <f>VLOOKUP($A169,'Rate Calculation'!$A$3:$CQ$210,67,FALSE)</f>
        <v>#REF!</v>
      </c>
      <c r="U169" s="6" t="e">
        <f>VLOOKUP($A169,'Rate Calculation'!$A$3:$DE$210,82,FALSE)</f>
        <v>#DIV/0!</v>
      </c>
      <c r="V169" s="6" t="e">
        <f t="shared" si="31"/>
        <v>#DIV/0!</v>
      </c>
      <c r="W169" s="6" t="e">
        <f t="shared" si="26"/>
        <v>#DIV/0!</v>
      </c>
      <c r="X169" s="6" t="e">
        <f>VLOOKUP($A169,'Rate Calculation'!$A$3:$AR$210,47,FALSE)+W169</f>
        <v>#REF!</v>
      </c>
      <c r="Y169" s="6" t="e">
        <f>VLOOKUP($A169,'Rate Calculation'!$A$4:$CQ$210,83,FALSE)</f>
        <v>#REF!</v>
      </c>
      <c r="Z169" s="6" t="e">
        <f>VLOOKUP($A169,'Rate Calculation'!$A$3:$DE$210,84,FALSE)</f>
        <v>#REF!</v>
      </c>
      <c r="AA169" s="6">
        <f>VLOOKUP($A169,'Rate Calculation'!$A$3:$DE$210,99,FALSE)</f>
        <v>0</v>
      </c>
      <c r="AB169" s="6">
        <f t="shared" si="32"/>
        <v>0</v>
      </c>
      <c r="AC169" s="6">
        <f t="shared" si="27"/>
        <v>0</v>
      </c>
      <c r="AD169" s="6" t="e">
        <f>VLOOKUP($A169,'Rate Calculation'!$A$3:$AR$210,47,FALSE)+AC169</f>
        <v>#REF!</v>
      </c>
      <c r="AE169" s="6" t="e">
        <f>VLOOKUP($A169,'Rate Calculation'!$A$3:$CQ$210,100,FALSE)</f>
        <v>#REF!</v>
      </c>
      <c r="AF169" s="6">
        <f>VLOOKUP($A169,'Rate Calculation'!$A$3:$DE$210,101,FALSE)</f>
        <v>0</v>
      </c>
      <c r="AH169" s="175"/>
    </row>
    <row r="170" spans="1:34" x14ac:dyDescent="0.15">
      <c r="A170" s="130">
        <v>340</v>
      </c>
      <c r="B170" s="37" t="s">
        <v>387</v>
      </c>
      <c r="C170" s="1" t="str">
        <f>VLOOKUP(A170,'Rate Calculation'!$A$4:$F$210,6,FALSE)</f>
        <v>NON METRO</v>
      </c>
      <c r="D170" s="4">
        <v>19422</v>
      </c>
      <c r="E170" s="6">
        <f>VLOOKUP(A170,'Rate Calculation'!$A$4:$AM$208,39,FALSE)</f>
        <v>297.36</v>
      </c>
      <c r="F170" s="6">
        <f t="shared" si="28"/>
        <v>293.70999999999998</v>
      </c>
      <c r="G170" s="6">
        <f t="shared" si="29"/>
        <v>293.70999999999998</v>
      </c>
      <c r="H170" s="6">
        <f>VLOOKUP(A170,'Rate Calculation'!$A$4:$AL$208,38,FALSE)+G170</f>
        <v>321.76</v>
      </c>
      <c r="I170" s="6">
        <f>VLOOKUP(A170,'Rate Calculation'!$A$4:$AN$208,40,FALSE)</f>
        <v>223.07</v>
      </c>
      <c r="J170" s="1">
        <v>0</v>
      </c>
      <c r="K170" s="217">
        <v>701</v>
      </c>
      <c r="L170" s="6">
        <f>VLOOKUP(A170,'Rate Calculation'!$A$4:$AO$208,41,FALSE)</f>
        <v>148.77000000000001</v>
      </c>
      <c r="M170" s="1">
        <v>0</v>
      </c>
      <c r="N170" s="182">
        <f>VLOOKUP(A170,'Rate Calculation'!$A$4:$AL$208,38,FALSE)</f>
        <v>28.05</v>
      </c>
      <c r="O170" s="6" t="e">
        <f>VLOOKUP($A170,'Rate Calculation'!$A$3:$BR$210,65,FALSE)</f>
        <v>#DIV/0!</v>
      </c>
      <c r="P170" s="6" t="e">
        <f t="shared" si="30"/>
        <v>#DIV/0!</v>
      </c>
      <c r="Q170" s="6" t="e">
        <f t="shared" si="25"/>
        <v>#DIV/0!</v>
      </c>
      <c r="R170" s="6" t="e">
        <f>VLOOKUP($A170,'Rate Calculation'!$A$3:$AR$210,47,FALSE)+Q170</f>
        <v>#REF!</v>
      </c>
      <c r="S170" s="6" t="e">
        <f>VLOOKUP($A170,'Rate Calculation'!$A$4:$CQ$211,66,FALSE)</f>
        <v>#REF!</v>
      </c>
      <c r="T170" s="6" t="e">
        <f>VLOOKUP($A170,'Rate Calculation'!$A$3:$CQ$210,67,FALSE)</f>
        <v>#REF!</v>
      </c>
      <c r="U170" s="6" t="e">
        <f>VLOOKUP($A170,'Rate Calculation'!$A$3:$DE$210,82,FALSE)</f>
        <v>#DIV/0!</v>
      </c>
      <c r="V170" s="6" t="e">
        <f t="shared" si="31"/>
        <v>#DIV/0!</v>
      </c>
      <c r="W170" s="6" t="e">
        <f t="shared" si="26"/>
        <v>#DIV/0!</v>
      </c>
      <c r="X170" s="6" t="e">
        <f>VLOOKUP($A170,'Rate Calculation'!$A$3:$AR$210,47,FALSE)+W170</f>
        <v>#REF!</v>
      </c>
      <c r="Y170" s="6" t="e">
        <f>VLOOKUP($A170,'Rate Calculation'!$A$4:$CQ$210,83,FALSE)</f>
        <v>#REF!</v>
      </c>
      <c r="Z170" s="6" t="e">
        <f>VLOOKUP($A170,'Rate Calculation'!$A$3:$DE$210,84,FALSE)</f>
        <v>#REF!</v>
      </c>
      <c r="AA170" s="6">
        <f>VLOOKUP($A170,'Rate Calculation'!$A$3:$DE$210,99,FALSE)</f>
        <v>0</v>
      </c>
      <c r="AB170" s="6">
        <f t="shared" si="32"/>
        <v>0</v>
      </c>
      <c r="AC170" s="6">
        <f t="shared" si="27"/>
        <v>0</v>
      </c>
      <c r="AD170" s="6" t="e">
        <f>VLOOKUP($A170,'Rate Calculation'!$A$3:$AR$210,47,FALSE)+AC170</f>
        <v>#REF!</v>
      </c>
      <c r="AE170" s="6" t="e">
        <f>VLOOKUP($A170,'Rate Calculation'!$A$3:$CQ$210,100,FALSE)</f>
        <v>#REF!</v>
      </c>
      <c r="AF170" s="6">
        <f>VLOOKUP($A170,'Rate Calculation'!$A$3:$DE$210,101,FALSE)</f>
        <v>0</v>
      </c>
      <c r="AH170" s="175"/>
    </row>
    <row r="171" spans="1:34" x14ac:dyDescent="0.15">
      <c r="A171" s="130">
        <v>348</v>
      </c>
      <c r="B171" s="37" t="s">
        <v>436</v>
      </c>
      <c r="C171" s="1" t="str">
        <f>VLOOKUP(A171,'Rate Calculation'!$A$4:$F$210,6,FALSE)</f>
        <v>NON METRO</v>
      </c>
      <c r="D171" s="4">
        <v>31418</v>
      </c>
      <c r="E171" s="6">
        <f>VLOOKUP(A171,'Rate Calculation'!$A$4:$AM$208,39,FALSE)</f>
        <v>319.83999999999997</v>
      </c>
      <c r="F171" s="6">
        <f t="shared" si="28"/>
        <v>315.91000000000003</v>
      </c>
      <c r="G171" s="6">
        <f t="shared" si="29"/>
        <v>315.91000000000003</v>
      </c>
      <c r="H171" s="6">
        <f>VLOOKUP(A171,'Rate Calculation'!$A$4:$AL$208,38,FALSE)+G171</f>
        <v>344.38</v>
      </c>
      <c r="I171" s="6">
        <f>VLOOKUP(A171,'Rate Calculation'!$A$4:$AN$208,40,FALSE)</f>
        <v>236.92</v>
      </c>
      <c r="J171" s="1">
        <v>0</v>
      </c>
      <c r="K171" s="217">
        <v>2251</v>
      </c>
      <c r="L171" s="6">
        <f>VLOOKUP(A171,'Rate Calculation'!$A$4:$AO$208,41,FALSE)</f>
        <v>154</v>
      </c>
      <c r="M171" s="1">
        <v>5</v>
      </c>
      <c r="N171" s="182">
        <f>VLOOKUP(A171,'Rate Calculation'!$A$4:$AL$208,38,FALSE)</f>
        <v>28.47</v>
      </c>
      <c r="O171" s="6" t="e">
        <f>VLOOKUP($A171,'Rate Calculation'!$A$3:$BR$210,65,FALSE)</f>
        <v>#DIV/0!</v>
      </c>
      <c r="P171" s="6" t="e">
        <f t="shared" si="30"/>
        <v>#DIV/0!</v>
      </c>
      <c r="Q171" s="6" t="e">
        <f t="shared" si="25"/>
        <v>#DIV/0!</v>
      </c>
      <c r="R171" s="6" t="e">
        <f>VLOOKUP($A171,'Rate Calculation'!$A$3:$AR$210,47,FALSE)+Q171</f>
        <v>#REF!</v>
      </c>
      <c r="S171" s="6" t="e">
        <f>VLOOKUP($A171,'Rate Calculation'!$A$4:$CQ$211,66,FALSE)</f>
        <v>#REF!</v>
      </c>
      <c r="T171" s="6" t="e">
        <f>VLOOKUP($A171,'Rate Calculation'!$A$3:$CQ$210,67,FALSE)</f>
        <v>#REF!</v>
      </c>
      <c r="U171" s="6" t="e">
        <f>VLOOKUP($A171,'Rate Calculation'!$A$3:$DE$210,82,FALSE)</f>
        <v>#DIV/0!</v>
      </c>
      <c r="V171" s="6" t="e">
        <f t="shared" si="31"/>
        <v>#DIV/0!</v>
      </c>
      <c r="W171" s="6" t="e">
        <f t="shared" si="26"/>
        <v>#DIV/0!</v>
      </c>
      <c r="X171" s="6" t="e">
        <f>VLOOKUP($A171,'Rate Calculation'!$A$3:$AR$210,47,FALSE)+W171</f>
        <v>#REF!</v>
      </c>
      <c r="Y171" s="6" t="e">
        <f>VLOOKUP($A171,'Rate Calculation'!$A$4:$CQ$210,83,FALSE)</f>
        <v>#REF!</v>
      </c>
      <c r="Z171" s="6" t="e">
        <f>VLOOKUP($A171,'Rate Calculation'!$A$3:$DE$210,84,FALSE)</f>
        <v>#REF!</v>
      </c>
      <c r="AA171" s="6">
        <f>VLOOKUP($A171,'Rate Calculation'!$A$3:$DE$210,99,FALSE)</f>
        <v>0</v>
      </c>
      <c r="AB171" s="6">
        <f t="shared" si="32"/>
        <v>0</v>
      </c>
      <c r="AC171" s="6">
        <f t="shared" si="27"/>
        <v>0</v>
      </c>
      <c r="AD171" s="6" t="e">
        <f>VLOOKUP($A171,'Rate Calculation'!$A$3:$AR$210,47,FALSE)+AC171</f>
        <v>#REF!</v>
      </c>
      <c r="AE171" s="6" t="e">
        <f>VLOOKUP($A171,'Rate Calculation'!$A$3:$CQ$210,100,FALSE)</f>
        <v>#REF!</v>
      </c>
      <c r="AF171" s="6">
        <f>VLOOKUP($A171,'Rate Calculation'!$A$3:$DE$210,101,FALSE)</f>
        <v>0</v>
      </c>
      <c r="AH171" s="175"/>
    </row>
    <row r="172" spans="1:34" x14ac:dyDescent="0.15">
      <c r="A172" s="130">
        <v>719</v>
      </c>
      <c r="B172" s="37" t="s">
        <v>238</v>
      </c>
      <c r="C172" s="1" t="str">
        <f>VLOOKUP(A172,'Rate Calculation'!$A$4:$F$210,6,FALSE)</f>
        <v>BALTIMORE CITY</v>
      </c>
      <c r="D172" s="4">
        <v>26978</v>
      </c>
      <c r="E172" s="6">
        <f>VLOOKUP(A172,'Rate Calculation'!$A$4:$AM$208,39,FALSE)</f>
        <v>340.2</v>
      </c>
      <c r="F172" s="6">
        <f t="shared" si="28"/>
        <v>336.02</v>
      </c>
      <c r="G172" s="6">
        <f t="shared" si="29"/>
        <v>336.02</v>
      </c>
      <c r="H172" s="6">
        <f>VLOOKUP(A172,'Rate Calculation'!$A$4:$AL$208,38,FALSE)+G172</f>
        <v>368.51</v>
      </c>
      <c r="I172" s="6">
        <f>VLOOKUP(A172,'Rate Calculation'!$A$4:$AN$208,40,FALSE)</f>
        <v>260.91000000000003</v>
      </c>
      <c r="J172" s="1">
        <v>0</v>
      </c>
      <c r="K172" s="217">
        <v>0</v>
      </c>
      <c r="L172" s="6">
        <f>VLOOKUP(A172,'Rate Calculation'!$A$4:$AO$208,41,FALSE)</f>
        <v>181.62</v>
      </c>
      <c r="M172" s="1">
        <v>0</v>
      </c>
      <c r="N172" s="182">
        <f>VLOOKUP(A172,'Rate Calculation'!$A$4:$AL$208,38,FALSE)</f>
        <v>32.49</v>
      </c>
      <c r="O172" s="6" t="e">
        <f>VLOOKUP($A172,'Rate Calculation'!$A$3:$BR$210,65,FALSE)</f>
        <v>#DIV/0!</v>
      </c>
      <c r="P172" s="6" t="e">
        <f t="shared" si="30"/>
        <v>#DIV/0!</v>
      </c>
      <c r="Q172" s="6" t="e">
        <f t="shared" si="25"/>
        <v>#DIV/0!</v>
      </c>
      <c r="R172" s="6" t="e">
        <f>VLOOKUP($A172,'Rate Calculation'!$A$3:$AR$210,47,FALSE)+Q172</f>
        <v>#REF!</v>
      </c>
      <c r="S172" s="6" t="e">
        <f>VLOOKUP($A172,'Rate Calculation'!$A$4:$CQ$211,66,FALSE)</f>
        <v>#REF!</v>
      </c>
      <c r="T172" s="6" t="e">
        <f>VLOOKUP($A172,'Rate Calculation'!$A$3:$CQ$210,67,FALSE)</f>
        <v>#REF!</v>
      </c>
      <c r="U172" s="6" t="e">
        <f>VLOOKUP($A172,'Rate Calculation'!$A$3:$DE$210,82,FALSE)</f>
        <v>#DIV/0!</v>
      </c>
      <c r="V172" s="6" t="e">
        <f t="shared" si="31"/>
        <v>#DIV/0!</v>
      </c>
      <c r="W172" s="6" t="e">
        <f t="shared" si="26"/>
        <v>#DIV/0!</v>
      </c>
      <c r="X172" s="6" t="e">
        <f>VLOOKUP($A172,'Rate Calculation'!$A$3:$AR$210,47,FALSE)+W172</f>
        <v>#REF!</v>
      </c>
      <c r="Y172" s="6" t="e">
        <f>VLOOKUP($A172,'Rate Calculation'!$A$4:$CQ$210,83,FALSE)</f>
        <v>#REF!</v>
      </c>
      <c r="Z172" s="6" t="e">
        <f>VLOOKUP($A172,'Rate Calculation'!$A$3:$DE$210,84,FALSE)</f>
        <v>#REF!</v>
      </c>
      <c r="AA172" s="6">
        <f>VLOOKUP($A172,'Rate Calculation'!$A$3:$DE$210,99,FALSE)</f>
        <v>0</v>
      </c>
      <c r="AB172" s="6">
        <f t="shared" si="32"/>
        <v>0</v>
      </c>
      <c r="AC172" s="6">
        <f t="shared" si="27"/>
        <v>0</v>
      </c>
      <c r="AD172" s="6" t="e">
        <f>VLOOKUP($A172,'Rate Calculation'!$A$3:$AR$210,47,FALSE)+AC172</f>
        <v>#REF!</v>
      </c>
      <c r="AE172" s="6" t="e">
        <f>VLOOKUP($A172,'Rate Calculation'!$A$3:$CQ$210,100,FALSE)</f>
        <v>#REF!</v>
      </c>
      <c r="AF172" s="6">
        <f>VLOOKUP($A172,'Rate Calculation'!$A$3:$DE$210,101,FALSE)</f>
        <v>0</v>
      </c>
      <c r="AH172" s="175"/>
    </row>
    <row r="173" spans="1:34" x14ac:dyDescent="0.15">
      <c r="A173" s="130">
        <v>354</v>
      </c>
      <c r="B173" s="37" t="s">
        <v>222</v>
      </c>
      <c r="C173" s="1" t="str">
        <f>VLOOKUP(A173,'Rate Calculation'!$A$4:$F$210,6,FALSE)</f>
        <v>BALTIMORE METRO</v>
      </c>
      <c r="D173" s="4">
        <v>6458</v>
      </c>
      <c r="E173" s="6">
        <f>VLOOKUP(A173,'Rate Calculation'!$A$4:$AM$208,39,FALSE)</f>
        <v>355.98</v>
      </c>
      <c r="F173" s="6">
        <f t="shared" si="28"/>
        <v>351.61</v>
      </c>
      <c r="G173" s="6">
        <f t="shared" si="29"/>
        <v>351.61</v>
      </c>
      <c r="H173" s="6">
        <f>VLOOKUP(A173,'Rate Calculation'!$A$4:$AL$208,38,FALSE)+G173</f>
        <v>351.61</v>
      </c>
      <c r="I173" s="6">
        <f>VLOOKUP(A173,'Rate Calculation'!$A$4:$AN$208,40,FALSE)</f>
        <v>263.62</v>
      </c>
      <c r="J173" s="1">
        <v>0</v>
      </c>
      <c r="K173" s="217">
        <v>0</v>
      </c>
      <c r="L173" s="6">
        <f>VLOOKUP(A173,'Rate Calculation'!$A$4:$AO$208,41,FALSE)</f>
        <v>171.25</v>
      </c>
      <c r="M173" s="1">
        <v>0</v>
      </c>
      <c r="N173" s="182">
        <f>VLOOKUP(A173,'Rate Calculation'!$A$4:$AL$208,38,FALSE)</f>
        <v>0</v>
      </c>
      <c r="O173" s="6" t="e">
        <f>VLOOKUP($A173,'Rate Calculation'!$A$3:$BR$210,65,FALSE)</f>
        <v>#DIV/0!</v>
      </c>
      <c r="P173" s="6" t="e">
        <f t="shared" si="30"/>
        <v>#DIV/0!</v>
      </c>
      <c r="Q173" s="6" t="e">
        <f t="shared" si="25"/>
        <v>#DIV/0!</v>
      </c>
      <c r="R173" s="6" t="e">
        <f>VLOOKUP($A173,'Rate Calculation'!$A$3:$AR$210,47,FALSE)+Q173</f>
        <v>#REF!</v>
      </c>
      <c r="S173" s="6" t="e">
        <f>VLOOKUP($A173,'Rate Calculation'!$A$4:$CQ$211,66,FALSE)</f>
        <v>#REF!</v>
      </c>
      <c r="T173" s="6" t="e">
        <f>VLOOKUP($A173,'Rate Calculation'!$A$3:$CQ$210,67,FALSE)</f>
        <v>#REF!</v>
      </c>
      <c r="U173" s="6" t="e">
        <f>VLOOKUP($A173,'Rate Calculation'!$A$3:$DE$210,82,FALSE)</f>
        <v>#DIV/0!</v>
      </c>
      <c r="V173" s="6" t="e">
        <f t="shared" si="31"/>
        <v>#DIV/0!</v>
      </c>
      <c r="W173" s="6" t="e">
        <f t="shared" si="26"/>
        <v>#DIV/0!</v>
      </c>
      <c r="X173" s="6" t="e">
        <f>VLOOKUP($A173,'Rate Calculation'!$A$3:$AR$210,47,FALSE)+W173</f>
        <v>#REF!</v>
      </c>
      <c r="Y173" s="6" t="e">
        <f>VLOOKUP($A173,'Rate Calculation'!$A$4:$CQ$210,83,FALSE)</f>
        <v>#REF!</v>
      </c>
      <c r="Z173" s="6" t="e">
        <f>VLOOKUP($A173,'Rate Calculation'!$A$3:$DE$210,84,FALSE)</f>
        <v>#REF!</v>
      </c>
      <c r="AA173" s="6">
        <f>VLOOKUP($A173,'Rate Calculation'!$A$3:$DE$210,99,FALSE)</f>
        <v>0</v>
      </c>
      <c r="AB173" s="6">
        <f t="shared" si="32"/>
        <v>0</v>
      </c>
      <c r="AC173" s="6">
        <f t="shared" si="27"/>
        <v>0</v>
      </c>
      <c r="AD173" s="6" t="e">
        <f>VLOOKUP($A173,'Rate Calculation'!$A$3:$AR$210,47,FALSE)+AC173</f>
        <v>#REF!</v>
      </c>
      <c r="AE173" s="6" t="e">
        <f>VLOOKUP($A173,'Rate Calculation'!$A$3:$CQ$210,100,FALSE)</f>
        <v>#REF!</v>
      </c>
      <c r="AF173" s="6">
        <f>VLOOKUP($A173,'Rate Calculation'!$A$3:$DE$210,101,FALSE)</f>
        <v>0</v>
      </c>
      <c r="AH173" s="175"/>
    </row>
    <row r="174" spans="1:34" x14ac:dyDescent="0.15">
      <c r="A174" s="130">
        <v>675</v>
      </c>
      <c r="B174" s="37" t="s">
        <v>192</v>
      </c>
      <c r="C174" s="1" t="str">
        <f>VLOOKUP(A174,'Rate Calculation'!$A$4:$F$210,6,FALSE)</f>
        <v>NON METRO</v>
      </c>
      <c r="D174" s="4">
        <v>13634</v>
      </c>
      <c r="E174" s="6">
        <f>VLOOKUP(A174,'Rate Calculation'!$A$4:$AM$208,39,FALSE)</f>
        <v>312.14</v>
      </c>
      <c r="F174" s="6">
        <f t="shared" si="28"/>
        <v>308.31</v>
      </c>
      <c r="G174" s="6">
        <f t="shared" si="29"/>
        <v>308.31</v>
      </c>
      <c r="H174" s="6">
        <f>VLOOKUP(A174,'Rate Calculation'!$A$4:$AL$208,38,FALSE)+G174</f>
        <v>337.84</v>
      </c>
      <c r="I174" s="6">
        <f>VLOOKUP(A174,'Rate Calculation'!$A$4:$AN$208,40,FALSE)</f>
        <v>235.76</v>
      </c>
      <c r="J174" s="1">
        <v>0</v>
      </c>
      <c r="K174" s="217">
        <v>1611</v>
      </c>
      <c r="L174" s="6">
        <f>VLOOKUP(A174,'Rate Calculation'!$A$4:$AO$208,41,FALSE)</f>
        <v>159.37</v>
      </c>
      <c r="M174" s="1">
        <v>1</v>
      </c>
      <c r="N174" s="182">
        <f>VLOOKUP(A174,'Rate Calculation'!$A$4:$AL$208,38,FALSE)</f>
        <v>29.53</v>
      </c>
      <c r="O174" s="6" t="e">
        <f>VLOOKUP($A174,'Rate Calculation'!$A$3:$BR$210,65,FALSE)</f>
        <v>#DIV/0!</v>
      </c>
      <c r="P174" s="6" t="e">
        <f t="shared" si="30"/>
        <v>#DIV/0!</v>
      </c>
      <c r="Q174" s="6" t="e">
        <f t="shared" si="25"/>
        <v>#DIV/0!</v>
      </c>
      <c r="R174" s="6" t="e">
        <f>VLOOKUP($A174,'Rate Calculation'!$A$3:$AR$210,47,FALSE)+Q174</f>
        <v>#REF!</v>
      </c>
      <c r="S174" s="6" t="e">
        <f>VLOOKUP($A174,'Rate Calculation'!$A$4:$CQ$211,66,FALSE)</f>
        <v>#REF!</v>
      </c>
      <c r="T174" s="6" t="e">
        <f>VLOOKUP($A174,'Rate Calculation'!$A$3:$CQ$210,67,FALSE)</f>
        <v>#REF!</v>
      </c>
      <c r="U174" s="6" t="e">
        <f>VLOOKUP($A174,'Rate Calculation'!$A$3:$DE$210,82,FALSE)</f>
        <v>#DIV/0!</v>
      </c>
      <c r="V174" s="6" t="e">
        <f t="shared" si="31"/>
        <v>#DIV/0!</v>
      </c>
      <c r="W174" s="6" t="e">
        <f t="shared" si="26"/>
        <v>#DIV/0!</v>
      </c>
      <c r="X174" s="6" t="e">
        <f>VLOOKUP($A174,'Rate Calculation'!$A$3:$AR$210,47,FALSE)+W174</f>
        <v>#REF!</v>
      </c>
      <c r="Y174" s="6" t="e">
        <f>VLOOKUP($A174,'Rate Calculation'!$A$4:$CQ$210,83,FALSE)</f>
        <v>#REF!</v>
      </c>
      <c r="Z174" s="6" t="e">
        <f>VLOOKUP($A174,'Rate Calculation'!$A$3:$DE$210,84,FALSE)</f>
        <v>#REF!</v>
      </c>
      <c r="AA174" s="6">
        <f>VLOOKUP($A174,'Rate Calculation'!$A$3:$DE$210,99,FALSE)</f>
        <v>0</v>
      </c>
      <c r="AB174" s="6">
        <f t="shared" si="32"/>
        <v>0</v>
      </c>
      <c r="AC174" s="6">
        <f t="shared" si="27"/>
        <v>0</v>
      </c>
      <c r="AD174" s="6" t="e">
        <f>VLOOKUP($A174,'Rate Calculation'!$A$3:$AR$210,47,FALSE)+AC174</f>
        <v>#REF!</v>
      </c>
      <c r="AE174" s="6" t="e">
        <f>VLOOKUP($A174,'Rate Calculation'!$A$3:$CQ$210,100,FALSE)</f>
        <v>#REF!</v>
      </c>
      <c r="AF174" s="6">
        <f>VLOOKUP($A174,'Rate Calculation'!$A$3:$DE$210,101,FALSE)</f>
        <v>0</v>
      </c>
      <c r="AH174" s="175"/>
    </row>
    <row r="175" spans="1:34" x14ac:dyDescent="0.15">
      <c r="A175" s="130">
        <v>248</v>
      </c>
      <c r="B175" s="37" t="s">
        <v>592</v>
      </c>
      <c r="C175" s="1" t="str">
        <f>VLOOKUP(A175,'Rate Calculation'!$A$4:$F$210,6,FALSE)</f>
        <v>BALTIMORE METRO</v>
      </c>
      <c r="D175" s="4">
        <v>25557</v>
      </c>
      <c r="E175" s="6">
        <f>VLOOKUP(A175,'Rate Calculation'!$A$4:$AM$208,39,FALSE)</f>
        <v>329.23</v>
      </c>
      <c r="F175" s="6">
        <f t="shared" si="28"/>
        <v>325.19</v>
      </c>
      <c r="G175" s="6">
        <f t="shared" si="29"/>
        <v>325.19</v>
      </c>
      <c r="H175" s="6">
        <f>VLOOKUP(A175,'Rate Calculation'!$A$4:$AL$208,38,FALSE)+G175</f>
        <v>350.96</v>
      </c>
      <c r="I175" s="6">
        <f>VLOOKUP(A175,'Rate Calculation'!$A$4:$AN$208,40,FALSE)</f>
        <v>240.33</v>
      </c>
      <c r="J175" s="1">
        <v>0</v>
      </c>
      <c r="K175" s="217">
        <v>23754</v>
      </c>
      <c r="L175" s="6">
        <f>VLOOKUP(A175,'Rate Calculation'!$A$4:$AO$208,41,FALSE)</f>
        <v>151.43</v>
      </c>
      <c r="M175" s="1">
        <v>0</v>
      </c>
      <c r="N175" s="182">
        <f>VLOOKUP(A175,'Rate Calculation'!$A$4:$AL$208,38,FALSE)</f>
        <v>25.77</v>
      </c>
      <c r="O175" s="6" t="e">
        <f>VLOOKUP($A175,'Rate Calculation'!$A$3:$BR$210,65,FALSE)</f>
        <v>#DIV/0!</v>
      </c>
      <c r="P175" s="6" t="e">
        <f t="shared" si="30"/>
        <v>#DIV/0!</v>
      </c>
      <c r="Q175" s="6" t="e">
        <f t="shared" si="25"/>
        <v>#DIV/0!</v>
      </c>
      <c r="R175" s="6" t="e">
        <f>VLOOKUP($A175,'Rate Calculation'!$A$3:$AR$210,47,FALSE)+Q175</f>
        <v>#REF!</v>
      </c>
      <c r="S175" s="6" t="e">
        <f>VLOOKUP($A175,'Rate Calculation'!$A$4:$CQ$211,66,FALSE)</f>
        <v>#REF!</v>
      </c>
      <c r="T175" s="6" t="e">
        <f>VLOOKUP($A175,'Rate Calculation'!$A$3:$CQ$210,67,FALSE)</f>
        <v>#REF!</v>
      </c>
      <c r="U175" s="6" t="e">
        <f>VLOOKUP($A175,'Rate Calculation'!$A$3:$DE$210,82,FALSE)</f>
        <v>#DIV/0!</v>
      </c>
      <c r="V175" s="6" t="e">
        <f t="shared" si="31"/>
        <v>#DIV/0!</v>
      </c>
      <c r="W175" s="6" t="e">
        <f t="shared" si="26"/>
        <v>#DIV/0!</v>
      </c>
      <c r="X175" s="6" t="e">
        <f>VLOOKUP($A175,'Rate Calculation'!$A$3:$AR$210,47,FALSE)+W175</f>
        <v>#REF!</v>
      </c>
      <c r="Y175" s="6" t="e">
        <f>VLOOKUP($A175,'Rate Calculation'!$A$4:$CQ$210,83,FALSE)</f>
        <v>#REF!</v>
      </c>
      <c r="Z175" s="6" t="e">
        <f>VLOOKUP($A175,'Rate Calculation'!$A$3:$DE$210,84,FALSE)</f>
        <v>#REF!</v>
      </c>
      <c r="AA175" s="6">
        <f>VLOOKUP($A175,'Rate Calculation'!$A$3:$DE$210,99,FALSE)</f>
        <v>0</v>
      </c>
      <c r="AB175" s="6">
        <f t="shared" si="32"/>
        <v>0</v>
      </c>
      <c r="AC175" s="6">
        <f t="shared" si="27"/>
        <v>0</v>
      </c>
      <c r="AD175" s="6" t="e">
        <f>VLOOKUP($A175,'Rate Calculation'!$A$3:$AR$210,47,FALSE)+AC175</f>
        <v>#REF!</v>
      </c>
      <c r="AE175" s="6" t="e">
        <f>VLOOKUP($A175,'Rate Calculation'!$A$3:$CQ$210,100,FALSE)</f>
        <v>#REF!</v>
      </c>
      <c r="AF175" s="6">
        <f>VLOOKUP($A175,'Rate Calculation'!$A$3:$DE$210,101,FALSE)</f>
        <v>0</v>
      </c>
      <c r="AH175" s="175"/>
    </row>
    <row r="176" spans="1:34" x14ac:dyDescent="0.15">
      <c r="A176" s="130">
        <v>318</v>
      </c>
      <c r="B176" s="37" t="s">
        <v>454</v>
      </c>
      <c r="C176" s="1" t="str">
        <f>VLOOKUP(A176,'Rate Calculation'!$A$4:$F$210,6,FALSE)</f>
        <v>BALTIMORE METRO</v>
      </c>
      <c r="D176" s="4">
        <v>29042</v>
      </c>
      <c r="E176" s="6">
        <f>VLOOKUP(A176,'Rate Calculation'!$A$4:$AM$208,39,FALSE)</f>
        <v>369.72</v>
      </c>
      <c r="F176" s="6">
        <f t="shared" si="28"/>
        <v>365.18</v>
      </c>
      <c r="G176" s="6">
        <f t="shared" si="29"/>
        <v>365.18</v>
      </c>
      <c r="H176" s="6">
        <f>VLOOKUP(A176,'Rate Calculation'!$A$4:$AL$208,38,FALSE)+G176</f>
        <v>391.39</v>
      </c>
      <c r="I176" s="6">
        <f>VLOOKUP(A176,'Rate Calculation'!$A$4:$AN$208,40,FALSE)</f>
        <v>263.24</v>
      </c>
      <c r="J176" s="1">
        <v>0</v>
      </c>
      <c r="K176" s="217">
        <v>143628</v>
      </c>
      <c r="L176" s="6">
        <f>VLOOKUP(A176,'Rate Calculation'!$A$4:$AO$208,41,FALSE)</f>
        <v>156.75</v>
      </c>
      <c r="M176" s="1">
        <v>7</v>
      </c>
      <c r="N176" s="182">
        <f>VLOOKUP(A176,'Rate Calculation'!$A$4:$AL$208,38,FALSE)</f>
        <v>26.21</v>
      </c>
      <c r="O176" s="6" t="e">
        <f>VLOOKUP($A176,'Rate Calculation'!$A$3:$BR$210,65,FALSE)</f>
        <v>#DIV/0!</v>
      </c>
      <c r="P176" s="6" t="e">
        <f t="shared" si="30"/>
        <v>#DIV/0!</v>
      </c>
      <c r="Q176" s="6" t="e">
        <f t="shared" si="25"/>
        <v>#DIV/0!</v>
      </c>
      <c r="R176" s="6" t="e">
        <f>VLOOKUP($A176,'Rate Calculation'!$A$3:$AR$210,47,FALSE)+Q176</f>
        <v>#REF!</v>
      </c>
      <c r="S176" s="6" t="e">
        <f>VLOOKUP($A176,'Rate Calculation'!$A$4:$CQ$211,66,FALSE)</f>
        <v>#REF!</v>
      </c>
      <c r="T176" s="6" t="e">
        <f>VLOOKUP($A176,'Rate Calculation'!$A$3:$CQ$210,67,FALSE)</f>
        <v>#REF!</v>
      </c>
      <c r="U176" s="6" t="e">
        <f>VLOOKUP($A176,'Rate Calculation'!$A$3:$DE$210,82,FALSE)</f>
        <v>#DIV/0!</v>
      </c>
      <c r="V176" s="6" t="e">
        <f t="shared" si="31"/>
        <v>#DIV/0!</v>
      </c>
      <c r="W176" s="6" t="e">
        <f t="shared" si="26"/>
        <v>#DIV/0!</v>
      </c>
      <c r="X176" s="6" t="e">
        <f>VLOOKUP($A176,'Rate Calculation'!$A$3:$AR$210,47,FALSE)+W176</f>
        <v>#REF!</v>
      </c>
      <c r="Y176" s="6" t="e">
        <f>VLOOKUP($A176,'Rate Calculation'!$A$4:$CQ$210,83,FALSE)</f>
        <v>#REF!</v>
      </c>
      <c r="Z176" s="6" t="e">
        <f>VLOOKUP($A176,'Rate Calculation'!$A$3:$DE$210,84,FALSE)</f>
        <v>#REF!</v>
      </c>
      <c r="AA176" s="6">
        <f>VLOOKUP($A176,'Rate Calculation'!$A$3:$DE$210,99,FALSE)</f>
        <v>0</v>
      </c>
      <c r="AB176" s="6">
        <f t="shared" si="32"/>
        <v>0</v>
      </c>
      <c r="AC176" s="6">
        <f t="shared" si="27"/>
        <v>0</v>
      </c>
      <c r="AD176" s="6" t="e">
        <f>VLOOKUP($A176,'Rate Calculation'!$A$3:$AR$210,47,FALSE)+AC176</f>
        <v>#REF!</v>
      </c>
      <c r="AE176" s="6" t="e">
        <f>VLOOKUP($A176,'Rate Calculation'!$A$3:$CQ$210,100,FALSE)</f>
        <v>#REF!</v>
      </c>
      <c r="AF176" s="6">
        <f>VLOOKUP($A176,'Rate Calculation'!$A$3:$DE$210,101,FALSE)</f>
        <v>0</v>
      </c>
      <c r="AH176" s="175"/>
    </row>
    <row r="177" spans="1:34" x14ac:dyDescent="0.15">
      <c r="A177" s="130">
        <v>370</v>
      </c>
      <c r="B177" s="37" t="s">
        <v>705</v>
      </c>
      <c r="C177" s="1" t="str">
        <f>VLOOKUP(A177,'Rate Calculation'!$A$4:$F$210,6,FALSE)</f>
        <v>BALTIMORE METRO</v>
      </c>
      <c r="D177" s="4">
        <v>27403</v>
      </c>
      <c r="E177" s="6">
        <f>VLOOKUP(A177,'Rate Calculation'!$A$4:$AM$208,39,FALSE)</f>
        <v>292.57</v>
      </c>
      <c r="F177" s="6">
        <f t="shared" si="28"/>
        <v>288.98</v>
      </c>
      <c r="G177" s="6">
        <f t="shared" si="29"/>
        <v>288.98</v>
      </c>
      <c r="H177" s="6">
        <f>VLOOKUP(A177,'Rate Calculation'!$A$4:$AL$208,38,FALSE)+G177</f>
        <v>319.02999999999997</v>
      </c>
      <c r="I177" s="6">
        <f>VLOOKUP(A177,'Rate Calculation'!$A$4:$AN$208,40,FALSE)</f>
        <v>226.04</v>
      </c>
      <c r="J177" s="1">
        <v>0</v>
      </c>
      <c r="K177" s="217">
        <v>0</v>
      </c>
      <c r="L177" s="6">
        <f>VLOOKUP(A177,'Rate Calculation'!$A$4:$AO$208,41,FALSE)</f>
        <v>159.5</v>
      </c>
      <c r="M177" s="1">
        <v>2</v>
      </c>
      <c r="N177" s="182">
        <f>VLOOKUP(A177,'Rate Calculation'!$A$4:$AL$208,38,FALSE)</f>
        <v>30.05</v>
      </c>
      <c r="O177" s="6" t="e">
        <f>VLOOKUP($A177,'Rate Calculation'!$A$3:$BR$210,65,FALSE)</f>
        <v>#DIV/0!</v>
      </c>
      <c r="P177" s="6" t="e">
        <f t="shared" si="30"/>
        <v>#DIV/0!</v>
      </c>
      <c r="Q177" s="6" t="e">
        <f t="shared" si="25"/>
        <v>#DIV/0!</v>
      </c>
      <c r="R177" s="6" t="e">
        <f>VLOOKUP($A177,'Rate Calculation'!$A$3:$AR$210,47,FALSE)+Q177</f>
        <v>#REF!</v>
      </c>
      <c r="S177" s="6" t="e">
        <f>VLOOKUP($A177,'Rate Calculation'!$A$4:$CQ$211,66,FALSE)</f>
        <v>#REF!</v>
      </c>
      <c r="T177" s="6" t="e">
        <f>VLOOKUP($A177,'Rate Calculation'!$A$3:$CQ$210,67,FALSE)</f>
        <v>#REF!</v>
      </c>
      <c r="U177" s="6" t="e">
        <f>VLOOKUP($A177,'Rate Calculation'!$A$3:$DE$210,82,FALSE)</f>
        <v>#DIV/0!</v>
      </c>
      <c r="V177" s="6" t="e">
        <f t="shared" si="31"/>
        <v>#DIV/0!</v>
      </c>
      <c r="W177" s="6" t="e">
        <f t="shared" si="26"/>
        <v>#DIV/0!</v>
      </c>
      <c r="X177" s="6" t="e">
        <f>VLOOKUP($A177,'Rate Calculation'!$A$3:$AR$210,47,FALSE)+W177</f>
        <v>#REF!</v>
      </c>
      <c r="Y177" s="6" t="e">
        <f>VLOOKUP($A177,'Rate Calculation'!$A$4:$CQ$210,83,FALSE)</f>
        <v>#REF!</v>
      </c>
      <c r="Z177" s="6" t="e">
        <f>VLOOKUP($A177,'Rate Calculation'!$A$3:$DE$210,84,FALSE)</f>
        <v>#REF!</v>
      </c>
      <c r="AA177" s="6">
        <f>VLOOKUP($A177,'Rate Calculation'!$A$3:$DE$210,99,FALSE)</f>
        <v>0</v>
      </c>
      <c r="AB177" s="6">
        <f t="shared" si="32"/>
        <v>0</v>
      </c>
      <c r="AC177" s="6">
        <f t="shared" si="27"/>
        <v>0</v>
      </c>
      <c r="AD177" s="6" t="e">
        <f>VLOOKUP($A177,'Rate Calculation'!$A$3:$AR$210,47,FALSE)+AC177</f>
        <v>#REF!</v>
      </c>
      <c r="AE177" s="6" t="e">
        <f>VLOOKUP($A177,'Rate Calculation'!$A$3:$CQ$210,100,FALSE)</f>
        <v>#REF!</v>
      </c>
      <c r="AF177" s="6">
        <f>VLOOKUP($A177,'Rate Calculation'!$A$3:$DE$210,101,FALSE)</f>
        <v>0</v>
      </c>
      <c r="AH177" s="175"/>
    </row>
    <row r="178" spans="1:34" x14ac:dyDescent="0.15">
      <c r="A178" s="130">
        <v>140</v>
      </c>
      <c r="B178" s="37" t="s">
        <v>817</v>
      </c>
      <c r="C178" s="1" t="str">
        <f>VLOOKUP(A178,'Rate Calculation'!$A$4:$F$210,6,FALSE)</f>
        <v>NON METRO</v>
      </c>
      <c r="D178" s="4">
        <v>15795</v>
      </c>
      <c r="E178" s="6">
        <f>VLOOKUP(A178,'Rate Calculation'!$A$4:$AM$208,39,FALSE)</f>
        <v>305.42</v>
      </c>
      <c r="F178" s="6">
        <f t="shared" si="28"/>
        <v>301.67</v>
      </c>
      <c r="G178" s="6">
        <f t="shared" si="29"/>
        <v>301.67</v>
      </c>
      <c r="H178" s="6">
        <f>VLOOKUP(A178,'Rate Calculation'!$A$4:$AL$208,38,FALSE)+G178</f>
        <v>330.24</v>
      </c>
      <c r="I178" s="6">
        <f>VLOOKUP(A178,'Rate Calculation'!$A$4:$AN$208,40,FALSE)</f>
        <v>223.92</v>
      </c>
      <c r="J178" s="1">
        <v>46</v>
      </c>
      <c r="K178" s="217">
        <v>0</v>
      </c>
      <c r="L178" s="6">
        <f>VLOOKUP(A178,'Rate Calculation'!$A$4:$AO$208,41,FALSE)</f>
        <v>142.41</v>
      </c>
      <c r="M178" s="1">
        <v>2</v>
      </c>
      <c r="N178" s="182">
        <f>VLOOKUP(A178,'Rate Calculation'!$A$4:$AL$208,38,FALSE)</f>
        <v>28.57</v>
      </c>
      <c r="O178" s="6" t="e">
        <f>VLOOKUP($A178,'Rate Calculation'!$A$3:$BR$210,65,FALSE)</f>
        <v>#DIV/0!</v>
      </c>
      <c r="P178" s="6" t="e">
        <f t="shared" si="30"/>
        <v>#DIV/0!</v>
      </c>
      <c r="Q178" s="6" t="e">
        <f t="shared" si="25"/>
        <v>#DIV/0!</v>
      </c>
      <c r="R178" s="6" t="e">
        <f>VLOOKUP($A178,'Rate Calculation'!$A$3:$AR$210,47,FALSE)+Q178</f>
        <v>#REF!</v>
      </c>
      <c r="S178" s="6" t="e">
        <f>VLOOKUP($A178,'Rate Calculation'!$A$4:$CQ$211,66,FALSE)</f>
        <v>#REF!</v>
      </c>
      <c r="T178" s="6" t="e">
        <f>VLOOKUP($A178,'Rate Calculation'!$A$3:$CQ$210,67,FALSE)</f>
        <v>#REF!</v>
      </c>
      <c r="U178" s="6" t="e">
        <f>VLOOKUP($A178,'Rate Calculation'!$A$3:$DE$210,82,FALSE)</f>
        <v>#DIV/0!</v>
      </c>
      <c r="V178" s="6" t="e">
        <f t="shared" si="31"/>
        <v>#DIV/0!</v>
      </c>
      <c r="W178" s="6" t="e">
        <f t="shared" si="26"/>
        <v>#DIV/0!</v>
      </c>
      <c r="X178" s="6" t="e">
        <f>VLOOKUP($A178,'Rate Calculation'!$A$3:$AR$210,47,FALSE)+W178</f>
        <v>#REF!</v>
      </c>
      <c r="Y178" s="6" t="e">
        <f>VLOOKUP($A178,'Rate Calculation'!$A$4:$CQ$210,83,FALSE)</f>
        <v>#REF!</v>
      </c>
      <c r="Z178" s="6" t="e">
        <f>VLOOKUP($A178,'Rate Calculation'!$A$3:$DE$210,84,FALSE)</f>
        <v>#REF!</v>
      </c>
      <c r="AA178" s="6">
        <f>VLOOKUP($A178,'Rate Calculation'!$A$3:$DE$210,99,FALSE)</f>
        <v>0</v>
      </c>
      <c r="AB178" s="6">
        <f t="shared" si="32"/>
        <v>0</v>
      </c>
      <c r="AC178" s="6">
        <f t="shared" si="27"/>
        <v>0</v>
      </c>
      <c r="AD178" s="6" t="e">
        <f>VLOOKUP($A178,'Rate Calculation'!$A$3:$AR$210,47,FALSE)+AC178</f>
        <v>#REF!</v>
      </c>
      <c r="AE178" s="6" t="e">
        <f>VLOOKUP($A178,'Rate Calculation'!$A$3:$CQ$210,100,FALSE)</f>
        <v>#REF!</v>
      </c>
      <c r="AF178" s="6">
        <f>VLOOKUP($A178,'Rate Calculation'!$A$3:$DE$210,101,FALSE)</f>
        <v>0</v>
      </c>
      <c r="AH178" s="175"/>
    </row>
    <row r="179" spans="1:34" x14ac:dyDescent="0.15">
      <c r="A179" s="130">
        <v>274</v>
      </c>
      <c r="B179" s="37" t="s">
        <v>818</v>
      </c>
      <c r="C179" s="1" t="str">
        <f>VLOOKUP(A179,'Rate Calculation'!$A$4:$F$210,6,FALSE)</f>
        <v>NON METRO</v>
      </c>
      <c r="D179" s="4">
        <v>16230</v>
      </c>
      <c r="E179" s="6">
        <f>VLOOKUP(A179,'Rate Calculation'!$A$4:$AM$208,39,FALSE)</f>
        <v>289.39999999999998</v>
      </c>
      <c r="F179" s="6">
        <f t="shared" si="28"/>
        <v>285.85000000000002</v>
      </c>
      <c r="G179" s="6">
        <f t="shared" si="29"/>
        <v>285.85000000000002</v>
      </c>
      <c r="H179" s="6">
        <f>VLOOKUP(A179,'Rate Calculation'!$A$4:$AL$208,38,FALSE)+G179</f>
        <v>311.61</v>
      </c>
      <c r="I179" s="6">
        <f>VLOOKUP(A179,'Rate Calculation'!$A$4:$AN$208,40,FALSE)</f>
        <v>215.51</v>
      </c>
      <c r="J179" s="1">
        <v>0</v>
      </c>
      <c r="K179" s="217">
        <v>0</v>
      </c>
      <c r="L179" s="6">
        <f>VLOOKUP(A179,'Rate Calculation'!$A$4:$AO$208,41,FALSE)</f>
        <v>141.62</v>
      </c>
      <c r="M179" s="1">
        <v>4</v>
      </c>
      <c r="N179" s="182">
        <f>VLOOKUP(A179,'Rate Calculation'!$A$4:$AL$208,38,FALSE)</f>
        <v>25.76</v>
      </c>
      <c r="O179" s="6" t="e">
        <f>VLOOKUP($A179,'Rate Calculation'!$A$3:$BR$210,65,FALSE)</f>
        <v>#DIV/0!</v>
      </c>
      <c r="P179" s="6" t="e">
        <f t="shared" si="30"/>
        <v>#DIV/0!</v>
      </c>
      <c r="Q179" s="6" t="e">
        <f t="shared" si="25"/>
        <v>#DIV/0!</v>
      </c>
      <c r="R179" s="6" t="e">
        <f>VLOOKUP($A179,'Rate Calculation'!$A$3:$AR$210,47,FALSE)+Q179</f>
        <v>#REF!</v>
      </c>
      <c r="S179" s="6" t="e">
        <f>VLOOKUP($A179,'Rate Calculation'!$A$4:$CQ$211,66,FALSE)</f>
        <v>#REF!</v>
      </c>
      <c r="T179" s="6" t="e">
        <f>VLOOKUP($A179,'Rate Calculation'!$A$3:$CQ$210,67,FALSE)</f>
        <v>#REF!</v>
      </c>
      <c r="U179" s="6" t="e">
        <f>VLOOKUP($A179,'Rate Calculation'!$A$3:$DE$210,82,FALSE)</f>
        <v>#DIV/0!</v>
      </c>
      <c r="V179" s="6" t="e">
        <f t="shared" si="31"/>
        <v>#DIV/0!</v>
      </c>
      <c r="W179" s="6" t="e">
        <f t="shared" si="26"/>
        <v>#DIV/0!</v>
      </c>
      <c r="X179" s="6" t="e">
        <f>VLOOKUP($A179,'Rate Calculation'!$A$3:$AR$210,47,FALSE)+W179</f>
        <v>#REF!</v>
      </c>
      <c r="Y179" s="6" t="e">
        <f>VLOOKUP($A179,'Rate Calculation'!$A$4:$CQ$210,83,FALSE)</f>
        <v>#REF!</v>
      </c>
      <c r="Z179" s="6" t="e">
        <f>VLOOKUP($A179,'Rate Calculation'!$A$3:$DE$210,84,FALSE)</f>
        <v>#REF!</v>
      </c>
      <c r="AA179" s="6">
        <f>VLOOKUP($A179,'Rate Calculation'!$A$3:$DE$210,99,FALSE)</f>
        <v>0</v>
      </c>
      <c r="AB179" s="6">
        <f t="shared" si="32"/>
        <v>0</v>
      </c>
      <c r="AC179" s="6">
        <f t="shared" si="27"/>
        <v>0</v>
      </c>
      <c r="AD179" s="6" t="e">
        <f>VLOOKUP($A179,'Rate Calculation'!$A$3:$AR$210,47,FALSE)+AC179</f>
        <v>#REF!</v>
      </c>
      <c r="AE179" s="6" t="e">
        <f>VLOOKUP($A179,'Rate Calculation'!$A$3:$CQ$210,100,FALSE)</f>
        <v>#REF!</v>
      </c>
      <c r="AF179" s="6">
        <f>VLOOKUP($A179,'Rate Calculation'!$A$3:$DE$210,101,FALSE)</f>
        <v>0</v>
      </c>
      <c r="AH179" s="175"/>
    </row>
    <row r="180" spans="1:34" x14ac:dyDescent="0.15">
      <c r="A180" s="130">
        <v>426</v>
      </c>
      <c r="B180" s="37" t="s">
        <v>819</v>
      </c>
      <c r="C180" s="1" t="str">
        <f>VLOOKUP(A180,'Rate Calculation'!$A$4:$F$210,6,FALSE)</f>
        <v>NON METRO</v>
      </c>
      <c r="D180" s="4">
        <v>14070</v>
      </c>
      <c r="E180" s="6">
        <f>VLOOKUP(A180,'Rate Calculation'!$A$4:$AM$208,39,FALSE)</f>
        <v>309.36</v>
      </c>
      <c r="F180" s="6">
        <f t="shared" si="28"/>
        <v>305.56</v>
      </c>
      <c r="G180" s="6">
        <f t="shared" si="29"/>
        <v>305.56</v>
      </c>
      <c r="H180" s="6">
        <f>VLOOKUP(A180,'Rate Calculation'!$A$4:$AL$208,38,FALSE)+G180</f>
        <v>332.26</v>
      </c>
      <c r="I180" s="6">
        <f>VLOOKUP(A180,'Rate Calculation'!$A$4:$AN$208,40,FALSE)</f>
        <v>234.21</v>
      </c>
      <c r="J180" s="1">
        <v>0</v>
      </c>
      <c r="K180" s="217">
        <v>0</v>
      </c>
      <c r="L180" s="6">
        <f>VLOOKUP(A180,'Rate Calculation'!$A$4:$AO$208,41,FALSE)</f>
        <v>159.06</v>
      </c>
      <c r="M180" s="1">
        <v>0</v>
      </c>
      <c r="N180" s="182">
        <f>VLOOKUP(A180,'Rate Calculation'!$A$4:$AL$208,38,FALSE)</f>
        <v>26.7</v>
      </c>
      <c r="O180" s="6" t="e">
        <f>VLOOKUP($A180,'Rate Calculation'!$A$3:$BR$210,65,FALSE)</f>
        <v>#DIV/0!</v>
      </c>
      <c r="P180" s="6" t="e">
        <f t="shared" si="30"/>
        <v>#DIV/0!</v>
      </c>
      <c r="Q180" s="6" t="e">
        <f t="shared" si="25"/>
        <v>#DIV/0!</v>
      </c>
      <c r="R180" s="6" t="e">
        <f>VLOOKUP($A180,'Rate Calculation'!$A$3:$AR$210,47,FALSE)+Q180</f>
        <v>#REF!</v>
      </c>
      <c r="S180" s="6" t="e">
        <f>VLOOKUP($A180,'Rate Calculation'!$A$4:$CQ$211,66,FALSE)</f>
        <v>#REF!</v>
      </c>
      <c r="T180" s="6" t="e">
        <f>VLOOKUP($A180,'Rate Calculation'!$A$3:$CQ$210,67,FALSE)</f>
        <v>#REF!</v>
      </c>
      <c r="U180" s="6" t="e">
        <f>VLOOKUP($A180,'Rate Calculation'!$A$3:$DE$210,82,FALSE)</f>
        <v>#DIV/0!</v>
      </c>
      <c r="V180" s="6" t="e">
        <f t="shared" si="31"/>
        <v>#DIV/0!</v>
      </c>
      <c r="W180" s="6" t="e">
        <f t="shared" si="26"/>
        <v>#DIV/0!</v>
      </c>
      <c r="X180" s="6" t="e">
        <f>VLOOKUP($A180,'Rate Calculation'!$A$3:$AR$210,47,FALSE)+W180</f>
        <v>#REF!</v>
      </c>
      <c r="Y180" s="6" t="e">
        <f>VLOOKUP($A180,'Rate Calculation'!$A$4:$CQ$210,83,FALSE)</f>
        <v>#REF!</v>
      </c>
      <c r="Z180" s="6" t="e">
        <f>VLOOKUP($A180,'Rate Calculation'!$A$3:$DE$210,84,FALSE)</f>
        <v>#REF!</v>
      </c>
      <c r="AA180" s="6">
        <f>VLOOKUP($A180,'Rate Calculation'!$A$3:$DE$210,99,FALSE)</f>
        <v>0</v>
      </c>
      <c r="AB180" s="6">
        <f t="shared" si="32"/>
        <v>0</v>
      </c>
      <c r="AC180" s="6">
        <f t="shared" si="27"/>
        <v>0</v>
      </c>
      <c r="AD180" s="6" t="e">
        <f>VLOOKUP($A180,'Rate Calculation'!$A$3:$AR$210,47,FALSE)+AC180</f>
        <v>#REF!</v>
      </c>
      <c r="AE180" s="6" t="e">
        <f>VLOOKUP($A180,'Rate Calculation'!$A$3:$CQ$210,100,FALSE)</f>
        <v>#REF!</v>
      </c>
      <c r="AF180" s="6">
        <f>VLOOKUP($A180,'Rate Calculation'!$A$3:$DE$210,101,FALSE)</f>
        <v>0</v>
      </c>
      <c r="AH180" s="175"/>
    </row>
    <row r="181" spans="1:34" x14ac:dyDescent="0.15">
      <c r="A181" s="130">
        <v>382</v>
      </c>
      <c r="B181" s="37" t="s">
        <v>820</v>
      </c>
      <c r="C181" s="1" t="str">
        <f>VLOOKUP(A181,'Rate Calculation'!$A$4:$F$210,6,FALSE)</f>
        <v>BALTIMORE METRO</v>
      </c>
      <c r="D181" s="4">
        <v>10771</v>
      </c>
      <c r="E181" s="6">
        <f>VLOOKUP(A181,'Rate Calculation'!$A$4:$AM$208,39,FALSE)</f>
        <v>327.63</v>
      </c>
      <c r="F181" s="6">
        <f t="shared" si="28"/>
        <v>323.61</v>
      </c>
      <c r="G181" s="6">
        <f t="shared" si="29"/>
        <v>323.61</v>
      </c>
      <c r="H181" s="6">
        <f>VLOOKUP(A181,'Rate Calculation'!$A$4:$AL$208,38,FALSE)+G181</f>
        <v>351.77</v>
      </c>
      <c r="I181" s="6">
        <f>VLOOKUP(A181,'Rate Calculation'!$A$4:$AN$208,40,FALSE)</f>
        <v>241.29</v>
      </c>
      <c r="J181" s="1">
        <v>0</v>
      </c>
      <c r="K181" s="217">
        <v>10965</v>
      </c>
      <c r="L181" s="6">
        <f>VLOOKUP(A181,'Rate Calculation'!$A$4:$AO$208,41,FALSE)</f>
        <v>154.94</v>
      </c>
      <c r="M181" s="1">
        <v>3</v>
      </c>
      <c r="N181" s="182">
        <f>VLOOKUP(A181,'Rate Calculation'!$A$4:$AL$208,38,FALSE)</f>
        <v>28.16</v>
      </c>
      <c r="O181" s="6" t="e">
        <f>VLOOKUP($A181,'Rate Calculation'!$A$3:$BR$210,65,FALSE)</f>
        <v>#DIV/0!</v>
      </c>
      <c r="P181" s="6" t="e">
        <f t="shared" si="30"/>
        <v>#DIV/0!</v>
      </c>
      <c r="Q181" s="6" t="e">
        <f t="shared" si="25"/>
        <v>#DIV/0!</v>
      </c>
      <c r="R181" s="6" t="e">
        <f>VLOOKUP($A181,'Rate Calculation'!$A$3:$AR$210,47,FALSE)+Q181</f>
        <v>#REF!</v>
      </c>
      <c r="S181" s="6" t="e">
        <f>VLOOKUP($A181,'Rate Calculation'!$A$4:$CQ$211,66,FALSE)</f>
        <v>#REF!</v>
      </c>
      <c r="T181" s="6" t="e">
        <f>VLOOKUP($A181,'Rate Calculation'!$A$3:$CQ$210,67,FALSE)</f>
        <v>#REF!</v>
      </c>
      <c r="U181" s="6" t="e">
        <f>VLOOKUP($A181,'Rate Calculation'!$A$3:$DE$210,82,FALSE)</f>
        <v>#DIV/0!</v>
      </c>
      <c r="V181" s="6" t="e">
        <f t="shared" si="31"/>
        <v>#DIV/0!</v>
      </c>
      <c r="W181" s="6" t="e">
        <f t="shared" si="26"/>
        <v>#DIV/0!</v>
      </c>
      <c r="X181" s="6" t="e">
        <f>VLOOKUP($A181,'Rate Calculation'!$A$3:$AR$210,47,FALSE)+W181</f>
        <v>#REF!</v>
      </c>
      <c r="Y181" s="6" t="e">
        <f>VLOOKUP($A181,'Rate Calculation'!$A$4:$CQ$210,83,FALSE)</f>
        <v>#REF!</v>
      </c>
      <c r="Z181" s="6" t="e">
        <f>VLOOKUP($A181,'Rate Calculation'!$A$3:$DE$210,84,FALSE)</f>
        <v>#REF!</v>
      </c>
      <c r="AA181" s="6">
        <f>VLOOKUP($A181,'Rate Calculation'!$A$3:$DE$210,99,FALSE)</f>
        <v>0</v>
      </c>
      <c r="AB181" s="6">
        <f t="shared" si="32"/>
        <v>0</v>
      </c>
      <c r="AC181" s="6">
        <f t="shared" si="27"/>
        <v>0</v>
      </c>
      <c r="AD181" s="6" t="e">
        <f>VLOOKUP($A181,'Rate Calculation'!$A$3:$AR$210,47,FALSE)+AC181</f>
        <v>#REF!</v>
      </c>
      <c r="AE181" s="6" t="e">
        <f>VLOOKUP($A181,'Rate Calculation'!$A$3:$CQ$210,100,FALSE)</f>
        <v>#REF!</v>
      </c>
      <c r="AF181" s="6">
        <f>VLOOKUP($A181,'Rate Calculation'!$A$3:$DE$210,101,FALSE)</f>
        <v>0</v>
      </c>
      <c r="AH181" s="175"/>
    </row>
    <row r="182" spans="1:34" x14ac:dyDescent="0.15">
      <c r="A182" s="130">
        <v>124</v>
      </c>
      <c r="B182" s="37" t="s">
        <v>764</v>
      </c>
      <c r="C182" s="1" t="str">
        <f>VLOOKUP(A182,'Rate Calculation'!$A$4:$F$210,6,FALSE)</f>
        <v>BALTIMORE METRO</v>
      </c>
      <c r="D182" s="4">
        <v>14900</v>
      </c>
      <c r="E182" s="6">
        <f>VLOOKUP(A182,'Rate Calculation'!$A$4:$AM$208,39,FALSE)</f>
        <v>333.24</v>
      </c>
      <c r="F182" s="6">
        <f t="shared" si="28"/>
        <v>329.15</v>
      </c>
      <c r="G182" s="6">
        <f t="shared" si="29"/>
        <v>329.15</v>
      </c>
      <c r="H182" s="6">
        <f>VLOOKUP(A182,'Rate Calculation'!$A$4:$AL$208,38,FALSE)+G182</f>
        <v>353.46</v>
      </c>
      <c r="I182" s="6">
        <f>VLOOKUP(A182,'Rate Calculation'!$A$4:$AN$208,40,FALSE)</f>
        <v>250.78</v>
      </c>
      <c r="J182" s="1">
        <v>0</v>
      </c>
      <c r="K182" s="217">
        <v>21421</v>
      </c>
      <c r="L182" s="6">
        <f>VLOOKUP(A182,'Rate Calculation'!$A$4:$AO$208,41,FALSE)</f>
        <v>168.31</v>
      </c>
      <c r="M182" s="1">
        <v>0</v>
      </c>
      <c r="N182" s="182">
        <f>VLOOKUP(A182,'Rate Calculation'!$A$4:$AL$208,38,FALSE)</f>
        <v>24.31</v>
      </c>
      <c r="O182" s="6" t="e">
        <f>VLOOKUP($A182,'Rate Calculation'!$A$3:$BR$210,65,FALSE)</f>
        <v>#DIV/0!</v>
      </c>
      <c r="P182" s="6" t="e">
        <f t="shared" si="30"/>
        <v>#DIV/0!</v>
      </c>
      <c r="Q182" s="6" t="e">
        <f t="shared" si="25"/>
        <v>#DIV/0!</v>
      </c>
      <c r="R182" s="6" t="e">
        <f>VLOOKUP($A182,'Rate Calculation'!$A$3:$AR$210,47,FALSE)+Q182</f>
        <v>#REF!</v>
      </c>
      <c r="S182" s="6" t="e">
        <f>VLOOKUP($A182,'Rate Calculation'!$A$4:$CQ$211,66,FALSE)</f>
        <v>#REF!</v>
      </c>
      <c r="T182" s="6" t="e">
        <f>VLOOKUP($A182,'Rate Calculation'!$A$3:$CQ$210,67,FALSE)</f>
        <v>#REF!</v>
      </c>
      <c r="U182" s="6" t="e">
        <f>VLOOKUP($A182,'Rate Calculation'!$A$3:$DE$210,82,FALSE)</f>
        <v>#DIV/0!</v>
      </c>
      <c r="V182" s="6" t="e">
        <f t="shared" si="31"/>
        <v>#DIV/0!</v>
      </c>
      <c r="W182" s="6" t="e">
        <f t="shared" si="26"/>
        <v>#DIV/0!</v>
      </c>
      <c r="X182" s="6" t="e">
        <f>VLOOKUP($A182,'Rate Calculation'!$A$3:$AR$210,47,FALSE)+W182</f>
        <v>#REF!</v>
      </c>
      <c r="Y182" s="6" t="e">
        <f>VLOOKUP($A182,'Rate Calculation'!$A$4:$CQ$210,83,FALSE)</f>
        <v>#REF!</v>
      </c>
      <c r="Z182" s="6" t="e">
        <f>VLOOKUP($A182,'Rate Calculation'!$A$3:$DE$210,84,FALSE)</f>
        <v>#REF!</v>
      </c>
      <c r="AA182" s="6">
        <f>VLOOKUP($A182,'Rate Calculation'!$A$3:$DE$210,99,FALSE)</f>
        <v>0</v>
      </c>
      <c r="AB182" s="6">
        <f t="shared" si="32"/>
        <v>0</v>
      </c>
      <c r="AC182" s="6">
        <f t="shared" si="27"/>
        <v>0</v>
      </c>
      <c r="AD182" s="6" t="e">
        <f>VLOOKUP($A182,'Rate Calculation'!$A$3:$AR$210,47,FALSE)+AC182</f>
        <v>#REF!</v>
      </c>
      <c r="AE182" s="6" t="e">
        <f>VLOOKUP($A182,'Rate Calculation'!$A$3:$CQ$210,100,FALSE)</f>
        <v>#REF!</v>
      </c>
      <c r="AF182" s="6">
        <f>VLOOKUP($A182,'Rate Calculation'!$A$3:$DE$210,101,FALSE)</f>
        <v>0</v>
      </c>
      <c r="AH182" s="175"/>
    </row>
    <row r="183" spans="1:34" x14ac:dyDescent="0.15">
      <c r="A183" s="130">
        <v>364</v>
      </c>
      <c r="B183" s="37" t="s">
        <v>178</v>
      </c>
      <c r="C183" s="1" t="str">
        <f>VLOOKUP(A183,'Rate Calculation'!$A$4:$F$210,6,FALSE)</f>
        <v>BALTIMORE METRO</v>
      </c>
      <c r="D183" s="4">
        <v>1703</v>
      </c>
      <c r="E183" s="6">
        <f>VLOOKUP(A183,'Rate Calculation'!$A$4:$AM$208,39,FALSE)</f>
        <v>346.65</v>
      </c>
      <c r="F183" s="6">
        <f t="shared" si="28"/>
        <v>342.39</v>
      </c>
      <c r="G183" s="6">
        <f t="shared" si="29"/>
        <v>342.39</v>
      </c>
      <c r="H183" s="6">
        <f>VLOOKUP(A183,'Rate Calculation'!$A$4:$AL$208,38,FALSE)+G183</f>
        <v>342.39</v>
      </c>
      <c r="I183" s="6">
        <f>VLOOKUP(A183,'Rate Calculation'!$A$4:$AN$208,40,FALSE)</f>
        <v>255.18</v>
      </c>
      <c r="J183" s="1">
        <v>0</v>
      </c>
      <c r="K183" s="217">
        <v>0</v>
      </c>
      <c r="L183" s="6">
        <f>VLOOKUP(A183,'Rate Calculation'!$A$4:$AO$208,41,FALSE)</f>
        <v>163.71</v>
      </c>
      <c r="M183" s="1">
        <v>0</v>
      </c>
      <c r="N183" s="182">
        <f>VLOOKUP(A183,'Rate Calculation'!$A$4:$AL$208,38,FALSE)</f>
        <v>0</v>
      </c>
      <c r="O183" s="6" t="e">
        <f>VLOOKUP($A183,'Rate Calculation'!$A$3:$BR$210,65,FALSE)</f>
        <v>#DIV/0!</v>
      </c>
      <c r="P183" s="6" t="e">
        <f t="shared" si="30"/>
        <v>#DIV/0!</v>
      </c>
      <c r="Q183" s="6" t="e">
        <f t="shared" si="25"/>
        <v>#DIV/0!</v>
      </c>
      <c r="R183" s="6" t="e">
        <f>VLOOKUP($A183,'Rate Calculation'!$A$3:$AR$210,47,FALSE)+Q183</f>
        <v>#REF!</v>
      </c>
      <c r="S183" s="6" t="e">
        <f>VLOOKUP($A183,'Rate Calculation'!$A$4:$CQ$211,66,FALSE)</f>
        <v>#REF!</v>
      </c>
      <c r="T183" s="6" t="e">
        <f>VLOOKUP($A183,'Rate Calculation'!$A$3:$CQ$210,67,FALSE)</f>
        <v>#REF!</v>
      </c>
      <c r="U183" s="6" t="e">
        <f>VLOOKUP($A183,'Rate Calculation'!$A$3:$DE$210,82,FALSE)</f>
        <v>#DIV/0!</v>
      </c>
      <c r="V183" s="6" t="e">
        <f t="shared" si="31"/>
        <v>#DIV/0!</v>
      </c>
      <c r="W183" s="6" t="e">
        <f t="shared" si="26"/>
        <v>#DIV/0!</v>
      </c>
      <c r="X183" s="6" t="e">
        <f>VLOOKUP($A183,'Rate Calculation'!$A$3:$AR$210,47,FALSE)+W183</f>
        <v>#REF!</v>
      </c>
      <c r="Y183" s="6" t="e">
        <f>VLOOKUP($A183,'Rate Calculation'!$A$4:$CQ$210,83,FALSE)</f>
        <v>#REF!</v>
      </c>
      <c r="Z183" s="6" t="e">
        <f>VLOOKUP($A183,'Rate Calculation'!$A$3:$DE$210,84,FALSE)</f>
        <v>#REF!</v>
      </c>
      <c r="AA183" s="6">
        <f>VLOOKUP($A183,'Rate Calculation'!$A$3:$DE$210,99,FALSE)</f>
        <v>0</v>
      </c>
      <c r="AB183" s="6">
        <f t="shared" si="32"/>
        <v>0</v>
      </c>
      <c r="AC183" s="6">
        <f t="shared" si="27"/>
        <v>0</v>
      </c>
      <c r="AD183" s="6" t="e">
        <f>VLOOKUP($A183,'Rate Calculation'!$A$3:$AR$210,47,FALSE)+AC183</f>
        <v>#REF!</v>
      </c>
      <c r="AE183" s="6" t="e">
        <f>VLOOKUP($A183,'Rate Calculation'!$A$3:$CQ$210,100,FALSE)</f>
        <v>#REF!</v>
      </c>
      <c r="AF183" s="6">
        <f>VLOOKUP($A183,'Rate Calculation'!$A$3:$DE$210,101,FALSE)</f>
        <v>0</v>
      </c>
      <c r="AH183" s="175"/>
    </row>
    <row r="184" spans="1:34" x14ac:dyDescent="0.15">
      <c r="A184" s="130">
        <v>436</v>
      </c>
      <c r="B184" s="37" t="s">
        <v>681</v>
      </c>
      <c r="C184" s="1" t="str">
        <f>VLOOKUP(A184,'Rate Calculation'!$A$4:$F$210,6,FALSE)</f>
        <v>NON METRO</v>
      </c>
      <c r="D184" s="4">
        <v>20354</v>
      </c>
      <c r="E184" s="6">
        <f>VLOOKUP(A184,'Rate Calculation'!$A$4:$AM$208,39,FALSE)</f>
        <v>326.25</v>
      </c>
      <c r="F184" s="6">
        <f t="shared" si="28"/>
        <v>322.24</v>
      </c>
      <c r="G184" s="6">
        <f t="shared" si="29"/>
        <v>322.24</v>
      </c>
      <c r="H184" s="6">
        <f>VLOOKUP(A184,'Rate Calculation'!$A$4:$AL$208,38,FALSE)+G184</f>
        <v>347.66</v>
      </c>
      <c r="I184" s="6">
        <f>VLOOKUP(A184,'Rate Calculation'!$A$4:$AN$208,40,FALSE)</f>
        <v>235.77</v>
      </c>
      <c r="J184" s="1">
        <v>0</v>
      </c>
      <c r="K184" s="217">
        <v>35000</v>
      </c>
      <c r="L184" s="6">
        <f>VLOOKUP(A184,'Rate Calculation'!$A$4:$AO$208,41,FALSE)</f>
        <v>145.28</v>
      </c>
      <c r="M184" s="1">
        <v>0</v>
      </c>
      <c r="N184" s="182">
        <f>VLOOKUP(A184,'Rate Calculation'!$A$4:$AL$208,38,FALSE)</f>
        <v>25.42</v>
      </c>
      <c r="O184" s="6" t="e">
        <f>VLOOKUP($A184,'Rate Calculation'!$A$3:$BR$210,65,FALSE)</f>
        <v>#DIV/0!</v>
      </c>
      <c r="P184" s="6" t="e">
        <f t="shared" si="30"/>
        <v>#DIV/0!</v>
      </c>
      <c r="Q184" s="6" t="e">
        <f t="shared" si="25"/>
        <v>#DIV/0!</v>
      </c>
      <c r="R184" s="6" t="e">
        <f>VLOOKUP($A184,'Rate Calculation'!$A$3:$AR$210,47,FALSE)+Q184</f>
        <v>#REF!</v>
      </c>
      <c r="S184" s="6" t="e">
        <f>VLOOKUP($A184,'Rate Calculation'!$A$4:$CQ$211,66,FALSE)</f>
        <v>#REF!</v>
      </c>
      <c r="T184" s="6" t="e">
        <f>VLOOKUP($A184,'Rate Calculation'!$A$3:$CQ$210,67,FALSE)</f>
        <v>#REF!</v>
      </c>
      <c r="U184" s="6" t="e">
        <f>VLOOKUP($A184,'Rate Calculation'!$A$3:$DE$210,82,FALSE)</f>
        <v>#DIV/0!</v>
      </c>
      <c r="V184" s="6" t="e">
        <f t="shared" si="31"/>
        <v>#DIV/0!</v>
      </c>
      <c r="W184" s="6" t="e">
        <f t="shared" si="26"/>
        <v>#DIV/0!</v>
      </c>
      <c r="X184" s="6" t="e">
        <f>VLOOKUP($A184,'Rate Calculation'!$A$3:$AR$210,47,FALSE)+W184</f>
        <v>#REF!</v>
      </c>
      <c r="Y184" s="6" t="e">
        <f>VLOOKUP($A184,'Rate Calculation'!$A$4:$CQ$210,83,FALSE)</f>
        <v>#REF!</v>
      </c>
      <c r="Z184" s="6" t="e">
        <f>VLOOKUP($A184,'Rate Calculation'!$A$3:$DE$210,84,FALSE)</f>
        <v>#REF!</v>
      </c>
      <c r="AA184" s="6">
        <f>VLOOKUP($A184,'Rate Calculation'!$A$3:$DE$210,99,FALSE)</f>
        <v>0</v>
      </c>
      <c r="AB184" s="6">
        <f t="shared" si="32"/>
        <v>0</v>
      </c>
      <c r="AC184" s="6">
        <f t="shared" si="27"/>
        <v>0</v>
      </c>
      <c r="AD184" s="6" t="e">
        <f>VLOOKUP($A184,'Rate Calculation'!$A$3:$AR$210,47,FALSE)+AC184</f>
        <v>#REF!</v>
      </c>
      <c r="AE184" s="6" t="e">
        <f>VLOOKUP($A184,'Rate Calculation'!$A$3:$CQ$210,100,FALSE)</f>
        <v>#REF!</v>
      </c>
      <c r="AF184" s="6">
        <f>VLOOKUP($A184,'Rate Calculation'!$A$3:$DE$210,101,FALSE)</f>
        <v>0</v>
      </c>
      <c r="AH184" s="175"/>
    </row>
    <row r="185" spans="1:34" x14ac:dyDescent="0.15">
      <c r="A185" s="130">
        <v>366</v>
      </c>
      <c r="B185" s="37" t="s">
        <v>598</v>
      </c>
      <c r="C185" s="1" t="str">
        <f>VLOOKUP(A185,'Rate Calculation'!$A$4:$F$210,6,FALSE)</f>
        <v>BALTIMORE METRO</v>
      </c>
      <c r="D185" s="4">
        <v>23314</v>
      </c>
      <c r="E185" s="6">
        <f>VLOOKUP(A185,'Rate Calculation'!$A$4:$AM$208,39,FALSE)</f>
        <v>307.44</v>
      </c>
      <c r="F185" s="6">
        <f t="shared" si="28"/>
        <v>303.66000000000003</v>
      </c>
      <c r="G185" s="6">
        <f t="shared" si="29"/>
        <v>303.66000000000003</v>
      </c>
      <c r="H185" s="6">
        <f>VLOOKUP(A185,'Rate Calculation'!$A$4:$AL$208,38,FALSE)+G185</f>
        <v>335.23</v>
      </c>
      <c r="I185" s="6">
        <f>VLOOKUP(A185,'Rate Calculation'!$A$4:$AN$208,40,FALSE)</f>
        <v>228.54</v>
      </c>
      <c r="J185" s="1">
        <v>0</v>
      </c>
      <c r="K185" s="217">
        <v>435</v>
      </c>
      <c r="L185" s="6">
        <f>VLOOKUP(A185,'Rate Calculation'!$A$4:$AO$208,41,FALSE)</f>
        <v>149.63999999999999</v>
      </c>
      <c r="M185" s="1">
        <v>18</v>
      </c>
      <c r="N185" s="182">
        <f>VLOOKUP(A185,'Rate Calculation'!$A$4:$AL$208,38,FALSE)</f>
        <v>31.57</v>
      </c>
      <c r="O185" s="6" t="e">
        <f>VLOOKUP($A185,'Rate Calculation'!$A$3:$BR$210,65,FALSE)</f>
        <v>#DIV/0!</v>
      </c>
      <c r="P185" s="6" t="e">
        <f t="shared" si="30"/>
        <v>#DIV/0!</v>
      </c>
      <c r="Q185" s="6" t="e">
        <f t="shared" si="25"/>
        <v>#DIV/0!</v>
      </c>
      <c r="R185" s="6" t="e">
        <f>VLOOKUP($A185,'Rate Calculation'!$A$3:$AR$210,47,FALSE)+Q185</f>
        <v>#REF!</v>
      </c>
      <c r="S185" s="6" t="e">
        <f>VLOOKUP($A185,'Rate Calculation'!$A$4:$CQ$211,66,FALSE)</f>
        <v>#REF!</v>
      </c>
      <c r="T185" s="6" t="e">
        <f>VLOOKUP($A185,'Rate Calculation'!$A$3:$CQ$210,67,FALSE)</f>
        <v>#REF!</v>
      </c>
      <c r="U185" s="6" t="e">
        <f>VLOOKUP($A185,'Rate Calculation'!$A$3:$DE$210,82,FALSE)</f>
        <v>#DIV/0!</v>
      </c>
      <c r="V185" s="6" t="e">
        <f t="shared" si="31"/>
        <v>#DIV/0!</v>
      </c>
      <c r="W185" s="6" t="e">
        <f t="shared" si="26"/>
        <v>#DIV/0!</v>
      </c>
      <c r="X185" s="6" t="e">
        <f>VLOOKUP($A185,'Rate Calculation'!$A$3:$AR$210,47,FALSE)+W185</f>
        <v>#REF!</v>
      </c>
      <c r="Y185" s="6" t="e">
        <f>VLOOKUP($A185,'Rate Calculation'!$A$4:$CQ$210,83,FALSE)</f>
        <v>#REF!</v>
      </c>
      <c r="Z185" s="6" t="e">
        <f>VLOOKUP($A185,'Rate Calculation'!$A$3:$DE$210,84,FALSE)</f>
        <v>#REF!</v>
      </c>
      <c r="AA185" s="6">
        <f>VLOOKUP($A185,'Rate Calculation'!$A$3:$DE$210,99,FALSE)</f>
        <v>0</v>
      </c>
      <c r="AB185" s="6">
        <f t="shared" si="32"/>
        <v>0</v>
      </c>
      <c r="AC185" s="6">
        <f t="shared" si="27"/>
        <v>0</v>
      </c>
      <c r="AD185" s="6" t="e">
        <f>VLOOKUP($A185,'Rate Calculation'!$A$3:$AR$210,47,FALSE)+AC185</f>
        <v>#REF!</v>
      </c>
      <c r="AE185" s="6" t="e">
        <f>VLOOKUP($A185,'Rate Calculation'!$A$3:$CQ$210,100,FALSE)</f>
        <v>#REF!</v>
      </c>
      <c r="AF185" s="6">
        <f>VLOOKUP($A185,'Rate Calculation'!$A$3:$DE$210,101,FALSE)</f>
        <v>0</v>
      </c>
      <c r="AH185" s="175"/>
    </row>
    <row r="186" spans="1:34" x14ac:dyDescent="0.15">
      <c r="A186" s="130">
        <v>294</v>
      </c>
      <c r="B186" s="37" t="s">
        <v>468</v>
      </c>
      <c r="C186" s="1" t="str">
        <f>VLOOKUP(A186,'Rate Calculation'!$A$4:$F$210,6,FALSE)</f>
        <v>BALTIMORE CITY</v>
      </c>
      <c r="D186" s="4">
        <v>53671</v>
      </c>
      <c r="E186" s="6">
        <f>VLOOKUP(A186,'Rate Calculation'!$A$4:$AM$208,39,FALSE)</f>
        <v>388.96</v>
      </c>
      <c r="F186" s="6">
        <f t="shared" si="28"/>
        <v>384.18</v>
      </c>
      <c r="G186" s="6">
        <f t="shared" si="29"/>
        <v>384.18</v>
      </c>
      <c r="H186" s="6">
        <f>VLOOKUP(A186,'Rate Calculation'!$A$4:$AL$208,38,FALSE)+G186</f>
        <v>386.61</v>
      </c>
      <c r="I186" s="6">
        <f>VLOOKUP(A186,'Rate Calculation'!$A$4:$AN$208,40,FALSE)</f>
        <v>289.12</v>
      </c>
      <c r="J186" s="1">
        <v>0</v>
      </c>
      <c r="K186" s="217">
        <v>151380</v>
      </c>
      <c r="L186" s="6">
        <f>VLOOKUP(A186,'Rate Calculation'!$A$4:$AO$208,41,FALSE)</f>
        <v>189.27</v>
      </c>
      <c r="M186" s="1">
        <v>35</v>
      </c>
      <c r="N186" s="182">
        <f>VLOOKUP(A186,'Rate Calculation'!$A$4:$AL$208,38,FALSE)</f>
        <v>2.4300000000000002</v>
      </c>
      <c r="O186" s="6" t="e">
        <f>VLOOKUP($A186,'Rate Calculation'!$A$3:$BR$210,65,FALSE)</f>
        <v>#DIV/0!</v>
      </c>
      <c r="P186" s="6" t="e">
        <f t="shared" si="30"/>
        <v>#DIV/0!</v>
      </c>
      <c r="Q186" s="6" t="e">
        <f t="shared" si="25"/>
        <v>#DIV/0!</v>
      </c>
      <c r="R186" s="6" t="e">
        <f>VLOOKUP($A186,'Rate Calculation'!$A$3:$AR$210,47,FALSE)+Q186</f>
        <v>#REF!</v>
      </c>
      <c r="S186" s="6" t="e">
        <f>VLOOKUP($A186,'Rate Calculation'!$A$4:$CQ$211,66,FALSE)</f>
        <v>#REF!</v>
      </c>
      <c r="T186" s="6" t="e">
        <f>VLOOKUP($A186,'Rate Calculation'!$A$3:$CQ$210,67,FALSE)</f>
        <v>#REF!</v>
      </c>
      <c r="U186" s="6" t="e">
        <f>VLOOKUP($A186,'Rate Calculation'!$A$3:$DE$210,82,FALSE)</f>
        <v>#DIV/0!</v>
      </c>
      <c r="V186" s="6" t="e">
        <f t="shared" si="31"/>
        <v>#DIV/0!</v>
      </c>
      <c r="W186" s="6" t="e">
        <f t="shared" si="26"/>
        <v>#DIV/0!</v>
      </c>
      <c r="X186" s="6" t="e">
        <f>VLOOKUP($A186,'Rate Calculation'!$A$3:$AR$210,47,FALSE)+W186</f>
        <v>#REF!</v>
      </c>
      <c r="Y186" s="6" t="e">
        <f>VLOOKUP($A186,'Rate Calculation'!$A$4:$CQ$210,83,FALSE)</f>
        <v>#REF!</v>
      </c>
      <c r="Z186" s="6" t="e">
        <f>VLOOKUP($A186,'Rate Calculation'!$A$3:$DE$210,84,FALSE)</f>
        <v>#REF!</v>
      </c>
      <c r="AA186" s="6">
        <f>VLOOKUP($A186,'Rate Calculation'!$A$3:$DE$210,99,FALSE)</f>
        <v>0</v>
      </c>
      <c r="AB186" s="6">
        <f t="shared" si="32"/>
        <v>0</v>
      </c>
      <c r="AC186" s="6">
        <f t="shared" si="27"/>
        <v>0</v>
      </c>
      <c r="AD186" s="6" t="e">
        <f>VLOOKUP($A186,'Rate Calculation'!$A$3:$AR$210,47,FALSE)+AC186</f>
        <v>#REF!</v>
      </c>
      <c r="AE186" s="6" t="e">
        <f>VLOOKUP($A186,'Rate Calculation'!$A$3:$CQ$210,100,FALSE)</f>
        <v>#REF!</v>
      </c>
      <c r="AF186" s="6">
        <f>VLOOKUP($A186,'Rate Calculation'!$A$3:$DE$210,101,FALSE)</f>
        <v>0</v>
      </c>
      <c r="AH186" s="175"/>
    </row>
    <row r="187" spans="1:34" x14ac:dyDescent="0.15">
      <c r="A187" s="130">
        <v>368</v>
      </c>
      <c r="B187" s="37" t="s">
        <v>507</v>
      </c>
      <c r="C187" s="1" t="str">
        <f>VLOOKUP(A187,'Rate Calculation'!$A$4:$F$210,6,FALSE)</f>
        <v>WASHINGTON METRO</v>
      </c>
      <c r="D187" s="4">
        <v>43852</v>
      </c>
      <c r="E187" s="6">
        <f>VLOOKUP(A187,'Rate Calculation'!$A$4:$AM$208,39,FALSE)</f>
        <v>303.52</v>
      </c>
      <c r="F187" s="6">
        <f t="shared" si="28"/>
        <v>299.79000000000002</v>
      </c>
      <c r="G187" s="6">
        <f t="shared" si="29"/>
        <v>299.79000000000002</v>
      </c>
      <c r="H187" s="6">
        <f>VLOOKUP(A187,'Rate Calculation'!$A$4:$AL$208,38,FALSE)+G187</f>
        <v>326.81</v>
      </c>
      <c r="I187" s="6">
        <f>VLOOKUP(A187,'Rate Calculation'!$A$4:$AN$208,40,FALSE)</f>
        <v>231.86</v>
      </c>
      <c r="J187" s="1">
        <v>0</v>
      </c>
      <c r="K187" s="217">
        <v>100882</v>
      </c>
      <c r="L187" s="6">
        <f>VLOOKUP(A187,'Rate Calculation'!$A$4:$AO$208,41,FALSE)</f>
        <v>160.19999999999999</v>
      </c>
      <c r="M187" s="1">
        <v>38</v>
      </c>
      <c r="N187" s="182">
        <f>VLOOKUP(A187,'Rate Calculation'!$A$4:$AL$208,38,FALSE)</f>
        <v>27.02</v>
      </c>
      <c r="O187" s="6" t="e">
        <f>VLOOKUP($A187,'Rate Calculation'!$A$3:$BR$210,65,FALSE)</f>
        <v>#DIV/0!</v>
      </c>
      <c r="P187" s="6" t="e">
        <f t="shared" si="30"/>
        <v>#DIV/0!</v>
      </c>
      <c r="Q187" s="6" t="e">
        <f t="shared" si="25"/>
        <v>#DIV/0!</v>
      </c>
      <c r="R187" s="6" t="e">
        <f>VLOOKUP($A187,'Rate Calculation'!$A$3:$AR$210,47,FALSE)+Q187</f>
        <v>#REF!</v>
      </c>
      <c r="S187" s="6" t="e">
        <f>VLOOKUP($A187,'Rate Calculation'!$A$4:$CQ$211,66,FALSE)</f>
        <v>#REF!</v>
      </c>
      <c r="T187" s="6" t="e">
        <f>VLOOKUP($A187,'Rate Calculation'!$A$3:$CQ$210,67,FALSE)</f>
        <v>#REF!</v>
      </c>
      <c r="U187" s="6" t="e">
        <f>VLOOKUP($A187,'Rate Calculation'!$A$3:$DE$210,82,FALSE)</f>
        <v>#DIV/0!</v>
      </c>
      <c r="V187" s="6" t="e">
        <f t="shared" si="31"/>
        <v>#DIV/0!</v>
      </c>
      <c r="W187" s="6" t="e">
        <f t="shared" si="26"/>
        <v>#DIV/0!</v>
      </c>
      <c r="X187" s="6" t="e">
        <f>VLOOKUP($A187,'Rate Calculation'!$A$3:$AR$210,47,FALSE)+W187</f>
        <v>#REF!</v>
      </c>
      <c r="Y187" s="6" t="e">
        <f>VLOOKUP($A187,'Rate Calculation'!$A$4:$CQ$210,83,FALSE)</f>
        <v>#REF!</v>
      </c>
      <c r="Z187" s="6" t="e">
        <f>VLOOKUP($A187,'Rate Calculation'!$A$3:$DE$210,84,FALSE)</f>
        <v>#REF!</v>
      </c>
      <c r="AA187" s="6">
        <f>VLOOKUP($A187,'Rate Calculation'!$A$3:$DE$210,99,FALSE)</f>
        <v>0</v>
      </c>
      <c r="AB187" s="6">
        <f t="shared" si="32"/>
        <v>0</v>
      </c>
      <c r="AC187" s="6">
        <f t="shared" si="27"/>
        <v>0</v>
      </c>
      <c r="AD187" s="6" t="e">
        <f>VLOOKUP($A187,'Rate Calculation'!$A$3:$AR$210,47,FALSE)+AC187</f>
        <v>#REF!</v>
      </c>
      <c r="AE187" s="6" t="e">
        <f>VLOOKUP($A187,'Rate Calculation'!$A$3:$CQ$210,100,FALSE)</f>
        <v>#REF!</v>
      </c>
      <c r="AF187" s="6">
        <f>VLOOKUP($A187,'Rate Calculation'!$A$3:$DE$210,101,FALSE)</f>
        <v>0</v>
      </c>
      <c r="AH187" s="175"/>
    </row>
    <row r="188" spans="1:34" x14ac:dyDescent="0.15">
      <c r="A188" s="130">
        <v>462</v>
      </c>
      <c r="B188" s="37" t="s">
        <v>394</v>
      </c>
      <c r="C188" s="1" t="str">
        <f>VLOOKUP(A188,'Rate Calculation'!$A$4:$F$210,6,FALSE)</f>
        <v>WASHINGTON METRO</v>
      </c>
      <c r="D188" s="4">
        <v>17212</v>
      </c>
      <c r="E188" s="6">
        <f>VLOOKUP(A188,'Rate Calculation'!$A$4:$AM$208,39,FALSE)</f>
        <v>320.24</v>
      </c>
      <c r="F188" s="6">
        <f t="shared" si="28"/>
        <v>316.31</v>
      </c>
      <c r="G188" s="6">
        <f t="shared" si="29"/>
        <v>316.31</v>
      </c>
      <c r="H188" s="6">
        <f>VLOOKUP(A188,'Rate Calculation'!$A$4:$AL$208,38,FALSE)+G188</f>
        <v>341.23</v>
      </c>
      <c r="I188" s="6">
        <f>VLOOKUP(A188,'Rate Calculation'!$A$4:$AN$208,40,FALSE)</f>
        <v>243.14</v>
      </c>
      <c r="J188" s="1">
        <v>0</v>
      </c>
      <c r="K188" s="217">
        <v>1251</v>
      </c>
      <c r="L188" s="6">
        <f>VLOOKUP(A188,'Rate Calculation'!$A$4:$AO$208,41,FALSE)</f>
        <v>166.03</v>
      </c>
      <c r="M188" s="1">
        <v>0</v>
      </c>
      <c r="N188" s="182">
        <f>VLOOKUP(A188,'Rate Calculation'!$A$4:$AL$208,38,FALSE)</f>
        <v>24.92</v>
      </c>
      <c r="O188" s="6" t="e">
        <f>VLOOKUP($A188,'Rate Calculation'!$A$3:$BR$210,65,FALSE)</f>
        <v>#DIV/0!</v>
      </c>
      <c r="P188" s="6" t="e">
        <f t="shared" si="30"/>
        <v>#DIV/0!</v>
      </c>
      <c r="Q188" s="6" t="e">
        <f t="shared" si="25"/>
        <v>#DIV/0!</v>
      </c>
      <c r="R188" s="6" t="e">
        <f>VLOOKUP($A188,'Rate Calculation'!$A$3:$AR$210,47,FALSE)+Q188</f>
        <v>#REF!</v>
      </c>
      <c r="S188" s="6" t="e">
        <f>VLOOKUP($A188,'Rate Calculation'!$A$4:$CQ$211,66,FALSE)</f>
        <v>#REF!</v>
      </c>
      <c r="T188" s="6" t="e">
        <f>VLOOKUP($A188,'Rate Calculation'!$A$3:$CQ$210,67,FALSE)</f>
        <v>#REF!</v>
      </c>
      <c r="U188" s="6" t="e">
        <f>VLOOKUP($A188,'Rate Calculation'!$A$3:$DE$210,82,FALSE)</f>
        <v>#DIV/0!</v>
      </c>
      <c r="V188" s="6" t="e">
        <f t="shared" si="31"/>
        <v>#DIV/0!</v>
      </c>
      <c r="W188" s="6" t="e">
        <f t="shared" si="26"/>
        <v>#DIV/0!</v>
      </c>
      <c r="X188" s="6" t="e">
        <f>VLOOKUP($A188,'Rate Calculation'!$A$3:$AR$210,47,FALSE)+W188</f>
        <v>#REF!</v>
      </c>
      <c r="Y188" s="6" t="e">
        <f>VLOOKUP($A188,'Rate Calculation'!$A$4:$CQ$210,83,FALSE)</f>
        <v>#REF!</v>
      </c>
      <c r="Z188" s="6" t="e">
        <f>VLOOKUP($A188,'Rate Calculation'!$A$3:$DE$210,84,FALSE)</f>
        <v>#REF!</v>
      </c>
      <c r="AA188" s="6">
        <f>VLOOKUP($A188,'Rate Calculation'!$A$3:$DE$210,99,FALSE)</f>
        <v>0</v>
      </c>
      <c r="AB188" s="6">
        <f t="shared" si="32"/>
        <v>0</v>
      </c>
      <c r="AC188" s="6">
        <f t="shared" si="27"/>
        <v>0</v>
      </c>
      <c r="AD188" s="6" t="e">
        <f>VLOOKUP($A188,'Rate Calculation'!$A$3:$AR$210,47,FALSE)+AC188</f>
        <v>#REF!</v>
      </c>
      <c r="AE188" s="6" t="e">
        <f>VLOOKUP($A188,'Rate Calculation'!$A$3:$CQ$210,100,FALSE)</f>
        <v>#REF!</v>
      </c>
      <c r="AF188" s="6">
        <f>VLOOKUP($A188,'Rate Calculation'!$A$3:$DE$210,101,FALSE)</f>
        <v>0</v>
      </c>
      <c r="AH188" s="175"/>
    </row>
    <row r="189" spans="1:34" x14ac:dyDescent="0.15">
      <c r="A189" s="130">
        <v>102</v>
      </c>
      <c r="B189" s="37" t="s">
        <v>445</v>
      </c>
      <c r="C189" s="1" t="str">
        <f>VLOOKUP(A189,'Rate Calculation'!$A$4:$F$210,6,FALSE)</f>
        <v>NON METRO</v>
      </c>
      <c r="D189" s="4">
        <v>24730</v>
      </c>
      <c r="E189" s="6">
        <f>VLOOKUP(A189,'Rate Calculation'!$A$4:$AM$208,39,FALSE)</f>
        <v>340.09</v>
      </c>
      <c r="F189" s="6">
        <f t="shared" si="28"/>
        <v>335.91</v>
      </c>
      <c r="G189" s="6">
        <f t="shared" si="29"/>
        <v>335.91</v>
      </c>
      <c r="H189" s="6">
        <f>VLOOKUP(A189,'Rate Calculation'!$A$4:$AL$208,38,FALSE)+G189</f>
        <v>362.57</v>
      </c>
      <c r="I189" s="6">
        <f>VLOOKUP(A189,'Rate Calculation'!$A$4:$AN$208,40,FALSE)</f>
        <v>242.9</v>
      </c>
      <c r="J189" s="1">
        <v>0</v>
      </c>
      <c r="K189" s="217">
        <v>76958</v>
      </c>
      <c r="L189" s="6">
        <f>VLOOKUP(A189,'Rate Calculation'!$A$4:$AO$208,41,FALSE)</f>
        <v>145.69999999999999</v>
      </c>
      <c r="M189" s="1">
        <v>0</v>
      </c>
      <c r="N189" s="182">
        <f>VLOOKUP(A189,'Rate Calculation'!$A$4:$AL$208,38,FALSE)</f>
        <v>26.66</v>
      </c>
      <c r="O189" s="6" t="e">
        <f>VLOOKUP($A189,'Rate Calculation'!$A$3:$BR$210,65,FALSE)</f>
        <v>#DIV/0!</v>
      </c>
      <c r="P189" s="6" t="e">
        <f t="shared" si="30"/>
        <v>#DIV/0!</v>
      </c>
      <c r="Q189" s="6" t="e">
        <f t="shared" si="25"/>
        <v>#DIV/0!</v>
      </c>
      <c r="R189" s="6" t="e">
        <f>VLOOKUP($A189,'Rate Calculation'!$A$3:$AR$210,47,FALSE)+Q189</f>
        <v>#REF!</v>
      </c>
      <c r="S189" s="6" t="e">
        <f>VLOOKUP($A189,'Rate Calculation'!$A$4:$CQ$211,66,FALSE)</f>
        <v>#REF!</v>
      </c>
      <c r="T189" s="6" t="e">
        <f>VLOOKUP($A189,'Rate Calculation'!$A$3:$CQ$210,67,FALSE)</f>
        <v>#REF!</v>
      </c>
      <c r="U189" s="6" t="e">
        <f>VLOOKUP($A189,'Rate Calculation'!$A$3:$DE$210,82,FALSE)</f>
        <v>#DIV/0!</v>
      </c>
      <c r="V189" s="6" t="e">
        <f t="shared" si="31"/>
        <v>#DIV/0!</v>
      </c>
      <c r="W189" s="6" t="e">
        <f t="shared" si="26"/>
        <v>#DIV/0!</v>
      </c>
      <c r="X189" s="6" t="e">
        <f>VLOOKUP($A189,'Rate Calculation'!$A$3:$AR$210,47,FALSE)+W189</f>
        <v>#REF!</v>
      </c>
      <c r="Y189" s="6" t="e">
        <f>VLOOKUP($A189,'Rate Calculation'!$A$4:$CQ$210,83,FALSE)</f>
        <v>#REF!</v>
      </c>
      <c r="Z189" s="6" t="e">
        <f>VLOOKUP($A189,'Rate Calculation'!$A$3:$DE$210,84,FALSE)</f>
        <v>#REF!</v>
      </c>
      <c r="AA189" s="6">
        <f>VLOOKUP($A189,'Rate Calculation'!$A$3:$DE$210,99,FALSE)</f>
        <v>0</v>
      </c>
      <c r="AB189" s="6">
        <f t="shared" si="32"/>
        <v>0</v>
      </c>
      <c r="AC189" s="6">
        <f t="shared" si="27"/>
        <v>0</v>
      </c>
      <c r="AD189" s="6" t="e">
        <f>VLOOKUP($A189,'Rate Calculation'!$A$3:$AR$210,47,FALSE)+AC189</f>
        <v>#REF!</v>
      </c>
      <c r="AE189" s="6" t="e">
        <f>VLOOKUP($A189,'Rate Calculation'!$A$3:$CQ$210,100,FALSE)</f>
        <v>#REF!</v>
      </c>
      <c r="AF189" s="6">
        <f>VLOOKUP($A189,'Rate Calculation'!$A$3:$DE$210,101,FALSE)</f>
        <v>0</v>
      </c>
      <c r="AH189" s="175"/>
    </row>
    <row r="190" spans="1:34" x14ac:dyDescent="0.15">
      <c r="A190" s="130">
        <v>1282</v>
      </c>
      <c r="B190" s="37" t="s">
        <v>328</v>
      </c>
      <c r="C190" s="1" t="str">
        <f>VLOOKUP(A190,'Rate Calculation'!$A$4:$F$210,6,FALSE)</f>
        <v>WASHINGTON METRO</v>
      </c>
      <c r="D190" s="4">
        <v>10097</v>
      </c>
      <c r="E190" s="6">
        <f>VLOOKUP(A190,'Rate Calculation'!$A$4:$AM$208,39,FALSE)</f>
        <v>331.7</v>
      </c>
      <c r="F190" s="6">
        <f t="shared" si="28"/>
        <v>327.63</v>
      </c>
      <c r="G190" s="6">
        <f t="shared" si="29"/>
        <v>327.63</v>
      </c>
      <c r="H190" s="6">
        <f>VLOOKUP(A190,'Rate Calculation'!$A$4:$AL$208,38,FALSE)+G190</f>
        <v>343.63</v>
      </c>
      <c r="I190" s="6">
        <f>VLOOKUP(A190,'Rate Calculation'!$A$4:$AN$208,40,FALSE)</f>
        <v>252.5</v>
      </c>
      <c r="J190" s="1">
        <v>0</v>
      </c>
      <c r="K190" s="217">
        <v>740</v>
      </c>
      <c r="L190" s="6">
        <f>VLOOKUP(A190,'Rate Calculation'!$A$4:$AO$208,41,FALSE)</f>
        <v>173.3</v>
      </c>
      <c r="M190" s="1">
        <v>0</v>
      </c>
      <c r="N190" s="182">
        <f>VLOOKUP(A190,'Rate Calculation'!$A$4:$AL$208,38,FALSE)</f>
        <v>16</v>
      </c>
      <c r="O190" s="6" t="e">
        <f>VLOOKUP($A190,'Rate Calculation'!$A$3:$BR$210,65,FALSE)</f>
        <v>#DIV/0!</v>
      </c>
      <c r="P190" s="6" t="e">
        <f t="shared" si="30"/>
        <v>#DIV/0!</v>
      </c>
      <c r="Q190" s="6" t="e">
        <f t="shared" si="25"/>
        <v>#DIV/0!</v>
      </c>
      <c r="R190" s="6" t="e">
        <f>VLOOKUP($A190,'Rate Calculation'!$A$3:$AR$210,47,FALSE)+Q190</f>
        <v>#REF!</v>
      </c>
      <c r="S190" s="6" t="e">
        <f>VLOOKUP($A190,'Rate Calculation'!$A$4:$CQ$211,66,FALSE)</f>
        <v>#REF!</v>
      </c>
      <c r="T190" s="6" t="e">
        <f>VLOOKUP($A190,'Rate Calculation'!$A$3:$CQ$210,67,FALSE)</f>
        <v>#REF!</v>
      </c>
      <c r="U190" s="6" t="e">
        <f>VLOOKUP($A190,'Rate Calculation'!$A$3:$DE$210,82,FALSE)</f>
        <v>#DIV/0!</v>
      </c>
      <c r="V190" s="6" t="e">
        <f t="shared" si="31"/>
        <v>#DIV/0!</v>
      </c>
      <c r="W190" s="6" t="e">
        <f t="shared" si="26"/>
        <v>#DIV/0!</v>
      </c>
      <c r="X190" s="6" t="e">
        <f>VLOOKUP($A190,'Rate Calculation'!$A$3:$AR$210,47,FALSE)+W190</f>
        <v>#REF!</v>
      </c>
      <c r="Y190" s="6" t="e">
        <f>VLOOKUP($A190,'Rate Calculation'!$A$4:$CQ$210,83,FALSE)</f>
        <v>#REF!</v>
      </c>
      <c r="Z190" s="6" t="e">
        <f>VLOOKUP($A190,'Rate Calculation'!$A$3:$DE$210,84,FALSE)</f>
        <v>#REF!</v>
      </c>
      <c r="AA190" s="6">
        <f>VLOOKUP($A190,'Rate Calculation'!$A$3:$DE$210,99,FALSE)</f>
        <v>0</v>
      </c>
      <c r="AB190" s="6">
        <f t="shared" si="32"/>
        <v>0</v>
      </c>
      <c r="AC190" s="6">
        <f t="shared" si="27"/>
        <v>0</v>
      </c>
      <c r="AD190" s="6" t="e">
        <f>VLOOKUP($A190,'Rate Calculation'!$A$3:$AR$210,47,FALSE)+AC190</f>
        <v>#REF!</v>
      </c>
      <c r="AE190" s="6" t="e">
        <f>VLOOKUP($A190,'Rate Calculation'!$A$3:$CQ$210,100,FALSE)</f>
        <v>#REF!</v>
      </c>
      <c r="AF190" s="6">
        <f>VLOOKUP($A190,'Rate Calculation'!$A$3:$DE$210,101,FALSE)</f>
        <v>0</v>
      </c>
      <c r="AH190" s="175"/>
    </row>
    <row r="191" spans="1:34" x14ac:dyDescent="0.15">
      <c r="A191" s="130">
        <v>380</v>
      </c>
      <c r="B191" s="37" t="s">
        <v>226</v>
      </c>
      <c r="C191" s="1" t="str">
        <f>VLOOKUP(A191,'Rate Calculation'!$A$4:$F$210,6,FALSE)</f>
        <v>WASHINGTON METRO</v>
      </c>
      <c r="D191" s="4">
        <v>5502</v>
      </c>
      <c r="E191" s="6">
        <f>VLOOKUP(A191,'Rate Calculation'!$A$4:$AM$208,39,FALSE)</f>
        <v>338.49</v>
      </c>
      <c r="F191" s="6">
        <f t="shared" si="28"/>
        <v>334.33</v>
      </c>
      <c r="G191" s="6">
        <f t="shared" si="29"/>
        <v>334.33</v>
      </c>
      <c r="H191" s="6">
        <f>VLOOKUP(A191,'Rate Calculation'!$A$4:$AL$208,38,FALSE)+G191</f>
        <v>334.33</v>
      </c>
      <c r="I191" s="6">
        <f>VLOOKUP(A191,'Rate Calculation'!$A$4:$AN$208,40,FALSE)</f>
        <v>253.39</v>
      </c>
      <c r="J191" s="1">
        <v>0</v>
      </c>
      <c r="K191" s="217">
        <v>23074</v>
      </c>
      <c r="L191" s="6">
        <f>VLOOKUP(A191,'Rate Calculation'!$A$4:$AO$208,41,FALSE)</f>
        <v>168.28</v>
      </c>
      <c r="M191" s="1">
        <v>0</v>
      </c>
      <c r="N191" s="182">
        <f>VLOOKUP(A191,'Rate Calculation'!$A$4:$AL$208,38,FALSE)</f>
        <v>0</v>
      </c>
      <c r="O191" s="6" t="e">
        <f>VLOOKUP($A191,'Rate Calculation'!$A$3:$BR$210,65,FALSE)</f>
        <v>#DIV/0!</v>
      </c>
      <c r="P191" s="6" t="e">
        <f t="shared" si="30"/>
        <v>#DIV/0!</v>
      </c>
      <c r="Q191" s="6" t="e">
        <f t="shared" si="25"/>
        <v>#DIV/0!</v>
      </c>
      <c r="R191" s="6" t="e">
        <f>VLOOKUP($A191,'Rate Calculation'!$A$3:$AR$210,47,FALSE)+Q191</f>
        <v>#REF!</v>
      </c>
      <c r="S191" s="6" t="e">
        <f>VLOOKUP($A191,'Rate Calculation'!$A$4:$CQ$211,66,FALSE)</f>
        <v>#REF!</v>
      </c>
      <c r="T191" s="6" t="e">
        <f>VLOOKUP($A191,'Rate Calculation'!$A$3:$CQ$210,67,FALSE)</f>
        <v>#REF!</v>
      </c>
      <c r="U191" s="6" t="e">
        <f>VLOOKUP($A191,'Rate Calculation'!$A$3:$DE$210,82,FALSE)</f>
        <v>#DIV/0!</v>
      </c>
      <c r="V191" s="6" t="e">
        <f t="shared" si="31"/>
        <v>#DIV/0!</v>
      </c>
      <c r="W191" s="6" t="e">
        <f t="shared" si="26"/>
        <v>#DIV/0!</v>
      </c>
      <c r="X191" s="6" t="e">
        <f>VLOOKUP($A191,'Rate Calculation'!$A$3:$AR$210,47,FALSE)+W191</f>
        <v>#REF!</v>
      </c>
      <c r="Y191" s="6" t="e">
        <f>VLOOKUP($A191,'Rate Calculation'!$A$4:$CQ$210,83,FALSE)</f>
        <v>#REF!</v>
      </c>
      <c r="Z191" s="6" t="e">
        <f>VLOOKUP($A191,'Rate Calculation'!$A$3:$DE$210,84,FALSE)</f>
        <v>#REF!</v>
      </c>
      <c r="AA191" s="6">
        <f>VLOOKUP($A191,'Rate Calculation'!$A$3:$DE$210,99,FALSE)</f>
        <v>0</v>
      </c>
      <c r="AB191" s="6">
        <f t="shared" si="32"/>
        <v>0</v>
      </c>
      <c r="AC191" s="6">
        <f t="shared" si="27"/>
        <v>0</v>
      </c>
      <c r="AD191" s="6" t="e">
        <f>VLOOKUP($A191,'Rate Calculation'!$A$3:$AR$210,47,FALSE)+AC191</f>
        <v>#REF!</v>
      </c>
      <c r="AE191" s="6" t="e">
        <f>VLOOKUP($A191,'Rate Calculation'!$A$3:$CQ$210,100,FALSE)</f>
        <v>#REF!</v>
      </c>
      <c r="AF191" s="6">
        <f>VLOOKUP($A191,'Rate Calculation'!$A$3:$DE$210,101,FALSE)</f>
        <v>0</v>
      </c>
      <c r="AH191" s="175"/>
    </row>
    <row r="192" spans="1:34" x14ac:dyDescent="0.15">
      <c r="A192" s="130">
        <v>394</v>
      </c>
      <c r="B192" s="37" t="s">
        <v>184</v>
      </c>
      <c r="C192" s="1" t="str">
        <f>VLOOKUP(A192,'Rate Calculation'!$A$4:$F$210,6,FALSE)</f>
        <v>WASHINGTON METRO</v>
      </c>
      <c r="D192" s="4">
        <v>11935</v>
      </c>
      <c r="E192" s="6">
        <f>VLOOKUP(A192,'Rate Calculation'!$A$4:$AM$208,39,FALSE)</f>
        <v>303.10000000000002</v>
      </c>
      <c r="F192" s="6">
        <f t="shared" si="28"/>
        <v>299.38</v>
      </c>
      <c r="G192" s="6">
        <f t="shared" si="29"/>
        <v>299.38</v>
      </c>
      <c r="H192" s="6">
        <f>VLOOKUP(A192,'Rate Calculation'!$A$4:$AL$208,38,FALSE)+G192</f>
        <v>299.38</v>
      </c>
      <c r="I192" s="6">
        <f>VLOOKUP(A192,'Rate Calculation'!$A$4:$AN$208,40,FALSE)</f>
        <v>229.56</v>
      </c>
      <c r="J192" s="1">
        <v>0</v>
      </c>
      <c r="K192" s="217">
        <v>0</v>
      </c>
      <c r="L192" s="6">
        <f>VLOOKUP(A192,'Rate Calculation'!$A$4:$AO$208,41,FALSE)</f>
        <v>156.01</v>
      </c>
      <c r="M192" s="1">
        <v>0</v>
      </c>
      <c r="N192" s="182">
        <f>VLOOKUP(A192,'Rate Calculation'!$A$4:$AL$208,38,FALSE)</f>
        <v>0</v>
      </c>
      <c r="O192" s="6" t="e">
        <f>VLOOKUP($A192,'Rate Calculation'!$A$3:$BR$210,65,FALSE)</f>
        <v>#DIV/0!</v>
      </c>
      <c r="P192" s="6" t="e">
        <f t="shared" si="30"/>
        <v>#DIV/0!</v>
      </c>
      <c r="Q192" s="6" t="e">
        <f t="shared" si="25"/>
        <v>#DIV/0!</v>
      </c>
      <c r="R192" s="6" t="e">
        <f>VLOOKUP($A192,'Rate Calculation'!$A$3:$AR$210,47,FALSE)+Q192</f>
        <v>#REF!</v>
      </c>
      <c r="S192" s="6" t="e">
        <f>VLOOKUP($A192,'Rate Calculation'!$A$4:$CQ$211,66,FALSE)</f>
        <v>#REF!</v>
      </c>
      <c r="T192" s="6" t="e">
        <f>VLOOKUP($A192,'Rate Calculation'!$A$3:$CQ$210,67,FALSE)</f>
        <v>#REF!</v>
      </c>
      <c r="U192" s="6" t="e">
        <f>VLOOKUP($A192,'Rate Calculation'!$A$3:$DE$210,82,FALSE)</f>
        <v>#DIV/0!</v>
      </c>
      <c r="V192" s="6" t="e">
        <f t="shared" si="31"/>
        <v>#DIV/0!</v>
      </c>
      <c r="W192" s="6" t="e">
        <f t="shared" si="26"/>
        <v>#DIV/0!</v>
      </c>
      <c r="X192" s="6" t="e">
        <f>VLOOKUP($A192,'Rate Calculation'!$A$3:$AR$210,47,FALSE)+W192</f>
        <v>#REF!</v>
      </c>
      <c r="Y192" s="6" t="e">
        <f>VLOOKUP($A192,'Rate Calculation'!$A$4:$CQ$210,83,FALSE)</f>
        <v>#REF!</v>
      </c>
      <c r="Z192" s="6" t="e">
        <f>VLOOKUP($A192,'Rate Calculation'!$A$3:$DE$210,84,FALSE)</f>
        <v>#REF!</v>
      </c>
      <c r="AA192" s="6">
        <f>VLOOKUP($A192,'Rate Calculation'!$A$3:$DE$210,99,FALSE)</f>
        <v>0</v>
      </c>
      <c r="AB192" s="6">
        <f t="shared" si="32"/>
        <v>0</v>
      </c>
      <c r="AC192" s="6">
        <f t="shared" si="27"/>
        <v>0</v>
      </c>
      <c r="AD192" s="6" t="e">
        <f>VLOOKUP($A192,'Rate Calculation'!$A$3:$AR$210,47,FALSE)+AC192</f>
        <v>#REF!</v>
      </c>
      <c r="AE192" s="6" t="e">
        <f>VLOOKUP($A192,'Rate Calculation'!$A$3:$CQ$210,100,FALSE)</f>
        <v>#REF!</v>
      </c>
      <c r="AF192" s="6">
        <f>VLOOKUP($A192,'Rate Calculation'!$A$3:$DE$210,101,FALSE)</f>
        <v>0</v>
      </c>
      <c r="AH192" s="175"/>
    </row>
    <row r="193" spans="1:34" x14ac:dyDescent="0.15">
      <c r="A193" s="130">
        <v>92</v>
      </c>
      <c r="B193" s="37" t="s">
        <v>739</v>
      </c>
      <c r="C193" s="1" t="str">
        <f>VLOOKUP(A193,'Rate Calculation'!$A$4:$F$210,6,FALSE)</f>
        <v>WASHINGTON METRO</v>
      </c>
      <c r="D193" s="4">
        <v>30372</v>
      </c>
      <c r="E193" s="6">
        <f>VLOOKUP(A193,'Rate Calculation'!$A$4:$AM$208,39,FALSE)</f>
        <v>345.06</v>
      </c>
      <c r="F193" s="6">
        <f t="shared" si="28"/>
        <v>340.82</v>
      </c>
      <c r="G193" s="6">
        <f t="shared" si="29"/>
        <v>340.82</v>
      </c>
      <c r="H193" s="6">
        <f>VLOOKUP(A193,'Rate Calculation'!$A$4:$AL$208,38,FALSE)+G193</f>
        <v>366.15</v>
      </c>
      <c r="I193" s="6">
        <f>VLOOKUP(A193,'Rate Calculation'!$A$4:$AN$208,40,FALSE)</f>
        <v>251.16</v>
      </c>
      <c r="J193" s="1">
        <v>0</v>
      </c>
      <c r="K193" s="217">
        <v>12367</v>
      </c>
      <c r="L193" s="6">
        <f>VLOOKUP(A193,'Rate Calculation'!$A$4:$AO$208,41,FALSE)</f>
        <v>157.25</v>
      </c>
      <c r="M193" s="1">
        <v>21</v>
      </c>
      <c r="N193" s="182">
        <f>VLOOKUP(A193,'Rate Calculation'!$A$4:$AL$208,38,FALSE)</f>
        <v>25.33</v>
      </c>
      <c r="O193" s="6" t="e">
        <f>VLOOKUP($A193,'Rate Calculation'!$A$3:$BR$210,65,FALSE)</f>
        <v>#DIV/0!</v>
      </c>
      <c r="P193" s="6" t="e">
        <f t="shared" si="30"/>
        <v>#DIV/0!</v>
      </c>
      <c r="Q193" s="6" t="e">
        <f t="shared" si="25"/>
        <v>#DIV/0!</v>
      </c>
      <c r="R193" s="6" t="e">
        <f>VLOOKUP($A193,'Rate Calculation'!$A$3:$AR$210,47,FALSE)+Q193</f>
        <v>#REF!</v>
      </c>
      <c r="S193" s="6" t="e">
        <f>VLOOKUP($A193,'Rate Calculation'!$A$4:$CQ$211,66,FALSE)</f>
        <v>#REF!</v>
      </c>
      <c r="T193" s="6" t="e">
        <f>VLOOKUP($A193,'Rate Calculation'!$A$3:$CQ$210,67,FALSE)</f>
        <v>#REF!</v>
      </c>
      <c r="U193" s="6" t="e">
        <f>VLOOKUP($A193,'Rate Calculation'!$A$3:$DE$210,82,FALSE)</f>
        <v>#DIV/0!</v>
      </c>
      <c r="V193" s="6" t="e">
        <f t="shared" si="31"/>
        <v>#DIV/0!</v>
      </c>
      <c r="W193" s="6" t="e">
        <f t="shared" si="26"/>
        <v>#DIV/0!</v>
      </c>
      <c r="X193" s="6" t="e">
        <f>VLOOKUP($A193,'Rate Calculation'!$A$3:$AR$210,47,FALSE)+W193</f>
        <v>#REF!</v>
      </c>
      <c r="Y193" s="6" t="e">
        <f>VLOOKUP($A193,'Rate Calculation'!$A$4:$CQ$210,83,FALSE)</f>
        <v>#REF!</v>
      </c>
      <c r="Z193" s="6" t="e">
        <f>VLOOKUP($A193,'Rate Calculation'!$A$3:$DE$210,84,FALSE)</f>
        <v>#REF!</v>
      </c>
      <c r="AA193" s="6">
        <f>VLOOKUP($A193,'Rate Calculation'!$A$3:$DE$210,99,FALSE)</f>
        <v>0</v>
      </c>
      <c r="AB193" s="6">
        <f t="shared" si="32"/>
        <v>0</v>
      </c>
      <c r="AC193" s="6">
        <f t="shared" si="27"/>
        <v>0</v>
      </c>
      <c r="AD193" s="6" t="e">
        <f>VLOOKUP($A193,'Rate Calculation'!$A$3:$AR$210,47,FALSE)+AC193</f>
        <v>#REF!</v>
      </c>
      <c r="AE193" s="6" t="e">
        <f>VLOOKUP($A193,'Rate Calculation'!$A$3:$CQ$210,100,FALSE)</f>
        <v>#REF!</v>
      </c>
      <c r="AF193" s="6">
        <f>VLOOKUP($A193,'Rate Calculation'!$A$3:$DE$210,101,FALSE)</f>
        <v>0</v>
      </c>
      <c r="AH193" s="175"/>
    </row>
    <row r="194" spans="1:34" x14ac:dyDescent="0.15">
      <c r="A194" s="130">
        <v>398</v>
      </c>
      <c r="B194" s="37" t="s">
        <v>766</v>
      </c>
      <c r="C194" s="1" t="str">
        <f>VLOOKUP(A194,'Rate Calculation'!$A$4:$F$210,6,FALSE)</f>
        <v>NON METRO</v>
      </c>
      <c r="D194" s="4">
        <v>47558</v>
      </c>
      <c r="E194" s="6">
        <f>VLOOKUP(A194,'Rate Calculation'!$A$4:$AM$208,39,FALSE)</f>
        <v>331.42</v>
      </c>
      <c r="F194" s="6">
        <f t="shared" si="28"/>
        <v>327.35000000000002</v>
      </c>
      <c r="G194" s="6">
        <f t="shared" si="29"/>
        <v>327.35000000000002</v>
      </c>
      <c r="H194" s="6">
        <f>VLOOKUP(A194,'Rate Calculation'!$A$4:$AL$208,38,FALSE)+G194</f>
        <v>353.18</v>
      </c>
      <c r="I194" s="6">
        <f>VLOOKUP(A194,'Rate Calculation'!$A$4:$AN$208,40,FALSE)</f>
        <v>239.49</v>
      </c>
      <c r="J194" s="1">
        <v>0</v>
      </c>
      <c r="K194" s="217">
        <v>80692</v>
      </c>
      <c r="L194" s="6">
        <f>VLOOKUP(A194,'Rate Calculation'!$A$4:$AO$208,41,FALSE)</f>
        <v>147.55000000000001</v>
      </c>
      <c r="M194" s="1">
        <v>37</v>
      </c>
      <c r="N194" s="182">
        <f>VLOOKUP(A194,'Rate Calculation'!$A$4:$AL$208,38,FALSE)</f>
        <v>25.83</v>
      </c>
      <c r="O194" s="6" t="e">
        <f>VLOOKUP($A194,'Rate Calculation'!$A$3:$BR$210,65,FALSE)</f>
        <v>#DIV/0!</v>
      </c>
      <c r="P194" s="6" t="e">
        <f t="shared" si="30"/>
        <v>#DIV/0!</v>
      </c>
      <c r="Q194" s="6" t="e">
        <f t="shared" si="25"/>
        <v>#DIV/0!</v>
      </c>
      <c r="R194" s="6" t="e">
        <f>VLOOKUP($A194,'Rate Calculation'!$A$3:$AR$210,47,FALSE)+Q194</f>
        <v>#REF!</v>
      </c>
      <c r="S194" s="6" t="e">
        <f>VLOOKUP($A194,'Rate Calculation'!$A$4:$CQ$211,66,FALSE)</f>
        <v>#REF!</v>
      </c>
      <c r="T194" s="6" t="e">
        <f>VLOOKUP($A194,'Rate Calculation'!$A$3:$CQ$210,67,FALSE)</f>
        <v>#REF!</v>
      </c>
      <c r="U194" s="6" t="e">
        <f>VLOOKUP($A194,'Rate Calculation'!$A$3:$DE$210,82,FALSE)</f>
        <v>#DIV/0!</v>
      </c>
      <c r="V194" s="6" t="e">
        <f t="shared" si="31"/>
        <v>#DIV/0!</v>
      </c>
      <c r="W194" s="6" t="e">
        <f t="shared" si="26"/>
        <v>#DIV/0!</v>
      </c>
      <c r="X194" s="6" t="e">
        <f>VLOOKUP($A194,'Rate Calculation'!$A$3:$AR$210,47,FALSE)+W194</f>
        <v>#REF!</v>
      </c>
      <c r="Y194" s="6" t="e">
        <f>VLOOKUP($A194,'Rate Calculation'!$A$4:$CQ$210,83,FALSE)</f>
        <v>#REF!</v>
      </c>
      <c r="Z194" s="6" t="e">
        <f>VLOOKUP($A194,'Rate Calculation'!$A$3:$DE$210,84,FALSE)</f>
        <v>#REF!</v>
      </c>
      <c r="AA194" s="6">
        <f>VLOOKUP($A194,'Rate Calculation'!$A$3:$DE$210,99,FALSE)</f>
        <v>0</v>
      </c>
      <c r="AB194" s="6">
        <f t="shared" si="32"/>
        <v>0</v>
      </c>
      <c r="AC194" s="6">
        <f t="shared" si="27"/>
        <v>0</v>
      </c>
      <c r="AD194" s="6" t="e">
        <f>VLOOKUP($A194,'Rate Calculation'!$A$3:$AR$210,47,FALSE)+AC194</f>
        <v>#REF!</v>
      </c>
      <c r="AE194" s="6" t="e">
        <f>VLOOKUP($A194,'Rate Calculation'!$A$3:$CQ$210,100,FALSE)</f>
        <v>#REF!</v>
      </c>
      <c r="AF194" s="6">
        <f>VLOOKUP($A194,'Rate Calculation'!$A$3:$DE$210,101,FALSE)</f>
        <v>0</v>
      </c>
      <c r="AH194" s="175"/>
    </row>
    <row r="195" spans="1:34" x14ac:dyDescent="0.15">
      <c r="A195" s="130">
        <v>402</v>
      </c>
      <c r="B195" s="37" t="s">
        <v>458</v>
      </c>
      <c r="C195" s="1" t="str">
        <f>VLOOKUP(A195,'Rate Calculation'!$A$4:$F$210,6,FALSE)</f>
        <v>WASHINGTON METRO</v>
      </c>
      <c r="D195" s="4">
        <v>29507</v>
      </c>
      <c r="E195" s="6">
        <f>VLOOKUP(A195,'Rate Calculation'!$A$4:$AM$208,39,FALSE)</f>
        <v>320.23</v>
      </c>
      <c r="F195" s="6">
        <f t="shared" si="28"/>
        <v>316.3</v>
      </c>
      <c r="G195" s="6">
        <f t="shared" si="29"/>
        <v>316.3</v>
      </c>
      <c r="H195" s="6">
        <f>VLOOKUP(A195,'Rate Calculation'!$A$4:$AL$208,38,FALSE)+G195</f>
        <v>341.16</v>
      </c>
      <c r="I195" s="6">
        <f>VLOOKUP(A195,'Rate Calculation'!$A$4:$AN$208,40,FALSE)</f>
        <v>238.8</v>
      </c>
      <c r="J195" s="1">
        <v>0</v>
      </c>
      <c r="K195" s="217">
        <v>62254</v>
      </c>
      <c r="L195" s="6">
        <f>VLOOKUP(A195,'Rate Calculation'!$A$4:$AO$208,41,FALSE)</f>
        <v>157.36000000000001</v>
      </c>
      <c r="M195" s="1">
        <v>35</v>
      </c>
      <c r="N195" s="182">
        <f>VLOOKUP(A195,'Rate Calculation'!$A$4:$AL$208,38,FALSE)</f>
        <v>24.86</v>
      </c>
      <c r="O195" s="6" t="e">
        <f>VLOOKUP($A195,'Rate Calculation'!$A$3:$BR$210,65,FALSE)</f>
        <v>#DIV/0!</v>
      </c>
      <c r="P195" s="6" t="e">
        <f t="shared" si="30"/>
        <v>#DIV/0!</v>
      </c>
      <c r="Q195" s="6" t="e">
        <f t="shared" si="25"/>
        <v>#DIV/0!</v>
      </c>
      <c r="R195" s="6" t="e">
        <f>VLOOKUP($A195,'Rate Calculation'!$A$3:$AR$210,47,FALSE)+Q195</f>
        <v>#REF!</v>
      </c>
      <c r="S195" s="6" t="e">
        <f>VLOOKUP($A195,'Rate Calculation'!$A$4:$CQ$211,66,FALSE)</f>
        <v>#REF!</v>
      </c>
      <c r="T195" s="6" t="e">
        <f>VLOOKUP($A195,'Rate Calculation'!$A$3:$CQ$210,67,FALSE)</f>
        <v>#REF!</v>
      </c>
      <c r="U195" s="6" t="e">
        <f>VLOOKUP($A195,'Rate Calculation'!$A$3:$DE$210,82,FALSE)</f>
        <v>#DIV/0!</v>
      </c>
      <c r="V195" s="6" t="e">
        <f t="shared" si="31"/>
        <v>#DIV/0!</v>
      </c>
      <c r="W195" s="6" t="e">
        <f t="shared" si="26"/>
        <v>#DIV/0!</v>
      </c>
      <c r="X195" s="6" t="e">
        <f>VLOOKUP($A195,'Rate Calculation'!$A$3:$AR$210,47,FALSE)+W195</f>
        <v>#REF!</v>
      </c>
      <c r="Y195" s="6" t="e">
        <f>VLOOKUP($A195,'Rate Calculation'!$A$4:$CQ$210,83,FALSE)</f>
        <v>#REF!</v>
      </c>
      <c r="Z195" s="6" t="e">
        <f>VLOOKUP($A195,'Rate Calculation'!$A$3:$DE$210,84,FALSE)</f>
        <v>#REF!</v>
      </c>
      <c r="AA195" s="6">
        <f>VLOOKUP($A195,'Rate Calculation'!$A$3:$DE$210,99,FALSE)</f>
        <v>0</v>
      </c>
      <c r="AB195" s="6">
        <f t="shared" si="32"/>
        <v>0</v>
      </c>
      <c r="AC195" s="6">
        <f t="shared" si="27"/>
        <v>0</v>
      </c>
      <c r="AD195" s="6" t="e">
        <f>VLOOKUP($A195,'Rate Calculation'!$A$3:$AR$210,47,FALSE)+AC195</f>
        <v>#REF!</v>
      </c>
      <c r="AE195" s="6" t="e">
        <f>VLOOKUP($A195,'Rate Calculation'!$A$3:$CQ$210,100,FALSE)</f>
        <v>#REF!</v>
      </c>
      <c r="AF195" s="6">
        <f>VLOOKUP($A195,'Rate Calculation'!$A$3:$DE$210,101,FALSE)</f>
        <v>0</v>
      </c>
      <c r="AH195" s="175"/>
    </row>
    <row r="196" spans="1:34" x14ac:dyDescent="0.15">
      <c r="A196" s="130">
        <v>28</v>
      </c>
      <c r="B196" s="37" t="s">
        <v>711</v>
      </c>
      <c r="C196" s="1" t="str">
        <f>VLOOKUP(A196,'Rate Calculation'!$A$4:$F$210,6,FALSE)</f>
        <v>WASHINGTON METRO</v>
      </c>
      <c r="D196" s="4">
        <v>14947</v>
      </c>
      <c r="E196" s="6">
        <f>VLOOKUP(A196,'Rate Calculation'!$A$4:$AM$208,39,FALSE)</f>
        <v>309.33</v>
      </c>
      <c r="F196" s="6">
        <f t="shared" si="28"/>
        <v>305.52999999999997</v>
      </c>
      <c r="G196" s="6">
        <f t="shared" si="29"/>
        <v>305.52999999999997</v>
      </c>
      <c r="H196" s="6">
        <f>VLOOKUP(A196,'Rate Calculation'!$A$4:$AL$208,38,FALSE)+G196</f>
        <v>331.36</v>
      </c>
      <c r="I196" s="6">
        <f>VLOOKUP(A196,'Rate Calculation'!$A$4:$AN$208,40,FALSE)</f>
        <v>235.29</v>
      </c>
      <c r="J196" s="1">
        <v>0</v>
      </c>
      <c r="K196" s="217">
        <v>0</v>
      </c>
      <c r="L196" s="6">
        <f>VLOOKUP(A196,'Rate Calculation'!$A$4:$AO$208,41,FALSE)</f>
        <v>161.25</v>
      </c>
      <c r="M196" s="1">
        <v>21</v>
      </c>
      <c r="N196" s="182">
        <f>VLOOKUP(A196,'Rate Calculation'!$A$4:$AL$208,38,FALSE)</f>
        <v>25.83</v>
      </c>
      <c r="O196" s="6" t="e">
        <f>VLOOKUP($A196,'Rate Calculation'!$A$3:$BR$210,65,FALSE)</f>
        <v>#DIV/0!</v>
      </c>
      <c r="P196" s="6" t="e">
        <f t="shared" si="30"/>
        <v>#DIV/0!</v>
      </c>
      <c r="Q196" s="6" t="e">
        <f t="shared" si="25"/>
        <v>#DIV/0!</v>
      </c>
      <c r="R196" s="6" t="e">
        <f>VLOOKUP($A196,'Rate Calculation'!$A$3:$AR$210,47,FALSE)+Q196</f>
        <v>#REF!</v>
      </c>
      <c r="S196" s="6" t="e">
        <f>VLOOKUP($A196,'Rate Calculation'!$A$4:$CQ$211,66,FALSE)</f>
        <v>#REF!</v>
      </c>
      <c r="T196" s="6" t="e">
        <f>VLOOKUP($A196,'Rate Calculation'!$A$3:$CQ$210,67,FALSE)</f>
        <v>#REF!</v>
      </c>
      <c r="U196" s="6" t="e">
        <f>VLOOKUP($A196,'Rate Calculation'!$A$3:$DE$210,82,FALSE)</f>
        <v>#DIV/0!</v>
      </c>
      <c r="V196" s="6" t="e">
        <f t="shared" si="31"/>
        <v>#DIV/0!</v>
      </c>
      <c r="W196" s="6" t="e">
        <f t="shared" si="26"/>
        <v>#DIV/0!</v>
      </c>
      <c r="X196" s="6" t="e">
        <f>VLOOKUP($A196,'Rate Calculation'!$A$3:$AR$210,47,FALSE)+W196</f>
        <v>#REF!</v>
      </c>
      <c r="Y196" s="6" t="e">
        <f>VLOOKUP($A196,'Rate Calculation'!$A$4:$CQ$210,83,FALSE)</f>
        <v>#REF!</v>
      </c>
      <c r="Z196" s="6" t="e">
        <f>VLOOKUP($A196,'Rate Calculation'!$A$3:$DE$210,84,FALSE)</f>
        <v>#REF!</v>
      </c>
      <c r="AA196" s="6">
        <f>VLOOKUP($A196,'Rate Calculation'!$A$3:$DE$210,99,FALSE)</f>
        <v>0</v>
      </c>
      <c r="AB196" s="6">
        <f t="shared" si="32"/>
        <v>0</v>
      </c>
      <c r="AC196" s="6">
        <f t="shared" si="27"/>
        <v>0</v>
      </c>
      <c r="AD196" s="6" t="e">
        <f>VLOOKUP($A196,'Rate Calculation'!$A$3:$AR$210,47,FALSE)+AC196</f>
        <v>#REF!</v>
      </c>
      <c r="AE196" s="6" t="e">
        <f>VLOOKUP($A196,'Rate Calculation'!$A$3:$CQ$210,100,FALSE)</f>
        <v>#REF!</v>
      </c>
      <c r="AF196" s="6">
        <f>VLOOKUP($A196,'Rate Calculation'!$A$3:$DE$210,101,FALSE)</f>
        <v>0</v>
      </c>
      <c r="AH196" s="175"/>
    </row>
    <row r="197" spans="1:34" x14ac:dyDescent="0.15">
      <c r="A197" s="130">
        <v>709</v>
      </c>
      <c r="B197" s="37" t="s">
        <v>225</v>
      </c>
      <c r="C197" s="1" t="str">
        <f>VLOOKUP(A197,'Rate Calculation'!$A$4:$F$210,6,FALSE)</f>
        <v>NON METRO</v>
      </c>
      <c r="D197" s="4">
        <v>10666</v>
      </c>
      <c r="E197" s="6">
        <f>VLOOKUP(A197,'Rate Calculation'!$A$4:$AM$208,39,FALSE)</f>
        <v>307.92</v>
      </c>
      <c r="F197" s="6">
        <f t="shared" si="28"/>
        <v>304.14</v>
      </c>
      <c r="G197" s="6">
        <f t="shared" si="29"/>
        <v>304.14</v>
      </c>
      <c r="H197" s="6">
        <f>VLOOKUP(A197,'Rate Calculation'!$A$4:$AL$208,38,FALSE)+G197</f>
        <v>330.35</v>
      </c>
      <c r="I197" s="6">
        <f>VLOOKUP(A197,'Rate Calculation'!$A$4:$AN$208,40,FALSE)</f>
        <v>224.12</v>
      </c>
      <c r="J197" s="1">
        <v>0</v>
      </c>
      <c r="K197" s="217">
        <v>0</v>
      </c>
      <c r="L197" s="6">
        <f>VLOOKUP(A197,'Rate Calculation'!$A$4:$AO$208,41,FALSE)</f>
        <v>140.32</v>
      </c>
      <c r="M197" s="1">
        <v>0</v>
      </c>
      <c r="N197" s="182">
        <f>VLOOKUP(A197,'Rate Calculation'!$A$4:$AL$208,38,FALSE)</f>
        <v>26.21</v>
      </c>
      <c r="O197" s="6" t="e">
        <f>VLOOKUP($A197,'Rate Calculation'!$A$3:$BR$210,65,FALSE)</f>
        <v>#DIV/0!</v>
      </c>
      <c r="P197" s="6" t="e">
        <f t="shared" si="30"/>
        <v>#DIV/0!</v>
      </c>
      <c r="Q197" s="6" t="e">
        <f t="shared" si="25"/>
        <v>#DIV/0!</v>
      </c>
      <c r="R197" s="6" t="e">
        <f>VLOOKUP($A197,'Rate Calculation'!$A$3:$AR$210,47,FALSE)+Q197</f>
        <v>#REF!</v>
      </c>
      <c r="S197" s="6" t="e">
        <f>VLOOKUP($A197,'Rate Calculation'!$A$4:$CQ$211,66,FALSE)</f>
        <v>#REF!</v>
      </c>
      <c r="T197" s="6" t="e">
        <f>VLOOKUP($A197,'Rate Calculation'!$A$3:$CQ$210,67,FALSE)</f>
        <v>#REF!</v>
      </c>
      <c r="U197" s="6" t="e">
        <f>VLOOKUP($A197,'Rate Calculation'!$A$3:$DE$210,82,FALSE)</f>
        <v>#DIV/0!</v>
      </c>
      <c r="V197" s="6" t="e">
        <f t="shared" si="31"/>
        <v>#DIV/0!</v>
      </c>
      <c r="W197" s="6" t="e">
        <f t="shared" si="26"/>
        <v>#DIV/0!</v>
      </c>
      <c r="X197" s="6" t="e">
        <f>VLOOKUP($A197,'Rate Calculation'!$A$3:$AR$210,47,FALSE)+W197</f>
        <v>#REF!</v>
      </c>
      <c r="Y197" s="6" t="e">
        <f>VLOOKUP($A197,'Rate Calculation'!$A$4:$CQ$210,83,FALSE)</f>
        <v>#REF!</v>
      </c>
      <c r="Z197" s="6" t="e">
        <f>VLOOKUP($A197,'Rate Calculation'!$A$3:$DE$210,84,FALSE)</f>
        <v>#REF!</v>
      </c>
      <c r="AA197" s="6">
        <f>VLOOKUP($A197,'Rate Calculation'!$A$3:$DE$210,99,FALSE)</f>
        <v>0</v>
      </c>
      <c r="AB197" s="6">
        <f t="shared" si="32"/>
        <v>0</v>
      </c>
      <c r="AC197" s="6">
        <f t="shared" si="27"/>
        <v>0</v>
      </c>
      <c r="AD197" s="6" t="e">
        <f>VLOOKUP($A197,'Rate Calculation'!$A$3:$AR$210,47,FALSE)+AC197</f>
        <v>#REF!</v>
      </c>
      <c r="AE197" s="6" t="e">
        <f>VLOOKUP($A197,'Rate Calculation'!$A$3:$CQ$210,100,FALSE)</f>
        <v>#REF!</v>
      </c>
      <c r="AF197" s="6">
        <f>VLOOKUP($A197,'Rate Calculation'!$A$3:$DE$210,101,FALSE)</f>
        <v>0</v>
      </c>
      <c r="AH197" s="175"/>
    </row>
    <row r="198" spans="1:34" x14ac:dyDescent="0.15">
      <c r="A198" s="130">
        <v>406</v>
      </c>
      <c r="B198" s="37" t="s">
        <v>500</v>
      </c>
      <c r="C198" s="1" t="str">
        <f>VLOOKUP(A198,'Rate Calculation'!$A$4:$F$210,6,FALSE)</f>
        <v>NON METRO</v>
      </c>
      <c r="D198" s="4">
        <v>17328</v>
      </c>
      <c r="E198" s="6">
        <f>VLOOKUP(A198,'Rate Calculation'!$A$4:$AM$208,39,FALSE)</f>
        <v>305.55</v>
      </c>
      <c r="F198" s="6">
        <f t="shared" si="28"/>
        <v>301.8</v>
      </c>
      <c r="G198" s="6">
        <f t="shared" si="29"/>
        <v>301.8</v>
      </c>
      <c r="H198" s="6">
        <f>VLOOKUP(A198,'Rate Calculation'!$A$4:$AL$208,38,FALSE)+G198</f>
        <v>325.62</v>
      </c>
      <c r="I198" s="6">
        <f>VLOOKUP(A198,'Rate Calculation'!$A$4:$AN$208,40,FALSE)</f>
        <v>225.99</v>
      </c>
      <c r="J198" s="1">
        <v>28</v>
      </c>
      <c r="K198" s="217">
        <v>0</v>
      </c>
      <c r="L198" s="6">
        <f>VLOOKUP(A198,'Rate Calculation'!$A$4:$AO$208,41,FALSE)</f>
        <v>146.41999999999999</v>
      </c>
      <c r="M198" s="1">
        <v>6</v>
      </c>
      <c r="N198" s="182">
        <f>VLOOKUP(A198,'Rate Calculation'!$A$4:$AL$208,38,FALSE)</f>
        <v>23.82</v>
      </c>
      <c r="O198" s="6" t="e">
        <f>VLOOKUP($A198,'Rate Calculation'!$A$3:$BR$210,65,FALSE)</f>
        <v>#DIV/0!</v>
      </c>
      <c r="P198" s="6" t="e">
        <f t="shared" si="30"/>
        <v>#DIV/0!</v>
      </c>
      <c r="Q198" s="6" t="e">
        <f t="shared" si="25"/>
        <v>#DIV/0!</v>
      </c>
      <c r="R198" s="6" t="e">
        <f>VLOOKUP($A198,'Rate Calculation'!$A$3:$AR$210,47,FALSE)+Q198</f>
        <v>#REF!</v>
      </c>
      <c r="S198" s="6" t="e">
        <f>VLOOKUP($A198,'Rate Calculation'!$A$4:$CQ$211,66,FALSE)</f>
        <v>#REF!</v>
      </c>
      <c r="T198" s="6" t="e">
        <f>VLOOKUP($A198,'Rate Calculation'!$A$3:$CQ$210,67,FALSE)</f>
        <v>#REF!</v>
      </c>
      <c r="U198" s="6" t="e">
        <f>VLOOKUP($A198,'Rate Calculation'!$A$3:$DE$210,82,FALSE)</f>
        <v>#DIV/0!</v>
      </c>
      <c r="V198" s="6" t="e">
        <f t="shared" si="31"/>
        <v>#DIV/0!</v>
      </c>
      <c r="W198" s="6" t="e">
        <f t="shared" si="26"/>
        <v>#DIV/0!</v>
      </c>
      <c r="X198" s="6" t="e">
        <f>VLOOKUP($A198,'Rate Calculation'!$A$3:$AR$210,47,FALSE)+W198</f>
        <v>#REF!</v>
      </c>
      <c r="Y198" s="6" t="e">
        <f>VLOOKUP($A198,'Rate Calculation'!$A$4:$CQ$210,83,FALSE)</f>
        <v>#REF!</v>
      </c>
      <c r="Z198" s="6" t="e">
        <f>VLOOKUP($A198,'Rate Calculation'!$A$3:$DE$210,84,FALSE)</f>
        <v>#REF!</v>
      </c>
      <c r="AA198" s="6">
        <f>VLOOKUP($A198,'Rate Calculation'!$A$3:$DE$210,99,FALSE)</f>
        <v>0</v>
      </c>
      <c r="AB198" s="6">
        <f t="shared" si="32"/>
        <v>0</v>
      </c>
      <c r="AC198" s="6">
        <f t="shared" si="27"/>
        <v>0</v>
      </c>
      <c r="AD198" s="6" t="e">
        <f>VLOOKUP($A198,'Rate Calculation'!$A$3:$AR$210,47,FALSE)+AC198</f>
        <v>#REF!</v>
      </c>
      <c r="AE198" s="6" t="e">
        <f>VLOOKUP($A198,'Rate Calculation'!$A$3:$CQ$210,100,FALSE)</f>
        <v>#REF!</v>
      </c>
      <c r="AF198" s="6">
        <f>VLOOKUP($A198,'Rate Calculation'!$A$3:$DE$210,101,FALSE)</f>
        <v>0</v>
      </c>
      <c r="AH198" s="175"/>
    </row>
    <row r="199" spans="1:34" x14ac:dyDescent="0.15">
      <c r="A199" s="130">
        <v>715</v>
      </c>
      <c r="B199" s="37" t="s">
        <v>210</v>
      </c>
      <c r="C199" s="1" t="str">
        <f>VLOOKUP(A199,'Rate Calculation'!$A$4:$F$210,6,FALSE)</f>
        <v>BALTIMORE METRO</v>
      </c>
      <c r="D199" s="4">
        <v>27638</v>
      </c>
      <c r="E199" s="6">
        <f>VLOOKUP(A199,'Rate Calculation'!$A$4:$AM$208,39,FALSE)</f>
        <v>342.65</v>
      </c>
      <c r="F199" s="6">
        <f t="shared" si="28"/>
        <v>338.44</v>
      </c>
      <c r="G199" s="6">
        <f t="shared" si="29"/>
        <v>338.44</v>
      </c>
      <c r="H199" s="6">
        <f>VLOOKUP(A199,'Rate Calculation'!$A$4:$AL$208,38,FALSE)+G199</f>
        <v>366</v>
      </c>
      <c r="I199" s="6">
        <f>VLOOKUP(A199,'Rate Calculation'!$A$4:$AN$208,40,FALSE)</f>
        <v>249.17</v>
      </c>
      <c r="J199" s="1">
        <v>0</v>
      </c>
      <c r="K199" s="217">
        <v>27836</v>
      </c>
      <c r="L199" s="6">
        <f>VLOOKUP(A199,'Rate Calculation'!$A$4:$AO$208,41,FALSE)</f>
        <v>155.68</v>
      </c>
      <c r="M199" s="1">
        <v>19</v>
      </c>
      <c r="N199" s="182">
        <f>VLOOKUP(A199,'Rate Calculation'!$A$4:$AL$208,38,FALSE)</f>
        <v>27.56</v>
      </c>
      <c r="O199" s="6" t="e">
        <f>VLOOKUP($A199,'Rate Calculation'!$A$3:$BR$210,65,FALSE)</f>
        <v>#DIV/0!</v>
      </c>
      <c r="P199" s="6" t="e">
        <f t="shared" si="30"/>
        <v>#DIV/0!</v>
      </c>
      <c r="Q199" s="6" t="e">
        <f t="shared" si="25"/>
        <v>#DIV/0!</v>
      </c>
      <c r="R199" s="6" t="e">
        <f>VLOOKUP($A199,'Rate Calculation'!$A$3:$AR$210,47,FALSE)+Q199</f>
        <v>#REF!</v>
      </c>
      <c r="S199" s="6" t="e">
        <f>VLOOKUP($A199,'Rate Calculation'!$A$4:$CQ$211,66,FALSE)</f>
        <v>#REF!</v>
      </c>
      <c r="T199" s="6" t="e">
        <f>VLOOKUP($A199,'Rate Calculation'!$A$3:$CQ$210,67,FALSE)</f>
        <v>#REF!</v>
      </c>
      <c r="U199" s="6" t="e">
        <f>VLOOKUP($A199,'Rate Calculation'!$A$3:$DE$210,82,FALSE)</f>
        <v>#DIV/0!</v>
      </c>
      <c r="V199" s="6" t="e">
        <f t="shared" si="31"/>
        <v>#DIV/0!</v>
      </c>
      <c r="W199" s="6" t="e">
        <f t="shared" si="26"/>
        <v>#DIV/0!</v>
      </c>
      <c r="X199" s="6" t="e">
        <f>VLOOKUP($A199,'Rate Calculation'!$A$3:$AR$210,47,FALSE)+W199</f>
        <v>#REF!</v>
      </c>
      <c r="Y199" s="6" t="e">
        <f>VLOOKUP($A199,'Rate Calculation'!$A$4:$CQ$210,83,FALSE)</f>
        <v>#REF!</v>
      </c>
      <c r="Z199" s="6" t="e">
        <f>VLOOKUP($A199,'Rate Calculation'!$A$3:$DE$210,84,FALSE)</f>
        <v>#REF!</v>
      </c>
      <c r="AA199" s="6">
        <f>VLOOKUP($A199,'Rate Calculation'!$A$3:$DE$210,99,FALSE)</f>
        <v>0</v>
      </c>
      <c r="AB199" s="6">
        <f t="shared" si="32"/>
        <v>0</v>
      </c>
      <c r="AC199" s="6">
        <f t="shared" si="27"/>
        <v>0</v>
      </c>
      <c r="AD199" s="6" t="e">
        <f>VLOOKUP($A199,'Rate Calculation'!$A$3:$AR$210,47,FALSE)+AC199</f>
        <v>#REF!</v>
      </c>
      <c r="AE199" s="6" t="e">
        <f>VLOOKUP($A199,'Rate Calculation'!$A$3:$CQ$210,100,FALSE)</f>
        <v>#REF!</v>
      </c>
      <c r="AF199" s="6">
        <f>VLOOKUP($A199,'Rate Calculation'!$A$3:$DE$210,101,FALSE)</f>
        <v>0</v>
      </c>
      <c r="AH199" s="175"/>
    </row>
    <row r="200" spans="1:34" x14ac:dyDescent="0.15">
      <c r="A200" s="130">
        <v>416</v>
      </c>
      <c r="B200" s="37" t="s">
        <v>208</v>
      </c>
      <c r="C200" s="1" t="str">
        <f>VLOOKUP(A200,'Rate Calculation'!$A$4:$F$210,6,FALSE)</f>
        <v>BALTIMORE CITY</v>
      </c>
      <c r="D200" s="4">
        <v>27651</v>
      </c>
      <c r="E200" s="6">
        <f>VLOOKUP(A200,'Rate Calculation'!$A$4:$AM$208,39,FALSE)</f>
        <v>380.24</v>
      </c>
      <c r="F200" s="6">
        <f t="shared" si="28"/>
        <v>375.57</v>
      </c>
      <c r="G200" s="6">
        <f t="shared" si="29"/>
        <v>375.57</v>
      </c>
      <c r="H200" s="6">
        <f>VLOOKUP(A200,'Rate Calculation'!$A$4:$AL$208,38,FALSE)+G200</f>
        <v>398.77</v>
      </c>
      <c r="I200" s="6">
        <f>VLOOKUP(A200,'Rate Calculation'!$A$4:$AN$208,40,FALSE)</f>
        <v>287.64</v>
      </c>
      <c r="J200" s="1">
        <v>0</v>
      </c>
      <c r="K200" s="217">
        <v>0</v>
      </c>
      <c r="L200" s="6">
        <f>VLOOKUP(A200,'Rate Calculation'!$A$4:$AO$208,41,FALSE)</f>
        <v>195.04</v>
      </c>
      <c r="M200" s="1">
        <v>0</v>
      </c>
      <c r="N200" s="182">
        <f>VLOOKUP(A200,'Rate Calculation'!$A$4:$AL$208,38,FALSE)</f>
        <v>23.2</v>
      </c>
      <c r="O200" s="6" t="e">
        <f>VLOOKUP($A200,'Rate Calculation'!$A$3:$BR$210,65,FALSE)</f>
        <v>#DIV/0!</v>
      </c>
      <c r="P200" s="6" t="e">
        <f t="shared" si="30"/>
        <v>#DIV/0!</v>
      </c>
      <c r="Q200" s="6" t="e">
        <f t="shared" si="25"/>
        <v>#DIV/0!</v>
      </c>
      <c r="R200" s="6" t="e">
        <f>VLOOKUP($A200,'Rate Calculation'!$A$3:$AR$210,47,FALSE)+Q200</f>
        <v>#REF!</v>
      </c>
      <c r="S200" s="6" t="e">
        <f>VLOOKUP($A200,'Rate Calculation'!$A$4:$CQ$211,66,FALSE)</f>
        <v>#REF!</v>
      </c>
      <c r="T200" s="6" t="e">
        <f>VLOOKUP($A200,'Rate Calculation'!$A$3:$CQ$210,67,FALSE)</f>
        <v>#REF!</v>
      </c>
      <c r="U200" s="6" t="e">
        <f>VLOOKUP($A200,'Rate Calculation'!$A$3:$DE$210,82,FALSE)</f>
        <v>#DIV/0!</v>
      </c>
      <c r="V200" s="6" t="e">
        <f t="shared" si="31"/>
        <v>#DIV/0!</v>
      </c>
      <c r="W200" s="6" t="e">
        <f t="shared" si="26"/>
        <v>#DIV/0!</v>
      </c>
      <c r="X200" s="6" t="e">
        <f>VLOOKUP($A200,'Rate Calculation'!$A$3:$AR$210,47,FALSE)+W200</f>
        <v>#REF!</v>
      </c>
      <c r="Y200" s="6" t="e">
        <f>VLOOKUP($A200,'Rate Calculation'!$A$4:$CQ$210,83,FALSE)</f>
        <v>#REF!</v>
      </c>
      <c r="Z200" s="6" t="e">
        <f>VLOOKUP($A200,'Rate Calculation'!$A$3:$DE$210,84,FALSE)</f>
        <v>#REF!</v>
      </c>
      <c r="AA200" s="6">
        <f>VLOOKUP($A200,'Rate Calculation'!$A$3:$DE$210,99,FALSE)</f>
        <v>0</v>
      </c>
      <c r="AB200" s="6">
        <f t="shared" si="32"/>
        <v>0</v>
      </c>
      <c r="AC200" s="6">
        <f t="shared" si="27"/>
        <v>0</v>
      </c>
      <c r="AD200" s="6" t="e">
        <f>VLOOKUP($A200,'Rate Calculation'!$A$3:$AR$210,47,FALSE)+AC200</f>
        <v>#REF!</v>
      </c>
      <c r="AE200" s="6" t="e">
        <f>VLOOKUP($A200,'Rate Calculation'!$A$3:$CQ$210,100,FALSE)</f>
        <v>#REF!</v>
      </c>
      <c r="AF200" s="6">
        <f>VLOOKUP($A200,'Rate Calculation'!$A$3:$DE$210,101,FALSE)</f>
        <v>0</v>
      </c>
      <c r="AH200" s="175"/>
    </row>
    <row r="201" spans="1:34" x14ac:dyDescent="0.15">
      <c r="A201" s="130">
        <v>418</v>
      </c>
      <c r="B201" s="37" t="s">
        <v>672</v>
      </c>
      <c r="C201" s="1" t="str">
        <f>VLOOKUP(A201,'Rate Calculation'!$A$4:$F$210,6,FALSE)</f>
        <v>BALTIMORE METRO</v>
      </c>
      <c r="D201" s="4">
        <v>5267</v>
      </c>
      <c r="E201" s="6">
        <f>VLOOKUP(A201,'Rate Calculation'!$A$4:$AM$208,39,FALSE)</f>
        <v>299.08</v>
      </c>
      <c r="F201" s="6">
        <f t="shared" si="28"/>
        <v>295.41000000000003</v>
      </c>
      <c r="G201" s="6">
        <f t="shared" si="29"/>
        <v>295.41000000000003</v>
      </c>
      <c r="H201" s="6">
        <f>VLOOKUP(A201,'Rate Calculation'!$A$4:$AL$208,38,FALSE)+G201</f>
        <v>295.41000000000003</v>
      </c>
      <c r="I201" s="6">
        <f>VLOOKUP(A201,'Rate Calculation'!$A$4:$AN$208,40,FALSE)</f>
        <v>231.84</v>
      </c>
      <c r="J201" s="1">
        <v>0</v>
      </c>
      <c r="K201" s="217">
        <v>0</v>
      </c>
      <c r="L201" s="6">
        <f>VLOOKUP(A201,'Rate Calculation'!$A$4:$AO$208,41,FALSE)</f>
        <v>164.59</v>
      </c>
      <c r="M201" s="1">
        <v>0</v>
      </c>
      <c r="N201" s="182">
        <f>VLOOKUP(A201,'Rate Calculation'!$A$4:$AL$208,38,FALSE)</f>
        <v>0</v>
      </c>
      <c r="O201" s="6" t="e">
        <f>VLOOKUP($A201,'Rate Calculation'!$A$3:$BR$210,65,FALSE)</f>
        <v>#DIV/0!</v>
      </c>
      <c r="P201" s="6" t="e">
        <f t="shared" si="30"/>
        <v>#DIV/0!</v>
      </c>
      <c r="Q201" s="6" t="e">
        <f t="shared" si="25"/>
        <v>#DIV/0!</v>
      </c>
      <c r="R201" s="6" t="e">
        <f>VLOOKUP($A201,'Rate Calculation'!$A$3:$AR$210,47,FALSE)+Q201</f>
        <v>#REF!</v>
      </c>
      <c r="S201" s="6" t="e">
        <f>VLOOKUP($A201,'Rate Calculation'!$A$4:$CQ$211,66,FALSE)</f>
        <v>#REF!</v>
      </c>
      <c r="T201" s="6" t="e">
        <f>VLOOKUP($A201,'Rate Calculation'!$A$3:$CQ$210,67,FALSE)</f>
        <v>#REF!</v>
      </c>
      <c r="U201" s="6" t="e">
        <f>VLOOKUP($A201,'Rate Calculation'!$A$3:$DE$210,82,FALSE)</f>
        <v>#DIV/0!</v>
      </c>
      <c r="V201" s="6" t="e">
        <f t="shared" si="31"/>
        <v>#DIV/0!</v>
      </c>
      <c r="W201" s="6" t="e">
        <f t="shared" si="26"/>
        <v>#DIV/0!</v>
      </c>
      <c r="X201" s="6" t="e">
        <f>VLOOKUP($A201,'Rate Calculation'!$A$3:$AR$210,47,FALSE)+W201</f>
        <v>#REF!</v>
      </c>
      <c r="Y201" s="6" t="e">
        <f>VLOOKUP($A201,'Rate Calculation'!$A$4:$CQ$210,83,FALSE)</f>
        <v>#REF!</v>
      </c>
      <c r="Z201" s="6" t="e">
        <f>VLOOKUP($A201,'Rate Calculation'!$A$3:$DE$210,84,FALSE)</f>
        <v>#REF!</v>
      </c>
      <c r="AA201" s="6">
        <f>VLOOKUP($A201,'Rate Calculation'!$A$3:$DE$210,99,FALSE)</f>
        <v>0</v>
      </c>
      <c r="AB201" s="6">
        <f t="shared" si="32"/>
        <v>0</v>
      </c>
      <c r="AC201" s="6">
        <f t="shared" si="27"/>
        <v>0</v>
      </c>
      <c r="AD201" s="6" t="e">
        <f>VLOOKUP($A201,'Rate Calculation'!$A$3:$AR$210,47,FALSE)+AC201</f>
        <v>#REF!</v>
      </c>
      <c r="AE201" s="6" t="e">
        <f>VLOOKUP($A201,'Rate Calculation'!$A$3:$CQ$210,100,FALSE)</f>
        <v>#REF!</v>
      </c>
      <c r="AF201" s="6">
        <f>VLOOKUP($A201,'Rate Calculation'!$A$3:$DE$210,101,FALSE)</f>
        <v>0</v>
      </c>
      <c r="AH201" s="175"/>
    </row>
    <row r="202" spans="1:34" x14ac:dyDescent="0.15">
      <c r="A202" s="130">
        <v>767</v>
      </c>
      <c r="B202" s="37" t="s">
        <v>216</v>
      </c>
      <c r="C202" s="1" t="str">
        <f>VLOOKUP(A202,'Rate Calculation'!$A$4:$F$210,6,FALSE)</f>
        <v>NON METRO</v>
      </c>
      <c r="D202" s="4">
        <v>25560</v>
      </c>
      <c r="E202" s="6">
        <f>VLOOKUP(A202,'Rate Calculation'!$A$4:$AM$208,39,FALSE)</f>
        <v>294.72000000000003</v>
      </c>
      <c r="F202" s="6">
        <f t="shared" si="28"/>
        <v>291.10000000000002</v>
      </c>
      <c r="G202" s="6">
        <f t="shared" si="29"/>
        <v>291.10000000000002</v>
      </c>
      <c r="H202" s="6">
        <f>VLOOKUP(A202,'Rate Calculation'!$A$4:$AL$208,38,FALSE)+G202</f>
        <v>320.39999999999998</v>
      </c>
      <c r="I202" s="6">
        <f>VLOOKUP(A202,'Rate Calculation'!$A$4:$AN$208,40,FALSE)</f>
        <v>226.11</v>
      </c>
      <c r="J202" s="1">
        <v>0</v>
      </c>
      <c r="K202" s="217">
        <v>0</v>
      </c>
      <c r="L202" s="6">
        <f>VLOOKUP(A202,'Rate Calculation'!$A$4:$AO$208,41,FALSE)</f>
        <v>157.49</v>
      </c>
      <c r="M202" s="1">
        <v>32</v>
      </c>
      <c r="N202" s="182">
        <f>VLOOKUP(A202,'Rate Calculation'!$A$4:$AL$208,38,FALSE)</f>
        <v>29.3</v>
      </c>
      <c r="O202" s="6" t="e">
        <f>VLOOKUP($A202,'Rate Calculation'!$A$3:$BR$210,65,FALSE)</f>
        <v>#DIV/0!</v>
      </c>
      <c r="P202" s="6" t="e">
        <f t="shared" si="30"/>
        <v>#DIV/0!</v>
      </c>
      <c r="Q202" s="6" t="e">
        <f t="shared" si="25"/>
        <v>#DIV/0!</v>
      </c>
      <c r="R202" s="6" t="e">
        <f>VLOOKUP($A202,'Rate Calculation'!$A$3:$AR$210,47,FALSE)+Q202</f>
        <v>#REF!</v>
      </c>
      <c r="S202" s="6" t="e">
        <f>VLOOKUP($A202,'Rate Calculation'!$A$4:$CQ$211,66,FALSE)</f>
        <v>#REF!</v>
      </c>
      <c r="T202" s="6" t="e">
        <f>VLOOKUP($A202,'Rate Calculation'!$A$3:$CQ$210,67,FALSE)</f>
        <v>#REF!</v>
      </c>
      <c r="U202" s="6" t="e">
        <f>VLOOKUP($A202,'Rate Calculation'!$A$3:$DE$210,82,FALSE)</f>
        <v>#DIV/0!</v>
      </c>
      <c r="V202" s="6" t="e">
        <f t="shared" si="31"/>
        <v>#DIV/0!</v>
      </c>
      <c r="W202" s="6" t="e">
        <f t="shared" si="26"/>
        <v>#DIV/0!</v>
      </c>
      <c r="X202" s="6" t="e">
        <f>VLOOKUP($A202,'Rate Calculation'!$A$3:$AR$210,47,FALSE)+W202</f>
        <v>#REF!</v>
      </c>
      <c r="Y202" s="6" t="e">
        <f>VLOOKUP($A202,'Rate Calculation'!$A$4:$CQ$210,83,FALSE)</f>
        <v>#REF!</v>
      </c>
      <c r="Z202" s="6" t="e">
        <f>VLOOKUP($A202,'Rate Calculation'!$A$3:$DE$210,84,FALSE)</f>
        <v>#REF!</v>
      </c>
      <c r="AA202" s="6">
        <f>VLOOKUP($A202,'Rate Calculation'!$A$3:$DE$210,99,FALSE)</f>
        <v>0</v>
      </c>
      <c r="AB202" s="6">
        <f t="shared" si="32"/>
        <v>0</v>
      </c>
      <c r="AC202" s="6">
        <f t="shared" si="27"/>
        <v>0</v>
      </c>
      <c r="AD202" s="6" t="e">
        <f>VLOOKUP($A202,'Rate Calculation'!$A$3:$AR$210,47,FALSE)+AC202</f>
        <v>#REF!</v>
      </c>
      <c r="AE202" s="6" t="e">
        <f>VLOOKUP($A202,'Rate Calculation'!$A$3:$CQ$210,100,FALSE)</f>
        <v>#REF!</v>
      </c>
      <c r="AF202" s="6">
        <f>VLOOKUP($A202,'Rate Calculation'!$A$3:$DE$210,101,FALSE)</f>
        <v>0</v>
      </c>
      <c r="AH202" s="175"/>
    </row>
    <row r="203" spans="1:34" x14ac:dyDescent="0.15">
      <c r="A203" s="130">
        <v>428</v>
      </c>
      <c r="B203" s="37" t="s">
        <v>241</v>
      </c>
      <c r="C203" s="1" t="str">
        <f>VLOOKUP(A203,'Rate Calculation'!$A$4:$F$210,6,FALSE)</f>
        <v>BALTIMORE METRO</v>
      </c>
      <c r="D203" s="4">
        <v>54843</v>
      </c>
      <c r="E203" s="6">
        <f>VLOOKUP(A203,'Rate Calculation'!$A$4:$AM$208,39,FALSE)</f>
        <v>357.43</v>
      </c>
      <c r="F203" s="6">
        <f t="shared" si="28"/>
        <v>353.04</v>
      </c>
      <c r="G203" s="6">
        <f t="shared" si="29"/>
        <v>353.04</v>
      </c>
      <c r="H203" s="6">
        <f>VLOOKUP(A203,'Rate Calculation'!$A$4:$AL$208,38,FALSE)+G203</f>
        <v>355.39</v>
      </c>
      <c r="I203" s="6">
        <f>VLOOKUP(A203,'Rate Calculation'!$A$4:$AN$208,40,FALSE)</f>
        <v>262.94</v>
      </c>
      <c r="J203" s="1">
        <v>0</v>
      </c>
      <c r="K203" s="217">
        <v>169583</v>
      </c>
      <c r="L203" s="6">
        <f>VLOOKUP(A203,'Rate Calculation'!$A$4:$AO$208,41,FALSE)</f>
        <v>168.44</v>
      </c>
      <c r="M203" s="1">
        <v>23</v>
      </c>
      <c r="N203" s="182">
        <f>VLOOKUP(A203,'Rate Calculation'!$A$4:$AL$208,38,FALSE)</f>
        <v>2.35</v>
      </c>
      <c r="O203" s="6" t="e">
        <f>VLOOKUP($A203,'Rate Calculation'!$A$3:$BR$210,65,FALSE)</f>
        <v>#DIV/0!</v>
      </c>
      <c r="P203" s="6" t="e">
        <f t="shared" si="30"/>
        <v>#DIV/0!</v>
      </c>
      <c r="Q203" s="6" t="e">
        <f t="shared" si="25"/>
        <v>#DIV/0!</v>
      </c>
      <c r="R203" s="6" t="e">
        <f>VLOOKUP($A203,'Rate Calculation'!$A$3:$AR$210,47,FALSE)+Q203</f>
        <v>#REF!</v>
      </c>
      <c r="S203" s="6" t="e">
        <f>VLOOKUP($A203,'Rate Calculation'!$A$4:$CQ$211,66,FALSE)</f>
        <v>#REF!</v>
      </c>
      <c r="T203" s="6" t="e">
        <f>VLOOKUP($A203,'Rate Calculation'!$A$3:$CQ$210,67,FALSE)</f>
        <v>#REF!</v>
      </c>
      <c r="U203" s="6" t="e">
        <f>VLOOKUP($A203,'Rate Calculation'!$A$3:$DE$210,82,FALSE)</f>
        <v>#DIV/0!</v>
      </c>
      <c r="V203" s="6" t="e">
        <f t="shared" si="31"/>
        <v>#DIV/0!</v>
      </c>
      <c r="W203" s="6" t="e">
        <f t="shared" si="26"/>
        <v>#DIV/0!</v>
      </c>
      <c r="X203" s="6" t="e">
        <f>VLOOKUP($A203,'Rate Calculation'!$A$3:$AR$210,47,FALSE)+W203</f>
        <v>#REF!</v>
      </c>
      <c r="Y203" s="6" t="e">
        <f>VLOOKUP($A203,'Rate Calculation'!$A$4:$CQ$210,83,FALSE)</f>
        <v>#REF!</v>
      </c>
      <c r="Z203" s="6" t="e">
        <f>VLOOKUP($A203,'Rate Calculation'!$A$3:$DE$210,84,FALSE)</f>
        <v>#REF!</v>
      </c>
      <c r="AA203" s="6">
        <f>VLOOKUP($A203,'Rate Calculation'!$A$3:$DE$210,99,FALSE)</f>
        <v>0</v>
      </c>
      <c r="AB203" s="6">
        <f t="shared" si="32"/>
        <v>0</v>
      </c>
      <c r="AC203" s="6">
        <f t="shared" si="27"/>
        <v>0</v>
      </c>
      <c r="AD203" s="6" t="e">
        <f>VLOOKUP($A203,'Rate Calculation'!$A$3:$AR$210,47,FALSE)+AC203</f>
        <v>#REF!</v>
      </c>
      <c r="AE203" s="6" t="e">
        <f>VLOOKUP($A203,'Rate Calculation'!$A$3:$CQ$210,100,FALSE)</f>
        <v>#REF!</v>
      </c>
      <c r="AF203" s="6">
        <f>VLOOKUP($A203,'Rate Calculation'!$A$3:$DE$210,101,FALSE)</f>
        <v>0</v>
      </c>
      <c r="AH203" s="175"/>
    </row>
    <row r="204" spans="1:34" x14ac:dyDescent="0.15">
      <c r="A204" s="130">
        <v>176</v>
      </c>
      <c r="B204" s="37" t="s">
        <v>845</v>
      </c>
      <c r="C204" s="1" t="str">
        <f>VLOOKUP(A204,'Rate Calculation'!$A$4:$F$210,6,FALSE)</f>
        <v>NON METRO</v>
      </c>
      <c r="D204" s="4">
        <v>27359</v>
      </c>
      <c r="E204" s="6">
        <f>VLOOKUP(A204,'Rate Calculation'!$A$4:$AM$208,39,FALSE)</f>
        <v>298.77</v>
      </c>
      <c r="F204" s="6">
        <f t="shared" si="28"/>
        <v>295.10000000000002</v>
      </c>
      <c r="G204" s="6">
        <f t="shared" si="29"/>
        <v>295.10000000000002</v>
      </c>
      <c r="H204" s="6">
        <f>VLOOKUP(A204,'Rate Calculation'!$A$4:$AL$208,38,FALSE)+G204</f>
        <v>322.02</v>
      </c>
      <c r="I204" s="6">
        <f>VLOOKUP(A204,'Rate Calculation'!$A$4:$AN$208,40,FALSE)</f>
        <v>221.86</v>
      </c>
      <c r="J204" s="1">
        <v>0</v>
      </c>
      <c r="K204" s="217">
        <v>0</v>
      </c>
      <c r="L204" s="6">
        <f>VLOOKUP(A204,'Rate Calculation'!$A$4:$AO$208,41,FALSE)</f>
        <v>144.94999999999999</v>
      </c>
      <c r="M204" s="1">
        <v>7</v>
      </c>
      <c r="N204" s="182">
        <f>VLOOKUP(A204,'Rate Calculation'!$A$4:$AL$208,38,FALSE)</f>
        <v>26.92</v>
      </c>
      <c r="O204" s="6" t="e">
        <f>VLOOKUP($A204,'Rate Calculation'!$A$3:$BR$210,65,FALSE)</f>
        <v>#DIV/0!</v>
      </c>
      <c r="P204" s="6" t="e">
        <f t="shared" si="30"/>
        <v>#DIV/0!</v>
      </c>
      <c r="Q204" s="6" t="e">
        <f t="shared" si="25"/>
        <v>#DIV/0!</v>
      </c>
      <c r="R204" s="6" t="e">
        <f>VLOOKUP($A204,'Rate Calculation'!$A$3:$AR$210,47,FALSE)+Q204</f>
        <v>#REF!</v>
      </c>
      <c r="S204" s="6" t="e">
        <f>VLOOKUP($A204,'Rate Calculation'!$A$4:$CQ$211,66,FALSE)</f>
        <v>#REF!</v>
      </c>
      <c r="T204" s="6" t="e">
        <f>VLOOKUP($A204,'Rate Calculation'!$A$3:$CQ$210,67,FALSE)</f>
        <v>#REF!</v>
      </c>
      <c r="U204" s="6" t="e">
        <f>VLOOKUP($A204,'Rate Calculation'!$A$3:$DE$210,82,FALSE)</f>
        <v>#DIV/0!</v>
      </c>
      <c r="V204" s="6" t="e">
        <f t="shared" si="31"/>
        <v>#DIV/0!</v>
      </c>
      <c r="W204" s="6" t="e">
        <f t="shared" si="26"/>
        <v>#DIV/0!</v>
      </c>
      <c r="X204" s="6" t="e">
        <f>VLOOKUP($A204,'Rate Calculation'!$A$3:$AR$210,47,FALSE)+W204</f>
        <v>#REF!</v>
      </c>
      <c r="Y204" s="6" t="e">
        <f>VLOOKUP($A204,'Rate Calculation'!$A$4:$CQ$210,83,FALSE)</f>
        <v>#REF!</v>
      </c>
      <c r="Z204" s="6" t="e">
        <f>VLOOKUP($A204,'Rate Calculation'!$A$3:$DE$210,84,FALSE)</f>
        <v>#REF!</v>
      </c>
      <c r="AA204" s="6">
        <f>VLOOKUP($A204,'Rate Calculation'!$A$3:$DE$210,99,FALSE)</f>
        <v>0</v>
      </c>
      <c r="AB204" s="6">
        <f t="shared" si="32"/>
        <v>0</v>
      </c>
      <c r="AC204" s="6">
        <f t="shared" si="27"/>
        <v>0</v>
      </c>
      <c r="AD204" s="6" t="e">
        <f>VLOOKUP($A204,'Rate Calculation'!$A$3:$AR$210,47,FALSE)+AC204</f>
        <v>#REF!</v>
      </c>
      <c r="AE204" s="6" t="e">
        <f>VLOOKUP($A204,'Rate Calculation'!$A$3:$CQ$210,100,FALSE)</f>
        <v>#REF!</v>
      </c>
      <c r="AF204" s="6">
        <f>VLOOKUP($A204,'Rate Calculation'!$A$3:$DE$210,101,FALSE)</f>
        <v>0</v>
      </c>
      <c r="AH204" s="175"/>
    </row>
    <row r="205" spans="1:34" x14ac:dyDescent="0.15">
      <c r="A205" s="130">
        <v>378</v>
      </c>
      <c r="B205" s="37" t="s">
        <v>418</v>
      </c>
      <c r="C205" s="1" t="str">
        <f>VLOOKUP(A205,'Rate Calculation'!$A$4:$F$210,6,FALSE)</f>
        <v>NON METRO</v>
      </c>
      <c r="D205" s="4">
        <v>25917</v>
      </c>
      <c r="E205" s="6">
        <f>VLOOKUP(A205,'Rate Calculation'!$A$4:$AM$208,39,FALSE)</f>
        <v>315.37</v>
      </c>
      <c r="F205" s="6">
        <f t="shared" si="28"/>
        <v>311.5</v>
      </c>
      <c r="G205" s="6">
        <f t="shared" si="29"/>
        <v>311.5</v>
      </c>
      <c r="H205" s="6">
        <f>VLOOKUP(A205,'Rate Calculation'!$A$4:$AL$208,38,FALSE)+G205</f>
        <v>337.2</v>
      </c>
      <c r="I205" s="6">
        <f>VLOOKUP(A205,'Rate Calculation'!$A$4:$AN$208,40,FALSE)</f>
        <v>238.12</v>
      </c>
      <c r="J205" s="1">
        <v>0</v>
      </c>
      <c r="K205" s="217">
        <v>0</v>
      </c>
      <c r="L205" s="6">
        <f>VLOOKUP(A205,'Rate Calculation'!$A$4:$AO$208,41,FALSE)</f>
        <v>160.87</v>
      </c>
      <c r="M205" s="1">
        <v>15</v>
      </c>
      <c r="N205" s="182">
        <f>VLOOKUP(A205,'Rate Calculation'!$A$4:$AL$208,38,FALSE)</f>
        <v>25.7</v>
      </c>
      <c r="O205" s="6" t="e">
        <f>VLOOKUP($A205,'Rate Calculation'!$A$3:$BR$210,65,FALSE)</f>
        <v>#DIV/0!</v>
      </c>
      <c r="P205" s="6" t="e">
        <f t="shared" si="30"/>
        <v>#DIV/0!</v>
      </c>
      <c r="Q205" s="6" t="e">
        <f t="shared" si="25"/>
        <v>#DIV/0!</v>
      </c>
      <c r="R205" s="6" t="e">
        <f>VLOOKUP($A205,'Rate Calculation'!$A$3:$AR$210,47,FALSE)+Q205</f>
        <v>#REF!</v>
      </c>
      <c r="S205" s="6" t="e">
        <f>VLOOKUP($A205,'Rate Calculation'!$A$4:$CQ$211,66,FALSE)</f>
        <v>#REF!</v>
      </c>
      <c r="T205" s="6" t="e">
        <f>VLOOKUP($A205,'Rate Calculation'!$A$3:$CQ$210,67,FALSE)</f>
        <v>#REF!</v>
      </c>
      <c r="U205" s="6" t="e">
        <f>VLOOKUP($A205,'Rate Calculation'!$A$3:$DE$210,82,FALSE)</f>
        <v>#DIV/0!</v>
      </c>
      <c r="V205" s="6" t="e">
        <f t="shared" si="31"/>
        <v>#DIV/0!</v>
      </c>
      <c r="W205" s="6" t="e">
        <f t="shared" si="26"/>
        <v>#DIV/0!</v>
      </c>
      <c r="X205" s="6" t="e">
        <f>VLOOKUP($A205,'Rate Calculation'!$A$3:$AR$210,47,FALSE)+W205</f>
        <v>#REF!</v>
      </c>
      <c r="Y205" s="6" t="e">
        <f>VLOOKUP($A205,'Rate Calculation'!$A$4:$CQ$210,83,FALSE)</f>
        <v>#REF!</v>
      </c>
      <c r="Z205" s="6" t="e">
        <f>VLOOKUP($A205,'Rate Calculation'!$A$3:$DE$210,84,FALSE)</f>
        <v>#REF!</v>
      </c>
      <c r="AA205" s="6">
        <f>VLOOKUP($A205,'Rate Calculation'!$A$3:$DE$210,99,FALSE)</f>
        <v>0</v>
      </c>
      <c r="AB205" s="6">
        <f t="shared" si="32"/>
        <v>0</v>
      </c>
      <c r="AC205" s="6">
        <f t="shared" si="27"/>
        <v>0</v>
      </c>
      <c r="AD205" s="6" t="e">
        <f>VLOOKUP($A205,'Rate Calculation'!$A$3:$AR$210,47,FALSE)+AC205</f>
        <v>#REF!</v>
      </c>
      <c r="AE205" s="6" t="e">
        <f>VLOOKUP($A205,'Rate Calculation'!$A$3:$CQ$210,100,FALSE)</f>
        <v>#REF!</v>
      </c>
      <c r="AF205" s="6">
        <f>VLOOKUP($A205,'Rate Calculation'!$A$3:$DE$210,101,FALSE)</f>
        <v>0</v>
      </c>
      <c r="AH205" s="175"/>
    </row>
    <row r="206" spans="1:34" x14ac:dyDescent="0.15">
      <c r="A206" s="130">
        <v>54</v>
      </c>
      <c r="B206" s="37" t="s">
        <v>603</v>
      </c>
      <c r="C206" s="1" t="str">
        <f>VLOOKUP(A206,'Rate Calculation'!$A$4:$F$210,6,FALSE)</f>
        <v>BALTIMORE METRO</v>
      </c>
      <c r="D206" s="4">
        <v>29126</v>
      </c>
      <c r="E206" s="6">
        <f>VLOOKUP(A206,'Rate Calculation'!$A$4:$AM$208,39,FALSE)</f>
        <v>350.79</v>
      </c>
      <c r="F206" s="6">
        <f t="shared" si="28"/>
        <v>346.48</v>
      </c>
      <c r="G206" s="6">
        <f t="shared" si="29"/>
        <v>346.48</v>
      </c>
      <c r="H206" s="6">
        <f>VLOOKUP(A206,'Rate Calculation'!$A$4:$AL$208,38,FALSE)+G206</f>
        <v>373.18</v>
      </c>
      <c r="I206" s="6">
        <f>VLOOKUP(A206,'Rate Calculation'!$A$4:$AN$208,40,FALSE)</f>
        <v>252.33</v>
      </c>
      <c r="J206" s="1">
        <v>0</v>
      </c>
      <c r="K206" s="217">
        <v>46873</v>
      </c>
      <c r="L206" s="6">
        <f>VLOOKUP(A206,'Rate Calculation'!$A$4:$AO$208,41,FALSE)</f>
        <v>153.86000000000001</v>
      </c>
      <c r="M206" s="1">
        <v>9</v>
      </c>
      <c r="N206" s="182">
        <f>VLOOKUP(A206,'Rate Calculation'!$A$4:$AL$208,38,FALSE)</f>
        <v>26.7</v>
      </c>
      <c r="O206" s="6" t="e">
        <f>VLOOKUP($A206,'Rate Calculation'!$A$3:$BR$210,65,FALSE)</f>
        <v>#DIV/0!</v>
      </c>
      <c r="P206" s="6" t="e">
        <f t="shared" si="30"/>
        <v>#DIV/0!</v>
      </c>
      <c r="Q206" s="6" t="e">
        <f t="shared" si="25"/>
        <v>#DIV/0!</v>
      </c>
      <c r="R206" s="6" t="e">
        <f>VLOOKUP($A206,'Rate Calculation'!$A$3:$AR$210,47,FALSE)+Q206</f>
        <v>#REF!</v>
      </c>
      <c r="S206" s="6" t="e">
        <f>VLOOKUP($A206,'Rate Calculation'!$A$4:$CQ$211,66,FALSE)</f>
        <v>#REF!</v>
      </c>
      <c r="T206" s="6" t="e">
        <f>VLOOKUP($A206,'Rate Calculation'!$A$3:$CQ$210,67,FALSE)</f>
        <v>#REF!</v>
      </c>
      <c r="U206" s="6" t="e">
        <f>VLOOKUP($A206,'Rate Calculation'!$A$3:$DE$210,82,FALSE)</f>
        <v>#DIV/0!</v>
      </c>
      <c r="V206" s="6" t="e">
        <f t="shared" si="31"/>
        <v>#DIV/0!</v>
      </c>
      <c r="W206" s="6" t="e">
        <f t="shared" si="26"/>
        <v>#DIV/0!</v>
      </c>
      <c r="X206" s="6" t="e">
        <f>VLOOKUP($A206,'Rate Calculation'!$A$3:$AR$210,47,FALSE)+W206</f>
        <v>#REF!</v>
      </c>
      <c r="Y206" s="6" t="e">
        <f>VLOOKUP($A206,'Rate Calculation'!$A$4:$CQ$210,83,FALSE)</f>
        <v>#REF!</v>
      </c>
      <c r="Z206" s="6" t="e">
        <f>VLOOKUP($A206,'Rate Calculation'!$A$3:$DE$210,84,FALSE)</f>
        <v>#REF!</v>
      </c>
      <c r="AA206" s="6">
        <f>VLOOKUP($A206,'Rate Calculation'!$A$3:$DE$210,99,FALSE)</f>
        <v>0</v>
      </c>
      <c r="AB206" s="6">
        <f t="shared" si="32"/>
        <v>0</v>
      </c>
      <c r="AC206" s="6">
        <f t="shared" si="27"/>
        <v>0</v>
      </c>
      <c r="AD206" s="6" t="e">
        <f>VLOOKUP($A206,'Rate Calculation'!$A$3:$AR$210,47,FALSE)+AC206</f>
        <v>#REF!</v>
      </c>
      <c r="AE206" s="6" t="e">
        <f>VLOOKUP($A206,'Rate Calculation'!$A$3:$CQ$210,100,FALSE)</f>
        <v>#REF!</v>
      </c>
      <c r="AF206" s="6">
        <f>VLOOKUP($A206,'Rate Calculation'!$A$3:$DE$210,101,FALSE)</f>
        <v>0</v>
      </c>
      <c r="AH206" s="175"/>
    </row>
    <row r="207" spans="1:34" x14ac:dyDescent="0.15">
      <c r="A207" s="130">
        <v>60</v>
      </c>
      <c r="B207" s="37" t="s">
        <v>618</v>
      </c>
      <c r="C207" s="1" t="str">
        <f>VLOOKUP(A207,'Rate Calculation'!$A$4:$F$210,6,FALSE)</f>
        <v>WASHINGTON METRO</v>
      </c>
      <c r="D207" s="4">
        <v>38435</v>
      </c>
      <c r="E207" s="6">
        <f>VLOOKUP(A207,'Rate Calculation'!$A$4:$AM$208,39,FALSE)</f>
        <v>332.36</v>
      </c>
      <c r="F207" s="6">
        <f t="shared" si="28"/>
        <v>328.28</v>
      </c>
      <c r="G207" s="6">
        <f t="shared" si="29"/>
        <v>328.28</v>
      </c>
      <c r="H207" s="6">
        <f>VLOOKUP(A207,'Rate Calculation'!$A$4:$AL$208,38,FALSE)+G207</f>
        <v>359.06</v>
      </c>
      <c r="I207" s="6">
        <f>VLOOKUP(A207,'Rate Calculation'!$A$4:$AN$208,40,FALSE)</f>
        <v>249.62</v>
      </c>
      <c r="J207" s="1">
        <v>0</v>
      </c>
      <c r="K207" s="217">
        <v>94383</v>
      </c>
      <c r="L207" s="6">
        <f>VLOOKUP(A207,'Rate Calculation'!$A$4:$AO$208,41,FALSE)</f>
        <v>166.87</v>
      </c>
      <c r="M207" s="1">
        <v>31</v>
      </c>
      <c r="N207" s="182">
        <f>VLOOKUP(A207,'Rate Calculation'!$A$4:$AL$208,38,FALSE)</f>
        <v>30.78</v>
      </c>
      <c r="O207" s="6" t="e">
        <f>VLOOKUP($A207,'Rate Calculation'!$A$3:$BR$210,65,FALSE)</f>
        <v>#DIV/0!</v>
      </c>
      <c r="P207" s="6" t="e">
        <f t="shared" si="30"/>
        <v>#DIV/0!</v>
      </c>
      <c r="Q207" s="6" t="e">
        <f t="shared" si="25"/>
        <v>#DIV/0!</v>
      </c>
      <c r="R207" s="6" t="e">
        <f>VLOOKUP($A207,'Rate Calculation'!$A$3:$AR$210,47,FALSE)+Q207</f>
        <v>#REF!</v>
      </c>
      <c r="S207" s="6" t="e">
        <f>VLOOKUP($A207,'Rate Calculation'!$A$4:$CQ$211,66,FALSE)</f>
        <v>#REF!</v>
      </c>
      <c r="T207" s="6" t="e">
        <f>VLOOKUP($A207,'Rate Calculation'!$A$3:$CQ$210,67,FALSE)</f>
        <v>#REF!</v>
      </c>
      <c r="U207" s="6" t="e">
        <f>VLOOKUP($A207,'Rate Calculation'!$A$3:$DE$210,82,FALSE)</f>
        <v>#DIV/0!</v>
      </c>
      <c r="V207" s="6" t="e">
        <f t="shared" si="31"/>
        <v>#DIV/0!</v>
      </c>
      <c r="W207" s="6" t="e">
        <f t="shared" si="26"/>
        <v>#DIV/0!</v>
      </c>
      <c r="X207" s="6" t="e">
        <f>VLOOKUP($A207,'Rate Calculation'!$A$3:$AR$210,47,FALSE)+W207</f>
        <v>#REF!</v>
      </c>
      <c r="Y207" s="6" t="e">
        <f>VLOOKUP($A207,'Rate Calculation'!$A$4:$CQ$210,83,FALSE)</f>
        <v>#REF!</v>
      </c>
      <c r="Z207" s="6" t="e">
        <f>VLOOKUP($A207,'Rate Calculation'!$A$3:$DE$210,84,FALSE)</f>
        <v>#REF!</v>
      </c>
      <c r="AA207" s="6">
        <f>VLOOKUP($A207,'Rate Calculation'!$A$3:$DE$210,99,FALSE)</f>
        <v>0</v>
      </c>
      <c r="AB207" s="6">
        <f t="shared" si="32"/>
        <v>0</v>
      </c>
      <c r="AC207" s="6">
        <f t="shared" si="27"/>
        <v>0</v>
      </c>
      <c r="AD207" s="6" t="e">
        <f>VLOOKUP($A207,'Rate Calculation'!$A$3:$AR$210,47,FALSE)+AC207</f>
        <v>#REF!</v>
      </c>
      <c r="AE207" s="6" t="e">
        <f>VLOOKUP($A207,'Rate Calculation'!$A$3:$CQ$210,100,FALSE)</f>
        <v>#REF!</v>
      </c>
      <c r="AF207" s="6">
        <f>VLOOKUP($A207,'Rate Calculation'!$A$3:$DE$210,101,FALSE)</f>
        <v>0</v>
      </c>
      <c r="AH207" s="175"/>
    </row>
    <row r="208" spans="1:34" x14ac:dyDescent="0.15">
      <c r="A208" s="130">
        <v>663</v>
      </c>
      <c r="B208" s="37" t="s">
        <v>605</v>
      </c>
      <c r="C208" s="1" t="str">
        <f>VLOOKUP(A208,'Rate Calculation'!$A$4:$F$210,6,FALSE)</f>
        <v>BALTIMORE METRO</v>
      </c>
      <c r="D208" s="4">
        <v>24623</v>
      </c>
      <c r="E208" s="6">
        <f>VLOOKUP(A208,'Rate Calculation'!$A$4:$AM$208,39,FALSE)</f>
        <v>375.57</v>
      </c>
      <c r="F208" s="6">
        <f t="shared" si="28"/>
        <v>370.96</v>
      </c>
      <c r="G208" s="6">
        <f t="shared" si="29"/>
        <v>370.96</v>
      </c>
      <c r="H208" s="6">
        <f>VLOOKUP(A208,'Rate Calculation'!$A$4:$AL$208,38,FALSE)+G208</f>
        <v>394.34</v>
      </c>
      <c r="I208" s="6">
        <f>VLOOKUP(A208,'Rate Calculation'!$A$4:$AN$208,40,FALSE)</f>
        <v>268.24</v>
      </c>
      <c r="J208" s="1">
        <v>0</v>
      </c>
      <c r="K208" s="217">
        <v>0</v>
      </c>
      <c r="L208" s="6">
        <f>VLOOKUP(A208,'Rate Calculation'!$A$4:$AO$208,41,FALSE)</f>
        <v>160.91</v>
      </c>
      <c r="M208" s="1">
        <v>0</v>
      </c>
      <c r="N208" s="182">
        <f>VLOOKUP(A208,'Rate Calculation'!$A$4:$AL$208,38,FALSE)</f>
        <v>23.38</v>
      </c>
      <c r="O208" s="6" t="e">
        <f>VLOOKUP($A208,'Rate Calculation'!$A$3:$BR$210,65,FALSE)</f>
        <v>#DIV/0!</v>
      </c>
      <c r="P208" s="6" t="e">
        <f t="shared" si="30"/>
        <v>#DIV/0!</v>
      </c>
      <c r="Q208" s="6" t="e">
        <f t="shared" si="25"/>
        <v>#DIV/0!</v>
      </c>
      <c r="R208" s="6" t="e">
        <f>VLOOKUP($A208,'Rate Calculation'!$A$3:$AR$210,47,FALSE)+Q208</f>
        <v>#REF!</v>
      </c>
      <c r="S208" s="6" t="e">
        <f>VLOOKUP($A208,'Rate Calculation'!$A$4:$CQ$211,66,FALSE)</f>
        <v>#REF!</v>
      </c>
      <c r="T208" s="6" t="e">
        <f>VLOOKUP($A208,'Rate Calculation'!$A$3:$CQ$210,67,FALSE)</f>
        <v>#REF!</v>
      </c>
      <c r="U208" s="6" t="e">
        <f>VLOOKUP($A208,'Rate Calculation'!$A$3:$DE$210,82,FALSE)</f>
        <v>#DIV/0!</v>
      </c>
      <c r="V208" s="6" t="e">
        <f t="shared" si="31"/>
        <v>#DIV/0!</v>
      </c>
      <c r="W208" s="6" t="e">
        <f t="shared" si="26"/>
        <v>#DIV/0!</v>
      </c>
      <c r="X208" s="6" t="e">
        <f>VLOOKUP($A208,'Rate Calculation'!$A$3:$AR$210,47,FALSE)+W208</f>
        <v>#REF!</v>
      </c>
      <c r="Y208" s="6" t="e">
        <f>VLOOKUP($A208,'Rate Calculation'!$A$4:$CQ$210,83,FALSE)</f>
        <v>#REF!</v>
      </c>
      <c r="Z208" s="6" t="e">
        <f>VLOOKUP($A208,'Rate Calculation'!$A$3:$DE$210,84,FALSE)</f>
        <v>#REF!</v>
      </c>
      <c r="AA208" s="6">
        <f>VLOOKUP($A208,'Rate Calculation'!$A$3:$DE$210,99,FALSE)</f>
        <v>0</v>
      </c>
      <c r="AB208" s="6">
        <f t="shared" si="32"/>
        <v>0</v>
      </c>
      <c r="AC208" s="6">
        <f t="shared" si="27"/>
        <v>0</v>
      </c>
      <c r="AD208" s="6" t="e">
        <f>VLOOKUP($A208,'Rate Calculation'!$A$3:$AR$210,47,FALSE)+AC208</f>
        <v>#REF!</v>
      </c>
      <c r="AE208" s="6" t="e">
        <f>VLOOKUP($A208,'Rate Calculation'!$A$3:$CQ$210,100,FALSE)</f>
        <v>#REF!</v>
      </c>
      <c r="AF208" s="6">
        <f>VLOOKUP($A208,'Rate Calculation'!$A$3:$DE$210,101,FALSE)</f>
        <v>0</v>
      </c>
      <c r="AH208" s="175"/>
    </row>
    <row r="209" spans="1:34" x14ac:dyDescent="0.15">
      <c r="A209" s="130">
        <v>236</v>
      </c>
      <c r="B209" s="37" t="s">
        <v>689</v>
      </c>
      <c r="C209" s="1" t="str">
        <f>VLOOKUP(A209,'Rate Calculation'!$A$4:$F$210,6,FALSE)</f>
        <v>WASHINGTON METRO</v>
      </c>
      <c r="D209" s="4">
        <v>8413</v>
      </c>
      <c r="E209" s="6">
        <f>VLOOKUP(A209,'Rate Calculation'!$A$4:$AM$208,39,FALSE)</f>
        <v>343.08</v>
      </c>
      <c r="F209" s="6">
        <f t="shared" si="28"/>
        <v>338.87</v>
      </c>
      <c r="G209" s="6">
        <f t="shared" si="29"/>
        <v>338.87</v>
      </c>
      <c r="H209" s="6">
        <f>VLOOKUP(A209,'Rate Calculation'!$A$4:$AL$208,38,FALSE)+G209</f>
        <v>357.48</v>
      </c>
      <c r="I209" s="6">
        <f>VLOOKUP(A209,'Rate Calculation'!$A$4:$AN$208,40,FALSE)</f>
        <v>256.97000000000003</v>
      </c>
      <c r="J209" s="1">
        <v>0</v>
      </c>
      <c r="K209" s="217">
        <v>0</v>
      </c>
      <c r="L209" s="6">
        <f>VLOOKUP(A209,'Rate Calculation'!$A$4:$AO$208,41,FALSE)</f>
        <v>170.86</v>
      </c>
      <c r="M209" s="1">
        <v>22</v>
      </c>
      <c r="N209" s="182">
        <f>VLOOKUP(A209,'Rate Calculation'!$A$4:$AL$208,38,FALSE)</f>
        <v>18.61</v>
      </c>
      <c r="O209" s="6" t="e">
        <f>VLOOKUP($A209,'Rate Calculation'!$A$3:$BR$210,65,FALSE)</f>
        <v>#DIV/0!</v>
      </c>
      <c r="P209" s="6" t="e">
        <f t="shared" si="30"/>
        <v>#DIV/0!</v>
      </c>
      <c r="Q209" s="6" t="e">
        <f t="shared" si="25"/>
        <v>#DIV/0!</v>
      </c>
      <c r="R209" s="6" t="e">
        <f>VLOOKUP($A209,'Rate Calculation'!$A$3:$AR$210,47,FALSE)+Q209</f>
        <v>#REF!</v>
      </c>
      <c r="S209" s="6" t="e">
        <f>VLOOKUP($A209,'Rate Calculation'!$A$4:$CQ$211,66,FALSE)</f>
        <v>#REF!</v>
      </c>
      <c r="T209" s="6" t="e">
        <f>VLOOKUP($A209,'Rate Calculation'!$A$3:$CQ$210,67,FALSE)</f>
        <v>#REF!</v>
      </c>
      <c r="U209" s="6" t="e">
        <f>VLOOKUP($A209,'Rate Calculation'!$A$3:$DE$210,82,FALSE)</f>
        <v>#DIV/0!</v>
      </c>
      <c r="V209" s="6" t="e">
        <f t="shared" si="31"/>
        <v>#DIV/0!</v>
      </c>
      <c r="W209" s="6" t="e">
        <f t="shared" si="26"/>
        <v>#DIV/0!</v>
      </c>
      <c r="X209" s="6" t="e">
        <f>VLOOKUP($A209,'Rate Calculation'!$A$3:$AR$210,47,FALSE)+W209</f>
        <v>#REF!</v>
      </c>
      <c r="Y209" s="6" t="e">
        <f>VLOOKUP($A209,'Rate Calculation'!$A$4:$CQ$210,83,FALSE)</f>
        <v>#REF!</v>
      </c>
      <c r="Z209" s="6" t="e">
        <f>VLOOKUP($A209,'Rate Calculation'!$A$3:$DE$210,84,FALSE)</f>
        <v>#REF!</v>
      </c>
      <c r="AA209" s="6">
        <f>VLOOKUP($A209,'Rate Calculation'!$A$3:$DE$210,99,FALSE)</f>
        <v>0</v>
      </c>
      <c r="AB209" s="6">
        <f t="shared" si="32"/>
        <v>0</v>
      </c>
      <c r="AC209" s="6">
        <f t="shared" si="27"/>
        <v>0</v>
      </c>
      <c r="AD209" s="6" t="e">
        <f>VLOOKUP($A209,'Rate Calculation'!$A$3:$AR$210,47,FALSE)+AC209</f>
        <v>#REF!</v>
      </c>
      <c r="AE209" s="6" t="e">
        <f>VLOOKUP($A209,'Rate Calculation'!$A$3:$CQ$210,100,FALSE)</f>
        <v>#REF!</v>
      </c>
      <c r="AF209" s="6">
        <f>VLOOKUP($A209,'Rate Calculation'!$A$3:$DE$210,101,FALSE)</f>
        <v>0</v>
      </c>
      <c r="AH209" s="175"/>
    </row>
    <row r="210" spans="1:34" x14ac:dyDescent="0.15">
      <c r="A210" s="130">
        <v>288</v>
      </c>
      <c r="B210" s="37" t="s">
        <v>479</v>
      </c>
      <c r="C210" s="1" t="str">
        <f>VLOOKUP(A210,'Rate Calculation'!$A$4:$F$210,6,FALSE)</f>
        <v>BALTIMORE METRO</v>
      </c>
      <c r="D210" s="4">
        <v>20433</v>
      </c>
      <c r="E210" s="6">
        <f>VLOOKUP(A210,'Rate Calculation'!$A$4:$AM$208,39,FALSE)</f>
        <v>379.16</v>
      </c>
      <c r="F210" s="6">
        <f t="shared" si="28"/>
        <v>374.5</v>
      </c>
      <c r="G210" s="6">
        <f t="shared" si="29"/>
        <v>374.5</v>
      </c>
      <c r="H210" s="6">
        <f>VLOOKUP(A210,'Rate Calculation'!$A$4:$AL$208,38,FALSE)+G210</f>
        <v>397.58</v>
      </c>
      <c r="I210" s="6">
        <f>VLOOKUP(A210,'Rate Calculation'!$A$4:$AN$208,40,FALSE)</f>
        <v>272.18</v>
      </c>
      <c r="J210" s="1">
        <v>0</v>
      </c>
      <c r="K210" s="217">
        <v>0</v>
      </c>
      <c r="L210" s="6">
        <f>VLOOKUP(A210,'Rate Calculation'!$A$4:$AO$208,41,FALSE)</f>
        <v>165.2</v>
      </c>
      <c r="M210" s="1">
        <v>10</v>
      </c>
      <c r="N210" s="182">
        <f>VLOOKUP(A210,'Rate Calculation'!$A$4:$AL$208,38,FALSE)</f>
        <v>23.08</v>
      </c>
      <c r="O210" s="6" t="e">
        <f>VLOOKUP($A210,'Rate Calculation'!$A$3:$BR$210,65,FALSE)</f>
        <v>#DIV/0!</v>
      </c>
      <c r="P210" s="6" t="e">
        <f t="shared" si="30"/>
        <v>#DIV/0!</v>
      </c>
      <c r="Q210" s="6" t="e">
        <f t="shared" ref="Q210:Q220" si="33">+P210</f>
        <v>#DIV/0!</v>
      </c>
      <c r="R210" s="6" t="e">
        <f>VLOOKUP($A210,'Rate Calculation'!$A$3:$AR$210,47,FALSE)+Q210</f>
        <v>#REF!</v>
      </c>
      <c r="S210" s="6" t="e">
        <f>VLOOKUP($A210,'Rate Calculation'!$A$4:$CQ$211,66,FALSE)</f>
        <v>#REF!</v>
      </c>
      <c r="T210" s="6" t="e">
        <f>VLOOKUP($A210,'Rate Calculation'!$A$3:$CQ$210,67,FALSE)</f>
        <v>#REF!</v>
      </c>
      <c r="U210" s="6" t="e">
        <f>VLOOKUP($A210,'Rate Calculation'!$A$3:$DE$210,82,FALSE)</f>
        <v>#DIV/0!</v>
      </c>
      <c r="V210" s="6" t="e">
        <f t="shared" si="31"/>
        <v>#DIV/0!</v>
      </c>
      <c r="W210" s="6" t="e">
        <f t="shared" ref="W210:W220" si="34">+V210</f>
        <v>#DIV/0!</v>
      </c>
      <c r="X210" s="6" t="e">
        <f>VLOOKUP($A210,'Rate Calculation'!$A$3:$AR$210,47,FALSE)+W210</f>
        <v>#REF!</v>
      </c>
      <c r="Y210" s="6" t="e">
        <f>VLOOKUP($A210,'Rate Calculation'!$A$4:$CQ$210,83,FALSE)</f>
        <v>#REF!</v>
      </c>
      <c r="Z210" s="6" t="e">
        <f>VLOOKUP($A210,'Rate Calculation'!$A$3:$DE$210,84,FALSE)</f>
        <v>#REF!</v>
      </c>
      <c r="AA210" s="6">
        <f>VLOOKUP($A210,'Rate Calculation'!$A$3:$DE$210,99,FALSE)</f>
        <v>0</v>
      </c>
      <c r="AB210" s="6">
        <f t="shared" si="32"/>
        <v>0</v>
      </c>
      <c r="AC210" s="6">
        <f t="shared" ref="AC210:AC220" si="35">+AB210</f>
        <v>0</v>
      </c>
      <c r="AD210" s="6" t="e">
        <f>VLOOKUP($A210,'Rate Calculation'!$A$3:$AR$210,47,FALSE)+AC210</f>
        <v>#REF!</v>
      </c>
      <c r="AE210" s="6" t="e">
        <f>VLOOKUP($A210,'Rate Calculation'!$A$3:$CQ$210,100,FALSE)</f>
        <v>#REF!</v>
      </c>
      <c r="AF210" s="6">
        <f>VLOOKUP($A210,'Rate Calculation'!$A$3:$DE$210,101,FALSE)</f>
        <v>0</v>
      </c>
      <c r="AH210" s="175"/>
    </row>
    <row r="211" spans="1:34" x14ac:dyDescent="0.15">
      <c r="A211" s="130">
        <v>388</v>
      </c>
      <c r="B211" s="37" t="s">
        <v>532</v>
      </c>
      <c r="C211" s="1" t="str">
        <f>VLOOKUP(A211,'Rate Calculation'!$A$4:$F$210,6,FALSE)</f>
        <v>WASHINGTON METRO</v>
      </c>
      <c r="D211" s="4">
        <v>13649</v>
      </c>
      <c r="E211" s="6">
        <f>VLOOKUP(A211,'Rate Calculation'!$A$4:$AM$208,39,FALSE)</f>
        <v>346.79</v>
      </c>
      <c r="F211" s="6">
        <f t="shared" ref="F211:F220" si="36">ROUND(E211*$G$12,2)</f>
        <v>342.53</v>
      </c>
      <c r="G211" s="6">
        <f t="shared" ref="G211:G220" si="37">+F211</f>
        <v>342.53</v>
      </c>
      <c r="H211" s="6">
        <f>VLOOKUP(A211,'Rate Calculation'!$A$4:$AL$208,38,FALSE)+G211</f>
        <v>365.91</v>
      </c>
      <c r="I211" s="6">
        <f>VLOOKUP(A211,'Rate Calculation'!$A$4:$AN$208,40,FALSE)</f>
        <v>257.91000000000003</v>
      </c>
      <c r="J211" s="1">
        <v>0</v>
      </c>
      <c r="K211" s="217">
        <v>53448</v>
      </c>
      <c r="L211" s="6">
        <f>VLOOKUP(A211,'Rate Calculation'!$A$4:$AO$208,41,FALSE)</f>
        <v>169.03</v>
      </c>
      <c r="M211" s="1">
        <v>3</v>
      </c>
      <c r="N211" s="182">
        <f>VLOOKUP(A211,'Rate Calculation'!$A$4:$AL$208,38,FALSE)</f>
        <v>23.38</v>
      </c>
      <c r="O211" s="6" t="e">
        <f>VLOOKUP($A211,'Rate Calculation'!$A$3:$BR$210,65,FALSE)</f>
        <v>#DIV/0!</v>
      </c>
      <c r="P211" s="6" t="e">
        <f t="shared" ref="P211:P220" si="38">ROUND(O211*$G$12,2)</f>
        <v>#DIV/0!</v>
      </c>
      <c r="Q211" s="6" t="e">
        <f t="shared" si="33"/>
        <v>#DIV/0!</v>
      </c>
      <c r="R211" s="6" t="e">
        <f>VLOOKUP($A211,'Rate Calculation'!$A$3:$AR$210,47,FALSE)+Q211</f>
        <v>#REF!</v>
      </c>
      <c r="S211" s="6" t="e">
        <f>VLOOKUP($A211,'Rate Calculation'!$A$4:$CQ$211,66,FALSE)</f>
        <v>#REF!</v>
      </c>
      <c r="T211" s="6" t="e">
        <f>VLOOKUP($A211,'Rate Calculation'!$A$3:$CQ$210,67,FALSE)</f>
        <v>#REF!</v>
      </c>
      <c r="U211" s="6" t="e">
        <f>VLOOKUP($A211,'Rate Calculation'!$A$3:$DE$210,82,FALSE)</f>
        <v>#DIV/0!</v>
      </c>
      <c r="V211" s="6" t="e">
        <f t="shared" ref="V211:V220" si="39">ROUND(U211*$G$12,2)</f>
        <v>#DIV/0!</v>
      </c>
      <c r="W211" s="6" t="e">
        <f t="shared" si="34"/>
        <v>#DIV/0!</v>
      </c>
      <c r="X211" s="6" t="e">
        <f>VLOOKUP($A211,'Rate Calculation'!$A$3:$AR$210,47,FALSE)+W211</f>
        <v>#REF!</v>
      </c>
      <c r="Y211" s="6" t="e">
        <f>VLOOKUP($A211,'Rate Calculation'!$A$4:$CQ$210,83,FALSE)</f>
        <v>#REF!</v>
      </c>
      <c r="Z211" s="6" t="e">
        <f>VLOOKUP($A211,'Rate Calculation'!$A$3:$DE$210,84,FALSE)</f>
        <v>#REF!</v>
      </c>
      <c r="AA211" s="6">
        <f>VLOOKUP($A211,'Rate Calculation'!$A$3:$DE$210,99,FALSE)</f>
        <v>0</v>
      </c>
      <c r="AB211" s="6">
        <f t="shared" ref="AB211:AB220" si="40">ROUND(AA211*$G$12,2)</f>
        <v>0</v>
      </c>
      <c r="AC211" s="6">
        <f t="shared" si="35"/>
        <v>0</v>
      </c>
      <c r="AD211" s="6" t="e">
        <f>VLOOKUP($A211,'Rate Calculation'!$A$3:$AR$210,47,FALSE)+AC211</f>
        <v>#REF!</v>
      </c>
      <c r="AE211" s="6" t="e">
        <f>VLOOKUP($A211,'Rate Calculation'!$A$3:$CQ$210,100,FALSE)</f>
        <v>#REF!</v>
      </c>
      <c r="AF211" s="6">
        <f>VLOOKUP($A211,'Rate Calculation'!$A$3:$DE$210,101,FALSE)</f>
        <v>0</v>
      </c>
      <c r="AH211" s="175"/>
    </row>
    <row r="212" spans="1:34" x14ac:dyDescent="0.15">
      <c r="A212" s="130">
        <v>1203</v>
      </c>
      <c r="B212" s="37" t="s">
        <v>407</v>
      </c>
      <c r="C212" s="1" t="str">
        <f>VLOOKUP(A212,'Rate Calculation'!$A$4:$F$210,6,FALSE)</f>
        <v>BALTIMORE CITY</v>
      </c>
      <c r="D212" s="4">
        <v>8938</v>
      </c>
      <c r="E212" s="6">
        <f>VLOOKUP(A212,'Rate Calculation'!$A$4:$AM$208,39,FALSE)</f>
        <v>355.23</v>
      </c>
      <c r="F212" s="6">
        <f t="shared" si="36"/>
        <v>350.87</v>
      </c>
      <c r="G212" s="6">
        <f t="shared" si="37"/>
        <v>350.87</v>
      </c>
      <c r="H212" s="6">
        <f>VLOOKUP(A212,'Rate Calculation'!$A$4:$AL$208,38,FALSE)+G212</f>
        <v>369.05</v>
      </c>
      <c r="I212" s="6">
        <f>VLOOKUP(A212,'Rate Calculation'!$A$4:$AN$208,40,FALSE)</f>
        <v>275.52999999999997</v>
      </c>
      <c r="J212" s="1">
        <v>0</v>
      </c>
      <c r="K212" s="217">
        <v>27759</v>
      </c>
      <c r="L212" s="6">
        <f>VLOOKUP(A212,'Rate Calculation'!$A$4:$AO$208,41,FALSE)</f>
        <v>195.83</v>
      </c>
      <c r="M212" s="1">
        <v>1</v>
      </c>
      <c r="N212" s="182">
        <f>VLOOKUP(A212,'Rate Calculation'!$A$4:$AL$208,38,FALSE)</f>
        <v>18.18</v>
      </c>
      <c r="O212" s="6" t="e">
        <f>VLOOKUP($A212,'Rate Calculation'!$A$3:$BR$210,65,FALSE)</f>
        <v>#DIV/0!</v>
      </c>
      <c r="P212" s="6" t="e">
        <f t="shared" si="38"/>
        <v>#DIV/0!</v>
      </c>
      <c r="Q212" s="6" t="e">
        <f t="shared" si="33"/>
        <v>#DIV/0!</v>
      </c>
      <c r="R212" s="6" t="e">
        <f>VLOOKUP($A212,'Rate Calculation'!$A$3:$AR$210,47,FALSE)+Q212</f>
        <v>#REF!</v>
      </c>
      <c r="S212" s="6" t="e">
        <f>VLOOKUP($A212,'Rate Calculation'!$A$4:$CQ$211,66,FALSE)</f>
        <v>#REF!</v>
      </c>
      <c r="T212" s="6" t="e">
        <f>VLOOKUP($A212,'Rate Calculation'!$A$3:$CQ$210,67,FALSE)</f>
        <v>#REF!</v>
      </c>
      <c r="U212" s="6" t="e">
        <f>VLOOKUP($A212,'Rate Calculation'!$A$3:$DE$210,82,FALSE)</f>
        <v>#DIV/0!</v>
      </c>
      <c r="V212" s="6" t="e">
        <f t="shared" si="39"/>
        <v>#DIV/0!</v>
      </c>
      <c r="W212" s="6" t="e">
        <f t="shared" si="34"/>
        <v>#DIV/0!</v>
      </c>
      <c r="X212" s="6" t="e">
        <f>VLOOKUP($A212,'Rate Calculation'!$A$3:$AR$210,47,FALSE)+W212</f>
        <v>#REF!</v>
      </c>
      <c r="Y212" s="6" t="e">
        <f>VLOOKUP($A212,'Rate Calculation'!$A$4:$CQ$210,83,FALSE)</f>
        <v>#REF!</v>
      </c>
      <c r="Z212" s="6" t="e">
        <f>VLOOKUP($A212,'Rate Calculation'!$A$3:$DE$210,84,FALSE)</f>
        <v>#REF!</v>
      </c>
      <c r="AA212" s="6">
        <f>VLOOKUP($A212,'Rate Calculation'!$A$3:$DE$210,99,FALSE)</f>
        <v>0</v>
      </c>
      <c r="AB212" s="6">
        <f t="shared" si="40"/>
        <v>0</v>
      </c>
      <c r="AC212" s="6">
        <f t="shared" si="35"/>
        <v>0</v>
      </c>
      <c r="AD212" s="6" t="e">
        <f>VLOOKUP($A212,'Rate Calculation'!$A$3:$AR$210,47,FALSE)+AC212</f>
        <v>#REF!</v>
      </c>
      <c r="AE212" s="6" t="e">
        <f>VLOOKUP($A212,'Rate Calculation'!$A$3:$CQ$210,100,FALSE)</f>
        <v>#REF!</v>
      </c>
      <c r="AF212" s="6">
        <f>VLOOKUP($A212,'Rate Calculation'!$A$3:$DE$210,101,FALSE)</f>
        <v>0</v>
      </c>
      <c r="AH212" s="175"/>
    </row>
    <row r="213" spans="1:34" x14ac:dyDescent="0.15">
      <c r="A213" s="130">
        <v>344</v>
      </c>
      <c r="B213" s="37" t="s">
        <v>348</v>
      </c>
      <c r="C213" s="1" t="str">
        <f>VLOOKUP(A213,'Rate Calculation'!$A$4:$F$210,6,FALSE)</f>
        <v>WASHINGTON METRO</v>
      </c>
      <c r="D213" s="4">
        <v>24837</v>
      </c>
      <c r="E213" s="6">
        <f>VLOOKUP(A213,'Rate Calculation'!$A$4:$AM$208,39,FALSE)</f>
        <v>350.01</v>
      </c>
      <c r="F213" s="6">
        <f t="shared" si="36"/>
        <v>345.71</v>
      </c>
      <c r="G213" s="6">
        <f t="shared" si="37"/>
        <v>345.71</v>
      </c>
      <c r="H213" s="6">
        <f>VLOOKUP(A213,'Rate Calculation'!$A$4:$AL$208,38,FALSE)+G213</f>
        <v>345.71</v>
      </c>
      <c r="I213" s="6">
        <f>VLOOKUP(A213,'Rate Calculation'!$A$4:$AN$208,40,FALSE)</f>
        <v>258.93</v>
      </c>
      <c r="J213" s="1">
        <v>462</v>
      </c>
      <c r="K213" s="217">
        <v>0</v>
      </c>
      <c r="L213" s="6">
        <f>VLOOKUP(A213,'Rate Calculation'!$A$4:$AO$208,41,FALSE)</f>
        <v>167.85</v>
      </c>
      <c r="M213" s="1">
        <v>3</v>
      </c>
      <c r="N213" s="182">
        <f>VLOOKUP(A213,'Rate Calculation'!$A$4:$AL$208,38,FALSE)</f>
        <v>0</v>
      </c>
      <c r="O213" s="6" t="e">
        <f>VLOOKUP($A213,'Rate Calculation'!$A$3:$BR$210,65,FALSE)</f>
        <v>#DIV/0!</v>
      </c>
      <c r="P213" s="6" t="e">
        <f t="shared" si="38"/>
        <v>#DIV/0!</v>
      </c>
      <c r="Q213" s="6" t="e">
        <f t="shared" si="33"/>
        <v>#DIV/0!</v>
      </c>
      <c r="R213" s="6" t="e">
        <f>VLOOKUP($A213,'Rate Calculation'!$A$3:$AR$210,47,FALSE)+Q213</f>
        <v>#REF!</v>
      </c>
      <c r="S213" s="6" t="e">
        <f>VLOOKUP($A213,'Rate Calculation'!$A$4:$CQ$211,66,FALSE)</f>
        <v>#REF!</v>
      </c>
      <c r="T213" s="6" t="e">
        <f>VLOOKUP($A213,'Rate Calculation'!$A$3:$CQ$210,67,FALSE)</f>
        <v>#REF!</v>
      </c>
      <c r="U213" s="6" t="e">
        <f>VLOOKUP($A213,'Rate Calculation'!$A$3:$DE$210,82,FALSE)</f>
        <v>#DIV/0!</v>
      </c>
      <c r="V213" s="6" t="e">
        <f t="shared" si="39"/>
        <v>#DIV/0!</v>
      </c>
      <c r="W213" s="6" t="e">
        <f t="shared" si="34"/>
        <v>#DIV/0!</v>
      </c>
      <c r="X213" s="6" t="e">
        <f>VLOOKUP($A213,'Rate Calculation'!$A$3:$AR$210,47,FALSE)+W213</f>
        <v>#REF!</v>
      </c>
      <c r="Y213" s="6" t="e">
        <f>VLOOKUP($A213,'Rate Calculation'!$A$4:$CQ$210,83,FALSE)</f>
        <v>#REF!</v>
      </c>
      <c r="Z213" s="6" t="e">
        <f>VLOOKUP($A213,'Rate Calculation'!$A$3:$DE$210,84,FALSE)</f>
        <v>#REF!</v>
      </c>
      <c r="AA213" s="6">
        <f>VLOOKUP($A213,'Rate Calculation'!$A$3:$DE$210,99,FALSE)</f>
        <v>0</v>
      </c>
      <c r="AB213" s="6">
        <f t="shared" si="40"/>
        <v>0</v>
      </c>
      <c r="AC213" s="6">
        <f t="shared" si="35"/>
        <v>0</v>
      </c>
      <c r="AD213" s="6" t="e">
        <f>VLOOKUP($A213,'Rate Calculation'!$A$3:$AR$210,47,FALSE)+AC213</f>
        <v>#REF!</v>
      </c>
      <c r="AE213" s="6" t="e">
        <f>VLOOKUP($A213,'Rate Calculation'!$A$3:$CQ$210,100,FALSE)</f>
        <v>#REF!</v>
      </c>
      <c r="AF213" s="6">
        <f>VLOOKUP($A213,'Rate Calculation'!$A$3:$DE$210,101,FALSE)</f>
        <v>0</v>
      </c>
      <c r="AH213" s="175"/>
    </row>
    <row r="214" spans="1:34" x14ac:dyDescent="0.15">
      <c r="A214" s="130">
        <v>703</v>
      </c>
      <c r="B214" s="37" t="s">
        <v>677</v>
      </c>
      <c r="C214" s="1" t="str">
        <f>VLOOKUP(A214,'Rate Calculation'!$A$4:$F$210,6,FALSE)</f>
        <v>WASHINGTON METRO</v>
      </c>
      <c r="D214" s="4">
        <v>116</v>
      </c>
      <c r="E214" s="6">
        <f>VLOOKUP(A214,'Rate Calculation'!$A$4:$AM$208,39,FALSE)</f>
        <v>356.26</v>
      </c>
      <c r="F214" s="6">
        <f t="shared" si="36"/>
        <v>351.89</v>
      </c>
      <c r="G214" s="6">
        <f t="shared" si="37"/>
        <v>351.89</v>
      </c>
      <c r="H214" s="6">
        <f>VLOOKUP(A214,'Rate Calculation'!$A$4:$AL$208,38,FALSE)+G214</f>
        <v>351.89</v>
      </c>
      <c r="I214" s="6">
        <f>VLOOKUP(A214,'Rate Calculation'!$A$4:$AN$208,40,FALSE)</f>
        <v>261.77999999999997</v>
      </c>
      <c r="J214" s="1">
        <v>0</v>
      </c>
      <c r="K214" s="217">
        <v>0</v>
      </c>
      <c r="L214" s="6">
        <f>VLOOKUP(A214,'Rate Calculation'!$A$4:$AO$208,41,FALSE)</f>
        <v>167.29</v>
      </c>
      <c r="M214" s="1">
        <v>0</v>
      </c>
      <c r="N214" s="182">
        <f>VLOOKUP(A214,'Rate Calculation'!$A$4:$AL$208,38,FALSE)</f>
        <v>0</v>
      </c>
      <c r="O214" s="6" t="e">
        <f>VLOOKUP($A214,'Rate Calculation'!$A$3:$BR$210,65,FALSE)</f>
        <v>#DIV/0!</v>
      </c>
      <c r="P214" s="6" t="e">
        <f t="shared" si="38"/>
        <v>#DIV/0!</v>
      </c>
      <c r="Q214" s="6" t="e">
        <f t="shared" si="33"/>
        <v>#DIV/0!</v>
      </c>
      <c r="R214" s="6" t="e">
        <f>VLOOKUP($A214,'Rate Calculation'!$A$3:$AR$210,47,FALSE)+Q214</f>
        <v>#REF!</v>
      </c>
      <c r="S214" s="6" t="e">
        <f>VLOOKUP($A214,'Rate Calculation'!$A$4:$CQ$211,66,FALSE)</f>
        <v>#REF!</v>
      </c>
      <c r="T214" s="6" t="e">
        <f>VLOOKUP($A214,'Rate Calculation'!$A$3:$CQ$210,67,FALSE)</f>
        <v>#REF!</v>
      </c>
      <c r="U214" s="6" t="e">
        <f>VLOOKUP($A214,'Rate Calculation'!$A$3:$DE$210,82,FALSE)</f>
        <v>#DIV/0!</v>
      </c>
      <c r="V214" s="6" t="e">
        <f t="shared" si="39"/>
        <v>#DIV/0!</v>
      </c>
      <c r="W214" s="6" t="e">
        <f t="shared" si="34"/>
        <v>#DIV/0!</v>
      </c>
      <c r="X214" s="6" t="e">
        <f>VLOOKUP($A214,'Rate Calculation'!$A$3:$AR$210,47,FALSE)+W214</f>
        <v>#REF!</v>
      </c>
      <c r="Y214" s="6" t="e">
        <f>VLOOKUP($A214,'Rate Calculation'!$A$4:$CQ$210,83,FALSE)</f>
        <v>#REF!</v>
      </c>
      <c r="Z214" s="6" t="e">
        <f>VLOOKUP($A214,'Rate Calculation'!$A$3:$DE$210,84,FALSE)</f>
        <v>#REF!</v>
      </c>
      <c r="AA214" s="6">
        <f>VLOOKUP($A214,'Rate Calculation'!$A$3:$DE$210,99,FALSE)</f>
        <v>0</v>
      </c>
      <c r="AB214" s="6">
        <f t="shared" si="40"/>
        <v>0</v>
      </c>
      <c r="AC214" s="6">
        <f t="shared" si="35"/>
        <v>0</v>
      </c>
      <c r="AD214" s="6" t="e">
        <f>VLOOKUP($A214,'Rate Calculation'!$A$3:$AR$210,47,FALSE)+AC214</f>
        <v>#REF!</v>
      </c>
      <c r="AE214" s="6" t="e">
        <f>VLOOKUP($A214,'Rate Calculation'!$A$3:$CQ$210,100,FALSE)</f>
        <v>#REF!</v>
      </c>
      <c r="AF214" s="6">
        <f>VLOOKUP($A214,'Rate Calculation'!$A$3:$DE$210,101,FALSE)</f>
        <v>0</v>
      </c>
      <c r="AH214" s="175"/>
    </row>
    <row r="215" spans="1:34" x14ac:dyDescent="0.15">
      <c r="A215" s="130">
        <v>444</v>
      </c>
      <c r="B215" s="37" t="s">
        <v>391</v>
      </c>
      <c r="C215" s="1" t="str">
        <f>VLOOKUP(A215,'Rate Calculation'!$A$4:$F$210,6,FALSE)</f>
        <v>WASHINGTON METRO</v>
      </c>
      <c r="D215" s="4">
        <v>21165</v>
      </c>
      <c r="E215" s="6">
        <f>VLOOKUP(A215,'Rate Calculation'!$A$4:$AM$208,39,FALSE)</f>
        <v>344.46</v>
      </c>
      <c r="F215" s="6">
        <f t="shared" si="36"/>
        <v>340.23</v>
      </c>
      <c r="G215" s="6">
        <f t="shared" si="37"/>
        <v>340.23</v>
      </c>
      <c r="H215" s="6">
        <f>VLOOKUP(A215,'Rate Calculation'!$A$4:$AL$208,38,FALSE)+G215</f>
        <v>365.64</v>
      </c>
      <c r="I215" s="6">
        <f>VLOOKUP(A215,'Rate Calculation'!$A$4:$AN$208,40,FALSE)</f>
        <v>256.11</v>
      </c>
      <c r="J215" s="1">
        <v>0</v>
      </c>
      <c r="K215" s="217">
        <v>0</v>
      </c>
      <c r="L215" s="6">
        <f>VLOOKUP(A215,'Rate Calculation'!$A$4:$AO$208,41,FALSE)</f>
        <v>167.75</v>
      </c>
      <c r="M215" s="1">
        <v>0</v>
      </c>
      <c r="N215" s="182">
        <f>VLOOKUP(A215,'Rate Calculation'!$A$4:$AL$208,38,FALSE)</f>
        <v>25.41</v>
      </c>
      <c r="O215" s="6" t="e">
        <f>VLOOKUP($A215,'Rate Calculation'!$A$3:$BR$210,65,FALSE)</f>
        <v>#DIV/0!</v>
      </c>
      <c r="P215" s="6" t="e">
        <f t="shared" si="38"/>
        <v>#DIV/0!</v>
      </c>
      <c r="Q215" s="6" t="e">
        <f t="shared" si="33"/>
        <v>#DIV/0!</v>
      </c>
      <c r="R215" s="6" t="e">
        <f>VLOOKUP($A215,'Rate Calculation'!$A$3:$AR$210,47,FALSE)+Q215</f>
        <v>#REF!</v>
      </c>
      <c r="S215" s="6" t="e">
        <f>VLOOKUP($A215,'Rate Calculation'!$A$4:$CQ$211,66,FALSE)</f>
        <v>#REF!</v>
      </c>
      <c r="T215" s="6" t="e">
        <f>VLOOKUP($A215,'Rate Calculation'!$A$3:$CQ$210,67,FALSE)</f>
        <v>#REF!</v>
      </c>
      <c r="U215" s="6" t="e">
        <f>VLOOKUP($A215,'Rate Calculation'!$A$3:$DE$210,82,FALSE)</f>
        <v>#DIV/0!</v>
      </c>
      <c r="V215" s="6" t="e">
        <f t="shared" si="39"/>
        <v>#DIV/0!</v>
      </c>
      <c r="W215" s="6" t="e">
        <f t="shared" si="34"/>
        <v>#DIV/0!</v>
      </c>
      <c r="X215" s="6" t="e">
        <f>VLOOKUP($A215,'Rate Calculation'!$A$3:$AR$210,47,FALSE)+W215</f>
        <v>#REF!</v>
      </c>
      <c r="Y215" s="6" t="e">
        <f>VLOOKUP($A215,'Rate Calculation'!$A$4:$CQ$210,83,FALSE)</f>
        <v>#REF!</v>
      </c>
      <c r="Z215" s="6" t="e">
        <f>VLOOKUP($A215,'Rate Calculation'!$A$3:$DE$210,84,FALSE)</f>
        <v>#REF!</v>
      </c>
      <c r="AA215" s="6">
        <f>VLOOKUP($A215,'Rate Calculation'!$A$3:$DE$210,99,FALSE)</f>
        <v>0</v>
      </c>
      <c r="AB215" s="6">
        <f t="shared" si="40"/>
        <v>0</v>
      </c>
      <c r="AC215" s="6">
        <f t="shared" si="35"/>
        <v>0</v>
      </c>
      <c r="AD215" s="6" t="e">
        <f>VLOOKUP($A215,'Rate Calculation'!$A$3:$AR$210,47,FALSE)+AC215</f>
        <v>#REF!</v>
      </c>
      <c r="AE215" s="6" t="e">
        <f>VLOOKUP($A215,'Rate Calculation'!$A$3:$CQ$210,100,FALSE)</f>
        <v>#REF!</v>
      </c>
      <c r="AF215" s="6">
        <f>VLOOKUP($A215,'Rate Calculation'!$A$3:$DE$210,101,FALSE)</f>
        <v>0</v>
      </c>
      <c r="AH215" s="175"/>
    </row>
    <row r="216" spans="1:34" x14ac:dyDescent="0.15">
      <c r="A216" s="130">
        <v>448</v>
      </c>
      <c r="B216" s="37" t="s">
        <v>194</v>
      </c>
      <c r="C216" s="1" t="str">
        <f>VLOOKUP(A216,'Rate Calculation'!$A$4:$F$210,6,FALSE)</f>
        <v>WASHINGTON METRO</v>
      </c>
      <c r="D216" s="4">
        <v>24599</v>
      </c>
      <c r="E216" s="6">
        <f>VLOOKUP(A216,'Rate Calculation'!$A$4:$AM$208,39,FALSE)</f>
        <v>322.38</v>
      </c>
      <c r="F216" s="6">
        <f t="shared" si="36"/>
        <v>318.42</v>
      </c>
      <c r="G216" s="6">
        <f t="shared" si="37"/>
        <v>318.42</v>
      </c>
      <c r="H216" s="6">
        <f>VLOOKUP(A216,'Rate Calculation'!$A$4:$AL$208,38,FALSE)+G216</f>
        <v>342.05</v>
      </c>
      <c r="I216" s="6">
        <f>VLOOKUP(A216,'Rate Calculation'!$A$4:$AN$208,40,FALSE)</f>
        <v>238.76</v>
      </c>
      <c r="J216" s="1">
        <v>0</v>
      </c>
      <c r="K216" s="217">
        <v>4411</v>
      </c>
      <c r="L216" s="6">
        <f>VLOOKUP(A216,'Rate Calculation'!$A$4:$AO$208,41,FALSE)</f>
        <v>155.13999999999999</v>
      </c>
      <c r="M216" s="1">
        <v>40</v>
      </c>
      <c r="N216" s="182">
        <f>VLOOKUP(A216,'Rate Calculation'!$A$4:$AL$208,38,FALSE)</f>
        <v>23.63</v>
      </c>
      <c r="O216" s="6" t="e">
        <f>VLOOKUP($A216,'Rate Calculation'!$A$3:$BR$210,65,FALSE)</f>
        <v>#DIV/0!</v>
      </c>
      <c r="P216" s="6" t="e">
        <f t="shared" si="38"/>
        <v>#DIV/0!</v>
      </c>
      <c r="Q216" s="6" t="e">
        <f t="shared" si="33"/>
        <v>#DIV/0!</v>
      </c>
      <c r="R216" s="6" t="e">
        <f>VLOOKUP($A216,'Rate Calculation'!$A$3:$AR$210,47,FALSE)+Q216</f>
        <v>#REF!</v>
      </c>
      <c r="S216" s="6" t="e">
        <f>VLOOKUP($A216,'Rate Calculation'!$A$4:$CQ$211,66,FALSE)</f>
        <v>#REF!</v>
      </c>
      <c r="T216" s="6" t="e">
        <f>VLOOKUP($A216,'Rate Calculation'!$A$3:$CQ$210,67,FALSE)</f>
        <v>#REF!</v>
      </c>
      <c r="U216" s="6" t="e">
        <f>VLOOKUP($A216,'Rate Calculation'!$A$3:$DE$210,82,FALSE)</f>
        <v>#DIV/0!</v>
      </c>
      <c r="V216" s="6" t="e">
        <f t="shared" si="39"/>
        <v>#DIV/0!</v>
      </c>
      <c r="W216" s="6" t="e">
        <f t="shared" si="34"/>
        <v>#DIV/0!</v>
      </c>
      <c r="X216" s="6" t="e">
        <f>VLOOKUP($A216,'Rate Calculation'!$A$3:$AR$210,47,FALSE)+W216</f>
        <v>#REF!</v>
      </c>
      <c r="Y216" s="6" t="e">
        <f>VLOOKUP($A216,'Rate Calculation'!$A$4:$CQ$210,83,FALSE)</f>
        <v>#REF!</v>
      </c>
      <c r="Z216" s="6" t="e">
        <f>VLOOKUP($A216,'Rate Calculation'!$A$3:$DE$210,84,FALSE)</f>
        <v>#REF!</v>
      </c>
      <c r="AA216" s="6">
        <f>VLOOKUP($A216,'Rate Calculation'!$A$3:$DE$210,99,FALSE)</f>
        <v>0</v>
      </c>
      <c r="AB216" s="6">
        <f t="shared" si="40"/>
        <v>0</v>
      </c>
      <c r="AC216" s="6">
        <f t="shared" si="35"/>
        <v>0</v>
      </c>
      <c r="AD216" s="6" t="e">
        <f>VLOOKUP($A216,'Rate Calculation'!$A$3:$AR$210,47,FALSE)+AC216</f>
        <v>#REF!</v>
      </c>
      <c r="AE216" s="6" t="e">
        <f>VLOOKUP($A216,'Rate Calculation'!$A$3:$CQ$210,100,FALSE)</f>
        <v>#REF!</v>
      </c>
      <c r="AF216" s="6">
        <f>VLOOKUP($A216,'Rate Calculation'!$A$3:$DE$210,101,FALSE)</f>
        <v>0</v>
      </c>
      <c r="AH216" s="175"/>
    </row>
    <row r="217" spans="1:34" x14ac:dyDescent="0.15">
      <c r="A217" s="130">
        <v>386</v>
      </c>
      <c r="B217" s="37" t="s">
        <v>338</v>
      </c>
      <c r="C217" s="1" t="str">
        <f>VLOOKUP(A217,'Rate Calculation'!$A$4:$F$210,6,FALSE)</f>
        <v>BALTIMORE CITY</v>
      </c>
      <c r="D217" s="4">
        <v>32307</v>
      </c>
      <c r="E217" s="6">
        <f>VLOOKUP(A217,'Rate Calculation'!$A$4:$AM$208,39,FALSE)</f>
        <v>366.43</v>
      </c>
      <c r="F217" s="6">
        <f t="shared" si="36"/>
        <v>361.93</v>
      </c>
      <c r="G217" s="6">
        <f t="shared" si="37"/>
        <v>361.93</v>
      </c>
      <c r="H217" s="6">
        <f>VLOOKUP(A217,'Rate Calculation'!$A$4:$AL$208,38,FALSE)+G217</f>
        <v>389.81</v>
      </c>
      <c r="I217" s="6">
        <f>VLOOKUP(A217,'Rate Calculation'!$A$4:$AN$208,40,FALSE)</f>
        <v>279.83</v>
      </c>
      <c r="J217" s="1">
        <v>0</v>
      </c>
      <c r="K217" s="217">
        <v>105617</v>
      </c>
      <c r="L217" s="6">
        <f>VLOOKUP(A217,'Rate Calculation'!$A$4:$AO$208,41,FALSE)</f>
        <v>193.22</v>
      </c>
      <c r="M217" s="1">
        <v>15</v>
      </c>
      <c r="N217" s="182">
        <f>VLOOKUP(A217,'Rate Calculation'!$A$4:$AL$208,38,FALSE)</f>
        <v>27.88</v>
      </c>
      <c r="O217" s="6" t="e">
        <f>VLOOKUP($A217,'Rate Calculation'!$A$3:$BR$210,65,FALSE)</f>
        <v>#DIV/0!</v>
      </c>
      <c r="P217" s="6" t="e">
        <f t="shared" si="38"/>
        <v>#DIV/0!</v>
      </c>
      <c r="Q217" s="6" t="e">
        <f t="shared" si="33"/>
        <v>#DIV/0!</v>
      </c>
      <c r="R217" s="6" t="e">
        <f>VLOOKUP($A217,'Rate Calculation'!$A$3:$AR$210,47,FALSE)+Q217</f>
        <v>#REF!</v>
      </c>
      <c r="S217" s="6" t="e">
        <f>VLOOKUP($A217,'Rate Calculation'!$A$4:$CQ$211,66,FALSE)</f>
        <v>#REF!</v>
      </c>
      <c r="T217" s="6" t="e">
        <f>VLOOKUP($A217,'Rate Calculation'!$A$3:$CQ$210,67,FALSE)</f>
        <v>#REF!</v>
      </c>
      <c r="U217" s="6" t="e">
        <f>VLOOKUP($A217,'Rate Calculation'!$A$3:$DE$210,82,FALSE)</f>
        <v>#DIV/0!</v>
      </c>
      <c r="V217" s="6" t="e">
        <f t="shared" si="39"/>
        <v>#DIV/0!</v>
      </c>
      <c r="W217" s="6" t="e">
        <f t="shared" si="34"/>
        <v>#DIV/0!</v>
      </c>
      <c r="X217" s="6" t="e">
        <f>VLOOKUP($A217,'Rate Calculation'!$A$3:$AR$210,47,FALSE)+W217</f>
        <v>#REF!</v>
      </c>
      <c r="Y217" s="6" t="e">
        <f>VLOOKUP($A217,'Rate Calculation'!$A$4:$CQ$210,83,FALSE)</f>
        <v>#REF!</v>
      </c>
      <c r="Z217" s="6" t="e">
        <f>VLOOKUP($A217,'Rate Calculation'!$A$3:$DE$210,84,FALSE)</f>
        <v>#REF!</v>
      </c>
      <c r="AA217" s="6">
        <f>VLOOKUP($A217,'Rate Calculation'!$A$3:$DE$210,99,FALSE)</f>
        <v>0</v>
      </c>
      <c r="AB217" s="6">
        <f t="shared" si="40"/>
        <v>0</v>
      </c>
      <c r="AC217" s="6">
        <f t="shared" si="35"/>
        <v>0</v>
      </c>
      <c r="AD217" s="6" t="e">
        <f>VLOOKUP($A217,'Rate Calculation'!$A$3:$AR$210,47,FALSE)+AC217</f>
        <v>#REF!</v>
      </c>
      <c r="AE217" s="6" t="e">
        <f>VLOOKUP($A217,'Rate Calculation'!$A$3:$CQ$210,100,FALSE)</f>
        <v>#REF!</v>
      </c>
      <c r="AF217" s="6">
        <f>VLOOKUP($A217,'Rate Calculation'!$A$3:$DE$210,101,FALSE)</f>
        <v>0</v>
      </c>
      <c r="AH217" s="175"/>
    </row>
    <row r="218" spans="1:34" x14ac:dyDescent="0.15">
      <c r="A218" s="130">
        <v>452</v>
      </c>
      <c r="B218" s="37" t="s">
        <v>399</v>
      </c>
      <c r="C218" s="1" t="str">
        <f>VLOOKUP(A218,'Rate Calculation'!$A$4:$F$210,6,FALSE)</f>
        <v>BALTIMORE METRO</v>
      </c>
      <c r="D218" s="4">
        <v>32056</v>
      </c>
      <c r="E218" s="6">
        <f>VLOOKUP(A218,'Rate Calculation'!$A$4:$AM$208,39,FALSE)</f>
        <v>341.55</v>
      </c>
      <c r="F218" s="6">
        <f t="shared" si="36"/>
        <v>337.36</v>
      </c>
      <c r="G218" s="6">
        <f t="shared" si="37"/>
        <v>337.36</v>
      </c>
      <c r="H218" s="6">
        <f>VLOOKUP(A218,'Rate Calculation'!$A$4:$AL$208,38,FALSE)+G218</f>
        <v>367.48</v>
      </c>
      <c r="I218" s="6">
        <f>VLOOKUP(A218,'Rate Calculation'!$A$4:$AN$208,40,FALSE)</f>
        <v>246.18</v>
      </c>
      <c r="J218" s="1">
        <v>0</v>
      </c>
      <c r="K218" s="217">
        <v>5634</v>
      </c>
      <c r="L218" s="6">
        <f>VLOOKUP(A218,'Rate Calculation'!$A$4:$AO$208,41,FALSE)</f>
        <v>150.80000000000001</v>
      </c>
      <c r="M218" s="1">
        <v>7</v>
      </c>
      <c r="N218" s="182">
        <f>VLOOKUP(A218,'Rate Calculation'!$A$4:$AL$208,38,FALSE)</f>
        <v>30.12</v>
      </c>
      <c r="O218" s="6" t="e">
        <f>VLOOKUP($A218,'Rate Calculation'!$A$3:$BR$210,65,FALSE)</f>
        <v>#DIV/0!</v>
      </c>
      <c r="P218" s="6" t="e">
        <f t="shared" si="38"/>
        <v>#DIV/0!</v>
      </c>
      <c r="Q218" s="6" t="e">
        <f t="shared" si="33"/>
        <v>#DIV/0!</v>
      </c>
      <c r="R218" s="6" t="e">
        <f>VLOOKUP($A218,'Rate Calculation'!$A$3:$AR$210,47,FALSE)+Q218</f>
        <v>#REF!</v>
      </c>
      <c r="S218" s="6" t="e">
        <f>VLOOKUP($A218,'Rate Calculation'!$A$4:$CQ$211,66,FALSE)</f>
        <v>#REF!</v>
      </c>
      <c r="T218" s="6" t="e">
        <f>VLOOKUP($A218,'Rate Calculation'!$A$3:$CQ$210,67,FALSE)</f>
        <v>#REF!</v>
      </c>
      <c r="U218" s="6" t="e">
        <f>VLOOKUP($A218,'Rate Calculation'!$A$3:$DE$210,82,FALSE)</f>
        <v>#DIV/0!</v>
      </c>
      <c r="V218" s="6" t="e">
        <f t="shared" si="39"/>
        <v>#DIV/0!</v>
      </c>
      <c r="W218" s="6" t="e">
        <f t="shared" si="34"/>
        <v>#DIV/0!</v>
      </c>
      <c r="X218" s="6" t="e">
        <f>VLOOKUP($A218,'Rate Calculation'!$A$3:$AR$210,47,FALSE)+W218</f>
        <v>#REF!</v>
      </c>
      <c r="Y218" s="6" t="e">
        <f>VLOOKUP($A218,'Rate Calculation'!$A$4:$CQ$210,83,FALSE)</f>
        <v>#REF!</v>
      </c>
      <c r="Z218" s="6" t="e">
        <f>VLOOKUP($A218,'Rate Calculation'!$A$3:$DE$210,84,FALSE)</f>
        <v>#REF!</v>
      </c>
      <c r="AA218" s="6">
        <f>VLOOKUP($A218,'Rate Calculation'!$A$3:$DE$210,99,FALSE)</f>
        <v>0</v>
      </c>
      <c r="AB218" s="6">
        <f t="shared" si="40"/>
        <v>0</v>
      </c>
      <c r="AC218" s="6">
        <f t="shared" si="35"/>
        <v>0</v>
      </c>
      <c r="AD218" s="6" t="e">
        <f>VLOOKUP($A218,'Rate Calculation'!$A$3:$AR$210,47,FALSE)+AC218</f>
        <v>#REF!</v>
      </c>
      <c r="AE218" s="6" t="e">
        <f>VLOOKUP($A218,'Rate Calculation'!$A$3:$CQ$210,100,FALSE)</f>
        <v>#REF!</v>
      </c>
      <c r="AF218" s="6">
        <f>VLOOKUP($A218,'Rate Calculation'!$A$3:$DE$210,101,FALSE)</f>
        <v>0</v>
      </c>
      <c r="AH218" s="175"/>
    </row>
    <row r="219" spans="1:34" x14ac:dyDescent="0.15">
      <c r="A219" s="130">
        <v>454</v>
      </c>
      <c r="B219" s="37" t="s">
        <v>207</v>
      </c>
      <c r="C219" s="1" t="str">
        <f>VLOOKUP(A219,'Rate Calculation'!$A$4:$F$210,6,FALSE)</f>
        <v>NON METRO</v>
      </c>
      <c r="D219" s="4">
        <v>14498</v>
      </c>
      <c r="E219" s="6">
        <f>VLOOKUP(A219,'Rate Calculation'!$A$4:$AM$208,39,FALSE)</f>
        <v>325.86</v>
      </c>
      <c r="F219" s="6">
        <f t="shared" si="36"/>
        <v>321.86</v>
      </c>
      <c r="G219" s="6">
        <f t="shared" si="37"/>
        <v>321.86</v>
      </c>
      <c r="H219" s="6">
        <f>VLOOKUP(A219,'Rate Calculation'!$A$4:$AL$208,38,FALSE)+G219</f>
        <v>350.12</v>
      </c>
      <c r="I219" s="6">
        <f>VLOOKUP(A219,'Rate Calculation'!$A$4:$AN$208,40,FALSE)</f>
        <v>234.8</v>
      </c>
      <c r="J219" s="1">
        <v>0</v>
      </c>
      <c r="K219" s="217">
        <v>0</v>
      </c>
      <c r="L219" s="6">
        <f>VLOOKUP(A219,'Rate Calculation'!$A$4:$AO$208,41,FALSE)</f>
        <v>143.74</v>
      </c>
      <c r="M219" s="1">
        <v>0</v>
      </c>
      <c r="N219" s="182">
        <f>VLOOKUP(A219,'Rate Calculation'!$A$4:$AL$208,38,FALSE)</f>
        <v>28.26</v>
      </c>
      <c r="O219" s="6" t="e">
        <f>VLOOKUP($A219,'Rate Calculation'!$A$3:$BR$210,65,FALSE)</f>
        <v>#DIV/0!</v>
      </c>
      <c r="P219" s="6" t="e">
        <f t="shared" si="38"/>
        <v>#DIV/0!</v>
      </c>
      <c r="Q219" s="6" t="e">
        <f t="shared" si="33"/>
        <v>#DIV/0!</v>
      </c>
      <c r="R219" s="6" t="e">
        <f>VLOOKUP($A219,'Rate Calculation'!$A$3:$AR$210,47,FALSE)+Q219</f>
        <v>#REF!</v>
      </c>
      <c r="S219" s="6" t="e">
        <f>VLOOKUP($A219,'Rate Calculation'!$A$4:$CQ$211,66,FALSE)</f>
        <v>#REF!</v>
      </c>
      <c r="T219" s="6" t="e">
        <f>VLOOKUP($A219,'Rate Calculation'!$A$3:$CQ$210,67,FALSE)</f>
        <v>#REF!</v>
      </c>
      <c r="U219" s="6" t="e">
        <f>VLOOKUP($A219,'Rate Calculation'!$A$3:$DE$210,82,FALSE)</f>
        <v>#DIV/0!</v>
      </c>
      <c r="V219" s="6" t="e">
        <f t="shared" si="39"/>
        <v>#DIV/0!</v>
      </c>
      <c r="W219" s="6" t="e">
        <f t="shared" si="34"/>
        <v>#DIV/0!</v>
      </c>
      <c r="X219" s="6" t="e">
        <f>VLOOKUP($A219,'Rate Calculation'!$A$3:$AR$210,47,FALSE)+W219</f>
        <v>#REF!</v>
      </c>
      <c r="Y219" s="6" t="e">
        <f>VLOOKUP($A219,'Rate Calculation'!$A$4:$CQ$210,83,FALSE)</f>
        <v>#REF!</v>
      </c>
      <c r="Z219" s="6" t="e">
        <f>VLOOKUP($A219,'Rate Calculation'!$A$3:$DE$210,84,FALSE)</f>
        <v>#REF!</v>
      </c>
      <c r="AA219" s="6">
        <f>VLOOKUP($A219,'Rate Calculation'!$A$3:$DE$210,99,FALSE)</f>
        <v>0</v>
      </c>
      <c r="AB219" s="6">
        <f t="shared" si="40"/>
        <v>0</v>
      </c>
      <c r="AC219" s="6">
        <f t="shared" si="35"/>
        <v>0</v>
      </c>
      <c r="AD219" s="6" t="e">
        <f>VLOOKUP($A219,'Rate Calculation'!$A$3:$AR$210,47,FALSE)+AC219</f>
        <v>#REF!</v>
      </c>
      <c r="AE219" s="6" t="e">
        <f>VLOOKUP($A219,'Rate Calculation'!$A$3:$CQ$210,100,FALSE)</f>
        <v>#REF!</v>
      </c>
      <c r="AF219" s="6">
        <f>VLOOKUP($A219,'Rate Calculation'!$A$3:$DE$210,101,FALSE)</f>
        <v>0</v>
      </c>
      <c r="AH219" s="175"/>
    </row>
    <row r="220" spans="1:34" x14ac:dyDescent="0.15">
      <c r="A220" s="130">
        <v>458</v>
      </c>
      <c r="B220" s="37" t="s">
        <v>821</v>
      </c>
      <c r="C220" s="1" t="str">
        <f>VLOOKUP(A220,'Rate Calculation'!$A$4:$F$210,6,FALSE)</f>
        <v>NON METRO</v>
      </c>
      <c r="D220" s="4">
        <v>15453</v>
      </c>
      <c r="E220" s="6">
        <f>VLOOKUP(A220,'Rate Calculation'!$A$4:$AM$208,39,FALSE)</f>
        <v>346.74</v>
      </c>
      <c r="F220" s="6">
        <f t="shared" si="36"/>
        <v>342.48</v>
      </c>
      <c r="G220" s="6">
        <f t="shared" si="37"/>
        <v>342.48</v>
      </c>
      <c r="H220" s="6">
        <f>VLOOKUP(A220,'Rate Calculation'!$A$4:$AL$208,38,FALSE)+G220</f>
        <v>367.13</v>
      </c>
      <c r="I220" s="6">
        <f>VLOOKUP(A220,'Rate Calculation'!$A$4:$AN$208,40,FALSE)</f>
        <v>251.09</v>
      </c>
      <c r="J220" s="1">
        <v>0</v>
      </c>
      <c r="K220" s="217">
        <v>1342</v>
      </c>
      <c r="L220" s="6">
        <f>VLOOKUP(A220,'Rate Calculation'!$A$4:$AO$208,41,FALSE)</f>
        <v>155.43</v>
      </c>
      <c r="M220" s="1">
        <v>0</v>
      </c>
      <c r="N220" s="182">
        <f>VLOOKUP(A220,'Rate Calculation'!$A$4:$AL$208,38,FALSE)</f>
        <v>24.65</v>
      </c>
      <c r="O220" s="6" t="e">
        <f>VLOOKUP($A220,'Rate Calculation'!$A$3:$BR$210,65,FALSE)</f>
        <v>#DIV/0!</v>
      </c>
      <c r="P220" s="6" t="e">
        <f t="shared" si="38"/>
        <v>#DIV/0!</v>
      </c>
      <c r="Q220" s="6" t="e">
        <f t="shared" si="33"/>
        <v>#DIV/0!</v>
      </c>
      <c r="R220" s="6" t="e">
        <f>VLOOKUP($A220,'Rate Calculation'!$A$3:$AR$210,47,FALSE)+Q220</f>
        <v>#REF!</v>
      </c>
      <c r="S220" s="6" t="e">
        <f>VLOOKUP($A220,'Rate Calculation'!$A$4:$CQ$211,66,FALSE)</f>
        <v>#REF!</v>
      </c>
      <c r="T220" s="6" t="e">
        <f>VLOOKUP($A220,'Rate Calculation'!$A$3:$CQ$210,67,FALSE)</f>
        <v>#REF!</v>
      </c>
      <c r="U220" s="6" t="e">
        <f>VLOOKUP($A220,'Rate Calculation'!$A$3:$DE$210,82,FALSE)</f>
        <v>#DIV/0!</v>
      </c>
      <c r="V220" s="6" t="e">
        <f t="shared" si="39"/>
        <v>#DIV/0!</v>
      </c>
      <c r="W220" s="6" t="e">
        <f t="shared" si="34"/>
        <v>#DIV/0!</v>
      </c>
      <c r="X220" s="6" t="e">
        <f>VLOOKUP($A220,'Rate Calculation'!$A$3:$AR$210,47,FALSE)+W220</f>
        <v>#REF!</v>
      </c>
      <c r="Y220" s="6" t="e">
        <f>VLOOKUP($A220,'Rate Calculation'!$A$4:$CQ$210,83,FALSE)</f>
        <v>#REF!</v>
      </c>
      <c r="Z220" s="6" t="e">
        <f>VLOOKUP($A220,'Rate Calculation'!$A$3:$DE$210,84,FALSE)</f>
        <v>#REF!</v>
      </c>
      <c r="AA220" s="6">
        <f>VLOOKUP($A220,'Rate Calculation'!$A$3:$DE$210,99,FALSE)</f>
        <v>0</v>
      </c>
      <c r="AB220" s="6">
        <f t="shared" si="40"/>
        <v>0</v>
      </c>
      <c r="AC220" s="6">
        <f t="shared" si="35"/>
        <v>0</v>
      </c>
      <c r="AD220" s="6" t="e">
        <f>VLOOKUP($A220,'Rate Calculation'!$A$3:$AR$210,47,FALSE)+AC220</f>
        <v>#REF!</v>
      </c>
      <c r="AE220" s="6" t="e">
        <f>VLOOKUP($A220,'Rate Calculation'!$A$3:$CQ$210,100,FALSE)</f>
        <v>#REF!</v>
      </c>
      <c r="AF220" s="6">
        <f>VLOOKUP($A220,'Rate Calculation'!$A$3:$DE$210,101,FALSE)</f>
        <v>0</v>
      </c>
      <c r="AH220" s="175"/>
    </row>
    <row r="221" spans="1:34" x14ac:dyDescent="0.15">
      <c r="A221" s="1"/>
      <c r="B221" s="37"/>
      <c r="C221" s="1"/>
      <c r="D221" s="4"/>
      <c r="E221" s="6"/>
      <c r="F221" s="6"/>
      <c r="G221" s="6"/>
      <c r="H221" s="6"/>
      <c r="I221" s="1"/>
      <c r="J221" s="1"/>
      <c r="K221" s="1"/>
      <c r="L221" s="6"/>
      <c r="M221" s="1"/>
      <c r="N221" s="1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1"/>
      <c r="Z221" s="6"/>
      <c r="AA221" s="6"/>
      <c r="AB221" s="6"/>
      <c r="AC221" s="6"/>
      <c r="AD221" s="6"/>
      <c r="AE221" s="1"/>
      <c r="AF221" s="6"/>
    </row>
    <row r="222" spans="1:34" x14ac:dyDescent="0.15">
      <c r="A222" s="1"/>
      <c r="B222" s="37"/>
      <c r="C222" s="1"/>
      <c r="D222" s="4"/>
      <c r="E222" s="6"/>
      <c r="F222" s="6"/>
      <c r="G222" s="6"/>
      <c r="H222" s="6"/>
      <c r="I222" s="1"/>
      <c r="J222" s="1"/>
      <c r="K222" s="1"/>
      <c r="L222" s="6"/>
      <c r="M222" s="1"/>
      <c r="N222" s="1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1"/>
      <c r="Z222" s="6"/>
      <c r="AA222" s="6"/>
      <c r="AB222" s="6"/>
      <c r="AC222" s="6"/>
      <c r="AD222" s="6"/>
      <c r="AE222" s="1"/>
      <c r="AF222" s="6"/>
    </row>
    <row r="223" spans="1:34" x14ac:dyDescent="0.15">
      <c r="A223" s="3"/>
      <c r="B223" s="37"/>
      <c r="C223" s="1"/>
      <c r="D223" s="4"/>
      <c r="E223" s="6"/>
      <c r="F223" s="6"/>
      <c r="G223" s="6"/>
      <c r="H223" s="6"/>
      <c r="I223" s="1"/>
      <c r="J223" s="1"/>
      <c r="K223" s="1"/>
      <c r="L223" s="6"/>
      <c r="M223" s="1"/>
      <c r="N223" s="1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1"/>
      <c r="Z223" s="6"/>
      <c r="AA223" s="6"/>
      <c r="AB223" s="6"/>
      <c r="AC223" s="6"/>
      <c r="AD223" s="6"/>
      <c r="AE223" s="1"/>
      <c r="AF223" s="6"/>
    </row>
    <row r="224" spans="1:34" x14ac:dyDescent="0.15">
      <c r="A224" s="138">
        <v>741</v>
      </c>
      <c r="B224" s="1" t="s">
        <v>435</v>
      </c>
      <c r="C224" s="1" t="str">
        <f>VLOOKUP(A224,'Rate Calculation'!$A$4:$F$210,6,FALSE)</f>
        <v>BALTIMORE CITY</v>
      </c>
      <c r="D224" s="4">
        <v>2443</v>
      </c>
      <c r="E224" s="6">
        <f>VLOOKUP(A224,'Vent Rate Calculation'!$A$4:$AM$21,39,FALSE)</f>
        <v>727.29</v>
      </c>
      <c r="F224" s="6">
        <f>ROUND(E224*$G$12,2)</f>
        <v>718.36</v>
      </c>
      <c r="G224" s="6">
        <f>+F224+285</f>
        <v>1003.36</v>
      </c>
      <c r="H224" s="6">
        <f>VLOOKUP(A224,'Vent Rate Calculation'!$A$4:$AL$21,38,FALSE)+G224</f>
        <v>1030.27</v>
      </c>
      <c r="I224" s="6"/>
      <c r="J224" s="184"/>
      <c r="K224" s="37"/>
      <c r="L224" s="6"/>
      <c r="M224" s="1"/>
      <c r="N224" s="1"/>
      <c r="O224" s="6">
        <f>VLOOKUP($A224,'Vent Rate Calculation'!$A$3:$BR$212,65,FALSE)</f>
        <v>0</v>
      </c>
      <c r="P224" s="6">
        <f>ROUND(O224*$G$12,2)</f>
        <v>0</v>
      </c>
      <c r="Q224" s="6">
        <f>+P224+285</f>
        <v>285</v>
      </c>
      <c r="R224" s="6" t="e">
        <f>VLOOKUP($A224,'Rate Calculation'!$A$3:$AR$210,47,FALSE)+Q224</f>
        <v>#REF!</v>
      </c>
      <c r="S224" s="6"/>
      <c r="T224" s="6"/>
      <c r="U224" s="6">
        <f>VLOOKUP(A224,'Vent Rate Calculation'!$A$3:$DD$212,82,FALSE)</f>
        <v>0</v>
      </c>
      <c r="V224" s="6">
        <f>ROUND(U224*$G$12,2)</f>
        <v>0</v>
      </c>
      <c r="W224" s="6">
        <f>+V224+285</f>
        <v>285</v>
      </c>
      <c r="X224" s="6" t="e">
        <f>VLOOKUP($A224,'Rate Calculation'!$A$3:$AR$210,47,FALSE)+W224</f>
        <v>#REF!</v>
      </c>
      <c r="Y224" s="6"/>
      <c r="Z224" s="6"/>
      <c r="AA224" s="6">
        <f>VLOOKUP(A224,'Vent Rate Calculation'!$A$3:$DD$212,99,FALSE)</f>
        <v>0</v>
      </c>
      <c r="AB224" s="6">
        <f>ROUND(AA224*$G$12,2)</f>
        <v>0</v>
      </c>
      <c r="AC224" s="6">
        <f t="shared" ref="AC224:AC240" si="41">+AB224+285</f>
        <v>285</v>
      </c>
      <c r="AD224" s="6" t="e">
        <f>VLOOKUP($A224,'Rate Calculation'!$A$3:$AR$210,47,FALSE)+AC224</f>
        <v>#REF!</v>
      </c>
      <c r="AE224" s="6"/>
      <c r="AF224" s="6"/>
    </row>
    <row r="225" spans="1:32" x14ac:dyDescent="0.15">
      <c r="A225" s="138">
        <v>58</v>
      </c>
      <c r="B225" s="1" t="s">
        <v>42</v>
      </c>
      <c r="C225" s="1" t="str">
        <f>VLOOKUP(A225,'Rate Calculation'!$A$4:$F$210,6,FALSE)</f>
        <v>NON METRO</v>
      </c>
      <c r="D225" s="4">
        <v>1606</v>
      </c>
      <c r="E225" s="6">
        <f>VLOOKUP(A225,'Vent Rate Calculation'!$A$4:$AM$21,39,FALSE)</f>
        <v>558.07000000000005</v>
      </c>
      <c r="F225" s="6">
        <f>ROUND(E225*$G$12,2)</f>
        <v>551.22</v>
      </c>
      <c r="G225" s="6">
        <f t="shared" ref="G225:G241" si="42">+F225+285</f>
        <v>836.22</v>
      </c>
      <c r="H225" s="6">
        <f>VLOOKUP(A225,'Vent Rate Calculation'!$A$4:$AL$21,38,FALSE)+G225</f>
        <v>862.77</v>
      </c>
      <c r="I225" s="6"/>
      <c r="J225" s="184"/>
      <c r="K225" s="37"/>
      <c r="L225" s="6"/>
      <c r="M225" s="1"/>
      <c r="N225" s="1"/>
      <c r="O225" s="6">
        <f>VLOOKUP($A225,'Vent Rate Calculation'!$A$3:$BR$212,65,FALSE)</f>
        <v>0</v>
      </c>
      <c r="P225" s="6">
        <f t="shared" ref="P225:P241" si="43">ROUND(O225*$G$12,2)</f>
        <v>0</v>
      </c>
      <c r="Q225" s="6">
        <f t="shared" ref="Q225:Q241" si="44">+P225+285</f>
        <v>285</v>
      </c>
      <c r="R225" s="6" t="e">
        <f>VLOOKUP($A225,'Rate Calculation'!$A$3:$AR$210,47,FALSE)+Q225</f>
        <v>#REF!</v>
      </c>
      <c r="S225" s="6"/>
      <c r="T225" s="6"/>
      <c r="U225" s="6">
        <f>VLOOKUP(A225,'Vent Rate Calculation'!$A$3:$DD$212,82,FALSE)</f>
        <v>0</v>
      </c>
      <c r="V225" s="6">
        <f t="shared" ref="V225:V241" si="45">ROUND(U225*$G$12,2)</f>
        <v>0</v>
      </c>
      <c r="W225" s="6">
        <f t="shared" ref="W225:W241" si="46">+V225+285</f>
        <v>285</v>
      </c>
      <c r="X225" s="6" t="e">
        <f>VLOOKUP($A225,'Rate Calculation'!$A$3:$AR$210,47,FALSE)+W225</f>
        <v>#REF!</v>
      </c>
      <c r="Y225" s="6"/>
      <c r="Z225" s="6"/>
      <c r="AA225" s="6">
        <f>VLOOKUP(A225,'Vent Rate Calculation'!$A$3:$DD$212,99,FALSE)</f>
        <v>0</v>
      </c>
      <c r="AB225" s="6">
        <f t="shared" ref="AB225:AB227" si="47">ROUND(AA225*$G$12,2)</f>
        <v>0</v>
      </c>
      <c r="AC225" s="6">
        <f t="shared" si="41"/>
        <v>285</v>
      </c>
      <c r="AD225" s="6" t="e">
        <f>VLOOKUP($A225,'Rate Calculation'!$A$3:$AR$210,47,FALSE)+AC225</f>
        <v>#REF!</v>
      </c>
      <c r="AE225" s="6"/>
      <c r="AF225" s="6"/>
    </row>
    <row r="226" spans="1:32" x14ac:dyDescent="0.15">
      <c r="A226" s="138">
        <v>108</v>
      </c>
      <c r="B226" s="1" t="s">
        <v>364</v>
      </c>
      <c r="C226" s="1" t="str">
        <f>VLOOKUP(A226,'Rate Calculation'!$A$4:$F$210,6,FALSE)</f>
        <v>NON METRO</v>
      </c>
      <c r="D226" s="4">
        <v>1348</v>
      </c>
      <c r="E226" s="6">
        <f>VLOOKUP(A226,'Vent Rate Calculation'!$A$4:$AM$21,39,FALSE)</f>
        <v>634.96</v>
      </c>
      <c r="F226" s="6">
        <f t="shared" ref="F226:F240" si="48">ROUND(E226*$G$12,2)</f>
        <v>627.16</v>
      </c>
      <c r="G226" s="6">
        <f t="shared" si="42"/>
        <v>912.16</v>
      </c>
      <c r="H226" s="6">
        <f>VLOOKUP(A226,'Vent Rate Calculation'!$A$4:$AL$21,38,FALSE)+G226</f>
        <v>938.86</v>
      </c>
      <c r="I226" s="6"/>
      <c r="J226" s="184"/>
      <c r="K226" s="37"/>
      <c r="L226" s="1"/>
      <c r="M226" s="1"/>
      <c r="N226" s="1"/>
      <c r="O226" s="6">
        <f>VLOOKUP($A226,'Vent Rate Calculation'!$A$3:$BR$212,65,FALSE)</f>
        <v>0</v>
      </c>
      <c r="P226" s="6">
        <f t="shared" si="43"/>
        <v>0</v>
      </c>
      <c r="Q226" s="6">
        <f t="shared" si="44"/>
        <v>285</v>
      </c>
      <c r="R226" s="6" t="e">
        <f>VLOOKUP($A226,'Rate Calculation'!$A$3:$AR$210,47,FALSE)+Q226</f>
        <v>#REF!</v>
      </c>
      <c r="S226" s="6"/>
      <c r="T226" s="6"/>
      <c r="U226" s="6">
        <f>VLOOKUP(A226,'Vent Rate Calculation'!$A$3:$DD$212,82,FALSE)</f>
        <v>0</v>
      </c>
      <c r="V226" s="6">
        <f t="shared" si="45"/>
        <v>0</v>
      </c>
      <c r="W226" s="6">
        <f t="shared" si="46"/>
        <v>285</v>
      </c>
      <c r="X226" s="6" t="e">
        <f>VLOOKUP($A226,'Rate Calculation'!$A$3:$AR$210,47,FALSE)+W226</f>
        <v>#REF!</v>
      </c>
      <c r="Y226" s="6"/>
      <c r="Z226" s="1"/>
      <c r="AA226" s="6">
        <f>VLOOKUP(A226,'Vent Rate Calculation'!$A$3:$DD$212,99,FALSE)</f>
        <v>0</v>
      </c>
      <c r="AB226" s="6">
        <f t="shared" si="47"/>
        <v>0</v>
      </c>
      <c r="AC226" s="6">
        <f t="shared" si="41"/>
        <v>285</v>
      </c>
      <c r="AD226" s="6" t="e">
        <f>VLOOKUP($A226,'Rate Calculation'!$A$3:$AR$210,47,FALSE)+AC226</f>
        <v>#REF!</v>
      </c>
      <c r="AE226" s="6"/>
      <c r="AF226" s="1"/>
    </row>
    <row r="227" spans="1:32" x14ac:dyDescent="0.15">
      <c r="A227" s="130">
        <v>118</v>
      </c>
      <c r="B227" s="1" t="s">
        <v>470</v>
      </c>
      <c r="C227" s="1" t="str">
        <f>VLOOKUP(A227,'Rate Calculation'!$A$4:$F$210,6,FALSE)</f>
        <v>WASHINGTON METRO</v>
      </c>
      <c r="D227" s="4">
        <v>632</v>
      </c>
      <c r="E227" s="6">
        <f>VLOOKUP(A227,'Vent Rate Calculation'!$A$4:$AM$21,39,FALSE)</f>
        <v>566.85</v>
      </c>
      <c r="F227" s="6">
        <f t="shared" ref="F227" si="49">ROUND(E227*$G$12,2)</f>
        <v>559.89</v>
      </c>
      <c r="G227" s="6">
        <f t="shared" ref="G227" si="50">+F227+285</f>
        <v>844.89</v>
      </c>
      <c r="H227" s="6">
        <f>VLOOKUP(A227,'Vent Rate Calculation'!$A$4:$AL$21,38,FALSE)+G227</f>
        <v>869.83</v>
      </c>
      <c r="I227" s="6"/>
      <c r="J227" s="184"/>
      <c r="K227" s="37"/>
      <c r="L227" s="1"/>
      <c r="M227" s="1"/>
      <c r="N227" s="1"/>
      <c r="O227" s="6">
        <f>VLOOKUP($A227,'Vent Rate Calculation'!$A$3:$BR$212,65,FALSE)</f>
        <v>0</v>
      </c>
      <c r="P227" s="6">
        <f t="shared" si="43"/>
        <v>0</v>
      </c>
      <c r="Q227" s="6">
        <f t="shared" si="44"/>
        <v>285</v>
      </c>
      <c r="R227" s="6" t="e">
        <f>VLOOKUP($A227,'Rate Calculation'!$A$3:$AR$210,47,FALSE)+Q227</f>
        <v>#REF!</v>
      </c>
      <c r="S227" s="6"/>
      <c r="T227" s="6"/>
      <c r="U227" s="6">
        <f>VLOOKUP(A227,'Vent Rate Calculation'!$A$3:$DD$212,82,FALSE)</f>
        <v>0</v>
      </c>
      <c r="V227" s="6">
        <f t="shared" si="45"/>
        <v>0</v>
      </c>
      <c r="W227" s="6">
        <f t="shared" si="46"/>
        <v>285</v>
      </c>
      <c r="X227" s="6" t="e">
        <f>VLOOKUP($A227,'Rate Calculation'!$A$3:$AR$210,47,FALSE)+W227</f>
        <v>#REF!</v>
      </c>
      <c r="Y227" s="6"/>
      <c r="Z227" s="1"/>
      <c r="AA227" s="6">
        <f>VLOOKUP(A227,'Vent Rate Calculation'!$A$3:$DD$212,99,FALSE)</f>
        <v>0</v>
      </c>
      <c r="AB227" s="6">
        <f t="shared" si="47"/>
        <v>0</v>
      </c>
      <c r="AC227" s="6">
        <f t="shared" si="41"/>
        <v>285</v>
      </c>
      <c r="AD227" s="6" t="e">
        <f>VLOOKUP($A227,'Rate Calculation'!$A$3:$AR$210,47,FALSE)+AC227</f>
        <v>#REF!</v>
      </c>
      <c r="AE227" s="6"/>
      <c r="AF227" s="1"/>
    </row>
    <row r="228" spans="1:32" x14ac:dyDescent="0.15">
      <c r="A228" s="138">
        <v>665</v>
      </c>
      <c r="B228" s="1" t="s">
        <v>645</v>
      </c>
      <c r="C228" s="1" t="str">
        <f>VLOOKUP(A228,'Rate Calculation'!$A$4:$F$210,6,FALSE)</f>
        <v>BALTIMORE METRO</v>
      </c>
      <c r="D228" s="4">
        <v>393</v>
      </c>
      <c r="E228" s="6">
        <f>VLOOKUP(A228,'Vent Rate Calculation'!$A$4:$AM$21,39,FALSE)</f>
        <v>701.34</v>
      </c>
      <c r="F228" s="6">
        <f t="shared" si="48"/>
        <v>692.73</v>
      </c>
      <c r="G228" s="6">
        <f t="shared" si="42"/>
        <v>977.73</v>
      </c>
      <c r="H228" s="6">
        <f>VLOOKUP(A228,'Vent Rate Calculation'!$A$4:$AL$21,38,FALSE)+G228</f>
        <v>1005.16</v>
      </c>
      <c r="I228" s="6"/>
      <c r="J228" s="184"/>
      <c r="K228" s="37"/>
      <c r="L228" s="6"/>
      <c r="M228" s="1"/>
      <c r="N228" s="1"/>
      <c r="O228" s="6">
        <f>VLOOKUP($A228,'Vent Rate Calculation'!$A$3:$BR$212,65,FALSE)</f>
        <v>0</v>
      </c>
      <c r="P228" s="6">
        <f t="shared" si="43"/>
        <v>0</v>
      </c>
      <c r="Q228" s="6">
        <f t="shared" si="44"/>
        <v>285</v>
      </c>
      <c r="R228" s="6" t="e">
        <f>VLOOKUP($A228,'Rate Calculation'!$A$3:$AR$210,47,FALSE)+Q228</f>
        <v>#REF!</v>
      </c>
      <c r="S228" s="6"/>
      <c r="T228" s="6"/>
      <c r="U228" s="6">
        <f>VLOOKUP(A228,'Vent Rate Calculation'!$A$3:$DD$212,82,FALSE)</f>
        <v>0</v>
      </c>
      <c r="V228" s="6">
        <f t="shared" si="45"/>
        <v>0</v>
      </c>
      <c r="W228" s="6">
        <f t="shared" si="46"/>
        <v>285</v>
      </c>
      <c r="X228" s="6" t="e">
        <f>VLOOKUP($A228,'Rate Calculation'!$A$3:$AR$210,47,FALSE)+W228</f>
        <v>#REF!</v>
      </c>
      <c r="Y228" s="6"/>
      <c r="Z228" s="6"/>
      <c r="AA228" s="6">
        <f>VLOOKUP(A228,'Vent Rate Calculation'!$A$3:$DD$212,99,FALSE)</f>
        <v>0</v>
      </c>
      <c r="AB228" s="6">
        <f t="shared" ref="AB228:AB241" si="51">ROUND(AA228*$G$12,2)</f>
        <v>0</v>
      </c>
      <c r="AC228" s="6">
        <f t="shared" si="41"/>
        <v>285</v>
      </c>
      <c r="AD228" s="6" t="e">
        <f>VLOOKUP($A228,'Rate Calculation'!$A$3:$AR$210,47,FALSE)+AC228</f>
        <v>#REF!</v>
      </c>
      <c r="AE228" s="6"/>
      <c r="AF228" s="6"/>
    </row>
    <row r="229" spans="1:32" x14ac:dyDescent="0.15">
      <c r="A229" s="138">
        <v>48</v>
      </c>
      <c r="B229" s="1" t="s">
        <v>647</v>
      </c>
      <c r="C229" s="1" t="str">
        <f>VLOOKUP(A229,'Rate Calculation'!$A$4:$F$210,6,FALSE)</f>
        <v>NON METRO</v>
      </c>
      <c r="D229" s="4">
        <v>2760</v>
      </c>
      <c r="E229" s="6">
        <f>VLOOKUP(A229,'Vent Rate Calculation'!$A$4:$AM$21,39,FALSE)</f>
        <v>614.70000000000005</v>
      </c>
      <c r="F229" s="6">
        <f t="shared" si="48"/>
        <v>607.15</v>
      </c>
      <c r="G229" s="6">
        <f t="shared" si="42"/>
        <v>892.15</v>
      </c>
      <c r="H229" s="6">
        <f>VLOOKUP(A229,'Vent Rate Calculation'!$A$4:$AL$21,38,FALSE)+G229</f>
        <v>916.13</v>
      </c>
      <c r="I229" s="6"/>
      <c r="J229" s="184"/>
      <c r="K229" s="37"/>
      <c r="L229" s="1"/>
      <c r="M229" s="1"/>
      <c r="N229" s="1"/>
      <c r="O229" s="6">
        <f>VLOOKUP($A229,'Vent Rate Calculation'!$A$3:$BR$212,65,FALSE)</f>
        <v>0</v>
      </c>
      <c r="P229" s="6">
        <f t="shared" si="43"/>
        <v>0</v>
      </c>
      <c r="Q229" s="6">
        <f t="shared" si="44"/>
        <v>285</v>
      </c>
      <c r="R229" s="6" t="e">
        <f>VLOOKUP($A229,'Rate Calculation'!$A$3:$AR$210,47,FALSE)+Q229</f>
        <v>#REF!</v>
      </c>
      <c r="S229" s="6"/>
      <c r="T229" s="6"/>
      <c r="U229" s="6">
        <f>VLOOKUP(A229,'Vent Rate Calculation'!$A$3:$DD$212,82,FALSE)</f>
        <v>0</v>
      </c>
      <c r="V229" s="6">
        <f t="shared" si="45"/>
        <v>0</v>
      </c>
      <c r="W229" s="6">
        <f t="shared" si="46"/>
        <v>285</v>
      </c>
      <c r="X229" s="6" t="e">
        <f>VLOOKUP($A229,'Rate Calculation'!$A$3:$AR$210,47,FALSE)+W229</f>
        <v>#REF!</v>
      </c>
      <c r="Y229" s="6"/>
      <c r="Z229" s="1"/>
      <c r="AA229" s="6">
        <f>VLOOKUP(A229,'Vent Rate Calculation'!$A$3:$DD$212,99,FALSE)</f>
        <v>0</v>
      </c>
      <c r="AB229" s="6">
        <f t="shared" si="51"/>
        <v>0</v>
      </c>
      <c r="AC229" s="6">
        <f t="shared" si="41"/>
        <v>285</v>
      </c>
      <c r="AD229" s="6" t="e">
        <f>VLOOKUP($A229,'Rate Calculation'!$A$3:$AR$210,47,FALSE)+AC229</f>
        <v>#REF!</v>
      </c>
      <c r="AE229" s="6"/>
      <c r="AF229" s="1"/>
    </row>
    <row r="230" spans="1:32" x14ac:dyDescent="0.15">
      <c r="A230" s="138">
        <v>735</v>
      </c>
      <c r="B230" s="1" t="s">
        <v>649</v>
      </c>
      <c r="C230" s="1" t="str">
        <f>VLOOKUP(A230,'Rate Calculation'!$A$4:$F$210,6,FALSE)</f>
        <v>WASHINGTON METRO</v>
      </c>
      <c r="D230" s="4">
        <v>6022</v>
      </c>
      <c r="E230" s="6">
        <f>VLOOKUP(A230,'Vent Rate Calculation'!$A$4:$AM$21,39,FALSE)</f>
        <v>620.67999999999995</v>
      </c>
      <c r="F230" s="6">
        <f t="shared" si="48"/>
        <v>613.05999999999995</v>
      </c>
      <c r="G230" s="6">
        <f t="shared" si="42"/>
        <v>898.06</v>
      </c>
      <c r="H230" s="6">
        <f>VLOOKUP(A230,'Vent Rate Calculation'!$A$4:$AL$21,38,FALSE)+G230</f>
        <v>925.94</v>
      </c>
      <c r="I230" s="6"/>
      <c r="J230" s="184"/>
      <c r="K230" s="37"/>
      <c r="L230" s="1"/>
      <c r="M230" s="1"/>
      <c r="N230" s="1"/>
      <c r="O230" s="6">
        <f>VLOOKUP($A230,'Vent Rate Calculation'!$A$3:$BR$212,65,FALSE)</f>
        <v>0</v>
      </c>
      <c r="P230" s="6">
        <f t="shared" si="43"/>
        <v>0</v>
      </c>
      <c r="Q230" s="6">
        <f t="shared" si="44"/>
        <v>285</v>
      </c>
      <c r="R230" s="6" t="e">
        <f>VLOOKUP($A230,'Rate Calculation'!$A$3:$AR$210,47,FALSE)+Q230</f>
        <v>#REF!</v>
      </c>
      <c r="S230" s="6"/>
      <c r="T230" s="6"/>
      <c r="U230" s="6">
        <f>VLOOKUP(A230,'Vent Rate Calculation'!$A$3:$DD$212,82,FALSE)</f>
        <v>0</v>
      </c>
      <c r="V230" s="6">
        <f t="shared" si="45"/>
        <v>0</v>
      </c>
      <c r="W230" s="6">
        <f t="shared" si="46"/>
        <v>285</v>
      </c>
      <c r="X230" s="6" t="e">
        <f>VLOOKUP($A230,'Rate Calculation'!$A$3:$AR$210,47,FALSE)+W230</f>
        <v>#REF!</v>
      </c>
      <c r="Y230" s="6"/>
      <c r="Z230" s="1"/>
      <c r="AA230" s="6">
        <f>VLOOKUP(A230,'Vent Rate Calculation'!$A$3:$DD$212,99,FALSE)</f>
        <v>0</v>
      </c>
      <c r="AB230" s="6">
        <f t="shared" si="51"/>
        <v>0</v>
      </c>
      <c r="AC230" s="6">
        <f t="shared" si="41"/>
        <v>285</v>
      </c>
      <c r="AD230" s="6" t="e">
        <f>VLOOKUP($A230,'Rate Calculation'!$A$3:$AR$210,47,FALSE)+AC230</f>
        <v>#REF!</v>
      </c>
      <c r="AE230" s="6"/>
      <c r="AF230" s="1"/>
    </row>
    <row r="231" spans="1:32" x14ac:dyDescent="0.15">
      <c r="A231" s="138">
        <v>342</v>
      </c>
      <c r="B231" s="1" t="s">
        <v>602</v>
      </c>
      <c r="C231" s="1" t="str">
        <f>VLOOKUP(A231,'Rate Calculation'!$A$4:$F$210,6,FALSE)</f>
        <v>BALTIMORE METRO</v>
      </c>
      <c r="D231" s="4">
        <v>2280</v>
      </c>
      <c r="E231" s="6">
        <f>VLOOKUP(A231,'Vent Rate Calculation'!$A$4:$AM$21,39,FALSE)</f>
        <v>695.24</v>
      </c>
      <c r="F231" s="6">
        <f t="shared" si="48"/>
        <v>686.7</v>
      </c>
      <c r="G231" s="6">
        <f t="shared" si="42"/>
        <v>971.7</v>
      </c>
      <c r="H231" s="6">
        <f>VLOOKUP(A231,'Vent Rate Calculation'!$A$4:$AL$21,38,FALSE)+G231</f>
        <v>991.37</v>
      </c>
      <c r="I231" s="6"/>
      <c r="J231" s="184"/>
      <c r="K231" s="37"/>
      <c r="L231" s="1"/>
      <c r="M231" s="1"/>
      <c r="N231" s="1"/>
      <c r="O231" s="6">
        <f>VLOOKUP($A231,'Vent Rate Calculation'!$A$3:$BR$212,65,FALSE)</f>
        <v>0</v>
      </c>
      <c r="P231" s="6">
        <f t="shared" si="43"/>
        <v>0</v>
      </c>
      <c r="Q231" s="6">
        <f t="shared" si="44"/>
        <v>285</v>
      </c>
      <c r="R231" s="6" t="e">
        <f>VLOOKUP($A231,'Rate Calculation'!$A$3:$AR$210,47,FALSE)+Q231</f>
        <v>#REF!</v>
      </c>
      <c r="S231" s="6"/>
      <c r="T231" s="6"/>
      <c r="U231" s="6">
        <f>VLOOKUP(A231,'Vent Rate Calculation'!$A$3:$DD$212,82,FALSE)</f>
        <v>0</v>
      </c>
      <c r="V231" s="6">
        <f t="shared" si="45"/>
        <v>0</v>
      </c>
      <c r="W231" s="6">
        <f t="shared" si="46"/>
        <v>285</v>
      </c>
      <c r="X231" s="6" t="e">
        <f>VLOOKUP($A231,'Rate Calculation'!$A$3:$AR$210,47,FALSE)+W231</f>
        <v>#REF!</v>
      </c>
      <c r="Y231" s="6"/>
      <c r="Z231" s="1"/>
      <c r="AA231" s="6">
        <f>VLOOKUP(A231,'Vent Rate Calculation'!$A$3:$DD$212,99,FALSE)</f>
        <v>0</v>
      </c>
      <c r="AB231" s="6">
        <f t="shared" si="51"/>
        <v>0</v>
      </c>
      <c r="AC231" s="6">
        <f t="shared" si="41"/>
        <v>285</v>
      </c>
      <c r="AD231" s="6" t="e">
        <f>VLOOKUP($A231,'Rate Calculation'!$A$3:$AR$210,47,FALSE)+AC231</f>
        <v>#REF!</v>
      </c>
      <c r="AE231" s="6"/>
      <c r="AF231" s="1"/>
    </row>
    <row r="232" spans="1:32" x14ac:dyDescent="0.15">
      <c r="A232" s="138">
        <v>26</v>
      </c>
      <c r="B232" s="1" t="s">
        <v>199</v>
      </c>
      <c r="C232" s="1" t="str">
        <f>VLOOKUP(A232,'Rate Calculation'!$A$4:$F$210,6,FALSE)</f>
        <v>WASHINGTON METRO</v>
      </c>
      <c r="D232" s="4">
        <v>3255</v>
      </c>
      <c r="E232" s="6">
        <f>VLOOKUP(A232,'Vent Rate Calculation'!$A$4:$AM$21,39,FALSE)</f>
        <v>640.70000000000005</v>
      </c>
      <c r="F232" s="6">
        <f t="shared" si="48"/>
        <v>632.83000000000004</v>
      </c>
      <c r="G232" s="6">
        <f t="shared" si="42"/>
        <v>917.83</v>
      </c>
      <c r="H232" s="6">
        <f>VLOOKUP(A232,'Vent Rate Calculation'!$A$4:$AL$21,38,FALSE)+G232</f>
        <v>946.75</v>
      </c>
      <c r="I232" s="6"/>
      <c r="J232" s="184"/>
      <c r="K232" s="37"/>
      <c r="L232" s="6"/>
      <c r="M232" s="1"/>
      <c r="N232" s="1"/>
      <c r="O232" s="6">
        <f>VLOOKUP($A232,'Vent Rate Calculation'!$A$3:$BR$212,65,FALSE)</f>
        <v>0</v>
      </c>
      <c r="P232" s="6">
        <f t="shared" si="43"/>
        <v>0</v>
      </c>
      <c r="Q232" s="6">
        <f t="shared" si="44"/>
        <v>285</v>
      </c>
      <c r="R232" s="6" t="e">
        <f>VLOOKUP($A232,'Rate Calculation'!$A$3:$AR$210,47,FALSE)+Q232</f>
        <v>#REF!</v>
      </c>
      <c r="S232" s="6"/>
      <c r="T232" s="6"/>
      <c r="U232" s="6">
        <f>VLOOKUP(A232,'Vent Rate Calculation'!$A$3:$DD$212,82,FALSE)</f>
        <v>0</v>
      </c>
      <c r="V232" s="6">
        <f t="shared" si="45"/>
        <v>0</v>
      </c>
      <c r="W232" s="6">
        <f t="shared" si="46"/>
        <v>285</v>
      </c>
      <c r="X232" s="6" t="e">
        <f>VLOOKUP($A232,'Rate Calculation'!$A$3:$AR$210,47,FALSE)+W232</f>
        <v>#REF!</v>
      </c>
      <c r="Y232" s="6"/>
      <c r="Z232" s="6"/>
      <c r="AA232" s="6">
        <f>VLOOKUP(A232,'Vent Rate Calculation'!$A$3:$DD$212,99,FALSE)</f>
        <v>0</v>
      </c>
      <c r="AB232" s="6">
        <f t="shared" si="51"/>
        <v>0</v>
      </c>
      <c r="AC232" s="6">
        <f t="shared" si="41"/>
        <v>285</v>
      </c>
      <c r="AD232" s="6" t="e">
        <f>VLOOKUP($A232,'Rate Calculation'!$A$3:$AR$210,47,FALSE)+AC232</f>
        <v>#REF!</v>
      </c>
      <c r="AE232" s="6"/>
      <c r="AF232" s="6"/>
    </row>
    <row r="233" spans="1:32" x14ac:dyDescent="0.15">
      <c r="A233" s="138">
        <v>1366</v>
      </c>
      <c r="B233" s="1" t="s">
        <v>438</v>
      </c>
      <c r="C233" s="1" t="str">
        <f>VLOOKUP(A233,'Rate Calculation'!$A$4:$F$210,6,FALSE)</f>
        <v>WASHINGTON METRO</v>
      </c>
      <c r="D233" s="4">
        <v>5161</v>
      </c>
      <c r="E233" s="6">
        <f>VLOOKUP(A233,'Vent Rate Calculation'!$A$4:$AM$21,39,FALSE)</f>
        <v>650.66</v>
      </c>
      <c r="F233" s="6">
        <f t="shared" si="48"/>
        <v>642.66999999999996</v>
      </c>
      <c r="G233" s="6">
        <f t="shared" si="42"/>
        <v>927.67</v>
      </c>
      <c r="H233" s="6">
        <f>VLOOKUP(A233,'Vent Rate Calculation'!$A$4:$AL$21,38,FALSE)+G233</f>
        <v>945.05</v>
      </c>
      <c r="I233" s="6"/>
      <c r="J233" s="184"/>
      <c r="K233" s="37"/>
      <c r="L233" s="6"/>
      <c r="M233" s="1"/>
      <c r="N233" s="1"/>
      <c r="O233" s="6">
        <f>VLOOKUP($A233,'Vent Rate Calculation'!$A$3:$BR$212,65,FALSE)</f>
        <v>0</v>
      </c>
      <c r="P233" s="6">
        <f t="shared" si="43"/>
        <v>0</v>
      </c>
      <c r="Q233" s="6">
        <f t="shared" si="44"/>
        <v>285</v>
      </c>
      <c r="R233" s="6" t="e">
        <f>VLOOKUP($A233,'Rate Calculation'!$A$3:$AR$210,47,FALSE)+Q233</f>
        <v>#REF!</v>
      </c>
      <c r="S233" s="6"/>
      <c r="T233" s="6"/>
      <c r="U233" s="6">
        <f>VLOOKUP(A233,'Vent Rate Calculation'!$A$3:$DD$212,82,FALSE)</f>
        <v>0</v>
      </c>
      <c r="V233" s="6">
        <f t="shared" si="45"/>
        <v>0</v>
      </c>
      <c r="W233" s="6">
        <f t="shared" si="46"/>
        <v>285</v>
      </c>
      <c r="X233" s="6" t="e">
        <f>VLOOKUP($A233,'Rate Calculation'!$A$3:$AR$210,47,FALSE)+W233</f>
        <v>#REF!</v>
      </c>
      <c r="Y233" s="6"/>
      <c r="Z233" s="6"/>
      <c r="AA233" s="6">
        <f>VLOOKUP(A233,'Vent Rate Calculation'!$A$3:$DD$212,99,FALSE)</f>
        <v>0</v>
      </c>
      <c r="AB233" s="6">
        <f t="shared" si="51"/>
        <v>0</v>
      </c>
      <c r="AC233" s="6">
        <f t="shared" si="41"/>
        <v>285</v>
      </c>
      <c r="AD233" s="6" t="e">
        <f>VLOOKUP($A233,'Rate Calculation'!$A$3:$AR$210,47,FALSE)+AC233</f>
        <v>#REF!</v>
      </c>
      <c r="AE233" s="6"/>
      <c r="AF233" s="6"/>
    </row>
    <row r="234" spans="1:32" x14ac:dyDescent="0.15">
      <c r="A234" s="138">
        <v>186</v>
      </c>
      <c r="B234" s="1" t="s">
        <v>44</v>
      </c>
      <c r="C234" s="1" t="str">
        <f>VLOOKUP(A234,'Rate Calculation'!$A$4:$F$210,6,FALSE)</f>
        <v>BALTIMORE CITY</v>
      </c>
      <c r="D234" s="4">
        <v>6739</v>
      </c>
      <c r="E234" s="6">
        <f>VLOOKUP(A234,'Vent Rate Calculation'!$A$4:$AM$21,39,FALSE)</f>
        <v>713.19</v>
      </c>
      <c r="F234" s="6">
        <f t="shared" si="48"/>
        <v>704.43</v>
      </c>
      <c r="G234" s="6">
        <f t="shared" si="42"/>
        <v>989.43</v>
      </c>
      <c r="H234" s="6">
        <f>VLOOKUP(A234,'Vent Rate Calculation'!$A$4:$AL$21,38,FALSE)+G234</f>
        <v>1015.69</v>
      </c>
      <c r="I234" s="6"/>
      <c r="J234" s="184"/>
      <c r="K234" s="37"/>
      <c r="L234" s="6"/>
      <c r="M234" s="1"/>
      <c r="N234" s="1"/>
      <c r="O234" s="6">
        <f>VLOOKUP($A234,'Vent Rate Calculation'!$A$3:$BR$212,65,FALSE)</f>
        <v>0</v>
      </c>
      <c r="P234" s="6">
        <f t="shared" si="43"/>
        <v>0</v>
      </c>
      <c r="Q234" s="6">
        <f t="shared" si="44"/>
        <v>285</v>
      </c>
      <c r="R234" s="6" t="e">
        <f>VLOOKUP($A234,'Rate Calculation'!$A$3:$AR$210,47,FALSE)+Q234</f>
        <v>#REF!</v>
      </c>
      <c r="S234" s="6"/>
      <c r="T234" s="6"/>
      <c r="U234" s="6">
        <f>VLOOKUP(A234,'Vent Rate Calculation'!$A$3:$DD$212,82,FALSE)</f>
        <v>0</v>
      </c>
      <c r="V234" s="6">
        <f t="shared" si="45"/>
        <v>0</v>
      </c>
      <c r="W234" s="6">
        <f t="shared" si="46"/>
        <v>285</v>
      </c>
      <c r="X234" s="6" t="e">
        <f>VLOOKUP($A234,'Rate Calculation'!$A$3:$AR$210,47,FALSE)+W234</f>
        <v>#REF!</v>
      </c>
      <c r="Y234" s="6"/>
      <c r="Z234" s="6"/>
      <c r="AA234" s="6">
        <f>VLOOKUP(A234,'Vent Rate Calculation'!$A$3:$DD$212,99,FALSE)</f>
        <v>0</v>
      </c>
      <c r="AB234" s="6">
        <f t="shared" si="51"/>
        <v>0</v>
      </c>
      <c r="AC234" s="6">
        <f t="shared" si="41"/>
        <v>285</v>
      </c>
      <c r="AD234" s="6" t="e">
        <f>VLOOKUP($A234,'Rate Calculation'!$A$3:$AR$210,47,FALSE)+AC234</f>
        <v>#REF!</v>
      </c>
      <c r="AE234" s="6"/>
      <c r="AF234" s="6"/>
    </row>
    <row r="235" spans="1:32" x14ac:dyDescent="0.15">
      <c r="A235" s="138">
        <v>713</v>
      </c>
      <c r="B235" s="1" t="s">
        <v>41</v>
      </c>
      <c r="C235" s="1" t="str">
        <f>VLOOKUP(A235,'Rate Calculation'!$A$4:$F$210,6,FALSE)</f>
        <v>BALTIMORE CITY</v>
      </c>
      <c r="D235" s="4">
        <v>6335</v>
      </c>
      <c r="E235" s="6">
        <f>VLOOKUP(A235,'Vent Rate Calculation'!$A$4:$AM$21,39,FALSE)</f>
        <v>716.32</v>
      </c>
      <c r="F235" s="6">
        <f t="shared" si="48"/>
        <v>707.52</v>
      </c>
      <c r="G235" s="6">
        <f t="shared" si="42"/>
        <v>992.52</v>
      </c>
      <c r="H235" s="6">
        <f>VLOOKUP(A235,'Vent Rate Calculation'!$A$4:$AL$21,38,FALSE)+G235</f>
        <v>1021.19</v>
      </c>
      <c r="I235" s="6"/>
      <c r="J235" s="184"/>
      <c r="K235" s="37"/>
      <c r="L235" s="6"/>
      <c r="M235" s="1"/>
      <c r="N235" s="1"/>
      <c r="O235" s="6">
        <f>VLOOKUP($A235,'Vent Rate Calculation'!$A$3:$BR$212,65,FALSE)</f>
        <v>0</v>
      </c>
      <c r="P235" s="6">
        <f t="shared" si="43"/>
        <v>0</v>
      </c>
      <c r="Q235" s="6">
        <f t="shared" si="44"/>
        <v>285</v>
      </c>
      <c r="R235" s="6" t="e">
        <f>VLOOKUP($A235,'Rate Calculation'!$A$3:$AR$210,47,FALSE)+Q235</f>
        <v>#REF!</v>
      </c>
      <c r="S235" s="6"/>
      <c r="T235" s="6"/>
      <c r="U235" s="6">
        <f>VLOOKUP(A235,'Vent Rate Calculation'!$A$3:$DD$212,82,FALSE)</f>
        <v>0</v>
      </c>
      <c r="V235" s="6">
        <f t="shared" si="45"/>
        <v>0</v>
      </c>
      <c r="W235" s="6">
        <f t="shared" si="46"/>
        <v>285</v>
      </c>
      <c r="X235" s="6" t="e">
        <f>VLOOKUP($A235,'Rate Calculation'!$A$3:$AR$210,47,FALSE)+W235</f>
        <v>#REF!</v>
      </c>
      <c r="Y235" s="6"/>
      <c r="Z235" s="6"/>
      <c r="AA235" s="6">
        <f>VLOOKUP(A235,'Vent Rate Calculation'!$A$3:$DD$212,99,FALSE)</f>
        <v>0</v>
      </c>
      <c r="AB235" s="6">
        <f t="shared" si="51"/>
        <v>0</v>
      </c>
      <c r="AC235" s="6">
        <f t="shared" si="41"/>
        <v>285</v>
      </c>
      <c r="AD235" s="6" t="e">
        <f>VLOOKUP($A235,'Rate Calculation'!$A$3:$AR$210,47,FALSE)+AC235</f>
        <v>#REF!</v>
      </c>
      <c r="AE235" s="6"/>
      <c r="AF235" s="6"/>
    </row>
    <row r="236" spans="1:32" x14ac:dyDescent="0.15">
      <c r="A236" s="138">
        <v>192</v>
      </c>
      <c r="B236" s="1" t="s">
        <v>39</v>
      </c>
      <c r="C236" s="1" t="str">
        <f>VLOOKUP(A236,'Rate Calculation'!$A$4:$F$210,6,FALSE)</f>
        <v>WASHINGTON METRO</v>
      </c>
      <c r="D236" s="4">
        <v>6078</v>
      </c>
      <c r="E236" s="6">
        <f>VLOOKUP(A236,'Vent Rate Calculation'!$A$4:$AM$21,39,FALSE)</f>
        <v>633.24</v>
      </c>
      <c r="F236" s="6">
        <f t="shared" si="48"/>
        <v>625.46</v>
      </c>
      <c r="G236" s="6">
        <f t="shared" si="42"/>
        <v>910.46</v>
      </c>
      <c r="H236" s="6">
        <f>VLOOKUP(A236,'Vent Rate Calculation'!$A$4:$AL$21,38,FALSE)+G236</f>
        <v>937.61</v>
      </c>
      <c r="I236" s="6"/>
      <c r="J236" s="184"/>
      <c r="K236" s="37"/>
      <c r="L236" s="1"/>
      <c r="M236" s="1"/>
      <c r="N236" s="1"/>
      <c r="O236" s="6">
        <f>VLOOKUP($A236,'Vent Rate Calculation'!$A$3:$BR$212,65,FALSE)</f>
        <v>0</v>
      </c>
      <c r="P236" s="6">
        <f t="shared" si="43"/>
        <v>0</v>
      </c>
      <c r="Q236" s="6">
        <f t="shared" si="44"/>
        <v>285</v>
      </c>
      <c r="R236" s="6" t="e">
        <f>VLOOKUP($A236,'Rate Calculation'!$A$3:$AR$210,47,FALSE)+Q236</f>
        <v>#REF!</v>
      </c>
      <c r="S236" s="6"/>
      <c r="T236" s="6"/>
      <c r="U236" s="6">
        <f>VLOOKUP(A236,'Vent Rate Calculation'!$A$3:$DD$212,82,FALSE)</f>
        <v>0</v>
      </c>
      <c r="V236" s="6">
        <f t="shared" si="45"/>
        <v>0</v>
      </c>
      <c r="W236" s="6">
        <f t="shared" si="46"/>
        <v>285</v>
      </c>
      <c r="X236" s="6" t="e">
        <f>VLOOKUP($A236,'Rate Calculation'!$A$3:$AR$210,47,FALSE)+W236</f>
        <v>#REF!</v>
      </c>
      <c r="Y236" s="6"/>
      <c r="Z236" s="1"/>
      <c r="AA236" s="6">
        <f>VLOOKUP(A236,'Vent Rate Calculation'!$A$3:$DD$212,99,FALSE)</f>
        <v>0</v>
      </c>
      <c r="AB236" s="6">
        <f t="shared" si="51"/>
        <v>0</v>
      </c>
      <c r="AC236" s="6">
        <f t="shared" si="41"/>
        <v>285</v>
      </c>
      <c r="AD236" s="6" t="e">
        <f>VLOOKUP($A236,'Rate Calculation'!$A$3:$AR$210,47,FALSE)+AC236</f>
        <v>#REF!</v>
      </c>
      <c r="AE236" s="6"/>
      <c r="AF236" s="1"/>
    </row>
    <row r="237" spans="1:32" x14ac:dyDescent="0.15">
      <c r="A237" s="138">
        <v>270</v>
      </c>
      <c r="B237" s="1" t="s">
        <v>38</v>
      </c>
      <c r="C237" s="1" t="str">
        <f>VLOOKUP(A237,'Rate Calculation'!$A$4:$F$210,6,FALSE)</f>
        <v>BALTIMORE CITY</v>
      </c>
      <c r="D237" s="4">
        <v>3878</v>
      </c>
      <c r="E237" s="6">
        <f>VLOOKUP(A237,'Vent Rate Calculation'!$A$4:$AM$21,39,FALSE)</f>
        <v>692.21</v>
      </c>
      <c r="F237" s="6">
        <f t="shared" si="48"/>
        <v>683.71</v>
      </c>
      <c r="G237" s="6">
        <f t="shared" si="42"/>
        <v>968.71</v>
      </c>
      <c r="H237" s="6">
        <f>VLOOKUP(A237,'Vent Rate Calculation'!$A$4:$AL$21,38,FALSE)+G237</f>
        <v>995.61</v>
      </c>
      <c r="I237" s="6"/>
      <c r="J237" s="184"/>
      <c r="K237" s="37"/>
      <c r="L237" s="6"/>
      <c r="M237" s="1"/>
      <c r="N237" s="1"/>
      <c r="O237" s="6">
        <f>VLOOKUP($A237,'Vent Rate Calculation'!$A$3:$BR$212,65,FALSE)</f>
        <v>0</v>
      </c>
      <c r="P237" s="6">
        <f t="shared" si="43"/>
        <v>0</v>
      </c>
      <c r="Q237" s="6">
        <f t="shared" si="44"/>
        <v>285</v>
      </c>
      <c r="R237" s="6" t="e">
        <f>VLOOKUP($A237,'Rate Calculation'!$A$3:$AR$210,47,FALSE)+Q237</f>
        <v>#REF!</v>
      </c>
      <c r="S237" s="6"/>
      <c r="T237" s="6"/>
      <c r="U237" s="6">
        <f>VLOOKUP(A237,'Vent Rate Calculation'!$A$3:$DD$212,82,FALSE)</f>
        <v>0</v>
      </c>
      <c r="V237" s="6">
        <f t="shared" si="45"/>
        <v>0</v>
      </c>
      <c r="W237" s="6">
        <f t="shared" si="46"/>
        <v>285</v>
      </c>
      <c r="X237" s="6" t="e">
        <f>VLOOKUP($A237,'Rate Calculation'!$A$3:$AR$210,47,FALSE)+W237</f>
        <v>#REF!</v>
      </c>
      <c r="Y237" s="6"/>
      <c r="Z237" s="6"/>
      <c r="AA237" s="6">
        <f>VLOOKUP(A237,'Vent Rate Calculation'!$A$3:$DD$212,99,FALSE)</f>
        <v>0</v>
      </c>
      <c r="AB237" s="6">
        <f t="shared" si="51"/>
        <v>0</v>
      </c>
      <c r="AC237" s="6">
        <f t="shared" si="41"/>
        <v>285</v>
      </c>
      <c r="AD237" s="6" t="e">
        <f>VLOOKUP($A237,'Rate Calculation'!$A$3:$AR$210,47,FALSE)+AC237</f>
        <v>#REF!</v>
      </c>
      <c r="AE237" s="6"/>
      <c r="AF237" s="6"/>
    </row>
    <row r="238" spans="1:32" x14ac:dyDescent="0.15">
      <c r="A238" s="130">
        <v>1232</v>
      </c>
      <c r="B238" s="1" t="s">
        <v>255</v>
      </c>
      <c r="C238" s="1" t="str">
        <f>VLOOKUP(A238,'Rate Calculation'!$A$4:$F$210,6,FALSE)</f>
        <v>BALTIMORE METRO</v>
      </c>
      <c r="D238" s="4">
        <v>23</v>
      </c>
      <c r="E238" s="6">
        <f>VLOOKUP(A238,'Vent Rate Calculation'!$A$4:$AM$21,39,FALSE)</f>
        <v>710.21</v>
      </c>
      <c r="F238" s="6">
        <f t="shared" si="48"/>
        <v>701.49</v>
      </c>
      <c r="G238" s="6">
        <f t="shared" si="42"/>
        <v>986.49</v>
      </c>
      <c r="H238" s="6">
        <f>VLOOKUP(A238,'Vent Rate Calculation'!$A$4:$AL$21,38,FALSE)+G238</f>
        <v>1010.56</v>
      </c>
      <c r="I238" s="6"/>
      <c r="J238" s="184"/>
      <c r="K238" s="37"/>
      <c r="L238" s="1"/>
      <c r="M238" s="1"/>
      <c r="N238" s="1"/>
      <c r="O238" s="6">
        <f>VLOOKUP($A238,'Vent Rate Calculation'!$A$3:$BR$212,65,FALSE)</f>
        <v>0</v>
      </c>
      <c r="P238" s="6">
        <f t="shared" si="43"/>
        <v>0</v>
      </c>
      <c r="Q238" s="6">
        <f t="shared" si="44"/>
        <v>285</v>
      </c>
      <c r="R238" s="6" t="e">
        <f>VLOOKUP($A238,'Rate Calculation'!$A$3:$AR$210,47,FALSE)+Q238</f>
        <v>#REF!</v>
      </c>
      <c r="S238" s="6"/>
      <c r="T238" s="6"/>
      <c r="U238" s="6">
        <f>VLOOKUP(A238,'Vent Rate Calculation'!$A$3:$DD$212,82,FALSE)</f>
        <v>0</v>
      </c>
      <c r="V238" s="6">
        <f t="shared" si="45"/>
        <v>0</v>
      </c>
      <c r="W238" s="6">
        <f t="shared" si="46"/>
        <v>285</v>
      </c>
      <c r="X238" s="6" t="e">
        <f>VLOOKUP($A238,'Rate Calculation'!$A$3:$AR$210,47,FALSE)+W238</f>
        <v>#REF!</v>
      </c>
      <c r="Y238" s="6"/>
      <c r="Z238" s="1"/>
      <c r="AA238" s="6">
        <f>VLOOKUP(A238,'Vent Rate Calculation'!$A$3:$DD$212,99,FALSE)</f>
        <v>0</v>
      </c>
      <c r="AB238" s="6">
        <f t="shared" si="51"/>
        <v>0</v>
      </c>
      <c r="AC238" s="6">
        <f t="shared" si="41"/>
        <v>285</v>
      </c>
      <c r="AD238" s="6" t="e">
        <f>VLOOKUP($A238,'Rate Calculation'!$A$3:$AR$210,47,FALSE)+AC238</f>
        <v>#REF!</v>
      </c>
      <c r="AE238" s="6"/>
      <c r="AF238" s="1"/>
    </row>
    <row r="239" spans="1:32" x14ac:dyDescent="0.15">
      <c r="A239" s="138">
        <v>290</v>
      </c>
      <c r="B239" s="1" t="s">
        <v>40</v>
      </c>
      <c r="C239" s="1" t="str">
        <f>VLOOKUP(A239,'Rate Calculation'!$A$4:$F$210,6,FALSE)</f>
        <v>BALTIMORE METRO</v>
      </c>
      <c r="D239" s="4">
        <v>1580</v>
      </c>
      <c r="E239" s="6">
        <f>VLOOKUP(A239,'Vent Rate Calculation'!$A$4:$AM$21,39,FALSE)</f>
        <v>705.93</v>
      </c>
      <c r="F239" s="6">
        <f t="shared" si="48"/>
        <v>697.26</v>
      </c>
      <c r="G239" s="6">
        <f t="shared" si="42"/>
        <v>982.26</v>
      </c>
      <c r="H239" s="6">
        <f>VLOOKUP(A239,'Vent Rate Calculation'!$A$4:$AL$21,38,FALSE)+G239</f>
        <v>1006.26</v>
      </c>
      <c r="I239" s="6"/>
      <c r="J239" s="184"/>
      <c r="K239" s="37"/>
      <c r="L239" s="1"/>
      <c r="M239" s="1"/>
      <c r="N239" s="1"/>
      <c r="O239" s="6">
        <f>VLOOKUP($A239,'Vent Rate Calculation'!$A$3:$BR$212,65,FALSE)</f>
        <v>0</v>
      </c>
      <c r="P239" s="6">
        <f t="shared" si="43"/>
        <v>0</v>
      </c>
      <c r="Q239" s="6">
        <f t="shared" si="44"/>
        <v>285</v>
      </c>
      <c r="R239" s="6" t="e">
        <f>VLOOKUP($A239,'Rate Calculation'!$A$3:$AR$210,47,FALSE)+Q239</f>
        <v>#REF!</v>
      </c>
      <c r="S239" s="6"/>
      <c r="T239" s="6"/>
      <c r="U239" s="6">
        <f>VLOOKUP(A239,'Vent Rate Calculation'!$A$3:$DD$212,82,FALSE)</f>
        <v>0</v>
      </c>
      <c r="V239" s="6">
        <f t="shared" si="45"/>
        <v>0</v>
      </c>
      <c r="W239" s="6">
        <f t="shared" si="46"/>
        <v>285</v>
      </c>
      <c r="X239" s="6" t="e">
        <f>VLOOKUP($A239,'Rate Calculation'!$A$3:$AR$210,47,FALSE)+W239</f>
        <v>#REF!</v>
      </c>
      <c r="Y239" s="6"/>
      <c r="Z239" s="1"/>
      <c r="AA239" s="6">
        <f>VLOOKUP(A239,'Vent Rate Calculation'!$A$3:$DD$212,99,FALSE)</f>
        <v>0</v>
      </c>
      <c r="AB239" s="6">
        <f t="shared" si="51"/>
        <v>0</v>
      </c>
      <c r="AC239" s="6">
        <f t="shared" si="41"/>
        <v>285</v>
      </c>
      <c r="AD239" s="6" t="e">
        <f>VLOOKUP($A239,'Rate Calculation'!$A$3:$AR$210,47,FALSE)+AC239</f>
        <v>#REF!</v>
      </c>
      <c r="AE239" s="6"/>
      <c r="AF239" s="1"/>
    </row>
    <row r="240" spans="1:32" x14ac:dyDescent="0.15">
      <c r="A240" s="138">
        <v>286</v>
      </c>
      <c r="B240" s="1" t="s">
        <v>37</v>
      </c>
      <c r="C240" s="1" t="str">
        <f>VLOOKUP(A240,'Rate Calculation'!$A$4:$F$210,6,FALSE)</f>
        <v>BALTIMORE METRO</v>
      </c>
      <c r="D240" s="4">
        <v>1195</v>
      </c>
      <c r="E240" s="6">
        <f>VLOOKUP(A240,'Vent Rate Calculation'!$A$4:$AM$21,39,FALSE)</f>
        <v>708.22</v>
      </c>
      <c r="F240" s="6">
        <f t="shared" si="48"/>
        <v>699.52</v>
      </c>
      <c r="G240" s="6">
        <f t="shared" si="42"/>
        <v>984.52</v>
      </c>
      <c r="H240" s="6">
        <f>VLOOKUP(A240,'Vent Rate Calculation'!$A$4:$AL$21,38,FALSE)+G240</f>
        <v>1008.9</v>
      </c>
      <c r="I240" s="6"/>
      <c r="J240" s="184"/>
      <c r="K240" s="37"/>
      <c r="L240" s="1"/>
      <c r="M240" s="1"/>
      <c r="N240" s="1"/>
      <c r="O240" s="6">
        <f>VLOOKUP($A240,'Vent Rate Calculation'!$A$3:$BR$212,65,FALSE)</f>
        <v>0</v>
      </c>
      <c r="P240" s="6">
        <f t="shared" si="43"/>
        <v>0</v>
      </c>
      <c r="Q240" s="6">
        <f t="shared" si="44"/>
        <v>285</v>
      </c>
      <c r="R240" s="6" t="e">
        <f>VLOOKUP($A240,'Rate Calculation'!$A$3:$AR$210,47,FALSE)+Q240</f>
        <v>#REF!</v>
      </c>
      <c r="S240" s="6"/>
      <c r="T240" s="6"/>
      <c r="U240" s="6">
        <f>VLOOKUP(A240,'Vent Rate Calculation'!$A$3:$DD$212,82,FALSE)</f>
        <v>0</v>
      </c>
      <c r="V240" s="6">
        <f t="shared" si="45"/>
        <v>0</v>
      </c>
      <c r="W240" s="6">
        <f t="shared" si="46"/>
        <v>285</v>
      </c>
      <c r="X240" s="6" t="e">
        <f>VLOOKUP($A240,'Rate Calculation'!$A$3:$AR$210,47,FALSE)+W240</f>
        <v>#REF!</v>
      </c>
      <c r="Y240" s="6"/>
      <c r="Z240" s="1"/>
      <c r="AA240" s="6">
        <f>VLOOKUP(A240,'Vent Rate Calculation'!$A$3:$DD$212,99,FALSE)</f>
        <v>0</v>
      </c>
      <c r="AB240" s="6">
        <f t="shared" si="51"/>
        <v>0</v>
      </c>
      <c r="AC240" s="6">
        <f t="shared" si="41"/>
        <v>285</v>
      </c>
      <c r="AD240" s="6" t="e">
        <f>VLOOKUP($A240,'Rate Calculation'!$A$3:$AR$210,47,FALSE)+AC240</f>
        <v>#REF!</v>
      </c>
      <c r="AE240" s="6"/>
      <c r="AF240" s="1"/>
    </row>
    <row r="241" spans="1:32" x14ac:dyDescent="0.15">
      <c r="A241" s="138">
        <v>294</v>
      </c>
      <c r="B241" s="1" t="s">
        <v>468</v>
      </c>
      <c r="C241" s="1" t="str">
        <f>VLOOKUP(A241,'Rate Calculation'!$A$4:$F$210,6,FALSE)</f>
        <v>BALTIMORE CITY</v>
      </c>
      <c r="D241" s="4">
        <v>3738</v>
      </c>
      <c r="E241" s="6">
        <f>VLOOKUP(A241,'Vent Rate Calculation'!$A$4:$AM$21,39,FALSE)</f>
        <v>633.88</v>
      </c>
      <c r="F241" s="6">
        <f t="shared" ref="F241" si="52">ROUND(E241*$G$12,2)</f>
        <v>626.1</v>
      </c>
      <c r="G241" s="6">
        <f t="shared" si="42"/>
        <v>911.1</v>
      </c>
      <c r="H241" s="6">
        <f>VLOOKUP(A241,'Vent Rate Calculation'!$A$4:$AL$21,38,FALSE)+G241</f>
        <v>913.53</v>
      </c>
      <c r="I241" s="6"/>
      <c r="J241" s="184"/>
      <c r="K241" s="37"/>
      <c r="L241" s="1"/>
      <c r="M241" s="1"/>
      <c r="N241" s="1"/>
      <c r="O241" s="6">
        <f>VLOOKUP($A241,'Vent Rate Calculation'!$A$3:$BR$212,65,FALSE)</f>
        <v>0</v>
      </c>
      <c r="P241" s="6">
        <f t="shared" si="43"/>
        <v>0</v>
      </c>
      <c r="Q241" s="6">
        <f t="shared" si="44"/>
        <v>285</v>
      </c>
      <c r="R241" s="6" t="e">
        <f>VLOOKUP($A241,'Rate Calculation'!$A$3:$AR$210,47,FALSE)+Q241</f>
        <v>#REF!</v>
      </c>
      <c r="S241" s="6"/>
      <c r="T241" s="6"/>
      <c r="U241" s="6">
        <f>VLOOKUP(A241,'Vent Rate Calculation'!$A$3:$DD$212,82,FALSE)</f>
        <v>0</v>
      </c>
      <c r="V241" s="6">
        <f t="shared" si="45"/>
        <v>0</v>
      </c>
      <c r="W241" s="6">
        <f t="shared" si="46"/>
        <v>285</v>
      </c>
      <c r="X241" s="6" t="e">
        <f>VLOOKUP($A241,'Rate Calculation'!$A$3:$AR$210,47,FALSE)+W241</f>
        <v>#REF!</v>
      </c>
      <c r="Y241" s="6"/>
      <c r="Z241" s="1"/>
      <c r="AA241" s="6">
        <f>VLOOKUP(A241,'Vent Rate Calculation'!$A$3:$DD$212,99,FALSE)</f>
        <v>0</v>
      </c>
      <c r="AB241" s="6">
        <f t="shared" si="51"/>
        <v>0</v>
      </c>
      <c r="AC241" s="6">
        <f t="shared" ref="AC241" si="53">+AB241+285</f>
        <v>285</v>
      </c>
      <c r="AD241" s="6" t="e">
        <f>VLOOKUP($A241,'Rate Calculation'!$A$3:$AR$210,47,FALSE)+AC241</f>
        <v>#REF!</v>
      </c>
      <c r="AE241" s="6"/>
      <c r="AF241" s="1"/>
    </row>
    <row r="242" spans="1:32" x14ac:dyDescent="0.15">
      <c r="A242" s="1"/>
      <c r="B242" s="1"/>
      <c r="C242" s="1"/>
      <c r="D242" s="4"/>
      <c r="E242" s="6"/>
      <c r="F242" s="6"/>
      <c r="G242" s="6"/>
      <c r="H242" s="6"/>
      <c r="I242" s="6"/>
      <c r="J242" s="184"/>
      <c r="K242" s="37"/>
      <c r="L242" s="1"/>
      <c r="M242" s="1"/>
      <c r="N242" s="1"/>
      <c r="O242" s="1"/>
      <c r="P242" s="1"/>
      <c r="Q242" s="6"/>
      <c r="R242" s="6"/>
      <c r="S242" s="6"/>
      <c r="T242" s="6"/>
      <c r="U242" s="6"/>
      <c r="V242" s="6"/>
      <c r="W242" s="6"/>
      <c r="X242" s="1"/>
      <c r="Y242" s="6"/>
      <c r="Z242" s="6"/>
      <c r="AA242" s="6"/>
      <c r="AB242" s="6"/>
      <c r="AC242" s="6"/>
      <c r="AD242" s="1"/>
      <c r="AE242" s="6"/>
      <c r="AF242" s="6"/>
    </row>
    <row r="243" spans="1:32" x14ac:dyDescent="0.15">
      <c r="A243" s="37"/>
      <c r="B243" s="1"/>
      <c r="C243" s="1"/>
      <c r="D243" s="37"/>
      <c r="E243" s="6"/>
      <c r="F243" s="6"/>
      <c r="G243" s="6"/>
      <c r="H243" s="6"/>
      <c r="I243" s="6"/>
      <c r="J243" s="6"/>
      <c r="K243" s="1"/>
      <c r="L243" s="1"/>
      <c r="M243" s="1"/>
      <c r="N243" s="1"/>
      <c r="O243" s="1"/>
      <c r="P243" s="1"/>
      <c r="Q243" s="6"/>
      <c r="R243" s="6"/>
      <c r="S243" s="6"/>
      <c r="T243" s="6"/>
      <c r="U243" s="6"/>
      <c r="V243" s="6"/>
      <c r="W243" s="1"/>
      <c r="X243" s="1"/>
      <c r="Y243" s="6"/>
      <c r="Z243" s="6"/>
      <c r="AA243" s="6"/>
      <c r="AB243" s="6"/>
      <c r="AC243" s="6"/>
      <c r="AD243" s="6"/>
      <c r="AE243" s="1"/>
      <c r="AF243" s="1"/>
    </row>
    <row r="244" spans="1:32" x14ac:dyDescent="0.15">
      <c r="A244" s="37">
        <v>1</v>
      </c>
      <c r="B244" s="37">
        <f>+A244+1</f>
        <v>2</v>
      </c>
      <c r="C244" s="37">
        <f t="shared" ref="C244:AF244" si="54">+B244+1</f>
        <v>3</v>
      </c>
      <c r="D244" s="37">
        <f t="shared" si="54"/>
        <v>4</v>
      </c>
      <c r="E244" s="37">
        <f t="shared" si="54"/>
        <v>5</v>
      </c>
      <c r="F244" s="37">
        <f t="shared" si="54"/>
        <v>6</v>
      </c>
      <c r="G244" s="37">
        <f t="shared" si="54"/>
        <v>7</v>
      </c>
      <c r="H244" s="37">
        <f t="shared" si="54"/>
        <v>8</v>
      </c>
      <c r="I244" s="37">
        <f t="shared" si="54"/>
        <v>9</v>
      </c>
      <c r="J244" s="37">
        <f t="shared" si="54"/>
        <v>10</v>
      </c>
      <c r="K244" s="37">
        <f t="shared" si="54"/>
        <v>11</v>
      </c>
      <c r="L244" s="37">
        <f t="shared" si="54"/>
        <v>12</v>
      </c>
      <c r="M244" s="37">
        <f t="shared" si="54"/>
        <v>13</v>
      </c>
      <c r="N244" s="37">
        <f t="shared" si="54"/>
        <v>14</v>
      </c>
      <c r="O244" s="37">
        <f t="shared" si="54"/>
        <v>15</v>
      </c>
      <c r="P244" s="37">
        <f t="shared" si="54"/>
        <v>16</v>
      </c>
      <c r="Q244" s="37">
        <f t="shared" si="54"/>
        <v>17</v>
      </c>
      <c r="R244" s="37">
        <f t="shared" si="54"/>
        <v>18</v>
      </c>
      <c r="S244" s="37">
        <f t="shared" si="54"/>
        <v>19</v>
      </c>
      <c r="T244" s="37">
        <f t="shared" si="54"/>
        <v>20</v>
      </c>
      <c r="U244" s="37">
        <f t="shared" si="54"/>
        <v>21</v>
      </c>
      <c r="V244" s="37">
        <f t="shared" si="54"/>
        <v>22</v>
      </c>
      <c r="W244" s="37">
        <f t="shared" si="54"/>
        <v>23</v>
      </c>
      <c r="X244" s="37">
        <f t="shared" si="54"/>
        <v>24</v>
      </c>
      <c r="Y244" s="37">
        <f t="shared" si="54"/>
        <v>25</v>
      </c>
      <c r="Z244" s="37">
        <f t="shared" si="54"/>
        <v>26</v>
      </c>
      <c r="AA244" s="37">
        <f t="shared" si="54"/>
        <v>27</v>
      </c>
      <c r="AB244" s="37">
        <f t="shared" si="54"/>
        <v>28</v>
      </c>
      <c r="AC244" s="37">
        <f t="shared" si="54"/>
        <v>29</v>
      </c>
      <c r="AD244" s="37">
        <f t="shared" si="54"/>
        <v>30</v>
      </c>
      <c r="AE244" s="37">
        <f t="shared" si="54"/>
        <v>31</v>
      </c>
      <c r="AF244" s="37">
        <f t="shared" si="54"/>
        <v>32</v>
      </c>
    </row>
  </sheetData>
  <sortState xmlns:xlrd2="http://schemas.microsoft.com/office/spreadsheetml/2017/richdata2" ref="I226:K243">
    <sortCondition ref="I226:I243"/>
  </sortState>
  <mergeCells count="4">
    <mergeCell ref="E3:I3"/>
    <mergeCell ref="O3:R3"/>
    <mergeCell ref="U3:X3"/>
    <mergeCell ref="AA3:AD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9"/>
  <dimension ref="A1:M276"/>
  <sheetViews>
    <sheetView zoomScaleNormal="100" workbookViewId="0">
      <selection activeCell="B4" sqref="B4:E4"/>
    </sheetView>
  </sheetViews>
  <sheetFormatPr baseColWidth="10" defaultColWidth="9.3984375" defaultRowHeight="16" x14ac:dyDescent="0.25"/>
  <cols>
    <col min="1" max="1" width="12.3984375" style="9" customWidth="1"/>
    <col min="2" max="2" width="80.19921875" style="7" customWidth="1"/>
    <col min="3" max="3" width="20.19921875" style="7" customWidth="1"/>
    <col min="4" max="4" width="15" style="7" customWidth="1"/>
    <col min="5" max="5" width="21.3984375" style="7" customWidth="1"/>
    <col min="6" max="6" width="12" style="7" customWidth="1"/>
    <col min="7" max="7" width="5.19921875" style="7" bestFit="1" customWidth="1"/>
    <col min="8" max="8" width="15" style="7" customWidth="1"/>
    <col min="9" max="9" width="12.3984375" style="7" customWidth="1"/>
    <col min="10" max="10" width="9.796875" style="7" bestFit="1" customWidth="1"/>
    <col min="11" max="18" width="9.3984375" style="7"/>
    <col min="19" max="19" width="12.3984375" style="7" customWidth="1"/>
    <col min="20" max="20" width="10.796875" style="7" bestFit="1" customWidth="1"/>
    <col min="21" max="16384" width="9.3984375" style="7"/>
  </cols>
  <sheetData>
    <row r="1" spans="1:13" ht="21" x14ac:dyDescent="0.3">
      <c r="B1" s="315" t="str">
        <f>+H1&amp;TEXT($I$1," mm/dd/yyyy")</f>
        <v>Issued 07/16/2025</v>
      </c>
      <c r="C1" s="316"/>
      <c r="D1" s="316"/>
      <c r="E1" s="317"/>
      <c r="F1" s="42"/>
      <c r="H1" s="62" t="s">
        <v>443</v>
      </c>
      <c r="I1" s="127">
        <v>45854</v>
      </c>
    </row>
    <row r="2" spans="1:13" ht="15.75" customHeight="1" x14ac:dyDescent="0.25">
      <c r="B2" s="318" t="s">
        <v>266</v>
      </c>
      <c r="C2" s="319"/>
      <c r="D2" s="319"/>
      <c r="E2" s="320"/>
      <c r="F2" s="327" t="str">
        <f>IFERROR(IF(OR(I16&lt;&gt;0,OR(I9&lt;&gt;0,I13&lt;&gt;0)),"XX",""),"XX")</f>
        <v/>
      </c>
      <c r="M2" s="7" t="s">
        <v>303</v>
      </c>
    </row>
    <row r="3" spans="1:13" ht="15.75" customHeight="1" x14ac:dyDescent="0.25">
      <c r="B3" s="318" t="s">
        <v>1774</v>
      </c>
      <c r="C3" s="319"/>
      <c r="D3" s="319"/>
      <c r="E3" s="320"/>
      <c r="F3" s="327"/>
      <c r="G3" s="7">
        <v>189</v>
      </c>
      <c r="H3" s="8">
        <f>VALUE(INDEX('Rate Calculation'!$A$4:$B$210,G3,1))</f>
        <v>176</v>
      </c>
      <c r="I3" s="7" t="str">
        <f>VLOOKUP(H3,'Rate Calculation'!$A$4:$CQ$210,43,FALSE)</f>
        <v>Frostburg Village Rehab Center</v>
      </c>
      <c r="M3" s="7" t="str">
        <f>VLOOKUP(H3,'Rate Calculation'!A4:CQ210,44,FALSE)</f>
        <v>200000000125_20250701_RateLetter</v>
      </c>
    </row>
    <row r="4" spans="1:13" ht="15.75" customHeight="1" x14ac:dyDescent="0.25">
      <c r="B4" s="318" t="str">
        <f>"Provider #:  "&amp;VLOOKUP(H3,'Rate Calculation'!$A$4:$CQ$210,42,FALSE)</f>
        <v>Provider #:  199733500</v>
      </c>
      <c r="C4" s="319"/>
      <c r="D4" s="319"/>
      <c r="E4" s="320"/>
      <c r="F4" s="327"/>
    </row>
    <row r="5" spans="1:13" ht="19.5" customHeight="1" thickBot="1" x14ac:dyDescent="0.3">
      <c r="B5" s="328" t="str">
        <f>+"Provider Name: "&amp;$I$3</f>
        <v>Provider Name: Frostburg Village Rehab Center</v>
      </c>
      <c r="C5" s="329"/>
      <c r="D5" s="329"/>
      <c r="E5" s="330"/>
      <c r="F5" s="327"/>
    </row>
    <row r="6" spans="1:13" ht="17.25" customHeight="1" thickBot="1" x14ac:dyDescent="0.3">
      <c r="A6" s="7"/>
    </row>
    <row r="7" spans="1:13" ht="17.25" customHeight="1" x14ac:dyDescent="0.25">
      <c r="A7" s="97"/>
      <c r="B7" s="52" t="s">
        <v>294</v>
      </c>
      <c r="C7" s="43" t="s">
        <v>267</v>
      </c>
      <c r="D7" s="43" t="s">
        <v>268</v>
      </c>
      <c r="E7" s="44" t="s">
        <v>269</v>
      </c>
      <c r="I7" s="10">
        <f>+E9</f>
        <v>322.02</v>
      </c>
      <c r="J7" s="7" t="s">
        <v>352</v>
      </c>
    </row>
    <row r="8" spans="1:13" customFormat="1" ht="18" x14ac:dyDescent="0.25">
      <c r="A8" s="97"/>
      <c r="B8" s="323" t="s">
        <v>270</v>
      </c>
      <c r="C8" s="324"/>
      <c r="D8" s="324"/>
      <c r="E8" s="325"/>
      <c r="F8" s="7"/>
      <c r="I8" s="57">
        <f>VLOOKUP(H3,'Phase In Option'!A16:H220,8,FALSE)</f>
        <v>322.02</v>
      </c>
      <c r="J8" s="7" t="s">
        <v>341</v>
      </c>
    </row>
    <row r="9" spans="1:13" customFormat="1" ht="53.25" customHeight="1" x14ac:dyDescent="0.25">
      <c r="A9" s="97"/>
      <c r="B9" s="45" t="s">
        <v>298</v>
      </c>
      <c r="C9" s="38" t="s">
        <v>271</v>
      </c>
      <c r="D9" s="46" t="s">
        <v>246</v>
      </c>
      <c r="E9" s="48">
        <f>+E33+E34</f>
        <v>322.02</v>
      </c>
      <c r="F9" s="159"/>
      <c r="I9" s="10">
        <f>+I8-I7</f>
        <v>0</v>
      </c>
    </row>
    <row r="10" spans="1:13" customFormat="1" ht="53.25" customHeight="1" x14ac:dyDescent="0.25">
      <c r="A10" s="97"/>
      <c r="B10" s="45" t="s">
        <v>299</v>
      </c>
      <c r="C10" s="38" t="s">
        <v>272</v>
      </c>
      <c r="D10" s="46" t="s">
        <v>247</v>
      </c>
      <c r="E10" s="48">
        <f>+E34+E91</f>
        <v>248.78</v>
      </c>
      <c r="F10" s="7"/>
    </row>
    <row r="11" spans="1:13" customFormat="1" ht="53.25" customHeight="1" x14ac:dyDescent="0.25">
      <c r="A11" s="97"/>
      <c r="B11" s="45" t="s">
        <v>300</v>
      </c>
      <c r="C11" s="38" t="s">
        <v>273</v>
      </c>
      <c r="D11" s="46" t="s">
        <v>248</v>
      </c>
      <c r="E11" s="48">
        <f>+E34+E92</f>
        <v>171.87</v>
      </c>
      <c r="F11" s="7"/>
      <c r="I11" s="10">
        <f>+E11</f>
        <v>171.87</v>
      </c>
      <c r="J11" s="7" t="s">
        <v>334</v>
      </c>
    </row>
    <row r="12" spans="1:13" customFormat="1" ht="53.25" customHeight="1" x14ac:dyDescent="0.25">
      <c r="A12" s="97"/>
      <c r="B12" s="45" t="s">
        <v>274</v>
      </c>
      <c r="C12" s="40" t="s">
        <v>275</v>
      </c>
      <c r="D12" s="46" t="s">
        <v>245</v>
      </c>
      <c r="E12" s="47" t="s">
        <v>276</v>
      </c>
      <c r="F12" s="7"/>
      <c r="I12" s="57">
        <f>VLOOKUP(H3,'Rate Calculation'!$A$4:$AO$208,41,FALSE)+E34</f>
        <v>171.87</v>
      </c>
      <c r="J12" s="7" t="s">
        <v>341</v>
      </c>
    </row>
    <row r="13" spans="1:13" customFormat="1" ht="17.25" customHeight="1" x14ac:dyDescent="0.25">
      <c r="A13" s="97"/>
      <c r="B13" s="323" t="s">
        <v>277</v>
      </c>
      <c r="C13" s="324"/>
      <c r="D13" s="324"/>
      <c r="E13" s="325"/>
      <c r="F13" s="7"/>
      <c r="I13" s="10">
        <f>+I12-I11</f>
        <v>0</v>
      </c>
    </row>
    <row r="14" spans="1:13" customFormat="1" ht="53.25" customHeight="1" x14ac:dyDescent="0.25">
      <c r="A14" s="97"/>
      <c r="B14" s="45" t="s">
        <v>278</v>
      </c>
      <c r="C14" s="38" t="s">
        <v>279</v>
      </c>
      <c r="D14" s="46" t="s">
        <v>250</v>
      </c>
      <c r="E14" s="48">
        <v>23.13</v>
      </c>
      <c r="F14" s="7"/>
      <c r="I14" s="10">
        <f>+E10</f>
        <v>248.78</v>
      </c>
      <c r="J14" s="7" t="s">
        <v>150</v>
      </c>
    </row>
    <row r="15" spans="1:13" customFormat="1" ht="53.25" customHeight="1" x14ac:dyDescent="0.3">
      <c r="A15" s="97"/>
      <c r="B15" s="45" t="s">
        <v>280</v>
      </c>
      <c r="C15" s="38" t="s">
        <v>281</v>
      </c>
      <c r="D15" s="46" t="s">
        <v>252</v>
      </c>
      <c r="E15" s="48">
        <v>92.14</v>
      </c>
      <c r="F15" s="11"/>
      <c r="I15" s="57">
        <f>VLOOKUP($H$3,'Rate Calculation'!$A$4:$AO$208,40,FALSE)+E34</f>
        <v>248.78</v>
      </c>
      <c r="J15" s="7" t="s">
        <v>341</v>
      </c>
    </row>
    <row r="16" spans="1:13" customFormat="1" ht="53.25" customHeight="1" x14ac:dyDescent="0.3">
      <c r="A16" s="97"/>
      <c r="B16" s="45" t="s">
        <v>282</v>
      </c>
      <c r="C16" s="38" t="s">
        <v>287</v>
      </c>
      <c r="D16" s="46" t="s">
        <v>253</v>
      </c>
      <c r="E16" s="48">
        <v>2.0499999999999998</v>
      </c>
      <c r="F16" s="11"/>
      <c r="I16" s="10">
        <f>+I15-I14</f>
        <v>0</v>
      </c>
    </row>
    <row r="17" spans="1:9" customFormat="1" ht="53.25" customHeight="1" x14ac:dyDescent="0.3">
      <c r="A17" s="97"/>
      <c r="B17" s="45" t="s">
        <v>283</v>
      </c>
      <c r="C17" s="38" t="s">
        <v>284</v>
      </c>
      <c r="D17" s="46" t="s">
        <v>251</v>
      </c>
      <c r="E17" s="48">
        <v>5.49</v>
      </c>
      <c r="F17" s="11"/>
    </row>
    <row r="18" spans="1:9" customFormat="1" ht="53.25" customHeight="1" x14ac:dyDescent="0.3">
      <c r="A18" s="97"/>
      <c r="B18" s="45" t="s">
        <v>285</v>
      </c>
      <c r="C18" s="38" t="s">
        <v>304</v>
      </c>
      <c r="D18" s="46" t="s">
        <v>249</v>
      </c>
      <c r="E18" s="48">
        <v>116.41</v>
      </c>
      <c r="F18" s="11"/>
    </row>
    <row r="19" spans="1:9" customFormat="1" ht="53.25" customHeight="1" thickBot="1" x14ac:dyDescent="0.35">
      <c r="A19" s="97"/>
      <c r="B19" s="49" t="s">
        <v>286</v>
      </c>
      <c r="C19" s="39" t="s">
        <v>287</v>
      </c>
      <c r="D19" s="50" t="s">
        <v>288</v>
      </c>
      <c r="E19" s="51" t="s">
        <v>289</v>
      </c>
      <c r="F19" s="11"/>
    </row>
    <row r="20" spans="1:9" x14ac:dyDescent="0.25">
      <c r="A20" s="7"/>
      <c r="B20" s="7" t="s">
        <v>290</v>
      </c>
      <c r="H20"/>
      <c r="I20"/>
    </row>
    <row r="21" spans="1:9" x14ac:dyDescent="0.25">
      <c r="A21" s="7"/>
      <c r="B21" s="7" t="s">
        <v>291</v>
      </c>
      <c r="H21" s="10"/>
    </row>
    <row r="22" spans="1:9" customFormat="1" ht="13" x14ac:dyDescent="0.15"/>
    <row r="23" spans="1:9" customFormat="1" ht="18" x14ac:dyDescent="0.25">
      <c r="A23" s="9"/>
      <c r="B23" s="326" t="s">
        <v>1825</v>
      </c>
      <c r="C23" s="326"/>
      <c r="D23" s="326"/>
      <c r="E23" s="326"/>
      <c r="F23" s="42" t="s">
        <v>307</v>
      </c>
    </row>
    <row r="24" spans="1:9" customFormat="1" ht="18" x14ac:dyDescent="0.25">
      <c r="A24" s="9"/>
      <c r="B24" s="319" t="str">
        <f>I3</f>
        <v>Frostburg Village Rehab Center</v>
      </c>
      <c r="C24" s="319"/>
      <c r="D24" s="319"/>
      <c r="E24" s="319"/>
      <c r="F24" s="42"/>
    </row>
    <row r="25" spans="1:9" customFormat="1" ht="17" x14ac:dyDescent="0.25">
      <c r="A25" s="9"/>
      <c r="B25" s="9" t="s">
        <v>143</v>
      </c>
      <c r="C25" s="20"/>
      <c r="D25" s="20"/>
      <c r="E25" s="20" t="s">
        <v>293</v>
      </c>
      <c r="F25" s="7"/>
    </row>
    <row r="26" spans="1:9" customFormat="1" x14ac:dyDescent="0.25">
      <c r="A26" s="9">
        <v>1</v>
      </c>
      <c r="B26" s="7" t="s">
        <v>1846</v>
      </c>
      <c r="D26" s="17"/>
      <c r="E26" s="17">
        <f>+E49</f>
        <v>92.33</v>
      </c>
      <c r="F26" s="7"/>
    </row>
    <row r="27" spans="1:9" customFormat="1" x14ac:dyDescent="0.25">
      <c r="A27" s="9">
        <v>2</v>
      </c>
      <c r="B27" s="7" t="s">
        <v>1847</v>
      </c>
      <c r="D27" s="17"/>
      <c r="E27" s="17">
        <f>+E53</f>
        <v>20.87</v>
      </c>
      <c r="F27" s="7"/>
    </row>
    <row r="28" spans="1:9" customFormat="1" x14ac:dyDescent="0.25">
      <c r="A28" s="9">
        <v>3</v>
      </c>
      <c r="B28" s="7" t="s">
        <v>1848</v>
      </c>
      <c r="D28" s="17"/>
      <c r="E28" s="17">
        <f>+E71</f>
        <v>31.75</v>
      </c>
      <c r="F28" s="7"/>
    </row>
    <row r="29" spans="1:9" customFormat="1" x14ac:dyDescent="0.25">
      <c r="A29" s="9">
        <v>4</v>
      </c>
      <c r="B29" s="7" t="s">
        <v>1859</v>
      </c>
      <c r="D29" s="17"/>
      <c r="E29" s="17">
        <f>+E83</f>
        <v>153.82</v>
      </c>
      <c r="F29" s="7"/>
    </row>
    <row r="30" spans="1:9" customFormat="1" x14ac:dyDescent="0.25">
      <c r="A30" s="9">
        <v>5</v>
      </c>
      <c r="B30" s="7" t="s">
        <v>295</v>
      </c>
      <c r="D30" s="17"/>
      <c r="E30" s="17">
        <f>VLOOKUP($H$3,'Rate Calculation'!$A$4:$AZ$208,34,FALSE)</f>
        <v>0</v>
      </c>
      <c r="F30" s="7"/>
    </row>
    <row r="31" spans="1:9" customFormat="1" x14ac:dyDescent="0.25">
      <c r="A31" s="9">
        <v>6</v>
      </c>
      <c r="B31" s="7" t="s">
        <v>536</v>
      </c>
      <c r="D31" s="41"/>
      <c r="E31" s="17">
        <f>SUM(E26:E30)</f>
        <v>298.77</v>
      </c>
      <c r="F31" s="7"/>
    </row>
    <row r="32" spans="1:9" customFormat="1" x14ac:dyDescent="0.25">
      <c r="A32" s="9">
        <f>+A31+1</f>
        <v>7</v>
      </c>
      <c r="B32" s="7" t="s">
        <v>340</v>
      </c>
      <c r="D32" s="41"/>
      <c r="E32" s="58">
        <f>+_baf</f>
        <v>0.98772000000000004</v>
      </c>
      <c r="F32" s="7"/>
    </row>
    <row r="33" spans="1:6" customFormat="1" x14ac:dyDescent="0.25">
      <c r="A33" s="9">
        <f t="shared" ref="A33:A34" si="0">+A32+1</f>
        <v>8</v>
      </c>
      <c r="B33" s="7" t="s">
        <v>535</v>
      </c>
      <c r="D33" s="41"/>
      <c r="E33" s="41">
        <f>ROUND(E31*E32,2)</f>
        <v>295.10000000000002</v>
      </c>
      <c r="F33" s="7"/>
    </row>
    <row r="34" spans="1:6" customFormat="1" x14ac:dyDescent="0.25">
      <c r="A34" s="9">
        <f t="shared" si="0"/>
        <v>9</v>
      </c>
      <c r="B34" s="7" t="s">
        <v>218</v>
      </c>
      <c r="D34" s="17"/>
      <c r="E34" s="17">
        <f>VLOOKUP($H$3,'Rate Calculation'!$A$4:$AL$208,38,FALSE)</f>
        <v>26.92</v>
      </c>
      <c r="F34" s="7"/>
    </row>
    <row r="35" spans="1:6" x14ac:dyDescent="0.25">
      <c r="C35" s="17"/>
      <c r="D35" s="17"/>
      <c r="E35" s="17"/>
    </row>
    <row r="36" spans="1:6" ht="18" x14ac:dyDescent="0.25">
      <c r="B36" s="326" t="s">
        <v>257</v>
      </c>
      <c r="C36" s="326"/>
      <c r="D36" s="326"/>
      <c r="E36" s="326"/>
      <c r="F36" s="13"/>
    </row>
    <row r="37" spans="1:6" ht="18" x14ac:dyDescent="0.25">
      <c r="A37" s="9">
        <f>+A34+1</f>
        <v>10</v>
      </c>
      <c r="B37" s="15" t="s">
        <v>773</v>
      </c>
      <c r="C37" s="12"/>
      <c r="D37" s="12"/>
      <c r="E37" s="197">
        <f>VLOOKUP($H$3,'Rate Calculation'!$A$4:$I$208,9,FALSE)</f>
        <v>1.3543000000000001</v>
      </c>
      <c r="F37" s="8"/>
    </row>
    <row r="38" spans="1:6" ht="18" x14ac:dyDescent="0.25">
      <c r="A38" s="9">
        <f t="shared" ref="A38:A39" si="1">+A37+1</f>
        <v>11</v>
      </c>
      <c r="B38" s="7" t="s">
        <v>258</v>
      </c>
      <c r="C38" s="12"/>
      <c r="D38" s="12"/>
      <c r="E38" s="198">
        <f>+SW_CR_CMI</f>
        <v>1.4432</v>
      </c>
    </row>
    <row r="39" spans="1:6" ht="18" x14ac:dyDescent="0.25">
      <c r="A39" s="9">
        <f t="shared" si="1"/>
        <v>12</v>
      </c>
      <c r="B39" s="15" t="s">
        <v>1834</v>
      </c>
      <c r="C39" s="12"/>
      <c r="D39" s="12"/>
      <c r="E39" s="199">
        <f>VLOOKUP($H$3,'Rate Calculation'!$A$4:$M$208,13,FALSE)</f>
        <v>1.33</v>
      </c>
      <c r="F39" s="8"/>
    </row>
    <row r="40" spans="1:6" x14ac:dyDescent="0.25">
      <c r="B40" s="15"/>
      <c r="C40" s="14"/>
      <c r="D40" s="14"/>
      <c r="E40" s="8"/>
      <c r="F40" s="8"/>
    </row>
    <row r="41" spans="1:6" ht="18" x14ac:dyDescent="0.25">
      <c r="B41" s="326" t="s">
        <v>339</v>
      </c>
      <c r="C41" s="326"/>
      <c r="D41" s="326"/>
      <c r="E41" s="326"/>
      <c r="F41" s="8"/>
    </row>
    <row r="42" spans="1:6" ht="18" x14ac:dyDescent="0.25">
      <c r="A42" s="9">
        <f>+A39+1</f>
        <v>13</v>
      </c>
      <c r="B42" s="7" t="s">
        <v>169</v>
      </c>
      <c r="C42" s="12"/>
      <c r="D42" s="12"/>
      <c r="E42" s="201">
        <f>VLOOKUP($H$3,FRV!$A$4:$K$208,11,FALSE)</f>
        <v>48312</v>
      </c>
      <c r="F42" s="8"/>
    </row>
    <row r="43" spans="1:6" ht="18" x14ac:dyDescent="0.25">
      <c r="A43" s="9">
        <f>+A42+1</f>
        <v>14</v>
      </c>
      <c r="B43" s="7" t="str">
        <f>+"Annualized Days at Occupancy Threshold (Line 13 x .8153)"</f>
        <v>Annualized Days at Occupancy Threshold (Line 13 x .8153)</v>
      </c>
      <c r="C43" s="12"/>
      <c r="D43" s="12"/>
      <c r="E43" s="201">
        <f>ROUND(E42*Min_Occ,0)</f>
        <v>39389</v>
      </c>
      <c r="F43" s="8"/>
    </row>
    <row r="44" spans="1:6" ht="18" x14ac:dyDescent="0.25">
      <c r="A44" s="9">
        <f t="shared" ref="A44:A45" si="2">+A43+1</f>
        <v>15</v>
      </c>
      <c r="B44" s="7" t="s">
        <v>170</v>
      </c>
      <c r="C44" s="12"/>
      <c r="D44" s="12"/>
      <c r="E44" s="201">
        <f>VLOOKUP($H$3,FRV!$A$4:$L$208,12,FALSE)</f>
        <v>39179</v>
      </c>
      <c r="F44" s="10"/>
    </row>
    <row r="45" spans="1:6" ht="18" x14ac:dyDescent="0.25">
      <c r="A45" s="9">
        <f t="shared" si="2"/>
        <v>16</v>
      </c>
      <c r="B45" s="7" t="s">
        <v>1835</v>
      </c>
      <c r="C45" s="12"/>
      <c r="D45" s="12"/>
      <c r="E45" s="200">
        <f>Inflation!$G$24</f>
        <v>1.0309999999999999</v>
      </c>
      <c r="F45" s="10"/>
    </row>
    <row r="46" spans="1:6" x14ac:dyDescent="0.25">
      <c r="B46" s="331"/>
      <c r="C46" s="331"/>
      <c r="D46" s="9"/>
      <c r="F46" s="9"/>
    </row>
    <row r="47" spans="1:6" ht="18" x14ac:dyDescent="0.25">
      <c r="A47" s="202" t="s">
        <v>617</v>
      </c>
      <c r="B47" s="203"/>
      <c r="C47" s="12"/>
      <c r="D47" s="12"/>
      <c r="E47" s="204" t="str">
        <f>"Region: "&amp;VLOOKUP($H$3,'Rate Calculation'!$A$4:$F$210,6,FALSE)</f>
        <v>Region: NON METRO</v>
      </c>
      <c r="F47" s="10"/>
    </row>
    <row r="48" spans="1:6" ht="18" x14ac:dyDescent="0.25">
      <c r="A48" s="9">
        <f>+A45+1</f>
        <v>17</v>
      </c>
      <c r="B48" s="7" t="s">
        <v>1836</v>
      </c>
      <c r="C48" s="12"/>
      <c r="D48" s="12"/>
      <c r="E48" s="244">
        <f>VLOOKUP($H$3,'Rate Calculation'!$A$3:$AQ$210,24,FALSE)</f>
        <v>89.55</v>
      </c>
      <c r="F48" s="10"/>
    </row>
    <row r="49" spans="1:6" ht="18" x14ac:dyDescent="0.25">
      <c r="A49" s="9">
        <f>+A48+1</f>
        <v>18</v>
      </c>
      <c r="B49" s="7" t="s">
        <v>1837</v>
      </c>
      <c r="C49" s="12"/>
      <c r="D49" s="12"/>
      <c r="E49" s="244">
        <f>ROUND(E48*E45,2)</f>
        <v>92.33</v>
      </c>
      <c r="F49" s="10"/>
    </row>
    <row r="50" spans="1:6" ht="18" x14ac:dyDescent="0.25">
      <c r="B50" s="12"/>
      <c r="C50" s="12"/>
      <c r="D50" s="12"/>
      <c r="F50" s="9"/>
    </row>
    <row r="51" spans="1:6" ht="18" x14ac:dyDescent="0.25">
      <c r="A51" s="202" t="s">
        <v>615</v>
      </c>
      <c r="B51" s="203"/>
      <c r="C51" s="12"/>
      <c r="D51" s="12"/>
      <c r="E51" s="204" t="str">
        <f>"Region: "&amp;VLOOKUP($H$3,'Rate Calculation'!$A$4:$F$210,6,FALSE)</f>
        <v>Region: NON METRO</v>
      </c>
      <c r="F51" s="10"/>
    </row>
    <row r="52" spans="1:6" ht="18" x14ac:dyDescent="0.25">
      <c r="A52" s="9">
        <f>+A49+1</f>
        <v>19</v>
      </c>
      <c r="B52" s="7" t="s">
        <v>1836</v>
      </c>
      <c r="C52" s="12"/>
      <c r="D52" s="12"/>
      <c r="E52" s="17">
        <f>VLOOKUP($H$3,'Rate Calculation'!$A$4:$Z$208,22,FALSE)</f>
        <v>20.239999999999998</v>
      </c>
      <c r="F52" s="10"/>
    </row>
    <row r="53" spans="1:6" ht="18" x14ac:dyDescent="0.25">
      <c r="A53" s="9">
        <f>+A52+1</f>
        <v>20</v>
      </c>
      <c r="B53" s="7" t="s">
        <v>1838</v>
      </c>
      <c r="C53" s="12"/>
      <c r="D53" s="12"/>
      <c r="E53" s="244">
        <f>ROUND(E52*E45,2)</f>
        <v>20.87</v>
      </c>
      <c r="F53" s="10"/>
    </row>
    <row r="54" spans="1:6" ht="17.25" customHeight="1" x14ac:dyDescent="0.25">
      <c r="A54" s="7"/>
    </row>
    <row r="55" spans="1:6" ht="18" x14ac:dyDescent="0.25">
      <c r="A55" s="202" t="s">
        <v>616</v>
      </c>
      <c r="B55" s="12"/>
      <c r="C55" s="12"/>
      <c r="D55" s="12"/>
      <c r="E55" s="10"/>
      <c r="F55" s="10"/>
    </row>
    <row r="56" spans="1:6" ht="18" x14ac:dyDescent="0.25">
      <c r="A56" s="9">
        <f>+A53+1</f>
        <v>21</v>
      </c>
      <c r="B56" s="7" t="s">
        <v>30</v>
      </c>
      <c r="C56" s="12"/>
      <c r="D56" s="12"/>
      <c r="E56" s="205">
        <f>VLOOKUP($H$3,FRV!$A$3:$U$208,4,FALSE)</f>
        <v>45474</v>
      </c>
    </row>
    <row r="57" spans="1:6" ht="18" x14ac:dyDescent="0.25">
      <c r="A57" s="9">
        <f>+A56+1</f>
        <v>22</v>
      </c>
      <c r="B57" s="7" t="s">
        <v>171</v>
      </c>
      <c r="C57" s="12"/>
      <c r="D57" s="12"/>
      <c r="E57" s="205">
        <f>VLOOKUP($H$3,FRV!$A$3:$U$208,6,FALSE)</f>
        <v>45657</v>
      </c>
    </row>
    <row r="58" spans="1:6" ht="18" x14ac:dyDescent="0.25">
      <c r="A58" s="9">
        <f t="shared" ref="A58:A71" si="3">+A57+1</f>
        <v>23</v>
      </c>
      <c r="B58" s="7" t="s">
        <v>27</v>
      </c>
      <c r="C58" s="12"/>
      <c r="D58" s="12"/>
      <c r="E58" s="206">
        <f>VLOOKUP($H$3,FRV!$A$3:$U$208,13,FALSE)</f>
        <v>12331989</v>
      </c>
    </row>
    <row r="59" spans="1:6" ht="18" x14ac:dyDescent="0.25">
      <c r="A59" s="9">
        <f t="shared" si="3"/>
        <v>24</v>
      </c>
      <c r="B59" s="7" t="s">
        <v>28</v>
      </c>
      <c r="C59" s="12"/>
      <c r="D59" s="12"/>
      <c r="E59" s="206">
        <f>VLOOKUP($H$3,FRV!$A$3:$U$208,15,FALSE)</f>
        <v>225363</v>
      </c>
    </row>
    <row r="60" spans="1:6" ht="18" x14ac:dyDescent="0.25">
      <c r="A60" s="9">
        <f t="shared" si="3"/>
        <v>25</v>
      </c>
      <c r="B60" s="7" t="s">
        <v>31</v>
      </c>
      <c r="C60" s="12"/>
      <c r="D60" s="12"/>
      <c r="E60" s="206">
        <f>VLOOKUP($H$3,FRV!$A$3:$U$208,14,FALSE)</f>
        <v>13000</v>
      </c>
    </row>
    <row r="61" spans="1:6" ht="18" x14ac:dyDescent="0.25">
      <c r="A61" s="9">
        <f t="shared" si="3"/>
        <v>26</v>
      </c>
      <c r="B61" s="8" t="s">
        <v>259</v>
      </c>
      <c r="C61" s="12"/>
      <c r="D61" s="12"/>
      <c r="E61" s="206">
        <f>VLOOKUP($H$3,FRV!$A$3:$U$208,7,FALSE)</f>
        <v>132</v>
      </c>
    </row>
    <row r="62" spans="1:6" ht="18" x14ac:dyDescent="0.25">
      <c r="A62" s="9">
        <f t="shared" si="3"/>
        <v>27</v>
      </c>
      <c r="B62" s="7" t="s">
        <v>1839</v>
      </c>
      <c r="C62" s="12"/>
      <c r="D62" s="12"/>
      <c r="E62" s="201">
        <f>+E58+E59+(E60*E61)</f>
        <v>14273352</v>
      </c>
    </row>
    <row r="63" spans="1:6" ht="18" x14ac:dyDescent="0.25">
      <c r="A63" s="9">
        <f t="shared" si="3"/>
        <v>28</v>
      </c>
      <c r="B63" s="7" t="s">
        <v>1840</v>
      </c>
      <c r="C63" s="12"/>
      <c r="D63" s="12"/>
      <c r="E63" s="201">
        <f>ROUND(E62/E61,0)</f>
        <v>108131</v>
      </c>
    </row>
    <row r="64" spans="1:6" ht="18" x14ac:dyDescent="0.25">
      <c r="A64" s="9">
        <f t="shared" si="3"/>
        <v>29</v>
      </c>
      <c r="B64" s="7" t="s">
        <v>260</v>
      </c>
      <c r="C64" s="12"/>
      <c r="D64" s="12"/>
      <c r="E64" s="201">
        <v>120000</v>
      </c>
    </row>
    <row r="65" spans="1:6" ht="18" x14ac:dyDescent="0.25">
      <c r="A65" s="9">
        <f t="shared" si="3"/>
        <v>30</v>
      </c>
      <c r="B65" s="7" t="s">
        <v>1841</v>
      </c>
      <c r="C65" s="12"/>
      <c r="D65" s="12"/>
      <c r="E65" s="201">
        <f>ROUND(IF(E63=0,120000,IF(E63&gt;E64,E64,E63)),2)</f>
        <v>108131</v>
      </c>
    </row>
    <row r="66" spans="1:6" ht="18" x14ac:dyDescent="0.25">
      <c r="A66" s="9">
        <f t="shared" si="3"/>
        <v>31</v>
      </c>
      <c r="B66" s="7" t="s">
        <v>1842</v>
      </c>
      <c r="C66" s="12"/>
      <c r="D66" s="12"/>
      <c r="E66" s="201">
        <f>ROUND(E65*E61,0)</f>
        <v>14273292</v>
      </c>
    </row>
    <row r="67" spans="1:6" ht="18" x14ac:dyDescent="0.25">
      <c r="A67" s="9">
        <f t="shared" si="3"/>
        <v>32</v>
      </c>
      <c r="B67" s="7" t="s">
        <v>33</v>
      </c>
      <c r="C67" s="12"/>
      <c r="D67" s="12"/>
      <c r="E67" s="207">
        <f>IF(VLOOKUP(H3,FRV!$A$3:$C$208,3,FALSE)="baltimore city",0.1,0.08)</f>
        <v>0.08</v>
      </c>
    </row>
    <row r="68" spans="1:6" ht="18" x14ac:dyDescent="0.25">
      <c r="A68" s="9">
        <f t="shared" si="3"/>
        <v>33</v>
      </c>
      <c r="B68" s="7" t="s">
        <v>1843</v>
      </c>
      <c r="C68" s="12"/>
      <c r="D68" s="12"/>
      <c r="E68" s="201">
        <f>ROUND(E65*E67*E61,0)</f>
        <v>1141863</v>
      </c>
    </row>
    <row r="69" spans="1:6" ht="18" x14ac:dyDescent="0.25">
      <c r="A69" s="9">
        <f t="shared" si="3"/>
        <v>34</v>
      </c>
      <c r="B69" s="7" t="s">
        <v>1844</v>
      </c>
      <c r="C69" s="12"/>
      <c r="D69" s="12"/>
      <c r="E69" s="158">
        <f>IF(ISERROR(MATCH(H3&amp;E57,'Days Exceptions'!C1:C16,0)),ROUND(E68/(MAX(E44,E43)),2),ROUND(E68/VLOOKUP('Facility Profile'!H3,'Days Exceptions'!A3:I8,8,FALSE),2))</f>
        <v>28.99</v>
      </c>
      <c r="F69" s="19"/>
    </row>
    <row r="70" spans="1:6" ht="18" x14ac:dyDescent="0.25">
      <c r="A70" s="9">
        <f t="shared" si="3"/>
        <v>35</v>
      </c>
      <c r="B70" s="7" t="s">
        <v>261</v>
      </c>
      <c r="C70" s="12"/>
      <c r="D70" s="12"/>
      <c r="E70" s="19">
        <f>VLOOKUP($H$3,'Rate Calculation'!$A$4:$AZ$208,32,FALSE)</f>
        <v>2.76</v>
      </c>
    </row>
    <row r="71" spans="1:6" ht="18" x14ac:dyDescent="0.25">
      <c r="A71" s="9">
        <f t="shared" si="3"/>
        <v>36</v>
      </c>
      <c r="B71" s="7" t="s">
        <v>1845</v>
      </c>
      <c r="C71" s="12"/>
      <c r="D71" s="12"/>
      <c r="E71" s="19">
        <f>+E70+E69</f>
        <v>31.75</v>
      </c>
    </row>
    <row r="72" spans="1:6" ht="18" x14ac:dyDescent="0.25">
      <c r="B72" s="12"/>
      <c r="C72" s="12"/>
      <c r="D72" s="12"/>
      <c r="E72" s="12"/>
    </row>
    <row r="73" spans="1:6" ht="18" x14ac:dyDescent="0.25">
      <c r="A73" s="326" t="s">
        <v>1825</v>
      </c>
      <c r="B73" s="326"/>
      <c r="C73" s="326"/>
      <c r="D73" s="326"/>
      <c r="E73" s="326"/>
      <c r="F73" s="42" t="s">
        <v>327</v>
      </c>
    </row>
    <row r="74" spans="1:6" ht="18" x14ac:dyDescent="0.25">
      <c r="A74" s="319" t="str">
        <f>+B24</f>
        <v>Frostburg Village Rehab Center</v>
      </c>
      <c r="B74" s="319"/>
      <c r="C74" s="319"/>
      <c r="D74" s="319"/>
      <c r="E74" s="319"/>
    </row>
    <row r="75" spans="1:6" ht="18" x14ac:dyDescent="0.25">
      <c r="A75" s="202" t="s">
        <v>614</v>
      </c>
      <c r="B75" s="12"/>
      <c r="C75" s="21"/>
      <c r="D75" s="21"/>
      <c r="E75" s="22" t="str">
        <f>"Region: "&amp;VLOOKUP($H$3,'Rate Calculation'!A3:AQ210,5,FALSE)</f>
        <v>Region: WESTERN REGION</v>
      </c>
    </row>
    <row r="76" spans="1:6" ht="18" x14ac:dyDescent="0.25">
      <c r="A76" s="9">
        <f>+A71+1</f>
        <v>37</v>
      </c>
      <c r="B76" s="7" t="s">
        <v>1849</v>
      </c>
      <c r="C76" s="21"/>
      <c r="D76" s="21"/>
      <c r="E76" s="41">
        <f>VLOOKUP($H$3,'Rate Calculation'!A4:Z208,17,FALSE)</f>
        <v>144.12</v>
      </c>
    </row>
    <row r="77" spans="1:6" ht="18" x14ac:dyDescent="0.25">
      <c r="A77" s="9">
        <f>+A76+1</f>
        <v>38</v>
      </c>
      <c r="B77" s="7" t="s">
        <v>1850</v>
      </c>
      <c r="C77" s="21"/>
      <c r="D77" s="21"/>
      <c r="E77" s="41">
        <f>IF(E76="NA","NA",ROUND(E76*$E$45,2))</f>
        <v>148.59</v>
      </c>
    </row>
    <row r="78" spans="1:6" ht="18" x14ac:dyDescent="0.25">
      <c r="A78" s="9">
        <f t="shared" ref="A78:A83" si="4">+A77+1</f>
        <v>39</v>
      </c>
      <c r="B78" s="7" t="s">
        <v>262</v>
      </c>
      <c r="C78" s="21"/>
      <c r="D78" s="21"/>
      <c r="E78" s="19">
        <f>VLOOKUP($H$3,'Rate Calculation'!$A$4:$K$208,11,FALSE)</f>
        <v>166.26</v>
      </c>
    </row>
    <row r="79" spans="1:6" ht="18" x14ac:dyDescent="0.25">
      <c r="A79" s="9">
        <f t="shared" si="4"/>
        <v>40</v>
      </c>
      <c r="B79" s="7" t="s">
        <v>1851</v>
      </c>
      <c r="C79" s="21"/>
      <c r="D79" s="21"/>
      <c r="E79" s="55">
        <f>IF(E78="NA","NA",ROUND(E78*$E$45,2))</f>
        <v>171.41</v>
      </c>
    </row>
    <row r="80" spans="1:6" ht="18" x14ac:dyDescent="0.25">
      <c r="A80" s="9">
        <f t="shared" si="4"/>
        <v>41</v>
      </c>
      <c r="B80" s="7" t="s">
        <v>1855</v>
      </c>
      <c r="C80" s="12"/>
      <c r="D80" s="12"/>
      <c r="E80" s="41">
        <f>IF(E37="NA","NA",ROUND(+E79*E37/E38,2))</f>
        <v>160.85</v>
      </c>
    </row>
    <row r="81" spans="1:6" ht="18" x14ac:dyDescent="0.25">
      <c r="A81" s="9">
        <f t="shared" si="4"/>
        <v>42</v>
      </c>
      <c r="B81" s="7" t="s">
        <v>1852</v>
      </c>
      <c r="C81" s="12"/>
      <c r="D81" s="12"/>
      <c r="E81" s="95">
        <f>IF(E76="NA",ROUND(E79*E39,2),ROUND(E80*E39/E37,2))</f>
        <v>157.96</v>
      </c>
      <c r="F81" s="18"/>
    </row>
    <row r="82" spans="1:6" ht="18" x14ac:dyDescent="0.25">
      <c r="A82" s="9">
        <f t="shared" si="4"/>
        <v>43</v>
      </c>
      <c r="B82" s="7" t="s">
        <v>1853</v>
      </c>
      <c r="C82" s="12"/>
      <c r="D82" s="12"/>
      <c r="E82" s="17">
        <f>MAX(0,E88)*-1</f>
        <v>-4.1399999999999997</v>
      </c>
      <c r="F82" s="18"/>
    </row>
    <row r="83" spans="1:6" ht="18" x14ac:dyDescent="0.25">
      <c r="A83" s="9">
        <f t="shared" si="4"/>
        <v>44</v>
      </c>
      <c r="B83" s="7" t="s">
        <v>1854</v>
      </c>
      <c r="C83" s="12"/>
      <c r="D83" s="12"/>
      <c r="E83" s="17">
        <f>+E82+E81</f>
        <v>153.82</v>
      </c>
    </row>
    <row r="84" spans="1:6" ht="18" x14ac:dyDescent="0.25">
      <c r="C84" s="12"/>
      <c r="D84" s="12"/>
      <c r="E84" s="17"/>
    </row>
    <row r="85" spans="1:6" ht="18" x14ac:dyDescent="0.25">
      <c r="A85" s="322" t="s">
        <v>144</v>
      </c>
      <c r="B85" s="322"/>
      <c r="C85" s="322"/>
      <c r="D85" s="322"/>
      <c r="E85" s="322"/>
    </row>
    <row r="86" spans="1:6" ht="18" x14ac:dyDescent="0.25">
      <c r="A86" s="9">
        <f>+A83+1</f>
        <v>45</v>
      </c>
      <c r="B86" s="7" t="s">
        <v>1856</v>
      </c>
      <c r="C86" s="12"/>
      <c r="D86" s="12"/>
      <c r="E86" s="96">
        <f>IF(E77="NA","NA",ROUND(E77*E39/E37,2))</f>
        <v>145.91999999999999</v>
      </c>
    </row>
    <row r="87" spans="1:6" ht="18" x14ac:dyDescent="0.25">
      <c r="A87" s="9">
        <f>+A86+1</f>
        <v>46</v>
      </c>
      <c r="B87" s="7" t="s">
        <v>1857</v>
      </c>
      <c r="C87" s="12"/>
      <c r="D87" s="12"/>
      <c r="E87" s="41">
        <f>IF(E81="NA","NA",ROUND(E81*0.95,2))</f>
        <v>150.06</v>
      </c>
    </row>
    <row r="88" spans="1:6" ht="18" x14ac:dyDescent="0.25">
      <c r="A88" s="9">
        <f>+A87+1</f>
        <v>47</v>
      </c>
      <c r="B88" s="7" t="s">
        <v>1858</v>
      </c>
      <c r="C88" s="12"/>
      <c r="D88" s="12"/>
      <c r="E88" s="17">
        <f>IF(E86="NA",0,+E87-E86)</f>
        <v>4.1399999999999997</v>
      </c>
      <c r="F88" s="10"/>
    </row>
    <row r="89" spans="1:6" ht="18" x14ac:dyDescent="0.25">
      <c r="C89" s="12"/>
      <c r="D89" s="12"/>
      <c r="E89" s="17"/>
      <c r="F89" s="10"/>
    </row>
    <row r="90" spans="1:6" ht="18" x14ac:dyDescent="0.25">
      <c r="A90" s="322" t="s">
        <v>292</v>
      </c>
      <c r="B90" s="322"/>
      <c r="C90" s="322"/>
      <c r="D90" s="322"/>
      <c r="E90" s="322"/>
    </row>
    <row r="91" spans="1:6" ht="18" x14ac:dyDescent="0.25">
      <c r="A91" s="9">
        <f>+A88+1</f>
        <v>48</v>
      </c>
      <c r="B91" s="7" t="s">
        <v>534</v>
      </c>
      <c r="C91" s="12"/>
      <c r="D91" s="12"/>
      <c r="E91" s="17">
        <f>+E26+E27+E28+ROUND(E29*0.5,2)+E30</f>
        <v>221.86</v>
      </c>
    </row>
    <row r="92" spans="1:6" ht="18" x14ac:dyDescent="0.25">
      <c r="A92" s="9">
        <f>+A91+1</f>
        <v>49</v>
      </c>
      <c r="B92" s="7" t="s">
        <v>305</v>
      </c>
      <c r="C92" s="12"/>
      <c r="D92" s="12"/>
      <c r="E92" s="17">
        <f>+E26+E27+E28+E30</f>
        <v>144.94999999999999</v>
      </c>
      <c r="F92" s="17"/>
    </row>
    <row r="93" spans="1:6" customFormat="1" ht="13" x14ac:dyDescent="0.15"/>
    <row r="94" spans="1:6" ht="17" thickBot="1" x14ac:dyDescent="0.3">
      <c r="A94" s="321" t="s">
        <v>1860</v>
      </c>
      <c r="B94" s="321"/>
      <c r="C94" s="321"/>
      <c r="D94" s="321"/>
      <c r="E94" s="321"/>
    </row>
    <row r="95" spans="1:6" customFormat="1" ht="21" x14ac:dyDescent="0.3">
      <c r="A95" s="9"/>
      <c r="B95" s="315" t="str">
        <f>+H1&amp;TEXT($I$1," mm/dd/yyyy")</f>
        <v>Issued 07/16/2025</v>
      </c>
      <c r="C95" s="316"/>
      <c r="D95" s="316"/>
      <c r="E95" s="317"/>
      <c r="F95" s="42"/>
    </row>
    <row r="96" spans="1:6" customFormat="1" ht="18" x14ac:dyDescent="0.25">
      <c r="A96" s="9"/>
      <c r="B96" s="318" t="s">
        <v>266</v>
      </c>
      <c r="C96" s="319"/>
      <c r="D96" s="319"/>
      <c r="E96" s="320"/>
      <c r="F96" s="327" t="str">
        <f>IFERROR(IF(OR(I110&lt;&gt;0,OR(I103&lt;&gt;0,I107&lt;&gt;0)),"XX",""),"XX")</f>
        <v>XX</v>
      </c>
    </row>
    <row r="97" spans="1:10" customFormat="1" ht="18" x14ac:dyDescent="0.25">
      <c r="A97" s="9"/>
      <c r="B97" s="318" t="s">
        <v>1826</v>
      </c>
      <c r="C97" s="319"/>
      <c r="D97" s="319"/>
      <c r="E97" s="320"/>
      <c r="F97" s="327"/>
    </row>
    <row r="98" spans="1:10" customFormat="1" ht="18" x14ac:dyDescent="0.25">
      <c r="A98" s="9"/>
      <c r="B98" s="318" t="e">
        <f>"Provider #:  "&amp;VLOOKUP($H$3,'Rate Calculation'!A2:CQ317,68,FALSE)</f>
        <v>#REF!</v>
      </c>
      <c r="C98" s="319"/>
      <c r="D98" s="319"/>
      <c r="E98" s="320"/>
      <c r="F98" s="327"/>
    </row>
    <row r="99" spans="1:10" customFormat="1" ht="19" thickBot="1" x14ac:dyDescent="0.3">
      <c r="A99" s="9"/>
      <c r="B99" s="328" t="str">
        <f>+"Provider Name: "&amp;$I$3</f>
        <v>Provider Name: Frostburg Village Rehab Center</v>
      </c>
      <c r="C99" s="329"/>
      <c r="D99" s="329"/>
      <c r="E99" s="330"/>
      <c r="F99" s="327"/>
    </row>
    <row r="100" spans="1:10" customFormat="1" ht="14" thickBot="1" x14ac:dyDescent="0.2"/>
    <row r="101" spans="1:10" customFormat="1" ht="42" customHeight="1" x14ac:dyDescent="0.25">
      <c r="A101" s="97"/>
      <c r="B101" s="52" t="s">
        <v>294</v>
      </c>
      <c r="C101" s="43" t="s">
        <v>267</v>
      </c>
      <c r="D101" s="43" t="s">
        <v>268</v>
      </c>
      <c r="E101" s="44" t="s">
        <v>269</v>
      </c>
      <c r="F101" s="7"/>
      <c r="G101" s="7"/>
      <c r="H101" s="7"/>
      <c r="I101" s="10" t="e">
        <f>+E103</f>
        <v>#REF!</v>
      </c>
      <c r="J101" s="7" t="s">
        <v>352</v>
      </c>
    </row>
    <row r="102" spans="1:10" customFormat="1" ht="18" x14ac:dyDescent="0.25">
      <c r="A102" s="97"/>
      <c r="B102" s="323" t="s">
        <v>270</v>
      </c>
      <c r="C102" s="324"/>
      <c r="D102" s="324"/>
      <c r="E102" s="325"/>
      <c r="F102" s="7"/>
      <c r="I102" s="57" t="e">
        <f>VLOOKUP(H3,'Phase In Option'!$A$15:$W$220,18,FALSE)</f>
        <v>#REF!</v>
      </c>
      <c r="J102" s="7" t="s">
        <v>341</v>
      </c>
    </row>
    <row r="103" spans="1:10" customFormat="1" ht="32" customHeight="1" x14ac:dyDescent="0.25">
      <c r="A103" s="97"/>
      <c r="B103" s="45" t="s">
        <v>298</v>
      </c>
      <c r="C103" s="38" t="s">
        <v>271</v>
      </c>
      <c r="D103" s="46" t="s">
        <v>246</v>
      </c>
      <c r="E103" s="48" t="e">
        <f>+E127+E128</f>
        <v>#REF!</v>
      </c>
      <c r="F103" s="7"/>
      <c r="I103" s="10" t="e">
        <f>+I102-I101</f>
        <v>#REF!</v>
      </c>
    </row>
    <row r="104" spans="1:10" customFormat="1" ht="32" customHeight="1" x14ac:dyDescent="0.25">
      <c r="A104" s="97"/>
      <c r="B104" s="45" t="s">
        <v>299</v>
      </c>
      <c r="C104" s="38" t="s">
        <v>272</v>
      </c>
      <c r="D104" s="46" t="s">
        <v>247</v>
      </c>
      <c r="E104" s="48" t="e">
        <f>+E128+E151</f>
        <v>#REF!</v>
      </c>
      <c r="F104" s="7"/>
    </row>
    <row r="105" spans="1:10" customFormat="1" ht="32" customHeight="1" x14ac:dyDescent="0.25">
      <c r="A105" s="97"/>
      <c r="B105" s="45" t="s">
        <v>300</v>
      </c>
      <c r="C105" s="38" t="s">
        <v>273</v>
      </c>
      <c r="D105" s="46" t="s">
        <v>248</v>
      </c>
      <c r="E105" s="48" t="e">
        <f>+E128+E152</f>
        <v>#REF!</v>
      </c>
      <c r="F105" s="7"/>
      <c r="I105" s="10" t="e">
        <f>+E105</f>
        <v>#REF!</v>
      </c>
      <c r="J105" s="7" t="s">
        <v>334</v>
      </c>
    </row>
    <row r="106" spans="1:10" customFormat="1" ht="32" customHeight="1" x14ac:dyDescent="0.25">
      <c r="A106" s="97"/>
      <c r="B106" s="45" t="s">
        <v>274</v>
      </c>
      <c r="C106" s="40" t="s">
        <v>275</v>
      </c>
      <c r="D106" s="46" t="s">
        <v>245</v>
      </c>
      <c r="E106" s="47" t="s">
        <v>276</v>
      </c>
      <c r="F106" s="7"/>
      <c r="I106" s="57" t="e">
        <f>VLOOKUP(H3,'Rate Calculation'!A3:CP296,67,FALSE)+E128</f>
        <v>#REF!</v>
      </c>
      <c r="J106" s="7" t="s">
        <v>341</v>
      </c>
    </row>
    <row r="107" spans="1:10" customFormat="1" ht="17.25" customHeight="1" x14ac:dyDescent="0.25">
      <c r="A107" s="97"/>
      <c r="B107" s="323" t="s">
        <v>277</v>
      </c>
      <c r="C107" s="324"/>
      <c r="D107" s="324"/>
      <c r="E107" s="325"/>
      <c r="F107" s="7"/>
      <c r="I107" s="10" t="e">
        <f>+I106-I105</f>
        <v>#REF!</v>
      </c>
    </row>
    <row r="108" spans="1:10" customFormat="1" ht="32" customHeight="1" x14ac:dyDescent="0.25">
      <c r="A108" s="97"/>
      <c r="B108" s="45" t="s">
        <v>278</v>
      </c>
      <c r="C108" s="38" t="s">
        <v>279</v>
      </c>
      <c r="D108" s="46" t="s">
        <v>250</v>
      </c>
      <c r="E108" s="48">
        <v>23.13</v>
      </c>
      <c r="F108" s="7"/>
      <c r="I108" s="10" t="e">
        <f>+E104</f>
        <v>#REF!</v>
      </c>
      <c r="J108" s="7" t="s">
        <v>150</v>
      </c>
    </row>
    <row r="109" spans="1:10" customFormat="1" ht="32" customHeight="1" x14ac:dyDescent="0.3">
      <c r="A109" s="97"/>
      <c r="B109" s="45" t="s">
        <v>280</v>
      </c>
      <c r="C109" s="38" t="s">
        <v>281</v>
      </c>
      <c r="D109" s="46" t="s">
        <v>252</v>
      </c>
      <c r="E109" s="48">
        <v>92.14</v>
      </c>
      <c r="F109" s="11"/>
      <c r="I109" s="57" t="e">
        <f>VLOOKUP(H3,'Rate Calculation'!A4:CP296,66,FALSE)+E128</f>
        <v>#REF!</v>
      </c>
      <c r="J109" s="7" t="s">
        <v>341</v>
      </c>
    </row>
    <row r="110" spans="1:10" customFormat="1" ht="32" customHeight="1" x14ac:dyDescent="0.3">
      <c r="A110" s="97"/>
      <c r="B110" s="45" t="s">
        <v>282</v>
      </c>
      <c r="C110" s="38" t="s">
        <v>287</v>
      </c>
      <c r="D110" s="46" t="s">
        <v>253</v>
      </c>
      <c r="E110" s="48">
        <v>2.0499999999999998</v>
      </c>
      <c r="F110" s="11"/>
      <c r="I110" s="10" t="e">
        <f>+I109-I108</f>
        <v>#REF!</v>
      </c>
    </row>
    <row r="111" spans="1:10" customFormat="1" ht="32" customHeight="1" x14ac:dyDescent="0.3">
      <c r="A111" s="97"/>
      <c r="B111" s="45" t="s">
        <v>283</v>
      </c>
      <c r="C111" s="38" t="s">
        <v>284</v>
      </c>
      <c r="D111" s="46" t="s">
        <v>251</v>
      </c>
      <c r="E111" s="48">
        <v>5.49</v>
      </c>
      <c r="F111" s="11"/>
    </row>
    <row r="112" spans="1:10" customFormat="1" ht="32" customHeight="1" x14ac:dyDescent="0.3">
      <c r="A112" s="97"/>
      <c r="B112" s="45" t="s">
        <v>285</v>
      </c>
      <c r="C112" s="38" t="s">
        <v>304</v>
      </c>
      <c r="D112" s="46" t="s">
        <v>249</v>
      </c>
      <c r="E112" s="48">
        <v>116.41</v>
      </c>
      <c r="F112" s="11"/>
    </row>
    <row r="113" spans="1:10" customFormat="1" ht="32" customHeight="1" thickBot="1" x14ac:dyDescent="0.35">
      <c r="A113" s="97"/>
      <c r="B113" s="49" t="s">
        <v>286</v>
      </c>
      <c r="C113" s="39" t="s">
        <v>287</v>
      </c>
      <c r="D113" s="50" t="s">
        <v>288</v>
      </c>
      <c r="E113" s="51" t="s">
        <v>289</v>
      </c>
      <c r="F113" s="11"/>
    </row>
    <row r="114" spans="1:10" customFormat="1" x14ac:dyDescent="0.25">
      <c r="A114" s="7"/>
      <c r="B114" s="7" t="s">
        <v>290</v>
      </c>
      <c r="C114" s="7"/>
      <c r="D114" s="7"/>
      <c r="E114" s="7"/>
      <c r="F114" s="7"/>
      <c r="G114" s="7"/>
      <c r="J114" s="7"/>
    </row>
    <row r="115" spans="1:10" customFormat="1" x14ac:dyDescent="0.25">
      <c r="A115" s="7"/>
      <c r="B115" s="7" t="s">
        <v>291</v>
      </c>
      <c r="C115" s="7"/>
      <c r="D115" s="7"/>
      <c r="E115" s="7"/>
      <c r="F115" s="7"/>
      <c r="G115" s="7"/>
      <c r="H115" s="10"/>
      <c r="I115" s="7"/>
      <c r="J115" s="7"/>
    </row>
    <row r="116" spans="1:10" customFormat="1" ht="13" x14ac:dyDescent="0.15"/>
    <row r="117" spans="1:10" customFormat="1" ht="18" x14ac:dyDescent="0.25">
      <c r="A117" s="9"/>
      <c r="B117" s="326" t="s">
        <v>1827</v>
      </c>
      <c r="C117" s="326"/>
      <c r="D117" s="326"/>
      <c r="E117" s="326"/>
      <c r="F117" s="42" t="s">
        <v>307</v>
      </c>
    </row>
    <row r="118" spans="1:10" customFormat="1" ht="18" x14ac:dyDescent="0.25">
      <c r="A118" s="9"/>
      <c r="B118" s="319" t="str">
        <f>I3</f>
        <v>Frostburg Village Rehab Center</v>
      </c>
      <c r="C118" s="319"/>
      <c r="D118" s="319"/>
      <c r="E118" s="319"/>
      <c r="F118" s="42"/>
    </row>
    <row r="119" spans="1:10" customFormat="1" ht="17.25" customHeight="1" x14ac:dyDescent="0.25">
      <c r="A119" s="9"/>
      <c r="B119" s="9" t="s">
        <v>143</v>
      </c>
      <c r="C119" s="20"/>
      <c r="D119" s="20"/>
      <c r="E119" s="20" t="s">
        <v>293</v>
      </c>
      <c r="F119" s="7"/>
    </row>
    <row r="120" spans="1:10" customFormat="1" ht="17.25" customHeight="1" x14ac:dyDescent="0.25">
      <c r="A120" s="9">
        <v>1</v>
      </c>
      <c r="B120" s="7" t="s">
        <v>769</v>
      </c>
      <c r="D120" s="17"/>
      <c r="E120" s="17">
        <f>+E26</f>
        <v>92.33</v>
      </c>
      <c r="F120" s="7"/>
    </row>
    <row r="121" spans="1:10" customFormat="1" ht="17.25" customHeight="1" x14ac:dyDescent="0.25">
      <c r="A121" s="9">
        <v>2</v>
      </c>
      <c r="B121" s="7" t="s">
        <v>770</v>
      </c>
      <c r="D121" s="17"/>
      <c r="E121" s="17">
        <f>+E27</f>
        <v>20.87</v>
      </c>
      <c r="F121" s="7"/>
    </row>
    <row r="122" spans="1:10" customFormat="1" ht="17.25" customHeight="1" x14ac:dyDescent="0.25">
      <c r="A122" s="9">
        <v>3</v>
      </c>
      <c r="B122" s="7" t="s">
        <v>771</v>
      </c>
      <c r="D122" s="17"/>
      <c r="E122" s="17">
        <f>+E28</f>
        <v>31.75</v>
      </c>
      <c r="F122" s="7"/>
    </row>
    <row r="123" spans="1:10" customFormat="1" ht="17.25" customHeight="1" x14ac:dyDescent="0.25">
      <c r="A123" s="9">
        <v>4</v>
      </c>
      <c r="B123" s="7" t="s">
        <v>563</v>
      </c>
      <c r="D123" s="17"/>
      <c r="E123" s="17" t="e">
        <f>+E143</f>
        <v>#REF!</v>
      </c>
      <c r="F123" s="7"/>
    </row>
    <row r="124" spans="1:10" customFormat="1" ht="17.25" customHeight="1" x14ac:dyDescent="0.25">
      <c r="A124" s="9">
        <v>5</v>
      </c>
      <c r="B124" s="7" t="s">
        <v>772</v>
      </c>
      <c r="D124" s="17"/>
      <c r="E124" s="17" t="str">
        <f>VLOOKUP($H$3,'Rate Calculation'!$A$3:$AS$303,43,FALSE)</f>
        <v>Frostburg Village Rehab Center</v>
      </c>
      <c r="F124" s="7"/>
    </row>
    <row r="125" spans="1:10" customFormat="1" ht="17.25" customHeight="1" x14ac:dyDescent="0.25">
      <c r="A125" s="9">
        <v>6</v>
      </c>
      <c r="B125" s="7" t="s">
        <v>536</v>
      </c>
      <c r="D125" s="41"/>
      <c r="E125" s="17" t="e">
        <f>SUM(E120:E124)</f>
        <v>#REF!</v>
      </c>
      <c r="F125" s="7"/>
    </row>
    <row r="126" spans="1:10" customFormat="1" ht="17.25" customHeight="1" x14ac:dyDescent="0.25">
      <c r="A126" s="9">
        <f>A125+1</f>
        <v>7</v>
      </c>
      <c r="B126" s="7" t="s">
        <v>340</v>
      </c>
      <c r="D126" s="41"/>
      <c r="E126" s="58">
        <f>+_baf</f>
        <v>0.98772000000000004</v>
      </c>
      <c r="F126" s="7"/>
    </row>
    <row r="127" spans="1:10" customFormat="1" ht="17.25" customHeight="1" x14ac:dyDescent="0.25">
      <c r="A127" s="9">
        <f t="shared" ref="A127:A128" si="5">+A126+1</f>
        <v>8</v>
      </c>
      <c r="B127" s="7" t="s">
        <v>535</v>
      </c>
      <c r="D127" s="41"/>
      <c r="E127" s="41" t="e">
        <f>ROUND(E125*E126,2)</f>
        <v>#REF!</v>
      </c>
      <c r="F127" s="7"/>
    </row>
    <row r="128" spans="1:10" customFormat="1" ht="17.25" customHeight="1" x14ac:dyDescent="0.25">
      <c r="A128" s="9">
        <f t="shared" si="5"/>
        <v>9</v>
      </c>
      <c r="B128" s="7" t="s">
        <v>218</v>
      </c>
      <c r="D128" s="17"/>
      <c r="E128" s="17" t="e">
        <f>VLOOKUP($H$3,'Rate Calculation'!$A$3:$AQ$211,47,FALSE)</f>
        <v>#REF!</v>
      </c>
      <c r="F128" s="7"/>
    </row>
    <row r="129" spans="1:12" customFormat="1" x14ac:dyDescent="0.25">
      <c r="A129" s="9"/>
      <c r="B129" s="7"/>
      <c r="C129" s="17"/>
      <c r="D129" s="17"/>
      <c r="E129" s="17"/>
      <c r="F129" s="7"/>
      <c r="G129" s="7"/>
      <c r="H129" s="7"/>
      <c r="I129" s="88"/>
      <c r="J129" s="7"/>
    </row>
    <row r="130" spans="1:12" customFormat="1" ht="18" x14ac:dyDescent="0.25">
      <c r="A130" s="9"/>
      <c r="B130" s="326" t="s">
        <v>257</v>
      </c>
      <c r="C130" s="326"/>
      <c r="D130" s="326"/>
      <c r="E130" s="326"/>
      <c r="F130" s="13"/>
      <c r="G130" s="7"/>
      <c r="H130" s="7"/>
      <c r="I130" s="88"/>
      <c r="J130" s="7"/>
    </row>
    <row r="131" spans="1:12" customFormat="1" ht="17.25" customHeight="1" x14ac:dyDescent="0.25">
      <c r="A131" s="9">
        <f>+A128+1</f>
        <v>10</v>
      </c>
      <c r="B131" s="15" t="s">
        <v>773</v>
      </c>
      <c r="C131" s="12"/>
      <c r="D131" s="12"/>
      <c r="E131" s="16">
        <f>+$E$37</f>
        <v>1.3543000000000001</v>
      </c>
      <c r="F131" s="8"/>
      <c r="G131" s="7"/>
      <c r="H131" s="7"/>
      <c r="I131" s="7"/>
      <c r="J131" s="7"/>
    </row>
    <row r="132" spans="1:12" customFormat="1" ht="17.25" customHeight="1" x14ac:dyDescent="0.25">
      <c r="A132" s="9">
        <f>+A131+1</f>
        <v>11</v>
      </c>
      <c r="B132" s="7" t="s">
        <v>258</v>
      </c>
      <c r="C132" s="12"/>
      <c r="D132" s="12"/>
      <c r="E132" s="18">
        <f>+SW_CR_CMI</f>
        <v>1.4432</v>
      </c>
      <c r="F132" s="7"/>
      <c r="G132" s="7"/>
      <c r="H132" s="7"/>
      <c r="I132" s="7"/>
      <c r="J132" s="7"/>
    </row>
    <row r="133" spans="1:12" customFormat="1" ht="17.25" customHeight="1" x14ac:dyDescent="0.25">
      <c r="A133" s="9">
        <f>+A132+1</f>
        <v>12</v>
      </c>
      <c r="B133" s="15" t="s">
        <v>774</v>
      </c>
      <c r="C133" s="12"/>
      <c r="D133" s="12"/>
      <c r="E133" s="14">
        <f>VLOOKUP($H$3,'CMI Data'!A3:O209,7,FALSE)</f>
        <v>0</v>
      </c>
      <c r="F133" s="8"/>
      <c r="G133" s="7"/>
      <c r="H133" s="7"/>
      <c r="I133" s="7"/>
      <c r="J133" s="7"/>
    </row>
    <row r="134" spans="1:12" customFormat="1" ht="17.25" customHeight="1" x14ac:dyDescent="0.25">
      <c r="A134" s="9">
        <f>+A133+1</f>
        <v>13</v>
      </c>
      <c r="B134" s="7" t="s">
        <v>488</v>
      </c>
      <c r="C134" s="12"/>
      <c r="D134" s="12"/>
      <c r="E134" s="123" t="e">
        <f>+'CMI Data'!I214</f>
        <v>#DIV/0!</v>
      </c>
      <c r="F134" s="7"/>
      <c r="G134" s="7"/>
      <c r="H134" s="7"/>
      <c r="I134" s="7"/>
      <c r="J134" s="7"/>
    </row>
    <row r="135" spans="1:12" customFormat="1" ht="17.25" customHeight="1" x14ac:dyDescent="0.25">
      <c r="A135" s="9">
        <f>+A134+1</f>
        <v>14</v>
      </c>
      <c r="B135" s="15" t="s">
        <v>775</v>
      </c>
      <c r="C135" s="12"/>
      <c r="D135" s="12"/>
      <c r="E135" s="14">
        <f>IF(E133=0,'CMI Data'!I213,ROUND(E134*E133,4))</f>
        <v>1.4061999999999999</v>
      </c>
      <c r="F135" s="8"/>
      <c r="G135" s="7"/>
      <c r="H135" s="7"/>
      <c r="I135" s="7"/>
      <c r="J135" s="7"/>
    </row>
    <row r="136" spans="1:12" customFormat="1" x14ac:dyDescent="0.25">
      <c r="A136" s="9"/>
      <c r="B136" s="15"/>
      <c r="C136" s="14"/>
      <c r="D136" s="14"/>
      <c r="E136" s="8"/>
      <c r="F136" s="8"/>
      <c r="G136" s="7"/>
      <c r="H136" s="7"/>
      <c r="I136" s="7"/>
      <c r="J136" s="7"/>
    </row>
    <row r="137" spans="1:12" customFormat="1" ht="26.25" customHeight="1" x14ac:dyDescent="0.25">
      <c r="A137" s="9"/>
      <c r="B137" s="12"/>
      <c r="C137" s="21"/>
      <c r="D137" s="21"/>
      <c r="E137" s="22" t="e">
        <f>"Region: "&amp;VLOOKUP($H$3,#REF!,5,FALSE)</f>
        <v>#REF!</v>
      </c>
      <c r="F137" s="7"/>
      <c r="G137" s="7"/>
      <c r="H137" s="7"/>
      <c r="I137" s="7"/>
      <c r="J137" s="7"/>
    </row>
    <row r="138" spans="1:12" customFormat="1" ht="17.25" customHeight="1" x14ac:dyDescent="0.25">
      <c r="A138" s="9">
        <f>+A135+1</f>
        <v>15</v>
      </c>
      <c r="B138" s="7" t="s">
        <v>776</v>
      </c>
      <c r="C138" s="21"/>
      <c r="D138" s="21"/>
      <c r="E138" s="55" t="e">
        <f>#REF!</f>
        <v>#REF!</v>
      </c>
      <c r="F138" s="165"/>
      <c r="G138" s="7"/>
      <c r="H138" s="7"/>
      <c r="I138" s="7"/>
      <c r="J138" s="7"/>
      <c r="L138" s="7"/>
    </row>
    <row r="139" spans="1:12" customFormat="1" ht="17.25" customHeight="1" x14ac:dyDescent="0.25">
      <c r="A139" s="9">
        <f>+A138+1</f>
        <v>16</v>
      </c>
      <c r="B139" s="7" t="s">
        <v>777</v>
      </c>
      <c r="C139" s="12"/>
      <c r="D139" s="12"/>
      <c r="E139" s="17">
        <f>E78</f>
        <v>166.26</v>
      </c>
      <c r="F139" s="166"/>
      <c r="G139" s="7"/>
      <c r="H139" s="7"/>
      <c r="I139" s="7"/>
      <c r="J139" s="7"/>
      <c r="L139" s="7"/>
    </row>
    <row r="140" spans="1:12" customFormat="1" ht="17.25" customHeight="1" x14ac:dyDescent="0.25">
      <c r="A140" s="9">
        <f>+A139+1</f>
        <v>17</v>
      </c>
      <c r="B140" s="7" t="s">
        <v>564</v>
      </c>
      <c r="C140" s="12"/>
      <c r="D140" s="12"/>
      <c r="E140" s="41">
        <f>IF(E131="NA","NA",ROUND(+E139*E131/E132,2))</f>
        <v>156.02000000000001</v>
      </c>
      <c r="F140" s="18"/>
      <c r="G140" s="7"/>
      <c r="H140" s="7"/>
      <c r="I140" s="7"/>
      <c r="J140" s="7"/>
      <c r="L140" s="7"/>
    </row>
    <row r="141" spans="1:12" customFormat="1" ht="17.25" customHeight="1" x14ac:dyDescent="0.25">
      <c r="A141" s="9">
        <f t="shared" ref="A141:A143" si="6">+A140+1</f>
        <v>18</v>
      </c>
      <c r="B141" s="7" t="s">
        <v>566</v>
      </c>
      <c r="C141" s="12"/>
      <c r="D141" s="12"/>
      <c r="E141" s="95" t="e">
        <f>IF(E138="NA",ROUND(E139*E135,2),ROUND(E140*E135/E131,2))</f>
        <v>#REF!</v>
      </c>
      <c r="F141" s="18"/>
      <c r="G141" s="7"/>
      <c r="H141" s="7"/>
      <c r="I141" s="7"/>
      <c r="J141" s="7"/>
      <c r="L141" s="7"/>
    </row>
    <row r="142" spans="1:12" customFormat="1" ht="17.25" customHeight="1" x14ac:dyDescent="0.25">
      <c r="A142" s="9">
        <f t="shared" si="6"/>
        <v>19</v>
      </c>
      <c r="B142" s="7" t="s">
        <v>567</v>
      </c>
      <c r="C142" s="12"/>
      <c r="D142" s="12"/>
      <c r="E142" s="17" t="e">
        <f>MAX(0,E148)*-1</f>
        <v>#REF!</v>
      </c>
      <c r="F142" s="17"/>
      <c r="G142" s="7"/>
      <c r="H142" s="7"/>
      <c r="I142" s="7"/>
      <c r="J142" s="7"/>
      <c r="L142" s="7"/>
    </row>
    <row r="143" spans="1:12" customFormat="1" ht="17.25" customHeight="1" x14ac:dyDescent="0.25">
      <c r="A143" s="9">
        <f t="shared" si="6"/>
        <v>20</v>
      </c>
      <c r="B143" s="7" t="s">
        <v>568</v>
      </c>
      <c r="C143" s="12"/>
      <c r="D143" s="12"/>
      <c r="E143" s="17" t="e">
        <f>+E142+E141</f>
        <v>#REF!</v>
      </c>
      <c r="F143" s="7"/>
      <c r="G143" s="7"/>
      <c r="H143" s="7"/>
      <c r="I143" s="7"/>
      <c r="J143" s="7"/>
      <c r="L143" s="7"/>
    </row>
    <row r="144" spans="1:12" customFormat="1" ht="18" x14ac:dyDescent="0.25">
      <c r="A144" s="9"/>
      <c r="B144" s="7"/>
      <c r="C144" s="12"/>
      <c r="D144" s="12"/>
      <c r="E144" s="17"/>
      <c r="F144" s="7"/>
      <c r="G144" s="7"/>
      <c r="H144" s="7"/>
      <c r="I144" s="7"/>
      <c r="J144" s="7"/>
      <c r="L144" s="7"/>
    </row>
    <row r="145" spans="1:12" customFormat="1" ht="18" x14ac:dyDescent="0.25">
      <c r="A145" s="322" t="s">
        <v>144</v>
      </c>
      <c r="B145" s="322"/>
      <c r="C145" s="322"/>
      <c r="D145" s="322"/>
      <c r="E145" s="322"/>
      <c r="F145" s="7"/>
      <c r="G145" s="7"/>
      <c r="H145" s="7"/>
      <c r="I145" s="7"/>
      <c r="J145" s="7"/>
      <c r="L145" s="7"/>
    </row>
    <row r="146" spans="1:12" customFormat="1" ht="17.25" customHeight="1" x14ac:dyDescent="0.25">
      <c r="A146" s="9">
        <f>+A143+1</f>
        <v>21</v>
      </c>
      <c r="B146" s="7" t="s">
        <v>565</v>
      </c>
      <c r="C146" s="12"/>
      <c r="D146" s="12"/>
      <c r="E146" s="96" t="e">
        <f>IF(E138="NA","NA",ROUND(E138*E135/E131,2))</f>
        <v>#REF!</v>
      </c>
      <c r="F146" s="165"/>
      <c r="G146" s="7"/>
      <c r="H146" s="7"/>
      <c r="I146" s="7"/>
      <c r="J146" s="7"/>
    </row>
    <row r="147" spans="1:12" customFormat="1" ht="17.25" customHeight="1" x14ac:dyDescent="0.25">
      <c r="A147" s="9">
        <f>+A146+1</f>
        <v>22</v>
      </c>
      <c r="B147" s="7" t="s">
        <v>569</v>
      </c>
      <c r="C147" s="12"/>
      <c r="D147" s="12"/>
      <c r="E147" s="41" t="e">
        <f>IF(E141="NA","NA",ROUND(E141*0.95,2))</f>
        <v>#REF!</v>
      </c>
      <c r="F147" s="7"/>
      <c r="G147" s="7"/>
      <c r="H147" s="7"/>
      <c r="I147" s="7"/>
      <c r="J147" s="7"/>
    </row>
    <row r="148" spans="1:12" customFormat="1" ht="17.25" customHeight="1" x14ac:dyDescent="0.25">
      <c r="A148" s="9">
        <f>+A147+1</f>
        <v>23</v>
      </c>
      <c r="B148" s="7" t="s">
        <v>570</v>
      </c>
      <c r="C148" s="12"/>
      <c r="D148" s="12"/>
      <c r="E148" s="17" t="e">
        <f>IF(E146="NA",0,+E147-E146)</f>
        <v>#REF!</v>
      </c>
      <c r="F148" s="10"/>
      <c r="G148" s="7"/>
      <c r="H148" s="7"/>
      <c r="I148" s="7"/>
      <c r="J148" s="7"/>
    </row>
    <row r="149" spans="1:12" customFormat="1" ht="18" x14ac:dyDescent="0.25">
      <c r="A149" s="9"/>
      <c r="B149" s="7"/>
      <c r="C149" s="12"/>
      <c r="D149" s="12"/>
      <c r="E149" s="17"/>
      <c r="F149" s="10"/>
      <c r="G149" s="7"/>
      <c r="H149" s="7"/>
      <c r="I149" s="7"/>
      <c r="J149" s="7"/>
    </row>
    <row r="150" spans="1:12" customFormat="1" ht="18" x14ac:dyDescent="0.25">
      <c r="A150" s="322" t="s">
        <v>292</v>
      </c>
      <c r="B150" s="322"/>
      <c r="C150" s="322"/>
      <c r="D150" s="322"/>
      <c r="E150" s="322"/>
      <c r="F150" s="7"/>
      <c r="G150" s="7"/>
      <c r="H150" s="7"/>
      <c r="I150" s="7"/>
      <c r="J150" s="7"/>
    </row>
    <row r="151" spans="1:12" customFormat="1" ht="17.25" customHeight="1" x14ac:dyDescent="0.25">
      <c r="A151" s="9">
        <f>+A148+1</f>
        <v>24</v>
      </c>
      <c r="B151" s="7" t="s">
        <v>534</v>
      </c>
      <c r="C151" s="12"/>
      <c r="D151" s="12"/>
      <c r="E151" s="17" t="e">
        <f>+E120+E121+E122+ROUND(E123*0.5,2)+E124</f>
        <v>#REF!</v>
      </c>
      <c r="F151" s="7"/>
      <c r="G151" s="7"/>
      <c r="H151" s="7"/>
      <c r="I151" s="7"/>
      <c r="J151" s="7"/>
    </row>
    <row r="152" spans="1:12" customFormat="1" ht="17.25" customHeight="1" x14ac:dyDescent="0.25">
      <c r="A152" s="9">
        <f>+A151+1</f>
        <v>25</v>
      </c>
      <c r="B152" s="7" t="s">
        <v>305</v>
      </c>
      <c r="C152" s="12"/>
      <c r="D152" s="12"/>
      <c r="E152" s="17" t="e">
        <f>+E120+E121+E122+E124</f>
        <v>#VALUE!</v>
      </c>
      <c r="F152" s="17"/>
      <c r="G152" s="7"/>
      <c r="H152" s="7"/>
      <c r="I152" s="7"/>
      <c r="J152" s="7"/>
    </row>
    <row r="153" spans="1:12" customFormat="1" ht="13" x14ac:dyDescent="0.15"/>
    <row r="154" spans="1:12" customFormat="1" ht="17" thickBot="1" x14ac:dyDescent="0.3">
      <c r="A154" s="321" t="s">
        <v>768</v>
      </c>
      <c r="B154" s="321"/>
      <c r="C154" s="321"/>
      <c r="D154" s="321"/>
      <c r="E154" s="321"/>
      <c r="F154" s="7"/>
      <c r="G154" s="7"/>
      <c r="H154" s="7"/>
      <c r="I154" s="7"/>
      <c r="J154" s="7"/>
    </row>
    <row r="155" spans="1:12" customFormat="1" ht="21" x14ac:dyDescent="0.3">
      <c r="A155" s="9"/>
      <c r="B155" s="315" t="str">
        <f>+H1&amp;TEXT($I$1," mm/dd/yyyy")</f>
        <v>Issued 07/16/2025</v>
      </c>
      <c r="C155" s="316"/>
      <c r="D155" s="316"/>
      <c r="E155" s="317"/>
      <c r="F155" s="42"/>
    </row>
    <row r="156" spans="1:12" customFormat="1" ht="18" x14ac:dyDescent="0.25">
      <c r="A156" s="9"/>
      <c r="B156" s="318" t="s">
        <v>790</v>
      </c>
      <c r="C156" s="319"/>
      <c r="D156" s="319"/>
      <c r="E156" s="320"/>
      <c r="F156" s="327" t="str">
        <f>IFERROR(IF(OR(I171&lt;&gt;0,OR(I164&lt;&gt;0,I168&lt;&gt;0)),"XX",""),"XX")</f>
        <v>XX</v>
      </c>
    </row>
    <row r="157" spans="1:12" customFormat="1" ht="18" x14ac:dyDescent="0.25">
      <c r="A157" s="9"/>
      <c r="B157" s="318" t="s">
        <v>1828</v>
      </c>
      <c r="C157" s="319"/>
      <c r="D157" s="319"/>
      <c r="E157" s="320"/>
      <c r="F157" s="327"/>
    </row>
    <row r="158" spans="1:12" customFormat="1" ht="18" x14ac:dyDescent="0.25">
      <c r="A158" s="9"/>
      <c r="B158" s="318" t="e">
        <f>"Provider #:  "&amp;VLOOKUP($H$3,'Rate Calculation'!$A$4:$CQ$208,85,FALSE)</f>
        <v>#REF!</v>
      </c>
      <c r="C158" s="319"/>
      <c r="D158" s="319"/>
      <c r="E158" s="320"/>
      <c r="F158" s="327"/>
    </row>
    <row r="159" spans="1:12" customFormat="1" ht="19" thickBot="1" x14ac:dyDescent="0.3">
      <c r="A159" s="9"/>
      <c r="B159" s="328" t="str">
        <f>+"Provider Name: "&amp;$I$3</f>
        <v>Provider Name: Frostburg Village Rehab Center</v>
      </c>
      <c r="C159" s="329"/>
      <c r="D159" s="329"/>
      <c r="E159" s="330"/>
      <c r="F159" s="327"/>
    </row>
    <row r="160" spans="1:12" customFormat="1" ht="13" x14ac:dyDescent="0.15"/>
    <row r="161" spans="1:10" customFormat="1" ht="19" thickBot="1" x14ac:dyDescent="0.3">
      <c r="B161" s="314" t="s">
        <v>795</v>
      </c>
      <c r="C161" s="314"/>
      <c r="D161" s="314"/>
      <c r="E161" s="314"/>
    </row>
    <row r="162" spans="1:10" customFormat="1" ht="42" customHeight="1" x14ac:dyDescent="0.25">
      <c r="A162" s="97"/>
      <c r="B162" s="52" t="s">
        <v>294</v>
      </c>
      <c r="C162" s="43" t="s">
        <v>267</v>
      </c>
      <c r="D162" s="43" t="s">
        <v>268</v>
      </c>
      <c r="E162" s="44" t="s">
        <v>269</v>
      </c>
      <c r="F162" s="7"/>
      <c r="G162" s="7"/>
      <c r="H162" s="7"/>
      <c r="I162" s="10" t="e">
        <f>+E164</f>
        <v>#REF!</v>
      </c>
      <c r="J162" s="7" t="s">
        <v>352</v>
      </c>
    </row>
    <row r="163" spans="1:10" customFormat="1" ht="18" x14ac:dyDescent="0.25">
      <c r="A163" s="97"/>
      <c r="B163" s="323" t="s">
        <v>270</v>
      </c>
      <c r="C163" s="324"/>
      <c r="D163" s="324"/>
      <c r="E163" s="325"/>
      <c r="F163" s="7"/>
      <c r="I163" s="57" t="e">
        <f>VLOOKUP(H3,'Phase In Option'!$A$16:$Y$220,24,FALSE)</f>
        <v>#REF!</v>
      </c>
      <c r="J163" s="7" t="s">
        <v>341</v>
      </c>
    </row>
    <row r="164" spans="1:10" customFormat="1" ht="32" customHeight="1" x14ac:dyDescent="0.25">
      <c r="A164" s="97"/>
      <c r="B164" s="45" t="s">
        <v>298</v>
      </c>
      <c r="C164" s="38" t="s">
        <v>271</v>
      </c>
      <c r="D164" s="46" t="s">
        <v>246</v>
      </c>
      <c r="E164" s="48" t="e">
        <f>+E188+E189</f>
        <v>#REF!</v>
      </c>
      <c r="F164" s="7"/>
      <c r="I164" s="10" t="e">
        <f>+I163-I162</f>
        <v>#REF!</v>
      </c>
    </row>
    <row r="165" spans="1:10" customFormat="1" ht="32" customHeight="1" x14ac:dyDescent="0.25">
      <c r="A165" s="97"/>
      <c r="B165" s="45" t="s">
        <v>299</v>
      </c>
      <c r="C165" s="38" t="s">
        <v>272</v>
      </c>
      <c r="D165" s="46" t="s">
        <v>247</v>
      </c>
      <c r="E165" s="48" t="e">
        <f>+E189+E212</f>
        <v>#DIV/0!</v>
      </c>
      <c r="F165" s="7"/>
    </row>
    <row r="166" spans="1:10" customFormat="1" ht="32" customHeight="1" x14ac:dyDescent="0.25">
      <c r="A166" s="97"/>
      <c r="B166" s="45" t="s">
        <v>300</v>
      </c>
      <c r="C166" s="38" t="s">
        <v>273</v>
      </c>
      <c r="D166" s="46" t="s">
        <v>248</v>
      </c>
      <c r="E166" s="48" t="e">
        <f>+E189+E213</f>
        <v>#DIV/0!</v>
      </c>
      <c r="F166" s="7"/>
      <c r="I166" s="10" t="e">
        <f>+E166</f>
        <v>#DIV/0!</v>
      </c>
      <c r="J166" s="7" t="s">
        <v>334</v>
      </c>
    </row>
    <row r="167" spans="1:10" customFormat="1" ht="32" customHeight="1" x14ac:dyDescent="0.25">
      <c r="A167" s="97"/>
      <c r="B167" s="45" t="s">
        <v>274</v>
      </c>
      <c r="C167" s="40" t="s">
        <v>275</v>
      </c>
      <c r="D167" s="46" t="s">
        <v>245</v>
      </c>
      <c r="E167" s="47" t="s">
        <v>276</v>
      </c>
      <c r="F167" s="7"/>
      <c r="I167" s="57" t="e">
        <f>VLOOKUP(H3,'Phase In Option'!$A$16:$Z$220,26,FALSE)+E189</f>
        <v>#REF!</v>
      </c>
      <c r="J167" s="7" t="s">
        <v>341</v>
      </c>
    </row>
    <row r="168" spans="1:10" customFormat="1" ht="17.25" customHeight="1" x14ac:dyDescent="0.25">
      <c r="A168" s="97"/>
      <c r="B168" s="323" t="s">
        <v>277</v>
      </c>
      <c r="C168" s="324"/>
      <c r="D168" s="324"/>
      <c r="E168" s="325"/>
      <c r="F168" s="7"/>
      <c r="I168" s="10" t="e">
        <f>+I167-I166</f>
        <v>#REF!</v>
      </c>
    </row>
    <row r="169" spans="1:10" customFormat="1" ht="32" customHeight="1" x14ac:dyDescent="0.25">
      <c r="A169" s="97"/>
      <c r="B169" s="45" t="s">
        <v>278</v>
      </c>
      <c r="C169" s="38" t="s">
        <v>279</v>
      </c>
      <c r="D169" s="46" t="s">
        <v>250</v>
      </c>
      <c r="E169" s="48">
        <v>23.13</v>
      </c>
      <c r="F169" s="7"/>
      <c r="I169" s="10" t="e">
        <f>+E165</f>
        <v>#DIV/0!</v>
      </c>
      <c r="J169" s="7" t="s">
        <v>150</v>
      </c>
    </row>
    <row r="170" spans="1:10" customFormat="1" ht="32" customHeight="1" x14ac:dyDescent="0.3">
      <c r="A170" s="97"/>
      <c r="B170" s="45" t="s">
        <v>280</v>
      </c>
      <c r="C170" s="38" t="s">
        <v>281</v>
      </c>
      <c r="D170" s="46" t="s">
        <v>252</v>
      </c>
      <c r="E170" s="48">
        <v>92.14</v>
      </c>
      <c r="F170" s="11"/>
      <c r="I170" s="57" t="e">
        <f>VLOOKUP($H$3,'Phase In Option'!$A$16:$Y$220,25,FALSE)+E189</f>
        <v>#REF!</v>
      </c>
      <c r="J170" s="7" t="s">
        <v>341</v>
      </c>
    </row>
    <row r="171" spans="1:10" customFormat="1" ht="32" customHeight="1" x14ac:dyDescent="0.3">
      <c r="A171" s="97"/>
      <c r="B171" s="45" t="s">
        <v>282</v>
      </c>
      <c r="C171" s="38" t="s">
        <v>287</v>
      </c>
      <c r="D171" s="46" t="s">
        <v>253</v>
      </c>
      <c r="E171" s="48">
        <v>2.0499999999999998</v>
      </c>
      <c r="F171" s="11"/>
      <c r="I171" s="10" t="e">
        <f>+I170-I169</f>
        <v>#REF!</v>
      </c>
    </row>
    <row r="172" spans="1:10" customFormat="1" ht="32" customHeight="1" x14ac:dyDescent="0.3">
      <c r="A172" s="97"/>
      <c r="B172" s="45" t="s">
        <v>283</v>
      </c>
      <c r="C172" s="38" t="s">
        <v>284</v>
      </c>
      <c r="D172" s="46" t="s">
        <v>251</v>
      </c>
      <c r="E172" s="48">
        <v>5.49</v>
      </c>
      <c r="F172" s="11"/>
    </row>
    <row r="173" spans="1:10" customFormat="1" ht="32" customHeight="1" x14ac:dyDescent="0.3">
      <c r="A173" s="97"/>
      <c r="B173" s="45" t="s">
        <v>285</v>
      </c>
      <c r="C173" s="38" t="s">
        <v>304</v>
      </c>
      <c r="D173" s="46" t="s">
        <v>249</v>
      </c>
      <c r="E173" s="48">
        <v>116.41</v>
      </c>
      <c r="F173" s="11"/>
    </row>
    <row r="174" spans="1:10" customFormat="1" ht="32" customHeight="1" thickBot="1" x14ac:dyDescent="0.35">
      <c r="A174" s="97"/>
      <c r="B174" s="49" t="s">
        <v>286</v>
      </c>
      <c r="C174" s="39" t="s">
        <v>287</v>
      </c>
      <c r="D174" s="50" t="s">
        <v>288</v>
      </c>
      <c r="E174" s="51" t="s">
        <v>289</v>
      </c>
      <c r="F174" s="11"/>
    </row>
    <row r="175" spans="1:10" customFormat="1" x14ac:dyDescent="0.25">
      <c r="A175" s="7"/>
      <c r="B175" s="7" t="s">
        <v>290</v>
      </c>
      <c r="C175" s="7"/>
      <c r="D175" s="7"/>
      <c r="E175" s="7"/>
      <c r="F175" s="7"/>
      <c r="G175" s="7"/>
      <c r="J175" s="7"/>
    </row>
    <row r="176" spans="1:10" customFormat="1" x14ac:dyDescent="0.25">
      <c r="A176" s="7"/>
      <c r="B176" s="7" t="s">
        <v>291</v>
      </c>
      <c r="C176" s="7"/>
      <c r="D176" s="7"/>
      <c r="E176" s="7"/>
      <c r="F176" s="7"/>
      <c r="G176" s="7"/>
      <c r="H176" s="10"/>
      <c r="I176" s="7"/>
      <c r="J176" s="7"/>
    </row>
    <row r="177" spans="1:10" customFormat="1" ht="13" x14ac:dyDescent="0.15"/>
    <row r="178" spans="1:10" customFormat="1" ht="18" x14ac:dyDescent="0.25">
      <c r="A178" s="9"/>
      <c r="B178" s="326" t="s">
        <v>1829</v>
      </c>
      <c r="C178" s="326"/>
      <c r="D178" s="326"/>
      <c r="E178" s="326"/>
      <c r="F178" s="42" t="s">
        <v>307</v>
      </c>
    </row>
    <row r="179" spans="1:10" customFormat="1" ht="18" x14ac:dyDescent="0.25">
      <c r="A179" s="9"/>
      <c r="B179" s="319" t="str">
        <f>I3</f>
        <v>Frostburg Village Rehab Center</v>
      </c>
      <c r="C179" s="319"/>
      <c r="D179" s="319"/>
      <c r="E179" s="319"/>
      <c r="F179" s="42"/>
    </row>
    <row r="180" spans="1:10" customFormat="1" ht="17.25" customHeight="1" x14ac:dyDescent="0.25">
      <c r="A180" s="9"/>
      <c r="B180" s="9" t="s">
        <v>143</v>
      </c>
      <c r="C180" s="20"/>
      <c r="D180" s="20"/>
      <c r="E180" s="20" t="s">
        <v>293</v>
      </c>
      <c r="F180" s="7"/>
    </row>
    <row r="181" spans="1:10" customFormat="1" ht="17.25" customHeight="1" x14ac:dyDescent="0.25">
      <c r="A181" s="9">
        <v>1</v>
      </c>
      <c r="B181" s="7" t="s">
        <v>769</v>
      </c>
      <c r="D181" s="17"/>
      <c r="E181" s="17">
        <f>+E26</f>
        <v>92.33</v>
      </c>
      <c r="F181" s="7"/>
      <c r="H181" s="118"/>
    </row>
    <row r="182" spans="1:10" customFormat="1" ht="17.25" customHeight="1" x14ac:dyDescent="0.25">
      <c r="A182" s="9">
        <v>2</v>
      </c>
      <c r="B182" s="7" t="s">
        <v>770</v>
      </c>
      <c r="D182" s="17"/>
      <c r="E182" s="17">
        <f>+E27</f>
        <v>20.87</v>
      </c>
      <c r="F182" s="7"/>
      <c r="H182" s="118"/>
    </row>
    <row r="183" spans="1:10" customFormat="1" ht="17.25" customHeight="1" x14ac:dyDescent="0.25">
      <c r="A183" s="9">
        <v>3</v>
      </c>
      <c r="B183" s="7" t="s">
        <v>771</v>
      </c>
      <c r="D183" s="17"/>
      <c r="E183" s="17">
        <f>+E28</f>
        <v>31.75</v>
      </c>
      <c r="F183" s="7"/>
      <c r="H183" s="118"/>
    </row>
    <row r="184" spans="1:10" customFormat="1" ht="17.25" customHeight="1" x14ac:dyDescent="0.25">
      <c r="A184" s="9">
        <v>4</v>
      </c>
      <c r="B184" s="7" t="s">
        <v>563</v>
      </c>
      <c r="D184" s="17"/>
      <c r="E184" s="17" t="e">
        <f>+E204</f>
        <v>#REF!</v>
      </c>
      <c r="F184" s="7"/>
      <c r="H184" s="118"/>
    </row>
    <row r="185" spans="1:10" customFormat="1" ht="17.25" customHeight="1" x14ac:dyDescent="0.25">
      <c r="A185" s="9">
        <v>5</v>
      </c>
      <c r="B185" s="7" t="s">
        <v>772</v>
      </c>
      <c r="D185" s="17"/>
      <c r="E185" s="17" t="str">
        <f>VLOOKUP($H$3,'Rate Calculation'!$A$3:$BN$307,43,FALSE)</f>
        <v>Frostburg Village Rehab Center</v>
      </c>
      <c r="F185" s="7"/>
      <c r="H185" s="118"/>
    </row>
    <row r="186" spans="1:10" customFormat="1" ht="17.25" customHeight="1" x14ac:dyDescent="0.25">
      <c r="A186" s="9">
        <v>6</v>
      </c>
      <c r="B186" s="7" t="s">
        <v>536</v>
      </c>
      <c r="D186" s="41"/>
      <c r="E186" s="17" t="e">
        <f>SUM(E181:E185)</f>
        <v>#REF!</v>
      </c>
      <c r="F186" s="7"/>
      <c r="H186" s="118"/>
    </row>
    <row r="187" spans="1:10" customFormat="1" ht="17.25" customHeight="1" x14ac:dyDescent="0.25">
      <c r="A187" s="9">
        <f>+A186+1</f>
        <v>7</v>
      </c>
      <c r="B187" s="7" t="s">
        <v>340</v>
      </c>
      <c r="D187" s="41"/>
      <c r="E187" s="58">
        <f>+_baf</f>
        <v>0.98772000000000004</v>
      </c>
      <c r="F187" s="7"/>
      <c r="H187" s="118"/>
    </row>
    <row r="188" spans="1:10" customFormat="1" ht="17.25" customHeight="1" x14ac:dyDescent="0.25">
      <c r="A188" s="9">
        <f t="shared" ref="A188:A189" si="7">+A187+1</f>
        <v>8</v>
      </c>
      <c r="B188" s="7" t="s">
        <v>535</v>
      </c>
      <c r="D188" s="41"/>
      <c r="E188" s="41" t="e">
        <f>ROUND(E186*E187,2)</f>
        <v>#REF!</v>
      </c>
      <c r="F188" s="7"/>
      <c r="H188" s="118"/>
    </row>
    <row r="189" spans="1:10" customFormat="1" ht="17.25" customHeight="1" x14ac:dyDescent="0.25">
      <c r="A189" s="9">
        <f t="shared" si="7"/>
        <v>9</v>
      </c>
      <c r="B189" s="7" t="s">
        <v>218</v>
      </c>
      <c r="D189" s="17"/>
      <c r="E189" s="17" t="e">
        <f>VLOOKUP($H$3,'Rate Calculation'!$A$3:$BH$210,47,FALSE)</f>
        <v>#DIV/0!</v>
      </c>
      <c r="F189" s="7"/>
      <c r="H189" s="118"/>
    </row>
    <row r="190" spans="1:10" customFormat="1" x14ac:dyDescent="0.25">
      <c r="A190" s="9"/>
      <c r="B190" s="7"/>
      <c r="C190" s="17"/>
      <c r="D190" s="17"/>
      <c r="E190" s="17"/>
      <c r="F190" s="7"/>
      <c r="G190" s="7"/>
      <c r="H190" s="7"/>
      <c r="I190" s="88"/>
      <c r="J190" s="7"/>
    </row>
    <row r="191" spans="1:10" customFormat="1" ht="18" x14ac:dyDescent="0.25">
      <c r="A191" s="9"/>
      <c r="B191" s="326" t="s">
        <v>257</v>
      </c>
      <c r="C191" s="326"/>
      <c r="D191" s="326"/>
      <c r="E191" s="326"/>
      <c r="F191" s="13"/>
      <c r="G191" s="7"/>
      <c r="H191" s="7"/>
      <c r="I191" s="88"/>
      <c r="J191" s="7"/>
    </row>
    <row r="192" spans="1:10" customFormat="1" ht="17.25" customHeight="1" x14ac:dyDescent="0.25">
      <c r="A192" s="9">
        <f>+A189+1</f>
        <v>10</v>
      </c>
      <c r="B192" s="15" t="s">
        <v>773</v>
      </c>
      <c r="C192" s="12"/>
      <c r="D192" s="12"/>
      <c r="E192" s="16">
        <f>+$E$37</f>
        <v>1.3543000000000001</v>
      </c>
      <c r="F192" s="8"/>
      <c r="G192" s="7"/>
      <c r="H192" s="7"/>
      <c r="I192" s="7"/>
      <c r="J192" s="7"/>
    </row>
    <row r="193" spans="1:10" customFormat="1" ht="17.25" customHeight="1" x14ac:dyDescent="0.25">
      <c r="A193" s="9">
        <f>+A192+1</f>
        <v>11</v>
      </c>
      <c r="B193" s="7" t="s">
        <v>258</v>
      </c>
      <c r="C193" s="12"/>
      <c r="D193" s="12"/>
      <c r="E193" s="18">
        <f>+SW_CR_CMI</f>
        <v>1.4432</v>
      </c>
      <c r="F193" s="7"/>
      <c r="G193" s="7"/>
      <c r="H193" s="7"/>
      <c r="I193" s="7"/>
      <c r="J193" s="7"/>
    </row>
    <row r="194" spans="1:10" customFormat="1" ht="17.25" customHeight="1" x14ac:dyDescent="0.25">
      <c r="A194" s="9">
        <f>+A193+1</f>
        <v>12</v>
      </c>
      <c r="B194" s="15" t="s">
        <v>780</v>
      </c>
      <c r="C194" s="12"/>
      <c r="D194" s="12"/>
      <c r="E194" s="14">
        <f>VLOOKUP(H3,'CMI Data'!A3:U210,12,FALSE)</f>
        <v>0</v>
      </c>
      <c r="F194" s="18"/>
      <c r="G194" s="7"/>
      <c r="H194" s="7"/>
      <c r="I194" s="7"/>
      <c r="J194" s="7"/>
    </row>
    <row r="195" spans="1:10" customFormat="1" ht="17.25" customHeight="1" x14ac:dyDescent="0.25">
      <c r="A195" s="9">
        <f>+A194+1</f>
        <v>13</v>
      </c>
      <c r="B195" s="7" t="s">
        <v>488</v>
      </c>
      <c r="C195" s="12"/>
      <c r="D195" s="12"/>
      <c r="E195" s="123" t="e">
        <f>+'CMI Data'!N214</f>
        <v>#DIV/0!</v>
      </c>
      <c r="F195" s="19"/>
      <c r="G195" s="7"/>
      <c r="H195" s="7"/>
      <c r="I195" s="7"/>
      <c r="J195" s="7"/>
    </row>
    <row r="196" spans="1:10" customFormat="1" ht="17.25" customHeight="1" x14ac:dyDescent="0.25">
      <c r="A196" s="9">
        <f>+A195+1</f>
        <v>14</v>
      </c>
      <c r="B196" s="15" t="s">
        <v>781</v>
      </c>
      <c r="C196" s="12"/>
      <c r="D196" s="12"/>
      <c r="E196" s="14">
        <f>IF(E194=0,'CMI Data'!N213,ROUND(E195*E194,4))</f>
        <v>1.4061999999999999</v>
      </c>
      <c r="F196" s="19"/>
      <c r="G196" s="7"/>
      <c r="H196" s="7"/>
      <c r="I196" s="7"/>
      <c r="J196" s="7"/>
    </row>
    <row r="197" spans="1:10" customFormat="1" x14ac:dyDescent="0.25">
      <c r="A197" s="9"/>
      <c r="B197" s="15"/>
      <c r="C197" s="14"/>
      <c r="D197" s="14"/>
      <c r="E197" s="8"/>
      <c r="F197" s="8"/>
      <c r="G197" s="7"/>
      <c r="H197" s="7"/>
      <c r="I197" s="7"/>
      <c r="J197" s="7"/>
    </row>
    <row r="198" spans="1:10" customFormat="1" ht="26.25" customHeight="1" x14ac:dyDescent="0.25">
      <c r="A198" s="9"/>
      <c r="B198" s="12"/>
      <c r="C198" s="21"/>
      <c r="D198" s="21"/>
      <c r="E198" s="22" t="e">
        <f>"Region: "&amp;VLOOKUP($H$3,#REF!,5,FALSE)</f>
        <v>#REF!</v>
      </c>
      <c r="F198" s="7"/>
      <c r="G198" s="7"/>
      <c r="H198" s="7"/>
      <c r="I198" s="7"/>
      <c r="J198" s="7"/>
    </row>
    <row r="199" spans="1:10" customFormat="1" ht="17.25" customHeight="1" x14ac:dyDescent="0.25">
      <c r="A199" s="9">
        <f>+A196+1</f>
        <v>15</v>
      </c>
      <c r="B199" s="7" t="s">
        <v>782</v>
      </c>
      <c r="C199" s="21"/>
      <c r="D199" s="21"/>
      <c r="E199" s="55" t="e">
        <f>+#REF!</f>
        <v>#REF!</v>
      </c>
      <c r="F199" s="19"/>
      <c r="G199" s="7"/>
      <c r="H199" s="7"/>
      <c r="I199" s="7"/>
      <c r="J199" s="7"/>
    </row>
    <row r="200" spans="1:10" customFormat="1" ht="17.25" customHeight="1" x14ac:dyDescent="0.25">
      <c r="A200" s="9">
        <f>+A199+1</f>
        <v>16</v>
      </c>
      <c r="B200" s="7" t="s">
        <v>783</v>
      </c>
      <c r="C200" s="12"/>
      <c r="D200" s="12"/>
      <c r="E200" s="55">
        <f>+E78</f>
        <v>166.26</v>
      </c>
      <c r="F200" s="19"/>
      <c r="G200" s="7"/>
      <c r="H200" s="7"/>
      <c r="I200" s="7"/>
      <c r="J200" s="7"/>
    </row>
    <row r="201" spans="1:10" customFormat="1" ht="17.25" customHeight="1" x14ac:dyDescent="0.25">
      <c r="A201" s="9">
        <f>+A200+1</f>
        <v>17</v>
      </c>
      <c r="B201" s="7" t="s">
        <v>564</v>
      </c>
      <c r="C201" s="12"/>
      <c r="D201" s="12"/>
      <c r="E201" s="41">
        <f>IF(E192="NA","NA",ROUND(+E200*E192/E193,2))</f>
        <v>156.02000000000001</v>
      </c>
      <c r="F201" s="19"/>
      <c r="G201" s="7"/>
      <c r="H201" s="7"/>
      <c r="I201" s="7"/>
      <c r="J201" s="7"/>
    </row>
    <row r="202" spans="1:10" customFormat="1" ht="17.25" customHeight="1" x14ac:dyDescent="0.25">
      <c r="A202" s="9">
        <f t="shared" ref="A202:A204" si="8">+A201+1</f>
        <v>18</v>
      </c>
      <c r="B202" s="7" t="s">
        <v>566</v>
      </c>
      <c r="C202" s="12"/>
      <c r="D202" s="12"/>
      <c r="E202" s="95" t="e">
        <f>IF(E199="NA",ROUND(E200*E196,2),ROUND(E201*E196/E192,2))</f>
        <v>#REF!</v>
      </c>
      <c r="F202" s="19"/>
      <c r="G202" s="7"/>
      <c r="H202" s="7"/>
      <c r="I202" s="7"/>
      <c r="J202" s="7"/>
    </row>
    <row r="203" spans="1:10" customFormat="1" ht="17.25" customHeight="1" x14ac:dyDescent="0.25">
      <c r="A203" s="9">
        <f t="shared" si="8"/>
        <v>19</v>
      </c>
      <c r="B203" s="7" t="s">
        <v>567</v>
      </c>
      <c r="C203" s="12"/>
      <c r="D203" s="12"/>
      <c r="E203" s="17" t="e">
        <f>MAX(0,E209)*-1</f>
        <v>#REF!</v>
      </c>
      <c r="F203" s="19"/>
      <c r="G203" s="7"/>
      <c r="H203" s="7"/>
      <c r="I203" s="7"/>
      <c r="J203" s="7"/>
    </row>
    <row r="204" spans="1:10" customFormat="1" ht="17.25" customHeight="1" x14ac:dyDescent="0.25">
      <c r="A204" s="9">
        <f t="shared" si="8"/>
        <v>20</v>
      </c>
      <c r="B204" s="7" t="s">
        <v>568</v>
      </c>
      <c r="C204" s="12"/>
      <c r="D204" s="12"/>
      <c r="E204" s="17" t="e">
        <f>+E203+E202</f>
        <v>#REF!</v>
      </c>
      <c r="F204" s="19"/>
      <c r="G204" s="7"/>
      <c r="H204" s="7"/>
      <c r="I204" s="7"/>
      <c r="J204" s="7"/>
    </row>
    <row r="205" spans="1:10" customFormat="1" ht="18" x14ac:dyDescent="0.25">
      <c r="A205" s="9"/>
      <c r="B205" s="7"/>
      <c r="C205" s="12"/>
      <c r="D205" s="12"/>
      <c r="E205" s="17"/>
      <c r="F205" s="19"/>
      <c r="G205" s="7"/>
      <c r="H205" s="7"/>
      <c r="I205" s="7"/>
      <c r="J205" s="7"/>
    </row>
    <row r="206" spans="1:10" customFormat="1" ht="18" x14ac:dyDescent="0.25">
      <c r="A206" s="322" t="s">
        <v>144</v>
      </c>
      <c r="B206" s="322"/>
      <c r="C206" s="322"/>
      <c r="D206" s="322"/>
      <c r="E206" s="322"/>
      <c r="F206" s="19"/>
      <c r="G206" s="7"/>
      <c r="H206" s="7"/>
      <c r="I206" s="7"/>
      <c r="J206" s="7"/>
    </row>
    <row r="207" spans="1:10" customFormat="1" ht="17.25" customHeight="1" x14ac:dyDescent="0.25">
      <c r="A207" s="9">
        <f>+A204+1</f>
        <v>21</v>
      </c>
      <c r="B207" s="7" t="s">
        <v>565</v>
      </c>
      <c r="C207" s="12"/>
      <c r="D207" s="12"/>
      <c r="E207" s="96" t="e">
        <f>IF(E199="NA","NA",ROUND(E199*E196/E192,2))</f>
        <v>#REF!</v>
      </c>
      <c r="F207" s="19"/>
      <c r="G207" s="7"/>
      <c r="H207" s="7"/>
      <c r="I207" s="7"/>
      <c r="J207" s="7"/>
    </row>
    <row r="208" spans="1:10" customFormat="1" ht="17.25" customHeight="1" x14ac:dyDescent="0.25">
      <c r="A208" s="9">
        <f>+A207+1</f>
        <v>22</v>
      </c>
      <c r="B208" s="7" t="s">
        <v>569</v>
      </c>
      <c r="C208" s="12"/>
      <c r="D208" s="12"/>
      <c r="E208" s="41" t="e">
        <f>IF(E202="NA","NA",ROUND(E202*0.95,2))</f>
        <v>#REF!</v>
      </c>
      <c r="F208" s="19"/>
      <c r="G208" s="7"/>
      <c r="H208" s="7"/>
      <c r="I208" s="7"/>
      <c r="J208" s="7"/>
    </row>
    <row r="209" spans="1:10" customFormat="1" ht="17.25" customHeight="1" x14ac:dyDescent="0.25">
      <c r="A209" s="9">
        <f>+A208+1</f>
        <v>23</v>
      </c>
      <c r="B209" s="7" t="s">
        <v>570</v>
      </c>
      <c r="C209" s="12"/>
      <c r="D209" s="12"/>
      <c r="E209" s="17" t="e">
        <f>IF(E207="NA",0,+E208-E207)</f>
        <v>#REF!</v>
      </c>
      <c r="F209" s="19"/>
      <c r="G209" s="7"/>
      <c r="H209" s="7"/>
      <c r="I209" s="7"/>
      <c r="J209" s="7"/>
    </row>
    <row r="210" spans="1:10" customFormat="1" ht="18" x14ac:dyDescent="0.25">
      <c r="A210" s="9"/>
      <c r="B210" s="7"/>
      <c r="C210" s="12"/>
      <c r="D210" s="12"/>
      <c r="E210" s="17"/>
      <c r="F210" s="10"/>
      <c r="G210" s="7"/>
      <c r="H210" s="7"/>
      <c r="I210" s="7"/>
      <c r="J210" s="7"/>
    </row>
    <row r="211" spans="1:10" customFormat="1" ht="18" x14ac:dyDescent="0.25">
      <c r="A211" s="322" t="s">
        <v>292</v>
      </c>
      <c r="B211" s="322"/>
      <c r="C211" s="322"/>
      <c r="D211" s="322"/>
      <c r="E211" s="322"/>
      <c r="F211" s="7"/>
      <c r="G211" s="7"/>
      <c r="H211" s="7"/>
      <c r="I211" s="7"/>
      <c r="J211" s="7"/>
    </row>
    <row r="212" spans="1:10" customFormat="1" ht="17.25" customHeight="1" x14ac:dyDescent="0.25">
      <c r="A212" s="9">
        <f>+A209+1</f>
        <v>24</v>
      </c>
      <c r="B212" s="7" t="s">
        <v>534</v>
      </c>
      <c r="C212" s="12"/>
      <c r="D212" s="12"/>
      <c r="E212" s="17" t="e">
        <f>+E181+E182+E183+ROUND(E184*0.5,2)+E185</f>
        <v>#REF!</v>
      </c>
      <c r="F212" s="7"/>
      <c r="G212" s="7"/>
      <c r="H212" s="7"/>
      <c r="I212" s="7"/>
      <c r="J212" s="7"/>
    </row>
    <row r="213" spans="1:10" customFormat="1" ht="17.25" customHeight="1" x14ac:dyDescent="0.25">
      <c r="A213" s="9">
        <f>+A212+1</f>
        <v>25</v>
      </c>
      <c r="B213" s="7" t="s">
        <v>305</v>
      </c>
      <c r="C213" s="12"/>
      <c r="D213" s="12"/>
      <c r="E213" s="17" t="e">
        <f>+E181+E182+E183+E185</f>
        <v>#VALUE!</v>
      </c>
      <c r="F213" s="17"/>
      <c r="G213" s="7"/>
      <c r="H213" s="7"/>
      <c r="I213" s="7"/>
      <c r="J213" s="7"/>
    </row>
    <row r="214" spans="1:10" customFormat="1" ht="13" x14ac:dyDescent="0.15"/>
    <row r="215" spans="1:10" customFormat="1" ht="17" thickBot="1" x14ac:dyDescent="0.3">
      <c r="A215" s="321" t="s">
        <v>798</v>
      </c>
      <c r="B215" s="321"/>
      <c r="C215" s="321"/>
      <c r="D215" s="321"/>
      <c r="E215" s="321"/>
      <c r="F215" s="7"/>
      <c r="G215" s="7"/>
      <c r="H215" s="7"/>
      <c r="I215" s="7"/>
      <c r="J215" s="7"/>
    </row>
    <row r="216" spans="1:10" customFormat="1" ht="21" x14ac:dyDescent="0.3">
      <c r="A216" s="9"/>
      <c r="B216" s="315" t="str">
        <f>+H1&amp;TEXT($I$1," mm/dd/yyyy")</f>
        <v>Issued 07/16/2025</v>
      </c>
      <c r="C216" s="316"/>
      <c r="D216" s="316"/>
      <c r="E216" s="317"/>
      <c r="F216" s="42"/>
    </row>
    <row r="217" spans="1:10" customFormat="1" ht="18" x14ac:dyDescent="0.25">
      <c r="A217" s="9"/>
      <c r="B217" s="318" t="s">
        <v>790</v>
      </c>
      <c r="C217" s="319"/>
      <c r="D217" s="319"/>
      <c r="E217" s="320"/>
      <c r="F217" s="327" t="str">
        <f>IFERROR(IF(OR(I232&lt;&gt;0,OR(I225&lt;&gt;0,I229&lt;&gt;0)),"XX",""),"XX")</f>
        <v>XX</v>
      </c>
    </row>
    <row r="218" spans="1:10" customFormat="1" ht="18" x14ac:dyDescent="0.25">
      <c r="A218" s="9"/>
      <c r="B218" s="318" t="s">
        <v>1830</v>
      </c>
      <c r="C218" s="319"/>
      <c r="D218" s="319"/>
      <c r="E218" s="320"/>
      <c r="F218" s="327"/>
    </row>
    <row r="219" spans="1:10" customFormat="1" ht="18" x14ac:dyDescent="0.25">
      <c r="A219" s="9"/>
      <c r="B219" s="318" t="str">
        <f>"Provider #:  "&amp;VLOOKUP($H$3,'Rate Calculation'!A2:EA395,102,FALSE)</f>
        <v xml:space="preserve">Provider #:  </v>
      </c>
      <c r="C219" s="319"/>
      <c r="D219" s="319"/>
      <c r="E219" s="320"/>
      <c r="F219" s="327"/>
    </row>
    <row r="220" spans="1:10" customFormat="1" ht="19" thickBot="1" x14ac:dyDescent="0.3">
      <c r="A220" s="9"/>
      <c r="B220" s="328" t="str">
        <f>+"Provider Name: "&amp;$I$3</f>
        <v>Provider Name: Frostburg Village Rehab Center</v>
      </c>
      <c r="C220" s="329"/>
      <c r="D220" s="329"/>
      <c r="E220" s="330"/>
      <c r="F220" s="327"/>
    </row>
    <row r="221" spans="1:10" customFormat="1" ht="13" x14ac:dyDescent="0.15"/>
    <row r="222" spans="1:10" customFormat="1" ht="19" thickBot="1" x14ac:dyDescent="0.3">
      <c r="B222" s="314" t="s">
        <v>795</v>
      </c>
      <c r="C222" s="314"/>
      <c r="D222" s="314"/>
      <c r="E222" s="314"/>
    </row>
    <row r="223" spans="1:10" customFormat="1" ht="42" customHeight="1" x14ac:dyDescent="0.25">
      <c r="A223" s="97"/>
      <c r="B223" s="52" t="s">
        <v>294</v>
      </c>
      <c r="C223" s="43" t="s">
        <v>267</v>
      </c>
      <c r="D223" s="43" t="s">
        <v>268</v>
      </c>
      <c r="E223" s="44" t="s">
        <v>269</v>
      </c>
      <c r="F223" s="7"/>
      <c r="G223" s="7"/>
      <c r="H223" s="7"/>
      <c r="I223" s="10" t="e">
        <f>+E225</f>
        <v>#REF!</v>
      </c>
      <c r="J223" s="7" t="s">
        <v>352</v>
      </c>
    </row>
    <row r="224" spans="1:10" customFormat="1" ht="18" x14ac:dyDescent="0.25">
      <c r="A224" s="97"/>
      <c r="B224" s="323" t="s">
        <v>270</v>
      </c>
      <c r="C224" s="324"/>
      <c r="D224" s="324"/>
      <c r="E224" s="325"/>
      <c r="F224" s="7"/>
      <c r="I224" s="57" t="e">
        <f>VLOOKUP(H3,'Phase In Option'!A15:AF220,30,FALSE)</f>
        <v>#REF!</v>
      </c>
      <c r="J224" s="7" t="s">
        <v>341</v>
      </c>
    </row>
    <row r="225" spans="1:10" customFormat="1" ht="32" customHeight="1" x14ac:dyDescent="0.25">
      <c r="A225" s="97"/>
      <c r="B225" s="45" t="s">
        <v>298</v>
      </c>
      <c r="C225" s="38" t="s">
        <v>271</v>
      </c>
      <c r="D225" s="46" t="s">
        <v>246</v>
      </c>
      <c r="E225" s="48" t="e">
        <f>+E249+E250</f>
        <v>#REF!</v>
      </c>
      <c r="F225" s="7"/>
      <c r="I225" s="10" t="e">
        <f>+I224-I223</f>
        <v>#REF!</v>
      </c>
    </row>
    <row r="226" spans="1:10" customFormat="1" ht="32" customHeight="1" x14ac:dyDescent="0.25">
      <c r="A226" s="97"/>
      <c r="B226" s="45" t="s">
        <v>299</v>
      </c>
      <c r="C226" s="38" t="s">
        <v>272</v>
      </c>
      <c r="D226" s="46" t="s">
        <v>247</v>
      </c>
      <c r="E226" s="48" t="e">
        <f>+E250+E273</f>
        <v>#DIV/0!</v>
      </c>
      <c r="F226" s="7"/>
    </row>
    <row r="227" spans="1:10" customFormat="1" ht="32" customHeight="1" x14ac:dyDescent="0.25">
      <c r="A227" s="97"/>
      <c r="B227" s="45" t="s">
        <v>300</v>
      </c>
      <c r="C227" s="38" t="s">
        <v>273</v>
      </c>
      <c r="D227" s="46" t="s">
        <v>248</v>
      </c>
      <c r="E227" s="48" t="e">
        <f>+E250+E274</f>
        <v>#DIV/0!</v>
      </c>
      <c r="F227" s="7"/>
      <c r="I227" s="10" t="e">
        <f>+E227</f>
        <v>#DIV/0!</v>
      </c>
      <c r="J227" s="7" t="s">
        <v>334</v>
      </c>
    </row>
    <row r="228" spans="1:10" customFormat="1" ht="32" customHeight="1" x14ac:dyDescent="0.25">
      <c r="A228" s="97"/>
      <c r="B228" s="45" t="s">
        <v>274</v>
      </c>
      <c r="C228" s="40" t="s">
        <v>275</v>
      </c>
      <c r="D228" s="46" t="s">
        <v>245</v>
      </c>
      <c r="E228" s="47" t="s">
        <v>276</v>
      </c>
      <c r="F228" s="7"/>
      <c r="I228" s="57" t="e">
        <f>VLOOKUP(H3,'Phase In Option'!A1:CG299,32,FALSE)+E250</f>
        <v>#DIV/0!</v>
      </c>
      <c r="J228" s="7" t="s">
        <v>341</v>
      </c>
    </row>
    <row r="229" spans="1:10" customFormat="1" ht="17.25" customHeight="1" x14ac:dyDescent="0.25">
      <c r="A229" s="97"/>
      <c r="B229" s="323" t="s">
        <v>277</v>
      </c>
      <c r="C229" s="324"/>
      <c r="D229" s="324"/>
      <c r="E229" s="325"/>
      <c r="F229" s="7"/>
      <c r="I229" s="10" t="e">
        <f>+I228-I227</f>
        <v>#DIV/0!</v>
      </c>
    </row>
    <row r="230" spans="1:10" customFormat="1" ht="32" customHeight="1" x14ac:dyDescent="0.25">
      <c r="A230" s="97"/>
      <c r="B230" s="45" t="s">
        <v>278</v>
      </c>
      <c r="C230" s="38" t="s">
        <v>279</v>
      </c>
      <c r="D230" s="46" t="s">
        <v>250</v>
      </c>
      <c r="E230" s="48">
        <v>23.13</v>
      </c>
      <c r="F230" s="7"/>
      <c r="I230" s="10" t="e">
        <f>+E226</f>
        <v>#DIV/0!</v>
      </c>
      <c r="J230" s="7" t="s">
        <v>150</v>
      </c>
    </row>
    <row r="231" spans="1:10" customFormat="1" ht="32" customHeight="1" x14ac:dyDescent="0.3">
      <c r="A231" s="97"/>
      <c r="B231" s="45" t="s">
        <v>280</v>
      </c>
      <c r="C231" s="38" t="s">
        <v>281</v>
      </c>
      <c r="D231" s="46" t="s">
        <v>252</v>
      </c>
      <c r="E231" s="48">
        <v>92.14</v>
      </c>
      <c r="F231" s="11"/>
      <c r="I231" s="57" t="e">
        <f>VLOOKUP($H$3,'Phase In Option'!$A$15:$AX$220,31,FALSE)+E250</f>
        <v>#REF!</v>
      </c>
      <c r="J231" s="7" t="s">
        <v>341</v>
      </c>
    </row>
    <row r="232" spans="1:10" customFormat="1" ht="32" customHeight="1" x14ac:dyDescent="0.3">
      <c r="A232" s="97"/>
      <c r="B232" s="45" t="s">
        <v>282</v>
      </c>
      <c r="C232" s="38" t="s">
        <v>287</v>
      </c>
      <c r="D232" s="46" t="s">
        <v>253</v>
      </c>
      <c r="E232" s="48">
        <v>2.0499999999999998</v>
      </c>
      <c r="F232" s="11"/>
      <c r="I232" s="10" t="e">
        <f>+I231-I230</f>
        <v>#REF!</v>
      </c>
    </row>
    <row r="233" spans="1:10" customFormat="1" ht="32" customHeight="1" x14ac:dyDescent="0.3">
      <c r="A233" s="97"/>
      <c r="B233" s="45" t="s">
        <v>283</v>
      </c>
      <c r="C233" s="38" t="s">
        <v>284</v>
      </c>
      <c r="D233" s="46" t="s">
        <v>251</v>
      </c>
      <c r="E233" s="48">
        <v>5.49</v>
      </c>
      <c r="F233" s="11"/>
    </row>
    <row r="234" spans="1:10" customFormat="1" ht="32" customHeight="1" x14ac:dyDescent="0.3">
      <c r="A234" s="97"/>
      <c r="B234" s="45" t="s">
        <v>285</v>
      </c>
      <c r="C234" s="38" t="s">
        <v>304</v>
      </c>
      <c r="D234" s="46" t="s">
        <v>249</v>
      </c>
      <c r="E234" s="48">
        <v>116.41</v>
      </c>
      <c r="F234" s="11"/>
    </row>
    <row r="235" spans="1:10" customFormat="1" ht="32" customHeight="1" thickBot="1" x14ac:dyDescent="0.35">
      <c r="A235" s="97"/>
      <c r="B235" s="49" t="s">
        <v>286</v>
      </c>
      <c r="C235" s="39" t="s">
        <v>287</v>
      </c>
      <c r="D235" s="50" t="s">
        <v>288</v>
      </c>
      <c r="E235" s="51" t="s">
        <v>289</v>
      </c>
      <c r="F235" s="11"/>
    </row>
    <row r="236" spans="1:10" customFormat="1" x14ac:dyDescent="0.25">
      <c r="A236" s="7"/>
      <c r="B236" s="7" t="s">
        <v>290</v>
      </c>
      <c r="C236" s="7"/>
      <c r="D236" s="7"/>
      <c r="E236" s="7"/>
      <c r="F236" s="7"/>
      <c r="G236" s="7"/>
      <c r="J236" s="7"/>
    </row>
    <row r="237" spans="1:10" customFormat="1" x14ac:dyDescent="0.25">
      <c r="A237" s="7"/>
      <c r="B237" s="7" t="s">
        <v>291</v>
      </c>
      <c r="C237" s="7"/>
      <c r="D237" s="7"/>
      <c r="E237" s="7"/>
      <c r="F237" s="7"/>
      <c r="G237" s="7"/>
      <c r="H237" s="10"/>
      <c r="I237" s="7"/>
      <c r="J237" s="7"/>
    </row>
    <row r="238" spans="1:10" customFormat="1" ht="13" x14ac:dyDescent="0.15"/>
    <row r="239" spans="1:10" customFormat="1" ht="18" x14ac:dyDescent="0.25">
      <c r="A239" s="9"/>
      <c r="B239" s="326" t="s">
        <v>1831</v>
      </c>
      <c r="C239" s="326"/>
      <c r="D239" s="326"/>
      <c r="E239" s="326"/>
      <c r="F239" s="42" t="s">
        <v>307</v>
      </c>
    </row>
    <row r="240" spans="1:10" customFormat="1" ht="18" x14ac:dyDescent="0.25">
      <c r="A240" s="9"/>
      <c r="B240" s="319" t="str">
        <f>+I3</f>
        <v>Frostburg Village Rehab Center</v>
      </c>
      <c r="C240" s="319"/>
      <c r="D240" s="319"/>
      <c r="E240" s="319"/>
      <c r="F240" s="42"/>
    </row>
    <row r="241" spans="1:10" customFormat="1" ht="17.25" customHeight="1" x14ac:dyDescent="0.25">
      <c r="A241" s="9"/>
      <c r="B241" s="9" t="s">
        <v>143</v>
      </c>
      <c r="C241" s="20"/>
      <c r="D241" s="20"/>
      <c r="E241" s="20" t="s">
        <v>293</v>
      </c>
      <c r="F241" s="7"/>
    </row>
    <row r="242" spans="1:10" customFormat="1" ht="17.25" customHeight="1" x14ac:dyDescent="0.25">
      <c r="A242" s="9">
        <v>1</v>
      </c>
      <c r="B242" s="7" t="s">
        <v>769</v>
      </c>
      <c r="D242" s="17"/>
      <c r="E242" s="17">
        <f>+E26</f>
        <v>92.33</v>
      </c>
      <c r="F242" s="7"/>
      <c r="H242" s="118"/>
    </row>
    <row r="243" spans="1:10" customFormat="1" ht="17.25" customHeight="1" x14ac:dyDescent="0.25">
      <c r="A243" s="9">
        <v>2</v>
      </c>
      <c r="B243" s="7" t="s">
        <v>770</v>
      </c>
      <c r="D243" s="17"/>
      <c r="E243" s="17">
        <f>+E27</f>
        <v>20.87</v>
      </c>
      <c r="F243" s="7"/>
      <c r="H243" s="118"/>
    </row>
    <row r="244" spans="1:10" customFormat="1" ht="17.25" customHeight="1" x14ac:dyDescent="0.25">
      <c r="A244" s="9">
        <v>3</v>
      </c>
      <c r="B244" s="7" t="s">
        <v>771</v>
      </c>
      <c r="D244" s="17"/>
      <c r="E244" s="17" t="e">
        <f>VLOOKUP(H3,'Rate Calculation'!A4:CQ208,36,FALSE)+VLOOKUP(H3,'Rate Calculation'!A4:CQ208,98,FALSE)</f>
        <v>#REF!</v>
      </c>
      <c r="F244" s="7"/>
      <c r="H244" s="118"/>
    </row>
    <row r="245" spans="1:10" customFormat="1" ht="17.25" customHeight="1" x14ac:dyDescent="0.25">
      <c r="A245" s="9">
        <v>4</v>
      </c>
      <c r="B245" s="7" t="s">
        <v>563</v>
      </c>
      <c r="D245" s="17"/>
      <c r="E245" s="17" t="e">
        <f>+E265</f>
        <v>#REF!</v>
      </c>
      <c r="F245" s="7"/>
      <c r="H245" s="118"/>
    </row>
    <row r="246" spans="1:10" customFormat="1" ht="17.25" customHeight="1" x14ac:dyDescent="0.25">
      <c r="A246" s="9">
        <v>5</v>
      </c>
      <c r="B246" s="7" t="s">
        <v>772</v>
      </c>
      <c r="D246" s="17"/>
      <c r="E246" s="17" t="str">
        <f>VLOOKUP($H$3,'Rate Calculation'!$A$3:$BN$307,43,FALSE)</f>
        <v>Frostburg Village Rehab Center</v>
      </c>
      <c r="F246" s="7"/>
      <c r="H246" s="118"/>
    </row>
    <row r="247" spans="1:10" customFormat="1" ht="17.25" customHeight="1" x14ac:dyDescent="0.25">
      <c r="A247" s="9">
        <v>6</v>
      </c>
      <c r="B247" s="7" t="s">
        <v>536</v>
      </c>
      <c r="D247" s="41"/>
      <c r="E247" s="17" t="e">
        <f>SUM(E242:E246)</f>
        <v>#REF!</v>
      </c>
      <c r="F247" s="7"/>
      <c r="H247" s="118"/>
    </row>
    <row r="248" spans="1:10" customFormat="1" ht="17.25" customHeight="1" x14ac:dyDescent="0.25">
      <c r="A248" s="9">
        <f>+A247+1</f>
        <v>7</v>
      </c>
      <c r="B248" s="7" t="s">
        <v>340</v>
      </c>
      <c r="D248" s="41"/>
      <c r="E248" s="58">
        <f>+_baf</f>
        <v>0.98772000000000004</v>
      </c>
      <c r="F248" s="7"/>
      <c r="H248" s="118"/>
    </row>
    <row r="249" spans="1:10" customFormat="1" ht="17.25" customHeight="1" x14ac:dyDescent="0.25">
      <c r="A249" s="9">
        <f t="shared" ref="A249:A250" si="9">+A248+1</f>
        <v>8</v>
      </c>
      <c r="B249" s="7" t="s">
        <v>535</v>
      </c>
      <c r="D249" s="41"/>
      <c r="E249" s="41" t="e">
        <f>ROUND(E247*E248,2)</f>
        <v>#REF!</v>
      </c>
      <c r="F249" s="7"/>
      <c r="H249" s="118"/>
    </row>
    <row r="250" spans="1:10" customFormat="1" ht="17.25" customHeight="1" x14ac:dyDescent="0.25">
      <c r="A250" s="9">
        <f t="shared" si="9"/>
        <v>9</v>
      </c>
      <c r="B250" s="7" t="s">
        <v>218</v>
      </c>
      <c r="D250" s="17"/>
      <c r="E250" s="17" t="e">
        <f>VLOOKUP($H$3,'Rate Calculation'!$A$3:$CQ$210,47,FALSE)</f>
        <v>#DIV/0!</v>
      </c>
      <c r="F250" s="7"/>
      <c r="H250" s="118"/>
    </row>
    <row r="251" spans="1:10" customFormat="1" x14ac:dyDescent="0.25">
      <c r="A251" s="9"/>
      <c r="B251" s="7"/>
      <c r="C251" s="17"/>
      <c r="D251" s="17"/>
      <c r="E251" s="17"/>
      <c r="F251" s="7"/>
      <c r="G251" s="7"/>
      <c r="H251" s="7"/>
      <c r="I251" s="88"/>
      <c r="J251" s="7"/>
    </row>
    <row r="252" spans="1:10" customFormat="1" ht="18" x14ac:dyDescent="0.25">
      <c r="A252" s="9"/>
      <c r="B252" s="326" t="s">
        <v>257</v>
      </c>
      <c r="C252" s="326"/>
      <c r="D252" s="326"/>
      <c r="E252" s="326"/>
      <c r="F252" s="13"/>
      <c r="G252" s="7"/>
      <c r="H252" s="7"/>
      <c r="I252" s="88"/>
      <c r="J252" s="7"/>
    </row>
    <row r="253" spans="1:10" customFormat="1" ht="17.25" customHeight="1" x14ac:dyDescent="0.25">
      <c r="A253" s="9">
        <f>+A250+1</f>
        <v>10</v>
      </c>
      <c r="B253" s="15" t="s">
        <v>773</v>
      </c>
      <c r="C253" s="12"/>
      <c r="D253" s="12"/>
      <c r="E253" s="16">
        <f>+$E$37</f>
        <v>1.3543000000000001</v>
      </c>
      <c r="F253" s="8"/>
      <c r="G253" s="7"/>
      <c r="H253" s="7"/>
      <c r="I253" s="7"/>
      <c r="J253" s="7"/>
    </row>
    <row r="254" spans="1:10" customFormat="1" ht="17.25" customHeight="1" x14ac:dyDescent="0.25">
      <c r="A254" s="9">
        <f>+A253+1</f>
        <v>11</v>
      </c>
      <c r="B254" s="7" t="s">
        <v>258</v>
      </c>
      <c r="C254" s="12"/>
      <c r="D254" s="12"/>
      <c r="E254" s="18">
        <f>+SW_CR_CMI</f>
        <v>1.4432</v>
      </c>
      <c r="F254" s="7"/>
      <c r="G254" s="7"/>
      <c r="H254" s="7"/>
      <c r="I254" s="7"/>
      <c r="J254" s="7"/>
    </row>
    <row r="255" spans="1:10" customFormat="1" ht="17.25" customHeight="1" x14ac:dyDescent="0.25">
      <c r="A255" s="9">
        <f>+A254+1</f>
        <v>12</v>
      </c>
      <c r="B255" s="15" t="s">
        <v>784</v>
      </c>
      <c r="C255" s="12"/>
      <c r="D255" s="12"/>
      <c r="E255" s="14">
        <f>VLOOKUP(H3,'CMI Data'!A1:Z286,17,FALSE)</f>
        <v>0</v>
      </c>
      <c r="F255" s="18"/>
      <c r="G255" s="7"/>
      <c r="H255" s="7"/>
      <c r="I255" s="7"/>
      <c r="J255" s="7"/>
    </row>
    <row r="256" spans="1:10" customFormat="1" ht="17.25" customHeight="1" x14ac:dyDescent="0.25">
      <c r="A256" s="9">
        <f>+A255+1</f>
        <v>13</v>
      </c>
      <c r="B256" s="7" t="s">
        <v>488</v>
      </c>
      <c r="C256" s="12"/>
      <c r="D256" s="12"/>
      <c r="E256" s="123" t="e">
        <f>+'CMI Data'!S214</f>
        <v>#DIV/0!</v>
      </c>
      <c r="F256" s="19"/>
      <c r="G256" s="7"/>
      <c r="H256" s="7"/>
      <c r="I256" s="7"/>
      <c r="J256" s="7"/>
    </row>
    <row r="257" spans="1:10" customFormat="1" ht="17.25" customHeight="1" x14ac:dyDescent="0.25">
      <c r="A257" s="9">
        <f>+A256+1</f>
        <v>14</v>
      </c>
      <c r="B257" s="15" t="s">
        <v>785</v>
      </c>
      <c r="C257" s="12"/>
      <c r="D257" s="12"/>
      <c r="E257" s="14">
        <f>IF(E255=0,'CMI Data'!S213,ROUND(E256*E255,4))</f>
        <v>1.4061999999999999</v>
      </c>
      <c r="F257" s="19"/>
      <c r="G257" s="7"/>
      <c r="H257" s="7"/>
      <c r="I257" s="7"/>
      <c r="J257" s="7"/>
    </row>
    <row r="258" spans="1:10" customFormat="1" x14ac:dyDescent="0.25">
      <c r="A258" s="9"/>
      <c r="B258" s="15"/>
      <c r="C258" s="14"/>
      <c r="D258" s="14"/>
      <c r="E258" s="8"/>
      <c r="F258" s="8"/>
      <c r="G258" s="7"/>
      <c r="H258" s="7"/>
      <c r="I258" s="7"/>
      <c r="J258" s="7"/>
    </row>
    <row r="259" spans="1:10" customFormat="1" ht="26.25" customHeight="1" x14ac:dyDescent="0.25">
      <c r="A259" s="9"/>
      <c r="B259" s="12"/>
      <c r="C259" s="21"/>
      <c r="D259" s="21"/>
      <c r="E259" s="22" t="str">
        <f>"Region: "&amp;VLOOKUP($H$3,'Rate Calculation'!A1:BN474,5,FALSE)</f>
        <v>Region: WESTERN REGION</v>
      </c>
      <c r="F259" s="7"/>
      <c r="G259" s="7"/>
      <c r="H259" s="7"/>
      <c r="I259" s="7"/>
      <c r="J259" s="7"/>
    </row>
    <row r="260" spans="1:10" customFormat="1" ht="17.25" customHeight="1" x14ac:dyDescent="0.25">
      <c r="A260" s="9">
        <f>+A257+1</f>
        <v>15</v>
      </c>
      <c r="B260" s="7" t="s">
        <v>782</v>
      </c>
      <c r="C260" s="21"/>
      <c r="D260" s="21"/>
      <c r="E260" s="55" t="e">
        <f>+#REF!</f>
        <v>#REF!</v>
      </c>
      <c r="F260" s="19"/>
      <c r="G260" s="7"/>
      <c r="H260" s="7"/>
      <c r="I260" s="7"/>
      <c r="J260" s="7"/>
    </row>
    <row r="261" spans="1:10" customFormat="1" ht="17.25" customHeight="1" x14ac:dyDescent="0.25">
      <c r="A261" s="9">
        <f>+A260+1</f>
        <v>16</v>
      </c>
      <c r="B261" s="7" t="s">
        <v>783</v>
      </c>
      <c r="C261" s="12"/>
      <c r="D261" s="12"/>
      <c r="E261" s="55">
        <f>+E78</f>
        <v>166.26</v>
      </c>
      <c r="F261" s="19"/>
      <c r="G261" s="7"/>
      <c r="H261" s="7"/>
      <c r="I261" s="7"/>
      <c r="J261" s="7"/>
    </row>
    <row r="262" spans="1:10" customFormat="1" ht="17.25" customHeight="1" x14ac:dyDescent="0.25">
      <c r="A262" s="9">
        <f>+A261+1</f>
        <v>17</v>
      </c>
      <c r="B262" s="7" t="s">
        <v>564</v>
      </c>
      <c r="C262" s="12"/>
      <c r="D262" s="12"/>
      <c r="E262" s="41">
        <f>IF(E253="NA","NA",ROUND(+E261*E253/E254,2))</f>
        <v>156.02000000000001</v>
      </c>
      <c r="F262" s="19"/>
      <c r="G262" s="7"/>
      <c r="H262" s="7"/>
      <c r="I262" s="7"/>
      <c r="J262" s="7"/>
    </row>
    <row r="263" spans="1:10" customFormat="1" ht="17.25" customHeight="1" x14ac:dyDescent="0.25">
      <c r="A263" s="9">
        <f t="shared" ref="A263:A265" si="10">+A262+1</f>
        <v>18</v>
      </c>
      <c r="B263" s="7" t="s">
        <v>566</v>
      </c>
      <c r="C263" s="12"/>
      <c r="D263" s="12"/>
      <c r="E263" s="95" t="e">
        <f>IF(E260="NA",ROUND(E261*E257,2),ROUND(E262*E257/E253,2))</f>
        <v>#REF!</v>
      </c>
      <c r="F263" s="19"/>
      <c r="G263" s="7"/>
      <c r="H263" s="7"/>
      <c r="I263" s="7"/>
      <c r="J263" s="7"/>
    </row>
    <row r="264" spans="1:10" customFormat="1" ht="17.25" customHeight="1" x14ac:dyDescent="0.25">
      <c r="A264" s="9">
        <f t="shared" si="10"/>
        <v>19</v>
      </c>
      <c r="B264" s="7" t="s">
        <v>567</v>
      </c>
      <c r="C264" s="12"/>
      <c r="D264" s="12"/>
      <c r="E264" s="17" t="e">
        <f>MAX(0,E270)*-1</f>
        <v>#REF!</v>
      </c>
      <c r="F264" s="19"/>
      <c r="G264" s="7"/>
      <c r="H264" s="7"/>
      <c r="I264" s="7"/>
      <c r="J264" s="7"/>
    </row>
    <row r="265" spans="1:10" customFormat="1" ht="17.25" customHeight="1" x14ac:dyDescent="0.25">
      <c r="A265" s="9">
        <f t="shared" si="10"/>
        <v>20</v>
      </c>
      <c r="B265" s="7" t="s">
        <v>568</v>
      </c>
      <c r="C265" s="12"/>
      <c r="D265" s="12"/>
      <c r="E265" s="17" t="e">
        <f>+E264+E263</f>
        <v>#REF!</v>
      </c>
      <c r="F265" s="19"/>
      <c r="G265" s="7"/>
      <c r="H265" s="7"/>
      <c r="I265" s="7"/>
      <c r="J265" s="7"/>
    </row>
    <row r="266" spans="1:10" customFormat="1" ht="18" x14ac:dyDescent="0.25">
      <c r="A266" s="9"/>
      <c r="B266" s="7"/>
      <c r="C266" s="12"/>
      <c r="D266" s="12"/>
      <c r="E266" s="17"/>
      <c r="F266" s="19"/>
      <c r="G266" s="7"/>
      <c r="H266" s="7"/>
      <c r="I266" s="7"/>
      <c r="J266" s="7"/>
    </row>
    <row r="267" spans="1:10" customFormat="1" ht="18" x14ac:dyDescent="0.25">
      <c r="A267" s="322" t="s">
        <v>144</v>
      </c>
      <c r="B267" s="322"/>
      <c r="C267" s="322"/>
      <c r="D267" s="322"/>
      <c r="E267" s="322"/>
      <c r="F267" s="19"/>
      <c r="G267" s="7"/>
      <c r="H267" s="7"/>
      <c r="I267" s="7"/>
      <c r="J267" s="7"/>
    </row>
    <row r="268" spans="1:10" customFormat="1" ht="17.25" customHeight="1" x14ac:dyDescent="0.25">
      <c r="A268" s="9">
        <f>+A265+1</f>
        <v>21</v>
      </c>
      <c r="B268" s="7" t="s">
        <v>565</v>
      </c>
      <c r="C268" s="12"/>
      <c r="D268" s="12"/>
      <c r="E268" s="96" t="e">
        <f>IF(E260="NA","NA",ROUND(E260*E257/E253,2))</f>
        <v>#REF!</v>
      </c>
      <c r="F268" s="19"/>
      <c r="G268" s="7"/>
      <c r="H268" s="7"/>
      <c r="I268" s="7"/>
      <c r="J268" s="7"/>
    </row>
    <row r="269" spans="1:10" customFormat="1" ht="17.25" customHeight="1" x14ac:dyDescent="0.25">
      <c r="A269" s="9">
        <f>+A268+1</f>
        <v>22</v>
      </c>
      <c r="B269" s="7" t="s">
        <v>569</v>
      </c>
      <c r="C269" s="12"/>
      <c r="D269" s="12"/>
      <c r="E269" s="41" t="e">
        <f>IF(E263="NA","NA",ROUND(E263*0.95,2))</f>
        <v>#REF!</v>
      </c>
      <c r="F269" s="19"/>
      <c r="G269" s="7"/>
      <c r="H269" s="7"/>
      <c r="I269" s="7"/>
      <c r="J269" s="7"/>
    </row>
    <row r="270" spans="1:10" customFormat="1" ht="17.25" customHeight="1" x14ac:dyDescent="0.25">
      <c r="A270" s="9">
        <f>+A269+1</f>
        <v>23</v>
      </c>
      <c r="B270" s="7" t="s">
        <v>570</v>
      </c>
      <c r="C270" s="12"/>
      <c r="D270" s="12"/>
      <c r="E270" s="17" t="e">
        <f>IF(E268="NA",0,+E269-E268)</f>
        <v>#REF!</v>
      </c>
      <c r="F270" s="19"/>
      <c r="G270" s="7"/>
      <c r="H270" s="7"/>
      <c r="I270" s="7"/>
      <c r="J270" s="7"/>
    </row>
    <row r="271" spans="1:10" customFormat="1" ht="18" x14ac:dyDescent="0.25">
      <c r="A271" s="9"/>
      <c r="B271" s="7"/>
      <c r="C271" s="12"/>
      <c r="D271" s="12"/>
      <c r="E271" s="17"/>
      <c r="F271" s="10"/>
      <c r="G271" s="7"/>
      <c r="H271" s="7"/>
      <c r="I271" s="7"/>
      <c r="J271" s="7"/>
    </row>
    <row r="272" spans="1:10" customFormat="1" ht="18" x14ac:dyDescent="0.25">
      <c r="A272" s="322" t="s">
        <v>292</v>
      </c>
      <c r="B272" s="322"/>
      <c r="C272" s="322"/>
      <c r="D272" s="322"/>
      <c r="E272" s="322"/>
      <c r="F272" s="7"/>
      <c r="G272" s="7"/>
      <c r="H272" s="7"/>
      <c r="I272" s="7"/>
      <c r="J272" s="7"/>
    </row>
    <row r="273" spans="1:10" customFormat="1" ht="17.25" customHeight="1" x14ac:dyDescent="0.25">
      <c r="A273" s="9">
        <f>+A270+1</f>
        <v>24</v>
      </c>
      <c r="B273" s="7" t="s">
        <v>534</v>
      </c>
      <c r="C273" s="12"/>
      <c r="D273" s="12"/>
      <c r="E273" s="17" t="e">
        <f>+E242+E243+E244+ROUND(E245*0.5,2)+E246</f>
        <v>#REF!</v>
      </c>
      <c r="F273" s="7"/>
      <c r="G273" s="7"/>
      <c r="H273" s="7"/>
      <c r="I273" s="7"/>
      <c r="J273" s="7"/>
    </row>
    <row r="274" spans="1:10" customFormat="1" ht="17.25" customHeight="1" x14ac:dyDescent="0.25">
      <c r="A274" s="9">
        <f>+A273+1</f>
        <v>25</v>
      </c>
      <c r="B274" s="7" t="s">
        <v>305</v>
      </c>
      <c r="C274" s="12"/>
      <c r="D274" s="12"/>
      <c r="E274" s="17" t="e">
        <f>+E242+E243+E244+E246</f>
        <v>#REF!</v>
      </c>
      <c r="F274" s="17"/>
      <c r="G274" s="7"/>
      <c r="H274" s="7"/>
      <c r="I274" s="7"/>
      <c r="J274" s="7"/>
    </row>
    <row r="275" spans="1:10" customFormat="1" ht="13" x14ac:dyDescent="0.15"/>
    <row r="276" spans="1:10" customFormat="1" ht="15" customHeight="1" x14ac:dyDescent="0.25">
      <c r="A276" s="321" t="s">
        <v>812</v>
      </c>
      <c r="B276" s="321"/>
      <c r="C276" s="321"/>
      <c r="D276" s="321"/>
      <c r="E276" s="321"/>
      <c r="F276" s="7"/>
      <c r="G276" s="7"/>
      <c r="H276" s="7"/>
      <c r="I276" s="7"/>
      <c r="J276" s="7"/>
    </row>
  </sheetData>
  <mergeCells count="62">
    <mergeCell ref="B178:E178"/>
    <mergeCell ref="B179:E179"/>
    <mergeCell ref="B191:E191"/>
    <mergeCell ref="B156:E156"/>
    <mergeCell ref="F156:F159"/>
    <mergeCell ref="B157:E157"/>
    <mergeCell ref="B158:E158"/>
    <mergeCell ref="B159:E159"/>
    <mergeCell ref="B161:E161"/>
    <mergeCell ref="B163:E163"/>
    <mergeCell ref="B168:E168"/>
    <mergeCell ref="B107:E107"/>
    <mergeCell ref="B117:E117"/>
    <mergeCell ref="B118:E118"/>
    <mergeCell ref="B130:E130"/>
    <mergeCell ref="B155:E155"/>
    <mergeCell ref="B8:E8"/>
    <mergeCell ref="B13:E13"/>
    <mergeCell ref="A94:E94"/>
    <mergeCell ref="B24:E24"/>
    <mergeCell ref="B41:E41"/>
    <mergeCell ref="B46:C46"/>
    <mergeCell ref="A85:E85"/>
    <mergeCell ref="A90:E90"/>
    <mergeCell ref="A74:E74"/>
    <mergeCell ref="A73:E73"/>
    <mergeCell ref="F2:F5"/>
    <mergeCell ref="B5:E5"/>
    <mergeCell ref="B1:E1"/>
    <mergeCell ref="B2:E2"/>
    <mergeCell ref="B3:E3"/>
    <mergeCell ref="B4:E4"/>
    <mergeCell ref="F217:F220"/>
    <mergeCell ref="B218:E218"/>
    <mergeCell ref="B219:E219"/>
    <mergeCell ref="B220:E220"/>
    <mergeCell ref="B23:E23"/>
    <mergeCell ref="B36:E36"/>
    <mergeCell ref="B95:E95"/>
    <mergeCell ref="B96:E96"/>
    <mergeCell ref="F96:F99"/>
    <mergeCell ref="B97:E97"/>
    <mergeCell ref="B98:E98"/>
    <mergeCell ref="B99:E99"/>
    <mergeCell ref="A150:E150"/>
    <mergeCell ref="A154:E154"/>
    <mergeCell ref="A145:E145"/>
    <mergeCell ref="B102:E102"/>
    <mergeCell ref="A276:E276"/>
    <mergeCell ref="A267:E267"/>
    <mergeCell ref="A272:E272"/>
    <mergeCell ref="B224:E224"/>
    <mergeCell ref="B229:E229"/>
    <mergeCell ref="B239:E239"/>
    <mergeCell ref="B240:E240"/>
    <mergeCell ref="B252:E252"/>
    <mergeCell ref="B222:E222"/>
    <mergeCell ref="B216:E216"/>
    <mergeCell ref="B217:E217"/>
    <mergeCell ref="A215:E215"/>
    <mergeCell ref="A206:E206"/>
    <mergeCell ref="A211:E211"/>
  </mergeCells>
  <printOptions horizontalCentered="1"/>
  <pageMargins left="0.25" right="0.25" top="0.75" bottom="0.75" header="0.3" footer="0.3"/>
  <pageSetup scale="70" fitToHeight="4" orientation="portrait" r:id="rId1"/>
  <rowBreaks count="5" manualBreakCount="5">
    <brk id="22" max="5" man="1"/>
    <brk id="72" max="5" man="1"/>
    <brk id="116" max="16383" man="1"/>
    <brk id="177" max="5" man="1"/>
    <brk id="238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Drop Down 1">
              <controlPr defaultSize="0" autoLine="0" autoPict="0">
                <anchor moveWithCells="1">
                  <from>
                    <xdr:col>6</xdr:col>
                    <xdr:colOff>177800</xdr:colOff>
                    <xdr:row>3</xdr:row>
                    <xdr:rowOff>25400</xdr:rowOff>
                  </from>
                  <to>
                    <xdr:col>10</xdr:col>
                    <xdr:colOff>76200</xdr:colOff>
                    <xdr:row>4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7" r:id="rId5" name="Button 181">
              <controlPr defaultSize="0" print="0" autoFill="0" autoPict="0" macro="[0]!Printall">
                <anchor moveWithCells="1" sizeWithCells="1">
                  <from>
                    <xdr:col>11</xdr:col>
                    <xdr:colOff>406400</xdr:colOff>
                    <xdr:row>4</xdr:row>
                    <xdr:rowOff>76200</xdr:rowOff>
                  </from>
                  <to>
                    <xdr:col>14</xdr:col>
                    <xdr:colOff>406400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6">
    <pageSetUpPr fitToPage="1"/>
  </sheetPr>
  <dimension ref="A1:Q331"/>
  <sheetViews>
    <sheetView zoomScaleNormal="100" workbookViewId="0">
      <selection activeCell="B4" sqref="B4:E4"/>
    </sheetView>
  </sheetViews>
  <sheetFormatPr baseColWidth="10" defaultColWidth="9.3984375" defaultRowHeight="16" x14ac:dyDescent="0.25"/>
  <cols>
    <col min="1" max="1" width="12.3984375" style="9" customWidth="1"/>
    <col min="2" max="2" width="80.3984375" style="7" customWidth="1"/>
    <col min="3" max="3" width="20.19921875" style="7" customWidth="1"/>
    <col min="4" max="4" width="15" style="7" customWidth="1"/>
    <col min="5" max="5" width="21.3984375" style="7" customWidth="1"/>
    <col min="6" max="6" width="12" style="7" customWidth="1"/>
    <col min="7" max="7" width="4.3984375" style="7" customWidth="1"/>
    <col min="8" max="8" width="13.19921875" style="7" customWidth="1"/>
    <col min="9" max="9" width="12.3984375" style="7" customWidth="1"/>
    <col min="10" max="10" width="9.796875" style="7" bestFit="1" customWidth="1"/>
    <col min="11" max="17" width="9.3984375" style="7"/>
    <col min="19" max="19" width="13.3984375" customWidth="1"/>
  </cols>
  <sheetData>
    <row r="1" spans="1:17" ht="21" x14ac:dyDescent="0.3">
      <c r="B1" s="315" t="str">
        <f>+H1&amp;TEXT($I$1," mm/dd/yyyy")</f>
        <v>Issued 06/30/2025</v>
      </c>
      <c r="C1" s="316"/>
      <c r="D1" s="316"/>
      <c r="E1" s="317"/>
      <c r="F1" s="42"/>
      <c r="H1" s="62" t="s">
        <v>443</v>
      </c>
      <c r="I1" s="127">
        <v>45838</v>
      </c>
    </row>
    <row r="2" spans="1:17" ht="15.75" customHeight="1" x14ac:dyDescent="0.25">
      <c r="B2" s="318" t="s">
        <v>484</v>
      </c>
      <c r="C2" s="319"/>
      <c r="D2" s="319"/>
      <c r="E2" s="320"/>
      <c r="F2" s="327"/>
      <c r="M2" s="7" t="s">
        <v>303</v>
      </c>
    </row>
    <row r="3" spans="1:17" ht="15.75" customHeight="1" x14ac:dyDescent="0.25">
      <c r="B3" s="318" t="s">
        <v>1774</v>
      </c>
      <c r="C3" s="319"/>
      <c r="D3" s="319"/>
      <c r="E3" s="320"/>
      <c r="F3" s="327"/>
      <c r="G3" s="7">
        <v>1</v>
      </c>
      <c r="H3" s="8">
        <f>VALUE(INDEX('Vent Rate Calculation'!$A$4:$B$23,G3,1))</f>
        <v>741</v>
      </c>
      <c r="I3" s="7" t="str">
        <f>VLOOKUP($H$3,'Vent Rate Calculation'!$A$4:$CQ$21,43,FALSE)</f>
        <v>Autumn Lake Healthcare at Bridgepark</v>
      </c>
      <c r="M3" s="7" t="str">
        <f>VLOOKUP(H3,'Vent Rate Calculation'!$A$4:$CQ$21,44,FALSE)</f>
        <v>200000000148_20250701_Ventilator_RateLetter</v>
      </c>
    </row>
    <row r="4" spans="1:17" ht="15.75" customHeight="1" x14ac:dyDescent="0.25">
      <c r="B4" s="318" t="str">
        <f>"Provider #:  "&amp;VLOOKUP(H3,'Vent Rate Calculation'!$A$4:$AP$21,42,FALSE)</f>
        <v>Provider #:  510643500</v>
      </c>
      <c r="C4" s="319"/>
      <c r="D4" s="319"/>
      <c r="E4" s="320"/>
      <c r="F4" s="327"/>
    </row>
    <row r="5" spans="1:17" ht="15.75" customHeight="1" thickBot="1" x14ac:dyDescent="0.3">
      <c r="B5" s="328" t="str">
        <f>+"Provider Name: "&amp;I3</f>
        <v>Provider Name: Autumn Lake Healthcare at Bridgepark</v>
      </c>
      <c r="C5" s="329"/>
      <c r="D5" s="329"/>
      <c r="E5" s="330"/>
      <c r="F5" s="327"/>
    </row>
    <row r="6" spans="1:17" ht="17.25" customHeight="1" thickBot="1" x14ac:dyDescent="0.3">
      <c r="A6" s="7"/>
    </row>
    <row r="7" spans="1:17" ht="39.75" customHeight="1" x14ac:dyDescent="0.25">
      <c r="A7" s="97"/>
      <c r="B7" s="52" t="s">
        <v>294</v>
      </c>
      <c r="C7" s="43" t="s">
        <v>267</v>
      </c>
      <c r="D7" s="43" t="s">
        <v>268</v>
      </c>
      <c r="E7" s="44" t="s">
        <v>269</v>
      </c>
      <c r="I7" s="10">
        <f>+E9</f>
        <v>1023.4</v>
      </c>
      <c r="J7" s="7" t="s">
        <v>352</v>
      </c>
    </row>
    <row r="8" spans="1:17" ht="17.25" customHeight="1" x14ac:dyDescent="0.25">
      <c r="A8" s="97"/>
      <c r="B8" s="323" t="s">
        <v>270</v>
      </c>
      <c r="C8" s="324"/>
      <c r="D8" s="324"/>
      <c r="E8" s="325"/>
      <c r="G8"/>
      <c r="H8"/>
      <c r="I8" s="57">
        <f>VLOOKUP(H3,'Phase In Option'!A224:M241,8,FALSE)</f>
        <v>1030.27</v>
      </c>
      <c r="J8" s="7" t="s">
        <v>341</v>
      </c>
      <c r="K8"/>
      <c r="L8"/>
      <c r="M8"/>
      <c r="N8"/>
      <c r="O8"/>
      <c r="P8"/>
      <c r="Q8"/>
    </row>
    <row r="9" spans="1:17" ht="40" customHeight="1" x14ac:dyDescent="0.25">
      <c r="A9" s="97"/>
      <c r="B9" s="45" t="s">
        <v>298</v>
      </c>
      <c r="C9" s="38" t="s">
        <v>271</v>
      </c>
      <c r="D9" s="46" t="s">
        <v>486</v>
      </c>
      <c r="E9" s="48">
        <f>+E34</f>
        <v>1023.4</v>
      </c>
      <c r="F9" s="159" t="str">
        <f>IFERROR(IF(I9&lt;&gt;0,"XX",""),"XX")</f>
        <v>XX</v>
      </c>
      <c r="G9"/>
      <c r="H9"/>
      <c r="I9" s="10">
        <f>+I8-I7</f>
        <v>6.87</v>
      </c>
      <c r="J9"/>
      <c r="K9"/>
      <c r="L9"/>
      <c r="M9"/>
      <c r="N9"/>
      <c r="O9"/>
      <c r="P9"/>
      <c r="Q9"/>
    </row>
    <row r="10" spans="1:17" ht="40" customHeight="1" x14ac:dyDescent="0.25">
      <c r="A10" s="97"/>
      <c r="B10" s="45" t="s">
        <v>299</v>
      </c>
      <c r="C10" s="38" t="s">
        <v>272</v>
      </c>
      <c r="D10" s="46" t="s">
        <v>247</v>
      </c>
      <c r="E10" s="48" t="s">
        <v>254</v>
      </c>
      <c r="G10"/>
      <c r="H10"/>
      <c r="I10"/>
      <c r="J10"/>
      <c r="K10"/>
      <c r="L10"/>
      <c r="M10"/>
      <c r="N10"/>
      <c r="O10"/>
      <c r="P10"/>
      <c r="Q10"/>
    </row>
    <row r="11" spans="1:17" ht="40" customHeight="1" x14ac:dyDescent="0.25">
      <c r="A11" s="97"/>
      <c r="B11" s="45" t="s">
        <v>300</v>
      </c>
      <c r="C11" s="38" t="s">
        <v>273</v>
      </c>
      <c r="D11" s="46" t="s">
        <v>248</v>
      </c>
      <c r="E11" s="48" t="s">
        <v>254</v>
      </c>
      <c r="G11"/>
      <c r="H11"/>
      <c r="I11"/>
      <c r="J11"/>
      <c r="K11"/>
      <c r="L11"/>
      <c r="M11"/>
      <c r="N11"/>
      <c r="O11"/>
      <c r="P11"/>
      <c r="Q11"/>
    </row>
    <row r="12" spans="1:17" ht="40" customHeight="1" x14ac:dyDescent="0.25">
      <c r="A12" s="97"/>
      <c r="B12" s="45" t="s">
        <v>274</v>
      </c>
      <c r="C12" s="40" t="s">
        <v>275</v>
      </c>
      <c r="D12" s="46" t="s">
        <v>245</v>
      </c>
      <c r="E12" s="47" t="s">
        <v>276</v>
      </c>
      <c r="G12"/>
      <c r="H12"/>
      <c r="I12"/>
      <c r="J12"/>
      <c r="K12"/>
      <c r="L12"/>
      <c r="M12"/>
      <c r="N12"/>
      <c r="O12"/>
      <c r="P12"/>
      <c r="Q12"/>
    </row>
    <row r="13" spans="1:17" ht="18" customHeight="1" x14ac:dyDescent="0.25">
      <c r="A13" s="97"/>
      <c r="B13" s="323" t="s">
        <v>277</v>
      </c>
      <c r="C13" s="324"/>
      <c r="D13" s="324"/>
      <c r="E13" s="325"/>
      <c r="G13"/>
      <c r="H13"/>
      <c r="I13"/>
      <c r="J13"/>
      <c r="K13"/>
      <c r="L13"/>
      <c r="M13"/>
      <c r="N13"/>
      <c r="O13"/>
      <c r="P13"/>
      <c r="Q13"/>
    </row>
    <row r="14" spans="1:17" ht="40" customHeight="1" x14ac:dyDescent="0.25">
      <c r="A14" s="97"/>
      <c r="B14" s="45" t="s">
        <v>278</v>
      </c>
      <c r="C14" s="38" t="s">
        <v>279</v>
      </c>
      <c r="D14" s="46" t="s">
        <v>250</v>
      </c>
      <c r="E14" s="48">
        <v>23.13</v>
      </c>
      <c r="G14"/>
      <c r="H14"/>
      <c r="I14"/>
      <c r="J14"/>
      <c r="K14"/>
      <c r="L14"/>
      <c r="M14"/>
      <c r="N14"/>
      <c r="O14"/>
      <c r="P14"/>
      <c r="Q14"/>
    </row>
    <row r="15" spans="1:17" ht="40" customHeight="1" x14ac:dyDescent="0.3">
      <c r="A15" s="97"/>
      <c r="B15" s="45" t="s">
        <v>280</v>
      </c>
      <c r="C15" s="38" t="s">
        <v>281</v>
      </c>
      <c r="D15" s="46" t="s">
        <v>252</v>
      </c>
      <c r="E15" s="48">
        <v>92.14</v>
      </c>
      <c r="F15" s="11"/>
      <c r="G15"/>
      <c r="H15"/>
      <c r="I15"/>
      <c r="J15"/>
      <c r="K15"/>
      <c r="L15"/>
      <c r="M15"/>
      <c r="N15"/>
      <c r="O15"/>
      <c r="P15"/>
      <c r="Q15"/>
    </row>
    <row r="16" spans="1:17" ht="40" customHeight="1" x14ac:dyDescent="0.3">
      <c r="A16" s="97"/>
      <c r="B16" s="45" t="s">
        <v>282</v>
      </c>
      <c r="C16" s="38" t="s">
        <v>287</v>
      </c>
      <c r="D16" s="46" t="s">
        <v>253</v>
      </c>
      <c r="E16" s="48">
        <v>2.0499999999999998</v>
      </c>
      <c r="F16" s="11"/>
      <c r="G16"/>
      <c r="H16"/>
      <c r="I16"/>
      <c r="J16"/>
      <c r="K16"/>
      <c r="L16"/>
      <c r="M16"/>
      <c r="N16"/>
      <c r="O16"/>
      <c r="P16"/>
      <c r="Q16"/>
    </row>
    <row r="17" spans="1:17" ht="40" customHeight="1" x14ac:dyDescent="0.3">
      <c r="A17" s="97"/>
      <c r="B17" s="45" t="s">
        <v>283</v>
      </c>
      <c r="C17" s="38" t="s">
        <v>284</v>
      </c>
      <c r="D17" s="46" t="s">
        <v>251</v>
      </c>
      <c r="E17" s="48">
        <v>5.49</v>
      </c>
      <c r="F17" s="11"/>
      <c r="G17"/>
      <c r="H17"/>
      <c r="I17"/>
      <c r="J17"/>
      <c r="K17"/>
      <c r="L17"/>
      <c r="M17"/>
      <c r="N17"/>
      <c r="O17"/>
      <c r="P17"/>
      <c r="Q17"/>
    </row>
    <row r="18" spans="1:17" ht="47.25" customHeight="1" x14ac:dyDescent="0.3">
      <c r="A18" s="97"/>
      <c r="B18" s="45" t="s">
        <v>285</v>
      </c>
      <c r="C18" s="38" t="s">
        <v>304</v>
      </c>
      <c r="D18" s="46" t="s">
        <v>249</v>
      </c>
      <c r="E18" s="48">
        <v>116.41</v>
      </c>
      <c r="F18" s="11"/>
      <c r="G18"/>
      <c r="H18"/>
      <c r="I18"/>
      <c r="J18"/>
      <c r="K18"/>
      <c r="L18"/>
      <c r="M18"/>
      <c r="N18"/>
      <c r="O18"/>
      <c r="P18"/>
      <c r="Q18"/>
    </row>
    <row r="19" spans="1:17" ht="40" customHeight="1" thickBot="1" x14ac:dyDescent="0.35">
      <c r="A19" s="97"/>
      <c r="B19" s="49" t="s">
        <v>286</v>
      </c>
      <c r="C19" s="39" t="s">
        <v>287</v>
      </c>
      <c r="D19" s="50" t="s">
        <v>288</v>
      </c>
      <c r="E19" s="51" t="s">
        <v>289</v>
      </c>
      <c r="F19" s="11"/>
      <c r="G19"/>
      <c r="H19"/>
      <c r="I19"/>
      <c r="J19"/>
      <c r="K19"/>
      <c r="L19"/>
      <c r="M19"/>
      <c r="N19"/>
      <c r="O19"/>
      <c r="P19"/>
      <c r="Q19"/>
    </row>
    <row r="20" spans="1:17" ht="21" customHeight="1" x14ac:dyDescent="0.25">
      <c r="A20" s="7"/>
      <c r="B20" s="7" t="s">
        <v>290</v>
      </c>
      <c r="H20"/>
      <c r="I20"/>
    </row>
    <row r="21" spans="1:17" x14ac:dyDescent="0.25">
      <c r="A21" s="7"/>
      <c r="B21" s="7" t="s">
        <v>291</v>
      </c>
      <c r="H21" s="10"/>
    </row>
    <row r="22" spans="1:17" ht="13" x14ac:dyDescent="0.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</row>
    <row r="23" spans="1:17" ht="18" x14ac:dyDescent="0.25">
      <c r="B23" s="326" t="s">
        <v>1832</v>
      </c>
      <c r="C23" s="326"/>
      <c r="D23" s="326"/>
      <c r="E23" s="326"/>
      <c r="F23" s="42" t="s">
        <v>307</v>
      </c>
      <c r="G23"/>
      <c r="H23"/>
      <c r="I23"/>
      <c r="J23"/>
      <c r="K23"/>
      <c r="L23"/>
      <c r="M23"/>
      <c r="N23"/>
      <c r="O23"/>
      <c r="P23"/>
      <c r="Q23"/>
    </row>
    <row r="24" spans="1:17" ht="18" x14ac:dyDescent="0.25">
      <c r="B24" s="319" t="str">
        <f>I3</f>
        <v>Autumn Lake Healthcare at Bridgepark</v>
      </c>
      <c r="C24" s="319"/>
      <c r="D24" s="319"/>
      <c r="E24" s="319"/>
      <c r="F24" s="42"/>
      <c r="G24"/>
      <c r="H24"/>
      <c r="I24"/>
      <c r="J24"/>
      <c r="K24"/>
      <c r="L24"/>
      <c r="M24"/>
      <c r="N24"/>
      <c r="O24"/>
      <c r="P24"/>
      <c r="Q24"/>
    </row>
    <row r="25" spans="1:17" ht="51" x14ac:dyDescent="0.25">
      <c r="B25" s="9" t="s">
        <v>143</v>
      </c>
      <c r="C25" s="20" t="s">
        <v>293</v>
      </c>
      <c r="D25" s="20" t="s">
        <v>313</v>
      </c>
      <c r="E25" s="20" t="s">
        <v>314</v>
      </c>
      <c r="G25"/>
      <c r="H25"/>
      <c r="I25"/>
      <c r="J25"/>
      <c r="K25"/>
      <c r="L25"/>
      <c r="M25"/>
      <c r="N25"/>
      <c r="O25"/>
      <c r="P25"/>
      <c r="Q25"/>
    </row>
    <row r="26" spans="1:17" ht="17.25" customHeight="1" x14ac:dyDescent="0.25">
      <c r="A26" s="9">
        <v>1</v>
      </c>
      <c r="B26" s="7" t="s">
        <v>1846</v>
      </c>
      <c r="C26" s="17">
        <f>+E49</f>
        <v>117.69</v>
      </c>
      <c r="D26" s="17"/>
      <c r="G26"/>
      <c r="H26"/>
      <c r="I26"/>
      <c r="J26"/>
      <c r="K26"/>
      <c r="L26"/>
      <c r="M26"/>
      <c r="N26"/>
      <c r="O26"/>
      <c r="P26"/>
      <c r="Q26"/>
    </row>
    <row r="27" spans="1:17" ht="17.25" customHeight="1" x14ac:dyDescent="0.25">
      <c r="A27" s="9">
        <v>2</v>
      </c>
      <c r="B27" s="7" t="s">
        <v>1847</v>
      </c>
      <c r="C27" s="17">
        <f>+E53</f>
        <v>25.66</v>
      </c>
      <c r="D27" s="17"/>
      <c r="G27"/>
      <c r="H27"/>
      <c r="I27"/>
      <c r="J27"/>
      <c r="K27"/>
      <c r="L27"/>
      <c r="M27"/>
      <c r="N27"/>
      <c r="O27"/>
      <c r="P27"/>
      <c r="Q27"/>
    </row>
    <row r="28" spans="1:17" ht="17.25" customHeight="1" x14ac:dyDescent="0.25">
      <c r="A28" s="9">
        <v>3</v>
      </c>
      <c r="B28" s="7" t="s">
        <v>1848</v>
      </c>
      <c r="C28" s="17">
        <f>+E71</f>
        <v>41.14</v>
      </c>
      <c r="D28" s="17"/>
      <c r="G28"/>
      <c r="H28"/>
      <c r="I28"/>
      <c r="J28"/>
      <c r="K28"/>
      <c r="L28"/>
      <c r="M28"/>
      <c r="N28"/>
      <c r="O28"/>
      <c r="P28"/>
      <c r="Q28"/>
    </row>
    <row r="29" spans="1:17" ht="17.25" customHeight="1" x14ac:dyDescent="0.25">
      <c r="A29" s="9">
        <v>4</v>
      </c>
      <c r="B29" s="7" t="s">
        <v>1859</v>
      </c>
      <c r="C29" s="17">
        <f>+E83</f>
        <v>535.85</v>
      </c>
      <c r="D29" s="17"/>
      <c r="G29"/>
      <c r="H29"/>
      <c r="I29"/>
      <c r="J29"/>
      <c r="K29"/>
      <c r="L29"/>
      <c r="M29"/>
      <c r="N29"/>
      <c r="O29"/>
      <c r="P29"/>
      <c r="Q29"/>
    </row>
    <row r="30" spans="1:17" ht="17.25" customHeight="1" x14ac:dyDescent="0.25">
      <c r="A30" s="9">
        <v>5</v>
      </c>
      <c r="B30" s="7" t="s">
        <v>295</v>
      </c>
      <c r="C30" s="17">
        <f>VLOOKUP($H$3,'Vent Rate Calculation'!$A$4:$AZ$21,34,FALSE)</f>
        <v>0</v>
      </c>
      <c r="D30" s="17"/>
      <c r="G30"/>
      <c r="H30"/>
      <c r="I30"/>
      <c r="J30"/>
      <c r="K30"/>
      <c r="L30"/>
      <c r="M30"/>
      <c r="N30"/>
      <c r="O30"/>
      <c r="P30"/>
      <c r="Q30"/>
    </row>
    <row r="31" spans="1:17" x14ac:dyDescent="0.25">
      <c r="A31" s="9">
        <v>6</v>
      </c>
      <c r="B31" s="7" t="s">
        <v>536</v>
      </c>
      <c r="C31" s="17">
        <f>SUM(C26:C30)</f>
        <v>720.34</v>
      </c>
      <c r="D31" s="41"/>
      <c r="G31"/>
      <c r="H31"/>
      <c r="I31"/>
      <c r="J31"/>
      <c r="K31"/>
      <c r="L31"/>
      <c r="M31"/>
      <c r="N31"/>
      <c r="O31"/>
      <c r="P31"/>
      <c r="Q31"/>
    </row>
    <row r="32" spans="1:17" x14ac:dyDescent="0.25">
      <c r="A32" s="9">
        <f>+A31+1</f>
        <v>7</v>
      </c>
      <c r="B32" s="7" t="s">
        <v>340</v>
      </c>
      <c r="C32" s="58">
        <f>+_baf</f>
        <v>0.98772000000000004</v>
      </c>
      <c r="D32" s="41"/>
      <c r="G32"/>
      <c r="H32"/>
      <c r="I32"/>
      <c r="J32"/>
      <c r="K32"/>
      <c r="L32"/>
      <c r="M32"/>
      <c r="N32"/>
      <c r="O32"/>
      <c r="P32"/>
      <c r="Q32"/>
    </row>
    <row r="33" spans="1:17" x14ac:dyDescent="0.25">
      <c r="A33" s="9">
        <f t="shared" ref="A33:A34" si="0">+A32+1</f>
        <v>8</v>
      </c>
      <c r="B33" s="7" t="s">
        <v>535</v>
      </c>
      <c r="C33" s="41">
        <f>ROUND(C31*C32,2)</f>
        <v>711.49</v>
      </c>
      <c r="D33" s="41">
        <v>285</v>
      </c>
      <c r="E33" s="17">
        <f>+D33+C33</f>
        <v>996.49</v>
      </c>
      <c r="G33"/>
      <c r="H33"/>
      <c r="I33"/>
      <c r="J33"/>
      <c r="K33"/>
      <c r="L33"/>
      <c r="M33"/>
      <c r="N33"/>
      <c r="O33"/>
      <c r="P33"/>
      <c r="Q33"/>
    </row>
    <row r="34" spans="1:17" x14ac:dyDescent="0.25">
      <c r="A34" s="9">
        <f t="shared" si="0"/>
        <v>9</v>
      </c>
      <c r="B34" s="7" t="s">
        <v>218</v>
      </c>
      <c r="C34" s="17">
        <f>VLOOKUP($H$3,'Vent Rate Calculation'!$A$4:$AL$21,38,FALSE)</f>
        <v>26.91</v>
      </c>
      <c r="D34" s="17"/>
      <c r="E34" s="17">
        <f>+E33+C34</f>
        <v>1023.4</v>
      </c>
      <c r="G34"/>
      <c r="H34"/>
      <c r="I34"/>
      <c r="J34"/>
      <c r="K34"/>
      <c r="L34"/>
      <c r="M34"/>
      <c r="N34"/>
      <c r="O34"/>
      <c r="P34"/>
      <c r="Q34"/>
    </row>
    <row r="35" spans="1:17" x14ac:dyDescent="0.25">
      <c r="C35" s="17"/>
      <c r="D35" s="17"/>
      <c r="E35" s="17"/>
      <c r="H35"/>
      <c r="I35"/>
      <c r="J35"/>
      <c r="K35"/>
      <c r="L35"/>
      <c r="M35"/>
      <c r="N35"/>
      <c r="O35"/>
      <c r="P35"/>
      <c r="Q35"/>
    </row>
    <row r="36" spans="1:17" ht="18" x14ac:dyDescent="0.25">
      <c r="B36" s="326" t="s">
        <v>257</v>
      </c>
      <c r="C36" s="326"/>
      <c r="D36" s="326"/>
      <c r="E36" s="326"/>
      <c r="F36" s="13"/>
      <c r="H36"/>
      <c r="I36"/>
      <c r="J36"/>
      <c r="K36"/>
      <c r="L36"/>
      <c r="M36"/>
      <c r="N36"/>
      <c r="O36"/>
      <c r="P36"/>
      <c r="Q36"/>
    </row>
    <row r="37" spans="1:17" ht="18" x14ac:dyDescent="0.25">
      <c r="A37" s="9">
        <f>+A34+1</f>
        <v>10</v>
      </c>
      <c r="B37" s="15" t="s">
        <v>773</v>
      </c>
      <c r="C37" s="12"/>
      <c r="D37" s="12"/>
      <c r="E37" s="197">
        <f>VLOOKUP($H$3,'Rate Calculation'!$A$4:$I$208,9,FALSE)</f>
        <v>2.0203000000000002</v>
      </c>
      <c r="F37" s="8"/>
      <c r="H37"/>
      <c r="I37"/>
      <c r="J37"/>
      <c r="K37"/>
      <c r="L37"/>
      <c r="M37"/>
      <c r="N37"/>
      <c r="O37"/>
      <c r="P37"/>
      <c r="Q37"/>
    </row>
    <row r="38" spans="1:17" ht="18" x14ac:dyDescent="0.25">
      <c r="A38" s="9">
        <f t="shared" ref="A38:A39" si="1">+A37+1</f>
        <v>11</v>
      </c>
      <c r="B38" s="7" t="s">
        <v>258</v>
      </c>
      <c r="C38" s="12"/>
      <c r="D38" s="12"/>
      <c r="E38" s="198">
        <f>+SW_CR_CMI</f>
        <v>1.4432</v>
      </c>
    </row>
    <row r="39" spans="1:17" ht="18" x14ac:dyDescent="0.25">
      <c r="A39" s="9">
        <f t="shared" si="1"/>
        <v>12</v>
      </c>
      <c r="B39" s="15" t="s">
        <v>1834</v>
      </c>
      <c r="C39" s="12"/>
      <c r="D39" s="12"/>
      <c r="E39" s="199">
        <f>VLOOKUP($H$3,'Vent Rate Calculation'!$A$4:$Z$206,13,FALSE)</f>
        <v>3.84</v>
      </c>
      <c r="F39" s="8"/>
    </row>
    <row r="40" spans="1:17" x14ac:dyDescent="0.25">
      <c r="B40" s="15"/>
      <c r="C40" s="14"/>
      <c r="D40" s="14"/>
      <c r="E40" s="8"/>
      <c r="F40" s="8"/>
    </row>
    <row r="41" spans="1:17" ht="18" x14ac:dyDescent="0.25">
      <c r="B41" s="326" t="s">
        <v>339</v>
      </c>
      <c r="C41" s="326"/>
      <c r="D41" s="326"/>
      <c r="E41" s="326"/>
      <c r="F41" s="8"/>
    </row>
    <row r="42" spans="1:17" ht="18" x14ac:dyDescent="0.25">
      <c r="A42" s="9">
        <f>+A39+1</f>
        <v>13</v>
      </c>
      <c r="B42" s="7" t="s">
        <v>169</v>
      </c>
      <c r="C42" s="12"/>
      <c r="D42" s="12"/>
      <c r="E42" s="201">
        <f>VLOOKUP($H$3,FRV!$A$4:$K$208,11,FALSE)</f>
        <v>36234</v>
      </c>
      <c r="F42" s="8"/>
    </row>
    <row r="43" spans="1:17" ht="18" x14ac:dyDescent="0.25">
      <c r="A43" s="9">
        <f>+A42+1</f>
        <v>14</v>
      </c>
      <c r="B43" s="7" t="str">
        <f>+"Annualized Days at Occupancy Threshold (Line 13 x .8153)"</f>
        <v>Annualized Days at Occupancy Threshold (Line 13 x .8153)</v>
      </c>
      <c r="C43" s="12"/>
      <c r="D43" s="12"/>
      <c r="E43" s="201">
        <f>ROUND(E42*Min_Occ,0)</f>
        <v>29542</v>
      </c>
      <c r="F43" s="8"/>
    </row>
    <row r="44" spans="1:17" ht="18" x14ac:dyDescent="0.25">
      <c r="A44" s="9">
        <f t="shared" ref="A44:A45" si="2">+A43+1</f>
        <v>15</v>
      </c>
      <c r="B44" s="7" t="s">
        <v>170</v>
      </c>
      <c r="C44" s="12"/>
      <c r="D44" s="12"/>
      <c r="E44" s="201">
        <f>VLOOKUP($H$3,FRV!$A$4:$L$208,12,FALSE)</f>
        <v>32015</v>
      </c>
      <c r="F44" s="8"/>
    </row>
    <row r="45" spans="1:17" ht="18" x14ac:dyDescent="0.25">
      <c r="A45" s="9">
        <f t="shared" si="2"/>
        <v>16</v>
      </c>
      <c r="B45" s="7" t="s">
        <v>1835</v>
      </c>
      <c r="C45" s="12"/>
      <c r="D45" s="12"/>
      <c r="E45" s="200">
        <f>Inflation!$G$24</f>
        <v>1.0309999999999999</v>
      </c>
      <c r="F45" s="8"/>
    </row>
    <row r="46" spans="1:17" x14ac:dyDescent="0.25">
      <c r="B46" s="331"/>
      <c r="C46" s="331"/>
      <c r="D46" s="9"/>
      <c r="F46" s="9"/>
    </row>
    <row r="47" spans="1:17" ht="18" x14ac:dyDescent="0.25">
      <c r="A47" s="202" t="s">
        <v>617</v>
      </c>
      <c r="B47" s="203"/>
      <c r="C47" s="12"/>
      <c r="D47" s="12"/>
      <c r="E47" s="204" t="str">
        <f>"Region: "&amp;VLOOKUP($H$3,'Vent Rate Calculation'!A4:F208,6,FALSE)</f>
        <v>Region: BALTIMORE CITY</v>
      </c>
      <c r="F47" s="10"/>
    </row>
    <row r="48" spans="1:17" ht="18" x14ac:dyDescent="0.25">
      <c r="A48" s="9">
        <f>+A45+1</f>
        <v>17</v>
      </c>
      <c r="B48" s="7" t="s">
        <v>1836</v>
      </c>
      <c r="C48" s="12"/>
      <c r="D48" s="12"/>
      <c r="E48" s="244">
        <f>VLOOKUP($H$3,'Vent Rate Calculation'!A4:X21,24,FALSE)</f>
        <v>114.15</v>
      </c>
      <c r="F48" s="10"/>
    </row>
    <row r="49" spans="1:6" ht="18" x14ac:dyDescent="0.25">
      <c r="A49" s="9">
        <f>+A48+1</f>
        <v>18</v>
      </c>
      <c r="B49" s="7" t="s">
        <v>1837</v>
      </c>
      <c r="C49" s="12"/>
      <c r="D49" s="12"/>
      <c r="E49" s="244">
        <f>ROUND(E48*E45,2)</f>
        <v>117.69</v>
      </c>
      <c r="F49" s="10"/>
    </row>
    <row r="50" spans="1:6" ht="18" x14ac:dyDescent="0.25">
      <c r="B50" s="12"/>
      <c r="C50" s="12"/>
      <c r="D50" s="12"/>
      <c r="F50" s="9"/>
    </row>
    <row r="51" spans="1:6" ht="18" x14ac:dyDescent="0.25">
      <c r="A51" s="202" t="s">
        <v>615</v>
      </c>
      <c r="B51" s="203"/>
      <c r="C51" s="12"/>
      <c r="D51" s="12"/>
      <c r="E51" s="204" t="str">
        <f>"Region: "&amp;VLOOKUP($H$3,'Vent Rate Calculation'!A4:F208,6,FALSE)</f>
        <v>Region: BALTIMORE CITY</v>
      </c>
      <c r="F51" s="10"/>
    </row>
    <row r="52" spans="1:6" ht="18" x14ac:dyDescent="0.25">
      <c r="A52" s="9">
        <f>+A49+1</f>
        <v>19</v>
      </c>
      <c r="B52" s="7" t="s">
        <v>1836</v>
      </c>
      <c r="C52" s="12"/>
      <c r="D52" s="12"/>
      <c r="E52" s="17">
        <f>VLOOKUP($H$3,'Vent Rate Calculation'!A4:V21,22,FALSE)</f>
        <v>24.89</v>
      </c>
      <c r="F52" s="10"/>
    </row>
    <row r="53" spans="1:6" ht="18" x14ac:dyDescent="0.25">
      <c r="A53" s="9">
        <f>+A52+1</f>
        <v>20</v>
      </c>
      <c r="B53" s="7" t="s">
        <v>1838</v>
      </c>
      <c r="C53" s="12"/>
      <c r="D53" s="12"/>
      <c r="E53" s="17">
        <f>ROUND(E52*E45,2)</f>
        <v>25.66</v>
      </c>
      <c r="F53" s="10"/>
    </row>
    <row r="54" spans="1:6" ht="15" customHeight="1" x14ac:dyDescent="0.25">
      <c r="A54"/>
      <c r="B54"/>
      <c r="C54"/>
      <c r="D54"/>
      <c r="E54"/>
      <c r="F54"/>
    </row>
    <row r="55" spans="1:6" ht="18" x14ac:dyDescent="0.25">
      <c r="A55" s="202" t="s">
        <v>616</v>
      </c>
      <c r="B55" s="12"/>
      <c r="C55" s="12"/>
      <c r="D55" s="12"/>
      <c r="E55" s="10"/>
      <c r="F55" s="10"/>
    </row>
    <row r="56" spans="1:6" ht="18" x14ac:dyDescent="0.25">
      <c r="A56" s="9">
        <f>+A53+1</f>
        <v>21</v>
      </c>
      <c r="B56" s="7" t="s">
        <v>30</v>
      </c>
      <c r="C56" s="12"/>
      <c r="D56" s="12"/>
      <c r="E56" s="205">
        <f>VLOOKUP($H$3,FRV!$A$3:$U$208,4,FALSE)</f>
        <v>45474</v>
      </c>
    </row>
    <row r="57" spans="1:6" ht="18" x14ac:dyDescent="0.25">
      <c r="A57" s="9">
        <f>+A56+1</f>
        <v>22</v>
      </c>
      <c r="B57" s="7" t="s">
        <v>171</v>
      </c>
      <c r="C57" s="12"/>
      <c r="D57" s="12"/>
      <c r="E57" s="205">
        <f>VLOOKUP($H$3,FRV!$A$3:$U$208,6,FALSE)</f>
        <v>45657</v>
      </c>
    </row>
    <row r="58" spans="1:6" ht="18" x14ac:dyDescent="0.25">
      <c r="A58" s="9">
        <f t="shared" ref="A58:A71" si="3">+A57+1</f>
        <v>23</v>
      </c>
      <c r="B58" s="7" t="s">
        <v>27</v>
      </c>
      <c r="C58" s="12"/>
      <c r="D58" s="12"/>
      <c r="E58" s="206">
        <f>VLOOKUP($H$3,FRV!$A$3:$U$208,13,FALSE)</f>
        <v>12302087</v>
      </c>
    </row>
    <row r="59" spans="1:6" ht="18" x14ac:dyDescent="0.25">
      <c r="A59" s="9">
        <f t="shared" si="3"/>
        <v>24</v>
      </c>
      <c r="B59" s="7" t="s">
        <v>28</v>
      </c>
      <c r="C59" s="12"/>
      <c r="D59" s="12"/>
      <c r="E59" s="206">
        <f>VLOOKUP($H$3,FRV!$A$3:$U$208,15,FALSE)</f>
        <v>219132</v>
      </c>
    </row>
    <row r="60" spans="1:6" ht="17.25" customHeight="1" x14ac:dyDescent="0.25">
      <c r="A60" s="9">
        <f t="shared" si="3"/>
        <v>25</v>
      </c>
      <c r="B60" s="7" t="s">
        <v>31</v>
      </c>
      <c r="C60" s="12"/>
      <c r="D60" s="12"/>
      <c r="E60" s="206">
        <f>VLOOKUP($H$3,FRV!$A$3:$U$208,14,FALSE)</f>
        <v>16000</v>
      </c>
    </row>
    <row r="61" spans="1:6" ht="18" x14ac:dyDescent="0.25">
      <c r="A61" s="9">
        <f t="shared" si="3"/>
        <v>26</v>
      </c>
      <c r="B61" s="8" t="s">
        <v>259</v>
      </c>
      <c r="C61" s="12"/>
      <c r="D61" s="12"/>
      <c r="E61" s="206">
        <f>VLOOKUP($H$3,FRV!$A$3:$U$208,7,FALSE)</f>
        <v>99</v>
      </c>
    </row>
    <row r="62" spans="1:6" ht="18" x14ac:dyDescent="0.25">
      <c r="A62" s="9">
        <f t="shared" si="3"/>
        <v>27</v>
      </c>
      <c r="B62" s="7" t="s">
        <v>1839</v>
      </c>
      <c r="C62" s="12"/>
      <c r="D62" s="12"/>
      <c r="E62" s="201">
        <f>+E58+E59+(E60*E61)</f>
        <v>14105219</v>
      </c>
    </row>
    <row r="63" spans="1:6" ht="18" x14ac:dyDescent="0.25">
      <c r="A63" s="9">
        <f t="shared" si="3"/>
        <v>28</v>
      </c>
      <c r="B63" s="7" t="s">
        <v>1840</v>
      </c>
      <c r="C63" s="12"/>
      <c r="D63" s="12"/>
      <c r="E63" s="201">
        <f>ROUND(E62/E61,0)</f>
        <v>142477</v>
      </c>
    </row>
    <row r="64" spans="1:6" ht="18" x14ac:dyDescent="0.25">
      <c r="A64" s="9">
        <f t="shared" si="3"/>
        <v>29</v>
      </c>
      <c r="B64" s="7" t="s">
        <v>260</v>
      </c>
      <c r="C64" s="12"/>
      <c r="D64" s="12"/>
      <c r="E64" s="201">
        <v>120000</v>
      </c>
    </row>
    <row r="65" spans="1:6" ht="18" x14ac:dyDescent="0.25">
      <c r="A65" s="9">
        <f t="shared" si="3"/>
        <v>30</v>
      </c>
      <c r="B65" s="7" t="s">
        <v>1841</v>
      </c>
      <c r="C65" s="12"/>
      <c r="D65" s="12"/>
      <c r="E65" s="201">
        <f>ROUND(IF(E63=0,120000,IF(E63&gt;E64,E64,E63)),2)</f>
        <v>120000</v>
      </c>
    </row>
    <row r="66" spans="1:6" ht="18" x14ac:dyDescent="0.25">
      <c r="A66" s="9">
        <f t="shared" si="3"/>
        <v>31</v>
      </c>
      <c r="B66" s="7" t="s">
        <v>1842</v>
      </c>
      <c r="C66" s="12"/>
      <c r="D66" s="12"/>
      <c r="E66" s="201">
        <f>ROUND(E65*E61,0)</f>
        <v>11880000</v>
      </c>
    </row>
    <row r="67" spans="1:6" ht="18" x14ac:dyDescent="0.25">
      <c r="A67" s="9">
        <f t="shared" si="3"/>
        <v>32</v>
      </c>
      <c r="B67" s="7" t="s">
        <v>33</v>
      </c>
      <c r="C67" s="12"/>
      <c r="D67" s="12"/>
      <c r="E67" s="207">
        <f>IF(VLOOKUP(H3,FRV!$A$3:$C$208,3,FALSE)="baltimore city",0.1,0.08)</f>
        <v>0.1</v>
      </c>
    </row>
    <row r="68" spans="1:6" ht="18" x14ac:dyDescent="0.25">
      <c r="A68" s="9">
        <f t="shared" si="3"/>
        <v>33</v>
      </c>
      <c r="B68" s="7" t="s">
        <v>1843</v>
      </c>
      <c r="C68" s="12"/>
      <c r="D68" s="12"/>
      <c r="E68" s="201">
        <f>ROUND(E65*E67*E61,0)</f>
        <v>1188000</v>
      </c>
    </row>
    <row r="69" spans="1:6" ht="18" x14ac:dyDescent="0.25">
      <c r="A69" s="9">
        <f t="shared" si="3"/>
        <v>34</v>
      </c>
      <c r="B69" s="7" t="s">
        <v>1844</v>
      </c>
      <c r="C69" s="12"/>
      <c r="D69" s="12"/>
      <c r="E69" s="158">
        <f>IF(ISERROR(MATCH(H3&amp;E57,'Days Exceptions'!C1:C16,0)),ROUND(E68/(MAX(E44,E43)),2),ROUND(E68/VLOOKUP('Facility Profile'!H3,'Days Exceptions'!A3:I8,8,FALSE),2))</f>
        <v>37.11</v>
      </c>
    </row>
    <row r="70" spans="1:6" ht="18" x14ac:dyDescent="0.25">
      <c r="A70" s="9">
        <f t="shared" si="3"/>
        <v>35</v>
      </c>
      <c r="B70" s="7" t="s">
        <v>261</v>
      </c>
      <c r="C70" s="12"/>
      <c r="D70" s="12"/>
      <c r="E70" s="19">
        <f>VLOOKUP($H$3,'Vent Rate Calculation'!$A$4:$AF$21,32,FALSE)</f>
        <v>4.03</v>
      </c>
    </row>
    <row r="71" spans="1:6" ht="18" x14ac:dyDescent="0.25">
      <c r="A71" s="9">
        <f t="shared" si="3"/>
        <v>36</v>
      </c>
      <c r="B71" s="7" t="s">
        <v>1845</v>
      </c>
      <c r="C71" s="12"/>
      <c r="D71" s="12"/>
      <c r="E71" s="19">
        <f>+E70+E69</f>
        <v>41.14</v>
      </c>
    </row>
    <row r="72" spans="1:6" ht="18" x14ac:dyDescent="0.25">
      <c r="B72" s="12"/>
      <c r="C72" s="12"/>
      <c r="D72" s="12"/>
      <c r="E72" s="12"/>
    </row>
    <row r="73" spans="1:6" ht="18" x14ac:dyDescent="0.25">
      <c r="A73" s="326" t="s">
        <v>1825</v>
      </c>
      <c r="B73" s="326"/>
      <c r="C73" s="326"/>
      <c r="D73" s="326"/>
      <c r="E73" s="326"/>
      <c r="F73" s="42" t="s">
        <v>327</v>
      </c>
    </row>
    <row r="74" spans="1:6" ht="18" x14ac:dyDescent="0.25">
      <c r="A74" s="319" t="str">
        <f>+B24</f>
        <v>Autumn Lake Healthcare at Bridgepark</v>
      </c>
      <c r="B74" s="319"/>
      <c r="C74" s="319"/>
      <c r="D74" s="319"/>
      <c r="E74" s="319"/>
      <c r="F74" s="10"/>
    </row>
    <row r="75" spans="1:6" ht="18" x14ac:dyDescent="0.25">
      <c r="A75" s="202" t="s">
        <v>614</v>
      </c>
      <c r="B75" s="12"/>
      <c r="C75" s="21"/>
      <c r="D75" s="21"/>
      <c r="E75" s="22" t="str">
        <f>"Region: "&amp;VLOOKUP($H$3,'Vent Rate Calculation'!A3:AQ208,5,FALSE)</f>
        <v>Region: BALTIMORE METRO</v>
      </c>
    </row>
    <row r="76" spans="1:6" ht="18" x14ac:dyDescent="0.25">
      <c r="A76" s="9">
        <f>+A71+1</f>
        <v>37</v>
      </c>
      <c r="B76" s="7" t="s">
        <v>1849</v>
      </c>
      <c r="C76" s="21"/>
      <c r="D76" s="21"/>
      <c r="E76" s="41">
        <f>VLOOKUP($H$3,'Vent Rate Calculation'!A4:Q21,17,FALSE)</f>
        <v>261.45</v>
      </c>
    </row>
    <row r="77" spans="1:6" ht="18" x14ac:dyDescent="0.25">
      <c r="A77" s="9">
        <f>+A76+1</f>
        <v>38</v>
      </c>
      <c r="B77" s="7" t="s">
        <v>1850</v>
      </c>
      <c r="C77" s="21"/>
      <c r="D77" s="21"/>
      <c r="E77" s="41">
        <f>IF(E76="NA","NA",ROUND(E76*$E$45,2))</f>
        <v>269.55</v>
      </c>
    </row>
    <row r="78" spans="1:6" ht="18" x14ac:dyDescent="0.25">
      <c r="A78" s="9">
        <f t="shared" ref="A78:A83" si="4">+A77+1</f>
        <v>39</v>
      </c>
      <c r="B78" s="7" t="s">
        <v>262</v>
      </c>
      <c r="C78" s="21"/>
      <c r="D78" s="21"/>
      <c r="E78" s="19">
        <f>VLOOKUP($H$3,'Vent Rate Calculation'!A4:K21,11,FALSE)</f>
        <v>195.33</v>
      </c>
    </row>
    <row r="79" spans="1:6" ht="18" x14ac:dyDescent="0.25">
      <c r="A79" s="9">
        <f t="shared" si="4"/>
        <v>40</v>
      </c>
      <c r="B79" s="7" t="s">
        <v>1851</v>
      </c>
      <c r="C79" s="21"/>
      <c r="D79" s="21"/>
      <c r="E79" s="55">
        <f>IF(E78="NA","NA",ROUND(E78*$E$45,2))</f>
        <v>201.39</v>
      </c>
    </row>
    <row r="80" spans="1:6" ht="18" x14ac:dyDescent="0.25">
      <c r="A80" s="9">
        <f t="shared" si="4"/>
        <v>41</v>
      </c>
      <c r="B80" s="7" t="s">
        <v>1855</v>
      </c>
      <c r="C80" s="12"/>
      <c r="D80" s="12"/>
      <c r="E80" s="41">
        <f>IF(E37="NA","NA",ROUND(+E79*E37/E38,2))</f>
        <v>281.92</v>
      </c>
      <c r="F80" s="18"/>
    </row>
    <row r="81" spans="1:17" ht="18" x14ac:dyDescent="0.25">
      <c r="A81" s="9">
        <f t="shared" si="4"/>
        <v>42</v>
      </c>
      <c r="B81" s="7" t="s">
        <v>1852</v>
      </c>
      <c r="C81" s="12"/>
      <c r="D81" s="12"/>
      <c r="E81" s="95">
        <f>IF(E76="NA",ROUND(E79*E39,2),ROUND(E80*E39/E37,2))</f>
        <v>535.85</v>
      </c>
      <c r="F81" s="18"/>
    </row>
    <row r="82" spans="1:17" ht="18" x14ac:dyDescent="0.25">
      <c r="A82" s="9">
        <f t="shared" si="4"/>
        <v>43</v>
      </c>
      <c r="B82" s="7" t="s">
        <v>1853</v>
      </c>
      <c r="C82" s="12"/>
      <c r="D82" s="12"/>
      <c r="E82" s="17">
        <f>MAX(0,E88)*-1</f>
        <v>0</v>
      </c>
      <c r="F82" s="18"/>
    </row>
    <row r="83" spans="1:17" ht="18" x14ac:dyDescent="0.25">
      <c r="A83" s="9">
        <f t="shared" si="4"/>
        <v>44</v>
      </c>
      <c r="B83" s="7" t="s">
        <v>1854</v>
      </c>
      <c r="C83" s="12"/>
      <c r="D83" s="12"/>
      <c r="E83" s="17">
        <f>+E82+E81</f>
        <v>535.85</v>
      </c>
    </row>
    <row r="84" spans="1:17" ht="18" x14ac:dyDescent="0.25">
      <c r="C84" s="12"/>
      <c r="D84" s="12"/>
      <c r="E84" s="17"/>
    </row>
    <row r="85" spans="1:17" ht="18" x14ac:dyDescent="0.25">
      <c r="A85" s="322" t="s">
        <v>144</v>
      </c>
      <c r="B85" s="322"/>
      <c r="C85" s="322"/>
      <c r="D85" s="322"/>
      <c r="E85" s="322"/>
    </row>
    <row r="86" spans="1:17" ht="18" x14ac:dyDescent="0.25">
      <c r="A86" s="9">
        <f>+A83+1</f>
        <v>45</v>
      </c>
      <c r="B86" s="7" t="s">
        <v>1856</v>
      </c>
      <c r="C86" s="12"/>
      <c r="D86" s="12"/>
      <c r="E86" s="96">
        <f>IF(E77="NA","NA",ROUND(E77*E39/E37,2))</f>
        <v>512.34</v>
      </c>
    </row>
    <row r="87" spans="1:17" ht="18" x14ac:dyDescent="0.25">
      <c r="A87" s="9">
        <f>+A86+1</f>
        <v>46</v>
      </c>
      <c r="B87" s="7" t="s">
        <v>1857</v>
      </c>
      <c r="C87" s="12"/>
      <c r="D87" s="12"/>
      <c r="E87" s="41">
        <f>IF(E81="NA","NA",ROUND(E81*0.95,2))</f>
        <v>509.06</v>
      </c>
    </row>
    <row r="88" spans="1:17" ht="18" x14ac:dyDescent="0.25">
      <c r="A88" s="9">
        <f>+A87+1</f>
        <v>47</v>
      </c>
      <c r="B88" s="7" t="s">
        <v>1858</v>
      </c>
      <c r="C88" s="12"/>
      <c r="D88" s="12"/>
      <c r="E88" s="17">
        <f>IF(E86="NA",0,+E87-E86)</f>
        <v>-3.28</v>
      </c>
      <c r="F88" s="10"/>
    </row>
    <row r="89" spans="1:17" ht="18" x14ac:dyDescent="0.25">
      <c r="C89" s="12"/>
      <c r="D89" s="12"/>
      <c r="E89" s="17"/>
      <c r="F89" s="10"/>
    </row>
    <row r="90" spans="1:17" ht="14" thickBot="1" x14ac:dyDescent="0.2">
      <c r="A90"/>
      <c r="B90" s="117"/>
      <c r="C90" s="117"/>
      <c r="D90" s="117"/>
      <c r="E90" s="117"/>
      <c r="F90"/>
      <c r="G90"/>
      <c r="H90"/>
      <c r="I90"/>
      <c r="J90"/>
      <c r="K90"/>
      <c r="L90"/>
      <c r="M90"/>
      <c r="N90"/>
      <c r="O90"/>
      <c r="P90"/>
      <c r="Q90"/>
    </row>
    <row r="91" spans="1:17" ht="21" x14ac:dyDescent="0.3">
      <c r="A91"/>
      <c r="B91" s="315" t="str">
        <f>+H1&amp;TEXT($I$1," mm/dd/yyyy")</f>
        <v>Issued 06/30/2025</v>
      </c>
      <c r="C91" s="316"/>
      <c r="D91" s="316"/>
      <c r="E91" s="317"/>
      <c r="F91" s="332" t="str">
        <f>IFERROR(IF(I99&lt;&gt;0,"XX",""),"XX")</f>
        <v>XX</v>
      </c>
      <c r="G91"/>
      <c r="H91"/>
      <c r="I91"/>
      <c r="J91"/>
      <c r="K91"/>
      <c r="L91"/>
      <c r="M91"/>
      <c r="N91"/>
      <c r="O91"/>
      <c r="P91"/>
      <c r="Q91"/>
    </row>
    <row r="92" spans="1:17" ht="18" x14ac:dyDescent="0.25">
      <c r="A92"/>
      <c r="B92" s="318" t="s">
        <v>484</v>
      </c>
      <c r="C92" s="319"/>
      <c r="D92" s="319"/>
      <c r="E92" s="320"/>
      <c r="F92" s="332"/>
      <c r="G92"/>
      <c r="H92"/>
      <c r="I92"/>
      <c r="J92"/>
      <c r="K92"/>
      <c r="L92"/>
      <c r="M92"/>
      <c r="N92"/>
      <c r="O92"/>
      <c r="P92"/>
      <c r="Q92"/>
    </row>
    <row r="93" spans="1:17" ht="18" x14ac:dyDescent="0.25">
      <c r="A93"/>
      <c r="B93" s="318" t="s">
        <v>1826</v>
      </c>
      <c r="C93" s="319"/>
      <c r="D93" s="319"/>
      <c r="E93" s="320"/>
      <c r="F93" s="332"/>
      <c r="G93"/>
      <c r="H93"/>
      <c r="I93"/>
      <c r="J93"/>
      <c r="K93"/>
      <c r="L93"/>
      <c r="M93"/>
      <c r="N93"/>
      <c r="O93"/>
      <c r="P93"/>
      <c r="Q93"/>
    </row>
    <row r="94" spans="1:17" ht="18" x14ac:dyDescent="0.25">
      <c r="A94"/>
      <c r="B94" s="318" t="e">
        <f>"Provider #:  "&amp;VLOOKUP($H$3,'Rate Calculation'!A2:CQ308,68,FALSE)</f>
        <v>#REF!</v>
      </c>
      <c r="C94" s="319"/>
      <c r="D94" s="319"/>
      <c r="E94" s="320"/>
      <c r="F94" s="332"/>
      <c r="G94"/>
      <c r="H94"/>
      <c r="I94"/>
      <c r="J94"/>
      <c r="K94"/>
      <c r="L94"/>
      <c r="M94"/>
      <c r="N94"/>
      <c r="O94"/>
      <c r="P94"/>
      <c r="Q94"/>
    </row>
    <row r="95" spans="1:17" ht="17.25" customHeight="1" thickBot="1" x14ac:dyDescent="0.3">
      <c r="A95"/>
      <c r="B95" s="328" t="str">
        <f>+"Provider Name: "&amp;$I$3</f>
        <v>Provider Name: Autumn Lake Healthcare at Bridgepark</v>
      </c>
      <c r="C95" s="329"/>
      <c r="D95" s="329"/>
      <c r="E95" s="330"/>
      <c r="F95" s="332"/>
      <c r="G95"/>
      <c r="H95"/>
      <c r="I95"/>
      <c r="J95"/>
      <c r="K95"/>
      <c r="L95"/>
      <c r="M95"/>
      <c r="N95"/>
      <c r="O95"/>
      <c r="P95"/>
      <c r="Q95"/>
    </row>
    <row r="96" spans="1:17" ht="17.25" customHeight="1" thickBo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</row>
    <row r="97" spans="1:17" ht="35" customHeight="1" x14ac:dyDescent="0.25">
      <c r="A97" s="97"/>
      <c r="B97" s="52" t="s">
        <v>294</v>
      </c>
      <c r="C97" s="43" t="s">
        <v>267</v>
      </c>
      <c r="D97" s="43" t="s">
        <v>268</v>
      </c>
      <c r="E97" s="44" t="s">
        <v>269</v>
      </c>
      <c r="I97" s="10">
        <f>+E99</f>
        <v>494.13</v>
      </c>
      <c r="J97" s="7" t="s">
        <v>352</v>
      </c>
      <c r="K97"/>
      <c r="L97"/>
      <c r="M97"/>
      <c r="N97"/>
      <c r="O97"/>
      <c r="P97"/>
      <c r="Q97"/>
    </row>
    <row r="98" spans="1:17" ht="17.25" customHeight="1" x14ac:dyDescent="0.25">
      <c r="A98" s="97"/>
      <c r="B98" s="323" t="s">
        <v>270</v>
      </c>
      <c r="C98" s="324"/>
      <c r="D98" s="324"/>
      <c r="E98" s="325"/>
      <c r="G98"/>
      <c r="H98"/>
      <c r="I98" s="57" t="e">
        <f>VLOOKUP(H3,'Phase In Option'!A224:W241,18,FALSE)</f>
        <v>#REF!</v>
      </c>
      <c r="J98" s="7" t="s">
        <v>341</v>
      </c>
      <c r="K98"/>
      <c r="L98"/>
      <c r="M98"/>
      <c r="N98"/>
      <c r="O98"/>
      <c r="P98"/>
      <c r="Q98"/>
    </row>
    <row r="99" spans="1:17" ht="35" customHeight="1" x14ac:dyDescent="0.25">
      <c r="A99" s="97"/>
      <c r="B99" s="45" t="s">
        <v>298</v>
      </c>
      <c r="C99" s="38" t="s">
        <v>271</v>
      </c>
      <c r="D99" s="46" t="s">
        <v>486</v>
      </c>
      <c r="E99" s="48">
        <f>+E124</f>
        <v>494.13</v>
      </c>
      <c r="G99"/>
      <c r="H99"/>
      <c r="I99" s="10" t="e">
        <f>+I98-I97</f>
        <v>#REF!</v>
      </c>
      <c r="J99"/>
      <c r="K99"/>
      <c r="L99"/>
      <c r="M99"/>
      <c r="N99"/>
      <c r="O99"/>
      <c r="P99"/>
      <c r="Q99"/>
    </row>
    <row r="100" spans="1:17" ht="35" customHeight="1" x14ac:dyDescent="0.25">
      <c r="A100" s="97"/>
      <c r="B100" s="45" t="s">
        <v>299</v>
      </c>
      <c r="C100" s="38" t="s">
        <v>272</v>
      </c>
      <c r="D100" s="46" t="s">
        <v>247</v>
      </c>
      <c r="E100" s="48" t="s">
        <v>254</v>
      </c>
      <c r="G100"/>
      <c r="H100"/>
      <c r="I100"/>
      <c r="J100"/>
      <c r="K100"/>
      <c r="L100"/>
      <c r="M100"/>
      <c r="N100"/>
      <c r="O100"/>
      <c r="P100"/>
      <c r="Q100"/>
    </row>
    <row r="101" spans="1:17" ht="35" customHeight="1" x14ac:dyDescent="0.25">
      <c r="A101" s="97"/>
      <c r="B101" s="45" t="s">
        <v>300</v>
      </c>
      <c r="C101" s="38" t="s">
        <v>273</v>
      </c>
      <c r="D101" s="46" t="s">
        <v>248</v>
      </c>
      <c r="E101" s="48" t="s">
        <v>254</v>
      </c>
      <c r="G101"/>
      <c r="H101"/>
      <c r="I101"/>
      <c r="J101"/>
      <c r="K101"/>
      <c r="L101"/>
      <c r="M101"/>
      <c r="N101"/>
      <c r="O101"/>
      <c r="P101"/>
      <c r="Q101"/>
    </row>
    <row r="102" spans="1:17" ht="35" customHeight="1" x14ac:dyDescent="0.25">
      <c r="A102" s="97"/>
      <c r="B102" s="45" t="s">
        <v>274</v>
      </c>
      <c r="C102" s="40" t="s">
        <v>275</v>
      </c>
      <c r="D102" s="46" t="s">
        <v>245</v>
      </c>
      <c r="E102" s="47" t="s">
        <v>276</v>
      </c>
      <c r="G102"/>
      <c r="H102"/>
      <c r="I102"/>
      <c r="J102"/>
      <c r="K102"/>
      <c r="L102"/>
      <c r="M102"/>
      <c r="N102"/>
      <c r="O102"/>
      <c r="P102"/>
      <c r="Q102"/>
    </row>
    <row r="103" spans="1:17" ht="17.25" customHeight="1" x14ac:dyDescent="0.25">
      <c r="A103" s="97"/>
      <c r="B103" s="323" t="s">
        <v>277</v>
      </c>
      <c r="C103" s="324"/>
      <c r="D103" s="324"/>
      <c r="E103" s="325"/>
      <c r="G103"/>
      <c r="H103"/>
      <c r="I103"/>
      <c r="J103"/>
      <c r="K103"/>
      <c r="L103"/>
      <c r="M103"/>
      <c r="N103"/>
      <c r="O103"/>
      <c r="P103"/>
      <c r="Q103"/>
    </row>
    <row r="104" spans="1:17" ht="35" customHeight="1" x14ac:dyDescent="0.25">
      <c r="A104" s="97"/>
      <c r="B104" s="45" t="s">
        <v>278</v>
      </c>
      <c r="C104" s="38" t="s">
        <v>279</v>
      </c>
      <c r="D104" s="46" t="s">
        <v>250</v>
      </c>
      <c r="E104" s="48">
        <v>23.13</v>
      </c>
      <c r="G104"/>
      <c r="H104"/>
      <c r="I104"/>
      <c r="J104"/>
      <c r="K104"/>
      <c r="L104"/>
      <c r="M104"/>
      <c r="N104"/>
      <c r="O104"/>
      <c r="P104"/>
      <c r="Q104"/>
    </row>
    <row r="105" spans="1:17" ht="35" customHeight="1" x14ac:dyDescent="0.3">
      <c r="A105" s="97"/>
      <c r="B105" s="45" t="s">
        <v>280</v>
      </c>
      <c r="C105" s="38" t="s">
        <v>281</v>
      </c>
      <c r="D105" s="46" t="s">
        <v>252</v>
      </c>
      <c r="E105" s="48">
        <v>92.14</v>
      </c>
      <c r="F105" s="11"/>
      <c r="G105"/>
      <c r="H105"/>
      <c r="I105"/>
      <c r="J105"/>
      <c r="K105"/>
      <c r="L105"/>
      <c r="M105"/>
      <c r="N105"/>
      <c r="O105"/>
      <c r="P105"/>
      <c r="Q105"/>
    </row>
    <row r="106" spans="1:17" ht="35" customHeight="1" x14ac:dyDescent="0.3">
      <c r="A106" s="97"/>
      <c r="B106" s="45" t="s">
        <v>282</v>
      </c>
      <c r="C106" s="38" t="s">
        <v>287</v>
      </c>
      <c r="D106" s="46" t="s">
        <v>253</v>
      </c>
      <c r="E106" s="48">
        <v>2.0499999999999998</v>
      </c>
      <c r="F106" s="11"/>
      <c r="G106"/>
      <c r="H106"/>
      <c r="I106"/>
      <c r="J106"/>
      <c r="K106"/>
      <c r="L106"/>
      <c r="M106"/>
      <c r="N106"/>
      <c r="O106"/>
      <c r="P106"/>
      <c r="Q106"/>
    </row>
    <row r="107" spans="1:17" ht="35" customHeight="1" x14ac:dyDescent="0.3">
      <c r="A107" s="97"/>
      <c r="B107" s="45" t="s">
        <v>283</v>
      </c>
      <c r="C107" s="38" t="s">
        <v>284</v>
      </c>
      <c r="D107" s="46" t="s">
        <v>251</v>
      </c>
      <c r="E107" s="48">
        <v>5.49</v>
      </c>
      <c r="F107" s="11"/>
      <c r="G107"/>
      <c r="H107"/>
      <c r="I107"/>
      <c r="J107"/>
      <c r="K107"/>
      <c r="L107"/>
      <c r="M107"/>
      <c r="N107"/>
      <c r="O107"/>
      <c r="P107"/>
      <c r="Q107"/>
    </row>
    <row r="108" spans="1:17" ht="35" customHeight="1" x14ac:dyDescent="0.3">
      <c r="A108" s="97"/>
      <c r="B108" s="45" t="s">
        <v>285</v>
      </c>
      <c r="C108" s="38" t="s">
        <v>304</v>
      </c>
      <c r="D108" s="46" t="s">
        <v>249</v>
      </c>
      <c r="E108" s="48">
        <v>116.41</v>
      </c>
      <c r="F108" s="11"/>
      <c r="G108"/>
      <c r="H108"/>
      <c r="I108"/>
      <c r="J108"/>
      <c r="K108"/>
      <c r="L108"/>
      <c r="M108"/>
      <c r="N108"/>
      <c r="O108"/>
      <c r="P108"/>
      <c r="Q108"/>
    </row>
    <row r="109" spans="1:17" ht="35" customHeight="1" thickBot="1" x14ac:dyDescent="0.35">
      <c r="A109" s="97"/>
      <c r="B109" s="49" t="s">
        <v>286</v>
      </c>
      <c r="C109" s="39" t="s">
        <v>287</v>
      </c>
      <c r="D109" s="50" t="s">
        <v>288</v>
      </c>
      <c r="E109" s="51" t="s">
        <v>289</v>
      </c>
      <c r="F109" s="11"/>
      <c r="G109"/>
      <c r="H109"/>
      <c r="I109"/>
      <c r="J109"/>
      <c r="K109"/>
      <c r="L109"/>
      <c r="M109"/>
      <c r="N109"/>
      <c r="O109"/>
      <c r="P109"/>
      <c r="Q109"/>
    </row>
    <row r="110" spans="1:17" x14ac:dyDescent="0.25">
      <c r="A110" s="7"/>
      <c r="B110" s="7" t="s">
        <v>290</v>
      </c>
      <c r="H110"/>
      <c r="I110"/>
      <c r="K110"/>
      <c r="L110"/>
      <c r="M110"/>
      <c r="N110"/>
      <c r="O110"/>
      <c r="P110"/>
      <c r="Q110"/>
    </row>
    <row r="111" spans="1:17" x14ac:dyDescent="0.25">
      <c r="A111" s="7"/>
      <c r="B111" s="7" t="s">
        <v>291</v>
      </c>
      <c r="H111" s="10"/>
      <c r="K111"/>
      <c r="L111"/>
      <c r="M111"/>
      <c r="N111"/>
      <c r="O111"/>
      <c r="P111"/>
      <c r="Q111"/>
    </row>
    <row r="112" spans="1:17" ht="13" x14ac:dyDescent="0.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</row>
    <row r="113" spans="1:17" ht="18" x14ac:dyDescent="0.25">
      <c r="B113" s="326" t="s">
        <v>1833</v>
      </c>
      <c r="C113" s="326"/>
      <c r="D113" s="326"/>
      <c r="E113" s="326"/>
      <c r="F113" s="42" t="s">
        <v>307</v>
      </c>
      <c r="G113"/>
      <c r="H113"/>
      <c r="I113"/>
      <c r="J113"/>
      <c r="K113"/>
      <c r="L113"/>
      <c r="M113"/>
      <c r="N113"/>
      <c r="O113"/>
      <c r="P113"/>
      <c r="Q113"/>
    </row>
    <row r="114" spans="1:17" ht="18" x14ac:dyDescent="0.25">
      <c r="B114" s="319" t="str">
        <f>+B95</f>
        <v>Provider Name: Autumn Lake Healthcare at Bridgepark</v>
      </c>
      <c r="C114" s="319"/>
      <c r="D114" s="319"/>
      <c r="E114" s="319"/>
      <c r="F114" s="42"/>
      <c r="G114"/>
      <c r="H114"/>
      <c r="I114"/>
      <c r="J114"/>
      <c r="K114"/>
      <c r="L114"/>
      <c r="M114"/>
      <c r="N114"/>
      <c r="O114"/>
      <c r="P114"/>
      <c r="Q114"/>
    </row>
    <row r="115" spans="1:17" ht="51" x14ac:dyDescent="0.25">
      <c r="B115" s="9" t="s">
        <v>143</v>
      </c>
      <c r="C115" s="20" t="s">
        <v>293</v>
      </c>
      <c r="D115" s="20" t="s">
        <v>313</v>
      </c>
      <c r="E115" s="20" t="s">
        <v>314</v>
      </c>
      <c r="G115"/>
      <c r="H115"/>
      <c r="I115"/>
      <c r="J115"/>
      <c r="K115"/>
      <c r="L115"/>
      <c r="M115"/>
      <c r="N115"/>
      <c r="O115"/>
      <c r="P115"/>
      <c r="Q115"/>
    </row>
    <row r="116" spans="1:17" ht="17.25" customHeight="1" x14ac:dyDescent="0.25">
      <c r="A116" s="9">
        <v>1</v>
      </c>
      <c r="B116" s="7" t="s">
        <v>769</v>
      </c>
      <c r="C116" s="17">
        <f>+C26</f>
        <v>117.69</v>
      </c>
      <c r="D116" s="17"/>
      <c r="G116"/>
      <c r="H116"/>
      <c r="I116"/>
      <c r="J116"/>
      <c r="K116"/>
      <c r="L116"/>
      <c r="M116"/>
      <c r="N116"/>
      <c r="O116"/>
      <c r="P116"/>
      <c r="Q116"/>
    </row>
    <row r="117" spans="1:17" ht="17.25" customHeight="1" x14ac:dyDescent="0.25">
      <c r="A117" s="9">
        <v>2</v>
      </c>
      <c r="B117" s="7" t="s">
        <v>770</v>
      </c>
      <c r="C117" s="17">
        <f>+C27</f>
        <v>25.66</v>
      </c>
      <c r="D117" s="17"/>
      <c r="G117"/>
      <c r="H117"/>
      <c r="I117"/>
      <c r="J117"/>
      <c r="K117"/>
      <c r="L117"/>
      <c r="M117"/>
      <c r="N117"/>
      <c r="O117"/>
      <c r="P117"/>
      <c r="Q117"/>
    </row>
    <row r="118" spans="1:17" ht="17.25" customHeight="1" x14ac:dyDescent="0.25">
      <c r="A118" s="9">
        <v>3</v>
      </c>
      <c r="B118" s="7" t="s">
        <v>771</v>
      </c>
      <c r="C118" s="17">
        <f>+C28</f>
        <v>41.14</v>
      </c>
      <c r="D118" s="17"/>
      <c r="G118"/>
      <c r="H118"/>
      <c r="I118"/>
      <c r="J118"/>
      <c r="K118"/>
      <c r="L118"/>
      <c r="M118"/>
      <c r="N118"/>
      <c r="O118"/>
      <c r="P118"/>
      <c r="Q118"/>
    </row>
    <row r="119" spans="1:17" ht="17.25" customHeight="1" x14ac:dyDescent="0.25">
      <c r="A119" s="9">
        <v>4</v>
      </c>
      <c r="B119" s="7" t="s">
        <v>578</v>
      </c>
      <c r="C119" s="17">
        <f>+E137</f>
        <v>0</v>
      </c>
      <c r="D119" s="17"/>
      <c r="G119"/>
      <c r="H119"/>
      <c r="I119"/>
      <c r="J119"/>
      <c r="K119"/>
      <c r="L119"/>
      <c r="M119"/>
      <c r="N119"/>
      <c r="O119"/>
      <c r="P119"/>
      <c r="Q119"/>
    </row>
    <row r="120" spans="1:17" ht="17.25" customHeight="1" x14ac:dyDescent="0.25">
      <c r="A120" s="9">
        <v>5</v>
      </c>
      <c r="B120" s="7" t="s">
        <v>772</v>
      </c>
      <c r="C120" s="17">
        <f>+C30</f>
        <v>0</v>
      </c>
      <c r="D120" s="17"/>
      <c r="G120"/>
      <c r="H120"/>
      <c r="I120"/>
      <c r="J120"/>
      <c r="K120"/>
      <c r="L120"/>
      <c r="M120"/>
      <c r="N120"/>
      <c r="O120"/>
      <c r="P120"/>
      <c r="Q120"/>
    </row>
    <row r="121" spans="1:17" ht="17.25" customHeight="1" x14ac:dyDescent="0.25">
      <c r="A121" s="9">
        <v>6</v>
      </c>
      <c r="B121" s="7" t="s">
        <v>536</v>
      </c>
      <c r="C121" s="17">
        <f>SUM(C116:C120)</f>
        <v>184.49</v>
      </c>
      <c r="D121" s="41"/>
      <c r="G121"/>
      <c r="H121"/>
      <c r="I121"/>
      <c r="J121"/>
      <c r="K121"/>
      <c r="L121"/>
      <c r="M121"/>
      <c r="N121"/>
      <c r="O121"/>
      <c r="P121"/>
      <c r="Q121"/>
    </row>
    <row r="122" spans="1:17" ht="17.25" customHeight="1" x14ac:dyDescent="0.25">
      <c r="A122" s="9">
        <f>+A121+1</f>
        <v>7</v>
      </c>
      <c r="B122" s="7" t="s">
        <v>340</v>
      </c>
      <c r="C122" s="58">
        <f>+_baf</f>
        <v>0.98772000000000004</v>
      </c>
      <c r="D122" s="41"/>
      <c r="G122"/>
      <c r="H122"/>
      <c r="I122"/>
      <c r="J122"/>
      <c r="K122"/>
      <c r="L122"/>
      <c r="M122"/>
      <c r="N122"/>
      <c r="O122"/>
      <c r="P122"/>
      <c r="Q122"/>
    </row>
    <row r="123" spans="1:17" ht="17.25" customHeight="1" x14ac:dyDescent="0.25">
      <c r="A123" s="9">
        <f t="shared" ref="A123:A124" si="5">+A122+1</f>
        <v>8</v>
      </c>
      <c r="B123" s="7" t="s">
        <v>535</v>
      </c>
      <c r="C123" s="41">
        <f>ROUND(C122*C121,2)</f>
        <v>182.22</v>
      </c>
      <c r="D123" s="41">
        <v>285</v>
      </c>
      <c r="E123" s="17">
        <f>+D123+C123</f>
        <v>467.22</v>
      </c>
      <c r="G123"/>
      <c r="H123"/>
      <c r="I123"/>
      <c r="J123"/>
      <c r="K123"/>
      <c r="L123"/>
      <c r="M123"/>
      <c r="N123"/>
      <c r="O123"/>
      <c r="P123"/>
      <c r="Q123"/>
    </row>
    <row r="124" spans="1:17" ht="17.25" customHeight="1" x14ac:dyDescent="0.25">
      <c r="A124" s="9">
        <f t="shared" si="5"/>
        <v>9</v>
      </c>
      <c r="B124" s="7" t="s">
        <v>218</v>
      </c>
      <c r="C124" s="17">
        <f>+C34</f>
        <v>26.91</v>
      </c>
      <c r="D124" s="17"/>
      <c r="E124" s="17">
        <f>+E123+C124</f>
        <v>494.13</v>
      </c>
      <c r="G124"/>
      <c r="H124"/>
      <c r="I124"/>
      <c r="J124"/>
      <c r="K124"/>
      <c r="L124"/>
      <c r="M124"/>
      <c r="N124"/>
      <c r="O124"/>
      <c r="P124"/>
      <c r="Q124"/>
    </row>
    <row r="125" spans="1:17" x14ac:dyDescent="0.25">
      <c r="C125" s="17"/>
      <c r="D125" s="17"/>
      <c r="E125" s="17"/>
      <c r="I125" s="88"/>
      <c r="K125"/>
      <c r="L125"/>
      <c r="M125"/>
      <c r="N125"/>
      <c r="O125"/>
      <c r="P125"/>
      <c r="Q125"/>
    </row>
    <row r="126" spans="1:17" ht="18" x14ac:dyDescent="0.25">
      <c r="B126" s="326" t="s">
        <v>257</v>
      </c>
      <c r="C126" s="326"/>
      <c r="D126" s="326"/>
      <c r="E126" s="326"/>
      <c r="F126" s="13"/>
      <c r="I126" s="88"/>
      <c r="K126"/>
      <c r="L126"/>
      <c r="M126"/>
      <c r="N126"/>
      <c r="O126"/>
      <c r="P126"/>
      <c r="Q126"/>
    </row>
    <row r="127" spans="1:17" ht="17.25" customHeight="1" x14ac:dyDescent="0.25">
      <c r="A127" s="9">
        <f>+A124+1</f>
        <v>10</v>
      </c>
      <c r="B127" s="15" t="s">
        <v>773</v>
      </c>
      <c r="C127" s="12"/>
      <c r="D127" s="12"/>
      <c r="E127" s="16">
        <f>+$E$37</f>
        <v>2.0203000000000002</v>
      </c>
      <c r="F127" s="8"/>
      <c r="K127"/>
      <c r="L127"/>
      <c r="M127"/>
      <c r="N127"/>
      <c r="O127"/>
      <c r="P127"/>
      <c r="Q127"/>
    </row>
    <row r="128" spans="1:17" ht="17.25" customHeight="1" x14ac:dyDescent="0.25">
      <c r="A128" s="9">
        <f>+A127+1</f>
        <v>11</v>
      </c>
      <c r="B128" s="7" t="s">
        <v>258</v>
      </c>
      <c r="C128" s="12"/>
      <c r="D128" s="12"/>
      <c r="E128" s="18">
        <f>+SW_CR_CMI</f>
        <v>1.4432</v>
      </c>
      <c r="K128"/>
      <c r="L128"/>
      <c r="M128"/>
      <c r="N128"/>
      <c r="O128"/>
      <c r="P128"/>
      <c r="Q128"/>
    </row>
    <row r="129" spans="1:17" ht="17.25" customHeight="1" x14ac:dyDescent="0.25">
      <c r="A129" s="9">
        <f>+A128+1</f>
        <v>12</v>
      </c>
      <c r="B129" s="15" t="s">
        <v>778</v>
      </c>
      <c r="C129" s="12"/>
      <c r="D129" s="12"/>
      <c r="E129" s="14">
        <f>VLOOKUP(H3,'CMI Data'!A3:K209,11,FALSE)</f>
        <v>0</v>
      </c>
      <c r="F129" s="8"/>
      <c r="K129"/>
      <c r="L129"/>
      <c r="M129"/>
      <c r="N129"/>
      <c r="O129"/>
      <c r="P129"/>
      <c r="Q129"/>
    </row>
    <row r="130" spans="1:17" ht="15" customHeight="1" x14ac:dyDescent="0.25">
      <c r="B130" s="15"/>
      <c r="C130" s="14"/>
      <c r="D130" s="14"/>
      <c r="E130" s="8"/>
      <c r="F130" s="8"/>
      <c r="K130"/>
      <c r="L130"/>
      <c r="M130"/>
      <c r="N130"/>
      <c r="O130"/>
      <c r="P130"/>
      <c r="Q130"/>
    </row>
    <row r="131" spans="1:17" ht="17.25" customHeight="1" x14ac:dyDescent="0.25">
      <c r="B131" s="12"/>
      <c r="C131" s="21"/>
      <c r="D131" s="21"/>
      <c r="E131" s="22" t="str">
        <f>VLOOKUP(H3,'Vent Rate Calculation'!A4:E21,5,FALSE)</f>
        <v>BALTIMORE METRO</v>
      </c>
      <c r="K131"/>
      <c r="L131"/>
      <c r="M131"/>
      <c r="N131"/>
      <c r="O131"/>
      <c r="P131"/>
      <c r="Q131"/>
    </row>
    <row r="132" spans="1:17" ht="17.25" customHeight="1" x14ac:dyDescent="0.25">
      <c r="A132" s="9">
        <f>+A129+1</f>
        <v>13</v>
      </c>
      <c r="B132" s="7" t="s">
        <v>779</v>
      </c>
      <c r="C132" s="21"/>
      <c r="D132" s="21"/>
      <c r="E132" s="219">
        <f>+E78</f>
        <v>195.33</v>
      </c>
      <c r="K132"/>
      <c r="L132"/>
      <c r="M132"/>
      <c r="N132"/>
      <c r="O132"/>
      <c r="P132"/>
      <c r="Q132"/>
    </row>
    <row r="133" spans="1:17" ht="17.25" customHeight="1" x14ac:dyDescent="0.25">
      <c r="A133" s="9">
        <f>+A132+1</f>
        <v>14</v>
      </c>
      <c r="B133" s="7" t="s">
        <v>777</v>
      </c>
      <c r="C133" s="12"/>
      <c r="D133" s="12"/>
      <c r="E133" s="17">
        <f>+E80</f>
        <v>281.92</v>
      </c>
      <c r="F133" s="18"/>
      <c r="K133"/>
      <c r="L133"/>
      <c r="M133"/>
      <c r="N133"/>
      <c r="O133"/>
      <c r="P133"/>
      <c r="Q133"/>
    </row>
    <row r="134" spans="1:17" ht="17.25" customHeight="1" x14ac:dyDescent="0.25">
      <c r="A134" s="9">
        <f>+A133+1</f>
        <v>15</v>
      </c>
      <c r="B134" s="7" t="s">
        <v>572</v>
      </c>
      <c r="C134" s="12"/>
      <c r="D134" s="12"/>
      <c r="E134" s="41">
        <f>IF(E127="NA","NA",ROUND(+E133*E127/E128,2))</f>
        <v>394.65</v>
      </c>
      <c r="F134" s="18"/>
      <c r="K134"/>
      <c r="L134"/>
      <c r="M134"/>
      <c r="N134"/>
      <c r="O134"/>
      <c r="P134"/>
      <c r="Q134"/>
    </row>
    <row r="135" spans="1:17" ht="17.25" customHeight="1" x14ac:dyDescent="0.25">
      <c r="A135" s="9">
        <f t="shared" ref="A135:A137" si="6">+A134+1</f>
        <v>16</v>
      </c>
      <c r="B135" s="7" t="s">
        <v>571</v>
      </c>
      <c r="C135" s="12"/>
      <c r="D135" s="12"/>
      <c r="E135" s="95">
        <f>IF(E132="NA",ROUND(E133*E129,2),ROUND(E134*E129/E127,2))</f>
        <v>0</v>
      </c>
      <c r="F135" s="18"/>
      <c r="K135"/>
      <c r="L135"/>
      <c r="M135"/>
      <c r="N135"/>
      <c r="O135"/>
      <c r="P135"/>
      <c r="Q135"/>
    </row>
    <row r="136" spans="1:17" ht="17.25" customHeight="1" x14ac:dyDescent="0.25">
      <c r="A136" s="9">
        <f t="shared" si="6"/>
        <v>17</v>
      </c>
      <c r="B136" s="7" t="s">
        <v>575</v>
      </c>
      <c r="C136" s="12"/>
      <c r="D136" s="12"/>
      <c r="E136" s="17">
        <f>MAX(0,E142)*-1</f>
        <v>0</v>
      </c>
      <c r="F136" s="17"/>
      <c r="K136"/>
      <c r="L136"/>
      <c r="M136"/>
      <c r="N136"/>
      <c r="O136"/>
      <c r="P136"/>
      <c r="Q136"/>
    </row>
    <row r="137" spans="1:17" ht="17.25" customHeight="1" x14ac:dyDescent="0.25">
      <c r="A137" s="9">
        <f t="shared" si="6"/>
        <v>18</v>
      </c>
      <c r="B137" s="7" t="s">
        <v>576</v>
      </c>
      <c r="C137" s="12"/>
      <c r="D137" s="12"/>
      <c r="E137" s="17">
        <f>+E136+E135</f>
        <v>0</v>
      </c>
      <c r="K137"/>
      <c r="L137"/>
      <c r="M137"/>
      <c r="N137"/>
      <c r="O137"/>
      <c r="P137"/>
      <c r="Q137"/>
    </row>
    <row r="138" spans="1:17" ht="18" x14ac:dyDescent="0.25">
      <c r="C138" s="12"/>
      <c r="D138" s="12"/>
      <c r="E138" s="17"/>
      <c r="K138"/>
      <c r="L138"/>
      <c r="M138"/>
      <c r="N138"/>
      <c r="O138"/>
      <c r="P138"/>
      <c r="Q138"/>
    </row>
    <row r="139" spans="1:17" ht="18" x14ac:dyDescent="0.25">
      <c r="A139" s="322" t="s">
        <v>144</v>
      </c>
      <c r="B139" s="322"/>
      <c r="C139" s="322"/>
      <c r="D139" s="322"/>
      <c r="E139" s="322"/>
      <c r="K139"/>
      <c r="L139"/>
      <c r="M139"/>
      <c r="N139"/>
      <c r="O139"/>
      <c r="P139"/>
      <c r="Q139"/>
    </row>
    <row r="140" spans="1:17" ht="18" x14ac:dyDescent="0.25">
      <c r="A140" s="9">
        <f>+A137+1</f>
        <v>19</v>
      </c>
      <c r="B140" s="7" t="s">
        <v>577</v>
      </c>
      <c r="C140" s="12"/>
      <c r="D140" s="12"/>
      <c r="E140" s="96">
        <f>IF(E132="NA","NA",ROUND(E132*E129/E127,2))</f>
        <v>0</v>
      </c>
      <c r="K140"/>
      <c r="L140"/>
      <c r="M140"/>
      <c r="N140"/>
      <c r="O140"/>
      <c r="P140"/>
      <c r="Q140"/>
    </row>
    <row r="141" spans="1:17" ht="18" x14ac:dyDescent="0.25">
      <c r="A141" s="9">
        <f>+A140+1</f>
        <v>20</v>
      </c>
      <c r="B141" s="7" t="s">
        <v>574</v>
      </c>
      <c r="C141" s="12"/>
      <c r="D141" s="12"/>
      <c r="E141" s="41">
        <f>IF(E135="NA","NA",ROUND(E135*0.95,2))</f>
        <v>0</v>
      </c>
      <c r="K141"/>
      <c r="L141"/>
      <c r="M141"/>
      <c r="N141"/>
      <c r="O141"/>
      <c r="P141"/>
      <c r="Q141"/>
    </row>
    <row r="142" spans="1:17" ht="18" x14ac:dyDescent="0.25">
      <c r="A142" s="9">
        <f>+A141+1</f>
        <v>21</v>
      </c>
      <c r="B142" s="7" t="s">
        <v>573</v>
      </c>
      <c r="C142" s="12"/>
      <c r="D142" s="12"/>
      <c r="E142" s="17">
        <f>IF(E140="NA",0,+E141-E140)</f>
        <v>0</v>
      </c>
      <c r="F142" s="10"/>
      <c r="K142"/>
      <c r="L142"/>
      <c r="M142"/>
      <c r="N142"/>
      <c r="O142"/>
      <c r="P142"/>
      <c r="Q142"/>
    </row>
    <row r="143" spans="1:17" ht="19" thickBot="1" x14ac:dyDescent="0.3">
      <c r="C143" s="12"/>
      <c r="D143" s="12"/>
      <c r="E143" s="17"/>
      <c r="F143" s="10"/>
      <c r="K143"/>
      <c r="L143"/>
      <c r="M143"/>
      <c r="N143"/>
      <c r="O143"/>
      <c r="P143"/>
      <c r="Q143"/>
    </row>
    <row r="144" spans="1:17" ht="21" x14ac:dyDescent="0.3">
      <c r="A144"/>
      <c r="B144" s="315" t="str">
        <f>+H1&amp;TEXT($I$1," mm/dd/yyyy")</f>
        <v>Issued 06/30/2025</v>
      </c>
      <c r="C144" s="316"/>
      <c r="D144" s="316"/>
      <c r="E144" s="317"/>
      <c r="F144" s="332" t="str">
        <f>IFERROR(IF(I153&lt;&gt;0,"XX",""),"XX")</f>
        <v>XX</v>
      </c>
      <c r="G144"/>
      <c r="H144"/>
      <c r="I144"/>
      <c r="J144"/>
      <c r="K144"/>
      <c r="L144"/>
      <c r="M144"/>
      <c r="N144"/>
      <c r="O144"/>
      <c r="P144"/>
      <c r="Q144"/>
    </row>
    <row r="145" spans="1:17" ht="18" x14ac:dyDescent="0.25">
      <c r="A145"/>
      <c r="B145" s="318" t="s">
        <v>793</v>
      </c>
      <c r="C145" s="319"/>
      <c r="D145" s="319"/>
      <c r="E145" s="320"/>
      <c r="F145" s="332"/>
      <c r="G145"/>
      <c r="H145"/>
      <c r="I145"/>
      <c r="J145"/>
      <c r="K145"/>
      <c r="L145"/>
      <c r="M145"/>
      <c r="N145"/>
      <c r="O145"/>
      <c r="P145"/>
      <c r="Q145"/>
    </row>
    <row r="146" spans="1:17" ht="18" x14ac:dyDescent="0.25">
      <c r="A146"/>
      <c r="B146" s="318" t="s">
        <v>1828</v>
      </c>
      <c r="C146" s="319"/>
      <c r="D146" s="319"/>
      <c r="E146" s="320"/>
      <c r="F146" s="332"/>
      <c r="G146"/>
      <c r="H146"/>
      <c r="I146"/>
      <c r="J146"/>
      <c r="K146"/>
      <c r="L146"/>
      <c r="M146"/>
      <c r="N146"/>
      <c r="O146"/>
      <c r="P146"/>
      <c r="Q146"/>
    </row>
    <row r="147" spans="1:17" ht="18" x14ac:dyDescent="0.25">
      <c r="A147"/>
      <c r="B147" s="318" t="e">
        <f>"Provider #:  "&amp;VLOOKUP($H$3,'Vent Rate Calculation'!$A$4:$CQ$21,85,FALSE)</f>
        <v>#REF!</v>
      </c>
      <c r="C147" s="319"/>
      <c r="D147" s="319"/>
      <c r="E147" s="320"/>
      <c r="F147" s="332"/>
      <c r="G147"/>
      <c r="H147"/>
      <c r="I147"/>
      <c r="J147"/>
      <c r="K147"/>
      <c r="L147"/>
      <c r="M147"/>
      <c r="N147"/>
      <c r="O147"/>
      <c r="P147"/>
      <c r="Q147"/>
    </row>
    <row r="148" spans="1:17" ht="17.25" customHeight="1" thickBot="1" x14ac:dyDescent="0.3">
      <c r="A148"/>
      <c r="B148" s="328" t="str">
        <f>+"Provider Name: "&amp;$I$3</f>
        <v>Provider Name: Autumn Lake Healthcare at Bridgepark</v>
      </c>
      <c r="C148" s="329"/>
      <c r="D148" s="329"/>
      <c r="E148" s="330"/>
      <c r="F148" s="332"/>
      <c r="G148"/>
      <c r="H148"/>
      <c r="I148"/>
      <c r="J148"/>
      <c r="K148"/>
      <c r="L148"/>
      <c r="M148"/>
      <c r="N148"/>
      <c r="O148"/>
      <c r="P148"/>
      <c r="Q148"/>
    </row>
    <row r="149" spans="1:17" ht="17.2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</row>
    <row r="150" spans="1:17" ht="17.25" customHeight="1" thickBot="1" x14ac:dyDescent="0.3">
      <c r="A150"/>
      <c r="B150" s="314" t="s">
        <v>795</v>
      </c>
      <c r="C150" s="314"/>
      <c r="D150" s="314"/>
      <c r="E150" s="314"/>
      <c r="F150"/>
      <c r="G150"/>
      <c r="H150"/>
      <c r="I150"/>
      <c r="J150"/>
      <c r="K150"/>
      <c r="L150"/>
      <c r="M150"/>
      <c r="N150"/>
      <c r="O150"/>
      <c r="P150"/>
      <c r="Q150"/>
    </row>
    <row r="151" spans="1:17" ht="35" customHeight="1" x14ac:dyDescent="0.25">
      <c r="A151" s="97"/>
      <c r="B151" s="52" t="s">
        <v>294</v>
      </c>
      <c r="C151" s="43" t="s">
        <v>267</v>
      </c>
      <c r="D151" s="43" t="s">
        <v>268</v>
      </c>
      <c r="E151" s="44" t="s">
        <v>269</v>
      </c>
      <c r="I151" s="10">
        <f>+E153</f>
        <v>494.13</v>
      </c>
      <c r="J151" s="7" t="s">
        <v>352</v>
      </c>
      <c r="K151"/>
      <c r="L151"/>
      <c r="M151"/>
      <c r="N151"/>
      <c r="O151"/>
      <c r="P151"/>
      <c r="Q151"/>
    </row>
    <row r="152" spans="1:17" ht="17.25" customHeight="1" x14ac:dyDescent="0.25">
      <c r="A152" s="97"/>
      <c r="B152" s="323" t="s">
        <v>270</v>
      </c>
      <c r="C152" s="324"/>
      <c r="D152" s="324"/>
      <c r="E152" s="325"/>
      <c r="G152"/>
      <c r="H152"/>
      <c r="I152" s="57" t="e">
        <f>VLOOKUP(H3,'Phase In Option'!$A$224:$X$241,24,FALSE)</f>
        <v>#REF!</v>
      </c>
      <c r="J152" s="7" t="s">
        <v>341</v>
      </c>
      <c r="K152"/>
      <c r="L152"/>
      <c r="M152"/>
      <c r="N152"/>
      <c r="O152"/>
      <c r="P152"/>
      <c r="Q152"/>
    </row>
    <row r="153" spans="1:17" ht="35" customHeight="1" x14ac:dyDescent="0.25">
      <c r="A153" s="97"/>
      <c r="B153" s="45" t="s">
        <v>298</v>
      </c>
      <c r="C153" s="38" t="s">
        <v>271</v>
      </c>
      <c r="D153" s="46" t="s">
        <v>486</v>
      </c>
      <c r="E153" s="48">
        <f>+E178</f>
        <v>494.13</v>
      </c>
      <c r="G153"/>
      <c r="H153"/>
      <c r="I153" s="10" t="e">
        <f>+I152-I151</f>
        <v>#REF!</v>
      </c>
      <c r="J153"/>
      <c r="K153"/>
      <c r="L153"/>
      <c r="M153"/>
      <c r="N153"/>
      <c r="O153"/>
      <c r="P153"/>
      <c r="Q153"/>
    </row>
    <row r="154" spans="1:17" ht="35" customHeight="1" x14ac:dyDescent="0.25">
      <c r="A154" s="97"/>
      <c r="B154" s="45" t="s">
        <v>299</v>
      </c>
      <c r="C154" s="38" t="s">
        <v>272</v>
      </c>
      <c r="D154" s="46" t="s">
        <v>247</v>
      </c>
      <c r="E154" s="48" t="s">
        <v>254</v>
      </c>
      <c r="G154"/>
      <c r="H154"/>
      <c r="I154"/>
      <c r="J154"/>
      <c r="K154"/>
      <c r="L154"/>
      <c r="M154"/>
      <c r="N154"/>
      <c r="O154"/>
      <c r="P154"/>
      <c r="Q154"/>
    </row>
    <row r="155" spans="1:17" ht="35" customHeight="1" x14ac:dyDescent="0.25">
      <c r="A155" s="97"/>
      <c r="B155" s="45" t="s">
        <v>300</v>
      </c>
      <c r="C155" s="38" t="s">
        <v>273</v>
      </c>
      <c r="D155" s="46" t="s">
        <v>248</v>
      </c>
      <c r="E155" s="48" t="s">
        <v>254</v>
      </c>
      <c r="G155"/>
      <c r="H155"/>
      <c r="I155"/>
      <c r="J155"/>
      <c r="K155"/>
      <c r="L155"/>
      <c r="M155"/>
      <c r="N155"/>
      <c r="O155"/>
      <c r="P155"/>
      <c r="Q155"/>
    </row>
    <row r="156" spans="1:17" ht="35" customHeight="1" x14ac:dyDescent="0.25">
      <c r="A156" s="97"/>
      <c r="B156" s="45" t="s">
        <v>274</v>
      </c>
      <c r="C156" s="40" t="s">
        <v>275</v>
      </c>
      <c r="D156" s="46" t="s">
        <v>245</v>
      </c>
      <c r="E156" s="47" t="s">
        <v>276</v>
      </c>
      <c r="G156"/>
      <c r="H156"/>
      <c r="I156"/>
      <c r="J156"/>
      <c r="K156"/>
      <c r="L156"/>
      <c r="M156"/>
      <c r="N156"/>
      <c r="O156"/>
      <c r="P156"/>
      <c r="Q156"/>
    </row>
    <row r="157" spans="1:17" ht="17.25" customHeight="1" x14ac:dyDescent="0.25">
      <c r="A157" s="97"/>
      <c r="B157" s="323" t="s">
        <v>277</v>
      </c>
      <c r="C157" s="324"/>
      <c r="D157" s="324"/>
      <c r="E157" s="325"/>
      <c r="G157"/>
      <c r="H157"/>
      <c r="I157"/>
      <c r="J157"/>
      <c r="K157"/>
      <c r="L157"/>
      <c r="M157"/>
      <c r="N157"/>
      <c r="O157"/>
      <c r="P157"/>
      <c r="Q157"/>
    </row>
    <row r="158" spans="1:17" ht="35" customHeight="1" x14ac:dyDescent="0.25">
      <c r="A158" s="97"/>
      <c r="B158" s="45" t="s">
        <v>278</v>
      </c>
      <c r="C158" s="38" t="s">
        <v>279</v>
      </c>
      <c r="D158" s="46" t="s">
        <v>250</v>
      </c>
      <c r="E158" s="48">
        <v>23.13</v>
      </c>
      <c r="G158"/>
      <c r="H158"/>
      <c r="I158"/>
      <c r="J158"/>
      <c r="K158"/>
      <c r="L158"/>
      <c r="M158"/>
      <c r="N158"/>
      <c r="O158"/>
      <c r="P158"/>
      <c r="Q158"/>
    </row>
    <row r="159" spans="1:17" ht="35" customHeight="1" x14ac:dyDescent="0.3">
      <c r="A159" s="97"/>
      <c r="B159" s="45" t="s">
        <v>280</v>
      </c>
      <c r="C159" s="38" t="s">
        <v>281</v>
      </c>
      <c r="D159" s="46" t="s">
        <v>252</v>
      </c>
      <c r="E159" s="48">
        <v>92.14</v>
      </c>
      <c r="F159" s="11"/>
      <c r="G159"/>
      <c r="H159"/>
      <c r="I159"/>
      <c r="J159"/>
      <c r="K159"/>
      <c r="L159"/>
      <c r="M159"/>
      <c r="N159"/>
      <c r="O159"/>
      <c r="P159"/>
      <c r="Q159"/>
    </row>
    <row r="160" spans="1:17" ht="35" customHeight="1" x14ac:dyDescent="0.3">
      <c r="A160" s="97"/>
      <c r="B160" s="45" t="s">
        <v>282</v>
      </c>
      <c r="C160" s="38" t="s">
        <v>287</v>
      </c>
      <c r="D160" s="46" t="s">
        <v>253</v>
      </c>
      <c r="E160" s="48">
        <v>2.0499999999999998</v>
      </c>
      <c r="F160" s="11"/>
      <c r="G160"/>
      <c r="H160"/>
      <c r="I160"/>
      <c r="J160"/>
      <c r="K160"/>
      <c r="L160"/>
      <c r="M160"/>
      <c r="N160"/>
      <c r="O160"/>
      <c r="P160"/>
      <c r="Q160"/>
    </row>
    <row r="161" spans="1:17" ht="35" customHeight="1" x14ac:dyDescent="0.3">
      <c r="A161" s="97"/>
      <c r="B161" s="45" t="s">
        <v>283</v>
      </c>
      <c r="C161" s="38" t="s">
        <v>284</v>
      </c>
      <c r="D161" s="46" t="s">
        <v>251</v>
      </c>
      <c r="E161" s="48">
        <v>5.49</v>
      </c>
      <c r="F161" s="11"/>
      <c r="G161"/>
      <c r="H161"/>
      <c r="I161"/>
      <c r="J161"/>
      <c r="K161"/>
      <c r="L161"/>
      <c r="M161"/>
      <c r="N161"/>
      <c r="O161"/>
      <c r="P161"/>
      <c r="Q161"/>
    </row>
    <row r="162" spans="1:17" ht="35" customHeight="1" x14ac:dyDescent="0.3">
      <c r="A162" s="97"/>
      <c r="B162" s="45" t="s">
        <v>285</v>
      </c>
      <c r="C162" s="38" t="s">
        <v>304</v>
      </c>
      <c r="D162" s="46" t="s">
        <v>249</v>
      </c>
      <c r="E162" s="48">
        <v>116.41</v>
      </c>
      <c r="F162" s="11"/>
      <c r="G162"/>
      <c r="H162"/>
      <c r="I162"/>
      <c r="J162"/>
      <c r="K162"/>
      <c r="L162"/>
      <c r="M162"/>
      <c r="N162"/>
      <c r="O162"/>
      <c r="P162"/>
      <c r="Q162"/>
    </row>
    <row r="163" spans="1:17" ht="35" customHeight="1" thickBot="1" x14ac:dyDescent="0.35">
      <c r="A163" s="97"/>
      <c r="B163" s="49" t="s">
        <v>286</v>
      </c>
      <c r="C163" s="39" t="s">
        <v>287</v>
      </c>
      <c r="D163" s="50" t="s">
        <v>288</v>
      </c>
      <c r="E163" s="51" t="s">
        <v>289</v>
      </c>
      <c r="F163" s="11"/>
      <c r="G163"/>
      <c r="H163"/>
      <c r="I163"/>
      <c r="J163"/>
      <c r="K163"/>
      <c r="L163"/>
      <c r="M163"/>
      <c r="N163"/>
      <c r="O163"/>
      <c r="P163"/>
      <c r="Q163"/>
    </row>
    <row r="164" spans="1:17" x14ac:dyDescent="0.25">
      <c r="A164" s="7"/>
      <c r="B164" s="7" t="s">
        <v>290</v>
      </c>
      <c r="H164"/>
      <c r="I164"/>
      <c r="K164"/>
      <c r="L164"/>
      <c r="M164"/>
      <c r="N164"/>
      <c r="O164"/>
      <c r="P164"/>
      <c r="Q164"/>
    </row>
    <row r="165" spans="1:17" x14ac:dyDescent="0.25">
      <c r="A165" s="7"/>
      <c r="B165" s="7" t="s">
        <v>291</v>
      </c>
      <c r="H165" s="10"/>
      <c r="K165"/>
      <c r="L165"/>
      <c r="M165"/>
      <c r="N165"/>
      <c r="O165"/>
      <c r="P165"/>
      <c r="Q165"/>
    </row>
    <row r="166" spans="1:17" ht="13" x14ac:dyDescent="0.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</row>
    <row r="167" spans="1:17" ht="18" x14ac:dyDescent="0.25">
      <c r="B167" s="326" t="s">
        <v>1829</v>
      </c>
      <c r="C167" s="326"/>
      <c r="D167" s="326"/>
      <c r="E167" s="326"/>
      <c r="F167" s="42" t="s">
        <v>307</v>
      </c>
      <c r="G167"/>
      <c r="H167"/>
      <c r="I167"/>
      <c r="J167"/>
      <c r="K167"/>
      <c r="L167"/>
      <c r="M167"/>
      <c r="N167"/>
      <c r="O167"/>
      <c r="P167"/>
      <c r="Q167"/>
    </row>
    <row r="168" spans="1:17" ht="18" x14ac:dyDescent="0.25">
      <c r="B168" s="319" t="str">
        <f>+I3</f>
        <v>Autumn Lake Healthcare at Bridgepark</v>
      </c>
      <c r="C168" s="319"/>
      <c r="D168" s="319"/>
      <c r="E168" s="319"/>
      <c r="F168" s="42"/>
      <c r="G168"/>
      <c r="H168"/>
      <c r="I168"/>
      <c r="J168"/>
      <c r="K168"/>
      <c r="L168"/>
      <c r="M168"/>
      <c r="N168"/>
      <c r="O168"/>
      <c r="P168"/>
      <c r="Q168"/>
    </row>
    <row r="169" spans="1:17" ht="51" x14ac:dyDescent="0.25">
      <c r="B169" s="9" t="s">
        <v>143</v>
      </c>
      <c r="C169" s="20" t="s">
        <v>293</v>
      </c>
      <c r="D169" s="20" t="s">
        <v>313</v>
      </c>
      <c r="E169" s="20" t="s">
        <v>314</v>
      </c>
      <c r="G169"/>
      <c r="H169"/>
      <c r="I169"/>
      <c r="J169"/>
      <c r="K169"/>
      <c r="L169"/>
      <c r="M169"/>
      <c r="N169"/>
      <c r="O169"/>
      <c r="P169"/>
      <c r="Q169"/>
    </row>
    <row r="170" spans="1:17" ht="17.25" customHeight="1" x14ac:dyDescent="0.25">
      <c r="A170" s="9">
        <v>1</v>
      </c>
      <c r="B170" s="7" t="s">
        <v>769</v>
      </c>
      <c r="C170" s="17">
        <f>+C26</f>
        <v>117.69</v>
      </c>
      <c r="D170" s="17"/>
      <c r="G170"/>
      <c r="H170"/>
      <c r="I170"/>
      <c r="J170"/>
      <c r="K170"/>
      <c r="L170"/>
      <c r="M170"/>
      <c r="N170"/>
      <c r="O170"/>
      <c r="P170"/>
      <c r="Q170"/>
    </row>
    <row r="171" spans="1:17" ht="17.25" customHeight="1" x14ac:dyDescent="0.25">
      <c r="A171" s="9">
        <v>2</v>
      </c>
      <c r="B171" s="7" t="s">
        <v>770</v>
      </c>
      <c r="C171" s="17">
        <f>+C27</f>
        <v>25.66</v>
      </c>
      <c r="D171" s="17"/>
      <c r="G171"/>
      <c r="H171"/>
      <c r="I171"/>
      <c r="J171"/>
      <c r="K171"/>
      <c r="L171"/>
      <c r="M171"/>
      <c r="N171"/>
      <c r="O171"/>
      <c r="P171"/>
      <c r="Q171"/>
    </row>
    <row r="172" spans="1:17" ht="17.25" customHeight="1" x14ac:dyDescent="0.25">
      <c r="A172" s="9">
        <v>3</v>
      </c>
      <c r="B172" s="7" t="s">
        <v>771</v>
      </c>
      <c r="C172" s="17">
        <f>+C28</f>
        <v>41.14</v>
      </c>
      <c r="D172" s="17"/>
      <c r="G172"/>
      <c r="H172"/>
      <c r="I172"/>
      <c r="J172"/>
      <c r="K172"/>
      <c r="L172"/>
      <c r="M172"/>
      <c r="N172"/>
      <c r="O172"/>
      <c r="P172"/>
      <c r="Q172"/>
    </row>
    <row r="173" spans="1:17" ht="17.25" customHeight="1" x14ac:dyDescent="0.25">
      <c r="A173" s="9">
        <v>4</v>
      </c>
      <c r="B173" s="7" t="s">
        <v>578</v>
      </c>
      <c r="C173" s="17">
        <f>+E191</f>
        <v>0</v>
      </c>
      <c r="D173" s="17"/>
      <c r="G173"/>
      <c r="H173"/>
      <c r="I173"/>
      <c r="J173"/>
      <c r="K173"/>
      <c r="L173"/>
      <c r="M173"/>
      <c r="N173"/>
      <c r="O173"/>
      <c r="P173"/>
      <c r="Q173"/>
    </row>
    <row r="174" spans="1:17" ht="17.25" customHeight="1" x14ac:dyDescent="0.25">
      <c r="A174" s="9">
        <v>5</v>
      </c>
      <c r="B174" s="7" t="s">
        <v>772</v>
      </c>
      <c r="C174" s="17">
        <f>+C30</f>
        <v>0</v>
      </c>
      <c r="D174" s="17"/>
      <c r="G174"/>
      <c r="H174"/>
      <c r="I174"/>
      <c r="J174"/>
      <c r="K174"/>
      <c r="L174"/>
      <c r="M174"/>
      <c r="N174"/>
      <c r="O174"/>
      <c r="P174"/>
      <c r="Q174"/>
    </row>
    <row r="175" spans="1:17" ht="17.25" customHeight="1" x14ac:dyDescent="0.25">
      <c r="A175" s="9">
        <v>6</v>
      </c>
      <c r="B175" s="7" t="s">
        <v>536</v>
      </c>
      <c r="C175" s="17">
        <f>SUM(C170:C174)</f>
        <v>184.49</v>
      </c>
      <c r="D175" s="41"/>
      <c r="G175"/>
      <c r="H175"/>
      <c r="I175"/>
      <c r="J175"/>
      <c r="K175"/>
      <c r="L175"/>
      <c r="M175"/>
      <c r="N175"/>
      <c r="O175"/>
      <c r="P175"/>
      <c r="Q175"/>
    </row>
    <row r="176" spans="1:17" ht="17.25" customHeight="1" x14ac:dyDescent="0.25">
      <c r="A176" s="9">
        <f>+A175+1</f>
        <v>7</v>
      </c>
      <c r="B176" s="7" t="s">
        <v>340</v>
      </c>
      <c r="C176" s="58">
        <f>+_baf</f>
        <v>0.98772000000000004</v>
      </c>
      <c r="D176" s="41"/>
      <c r="G176"/>
      <c r="H176"/>
      <c r="I176"/>
      <c r="J176"/>
      <c r="K176"/>
      <c r="L176"/>
      <c r="M176"/>
      <c r="N176"/>
      <c r="O176"/>
      <c r="P176"/>
      <c r="Q176"/>
    </row>
    <row r="177" spans="1:17" ht="17.25" customHeight="1" x14ac:dyDescent="0.25">
      <c r="A177" s="9">
        <f t="shared" ref="A177:A178" si="7">+A176+1</f>
        <v>8</v>
      </c>
      <c r="B177" s="7" t="s">
        <v>535</v>
      </c>
      <c r="C177" s="41">
        <f>ROUND(C175*C176,2)</f>
        <v>182.22</v>
      </c>
      <c r="D177" s="41">
        <v>285</v>
      </c>
      <c r="E177" s="17">
        <f>+D177+C177</f>
        <v>467.22</v>
      </c>
      <c r="G177"/>
      <c r="H177"/>
      <c r="I177"/>
      <c r="J177"/>
      <c r="K177"/>
      <c r="L177"/>
      <c r="M177"/>
      <c r="N177"/>
      <c r="O177"/>
      <c r="P177"/>
      <c r="Q177"/>
    </row>
    <row r="178" spans="1:17" ht="17.25" customHeight="1" x14ac:dyDescent="0.25">
      <c r="A178" s="9">
        <f t="shared" si="7"/>
        <v>9</v>
      </c>
      <c r="B178" s="7" t="s">
        <v>218</v>
      </c>
      <c r="C178" s="17">
        <f>+C34</f>
        <v>26.91</v>
      </c>
      <c r="D178" s="17"/>
      <c r="E178" s="17">
        <f>+E177+C178</f>
        <v>494.13</v>
      </c>
      <c r="G178"/>
      <c r="H178"/>
      <c r="I178"/>
      <c r="J178"/>
      <c r="K178"/>
      <c r="L178"/>
      <c r="M178"/>
      <c r="N178"/>
      <c r="O178"/>
      <c r="P178"/>
      <c r="Q178"/>
    </row>
    <row r="179" spans="1:17" x14ac:dyDescent="0.25">
      <c r="C179" s="17"/>
      <c r="D179" s="17"/>
      <c r="E179" s="17"/>
      <c r="I179" s="88"/>
      <c r="K179"/>
      <c r="L179"/>
      <c r="M179"/>
      <c r="N179"/>
      <c r="O179"/>
      <c r="P179"/>
      <c r="Q179"/>
    </row>
    <row r="180" spans="1:17" ht="18" x14ac:dyDescent="0.25">
      <c r="B180" s="326" t="s">
        <v>257</v>
      </c>
      <c r="C180" s="326"/>
      <c r="D180" s="326"/>
      <c r="E180" s="326"/>
      <c r="F180" s="13"/>
      <c r="I180" s="88"/>
      <c r="K180"/>
      <c r="L180"/>
      <c r="M180"/>
      <c r="N180"/>
      <c r="O180"/>
      <c r="P180"/>
      <c r="Q180"/>
    </row>
    <row r="181" spans="1:17" ht="17.25" customHeight="1" x14ac:dyDescent="0.25">
      <c r="A181" s="9">
        <f>+A178+1</f>
        <v>10</v>
      </c>
      <c r="B181" s="15" t="s">
        <v>773</v>
      </c>
      <c r="C181" s="12"/>
      <c r="D181" s="12"/>
      <c r="E181" s="16">
        <f>+$E$37</f>
        <v>2.0203000000000002</v>
      </c>
      <c r="F181" s="8"/>
      <c r="K181"/>
      <c r="L181"/>
      <c r="M181"/>
      <c r="N181"/>
      <c r="O181"/>
      <c r="P181"/>
      <c r="Q181"/>
    </row>
    <row r="182" spans="1:17" ht="17.25" customHeight="1" x14ac:dyDescent="0.25">
      <c r="A182" s="9">
        <f>+A181+1</f>
        <v>11</v>
      </c>
      <c r="B182" s="7" t="s">
        <v>258</v>
      </c>
      <c r="C182" s="12"/>
      <c r="D182" s="12"/>
      <c r="E182" s="18">
        <f>+SW_CR_CMI</f>
        <v>1.4432</v>
      </c>
      <c r="K182"/>
      <c r="L182"/>
      <c r="M182"/>
      <c r="N182"/>
      <c r="O182"/>
      <c r="P182"/>
      <c r="Q182"/>
    </row>
    <row r="183" spans="1:17" ht="17.25" customHeight="1" x14ac:dyDescent="0.25">
      <c r="A183" s="9">
        <f>+A182+1</f>
        <v>12</v>
      </c>
      <c r="B183" s="15" t="s">
        <v>786</v>
      </c>
      <c r="C183" s="12"/>
      <c r="D183" s="12"/>
      <c r="E183" s="14">
        <f>VLOOKUP(H3,'CMI Data'!A3:U210,16,FALSE)</f>
        <v>0</v>
      </c>
      <c r="F183" s="8"/>
      <c r="K183"/>
      <c r="L183"/>
      <c r="M183"/>
      <c r="N183"/>
      <c r="O183"/>
      <c r="P183"/>
      <c r="Q183"/>
    </row>
    <row r="184" spans="1:17" ht="15" customHeight="1" x14ac:dyDescent="0.25">
      <c r="B184" s="15"/>
      <c r="C184" s="14"/>
      <c r="D184" s="14"/>
      <c r="E184" s="8"/>
      <c r="F184" s="8"/>
      <c r="K184"/>
      <c r="L184"/>
      <c r="M184"/>
      <c r="N184"/>
      <c r="O184"/>
      <c r="P184"/>
      <c r="Q184"/>
    </row>
    <row r="185" spans="1:17" ht="17.25" customHeight="1" x14ac:dyDescent="0.25">
      <c r="B185" s="12"/>
      <c r="C185" s="21"/>
      <c r="D185" s="21"/>
      <c r="E185" s="22" t="str">
        <f>VLOOKUP(H3,'Vent Rate Calculation'!A4:E21,5,FALSE)</f>
        <v>BALTIMORE METRO</v>
      </c>
      <c r="K185"/>
      <c r="L185"/>
      <c r="M185"/>
      <c r="N185"/>
      <c r="O185"/>
      <c r="P185"/>
      <c r="Q185"/>
    </row>
    <row r="186" spans="1:17" ht="17.25" customHeight="1" x14ac:dyDescent="0.25">
      <c r="A186" s="9">
        <f>+A183+1</f>
        <v>13</v>
      </c>
      <c r="B186" s="7" t="s">
        <v>779</v>
      </c>
      <c r="C186" s="21"/>
      <c r="D186" s="21"/>
      <c r="E186" s="55">
        <f>+E78</f>
        <v>195.33</v>
      </c>
      <c r="K186"/>
      <c r="L186"/>
      <c r="M186"/>
      <c r="N186"/>
      <c r="O186"/>
      <c r="P186"/>
      <c r="Q186"/>
    </row>
    <row r="187" spans="1:17" ht="17.25" customHeight="1" x14ac:dyDescent="0.25">
      <c r="A187" s="9">
        <f>+A186+1</f>
        <v>14</v>
      </c>
      <c r="B187" s="7" t="s">
        <v>783</v>
      </c>
      <c r="C187" s="12"/>
      <c r="D187" s="12"/>
      <c r="E187" s="55">
        <f>+E80</f>
        <v>281.92</v>
      </c>
      <c r="F187" s="18"/>
      <c r="K187"/>
      <c r="L187"/>
      <c r="M187"/>
      <c r="N187"/>
      <c r="O187"/>
      <c r="P187"/>
      <c r="Q187"/>
    </row>
    <row r="188" spans="1:17" ht="17.25" customHeight="1" x14ac:dyDescent="0.25">
      <c r="A188" s="9">
        <f>+A187+1</f>
        <v>15</v>
      </c>
      <c r="B188" s="7" t="s">
        <v>572</v>
      </c>
      <c r="C188" s="12"/>
      <c r="D188" s="12"/>
      <c r="E188" s="41">
        <f>IF(E181="NA","NA",ROUND(+E187*E181/E182,2))</f>
        <v>394.65</v>
      </c>
      <c r="F188" s="18"/>
      <c r="K188"/>
      <c r="L188"/>
      <c r="M188"/>
      <c r="N188"/>
      <c r="O188"/>
      <c r="P188"/>
      <c r="Q188"/>
    </row>
    <row r="189" spans="1:17" ht="17.25" customHeight="1" x14ac:dyDescent="0.25">
      <c r="A189" s="9">
        <f t="shared" ref="A189:A191" si="8">+A188+1</f>
        <v>16</v>
      </c>
      <c r="B189" s="7" t="s">
        <v>571</v>
      </c>
      <c r="C189" s="12"/>
      <c r="D189" s="12"/>
      <c r="E189" s="95">
        <f>IF(E186="NA",ROUND(E187*E183,2),ROUND(E188*E183/E181,2))</f>
        <v>0</v>
      </c>
      <c r="F189" s="18"/>
      <c r="K189"/>
      <c r="L189"/>
      <c r="M189"/>
      <c r="N189"/>
      <c r="O189"/>
      <c r="P189"/>
      <c r="Q189"/>
    </row>
    <row r="190" spans="1:17" ht="17.25" customHeight="1" x14ac:dyDescent="0.25">
      <c r="A190" s="9">
        <f t="shared" si="8"/>
        <v>17</v>
      </c>
      <c r="B190" s="7" t="s">
        <v>575</v>
      </c>
      <c r="C190" s="12"/>
      <c r="D190" s="12"/>
      <c r="E190" s="17">
        <f>MAX(0,E196)*-1</f>
        <v>0</v>
      </c>
      <c r="F190" s="17"/>
      <c r="K190"/>
      <c r="L190"/>
      <c r="M190"/>
      <c r="N190"/>
      <c r="O190"/>
      <c r="P190"/>
      <c r="Q190"/>
    </row>
    <row r="191" spans="1:17" ht="17.25" customHeight="1" x14ac:dyDescent="0.25">
      <c r="A191" s="9">
        <f t="shared" si="8"/>
        <v>18</v>
      </c>
      <c r="B191" s="7" t="s">
        <v>576</v>
      </c>
      <c r="C191" s="12"/>
      <c r="D191" s="12"/>
      <c r="E191" s="17">
        <f>+E190+E189</f>
        <v>0</v>
      </c>
      <c r="K191"/>
      <c r="L191"/>
      <c r="M191"/>
      <c r="N191"/>
      <c r="O191"/>
      <c r="P191"/>
      <c r="Q191"/>
    </row>
    <row r="192" spans="1:17" ht="18" x14ac:dyDescent="0.25">
      <c r="C192" s="12"/>
      <c r="D192" s="12"/>
      <c r="E192" s="17"/>
      <c r="K192"/>
      <c r="L192"/>
      <c r="M192"/>
      <c r="N192"/>
      <c r="O192"/>
      <c r="P192"/>
      <c r="Q192"/>
    </row>
    <row r="193" spans="1:17" ht="18" x14ac:dyDescent="0.25">
      <c r="A193" s="322" t="s">
        <v>144</v>
      </c>
      <c r="B193" s="322"/>
      <c r="C193" s="322"/>
      <c r="D193" s="322"/>
      <c r="E193" s="322"/>
      <c r="K193"/>
      <c r="L193"/>
      <c r="M193"/>
      <c r="N193"/>
      <c r="O193"/>
      <c r="P193"/>
      <c r="Q193"/>
    </row>
    <row r="194" spans="1:17" ht="18" x14ac:dyDescent="0.25">
      <c r="A194" s="9">
        <f>+A191+1</f>
        <v>19</v>
      </c>
      <c r="B194" s="7" t="s">
        <v>577</v>
      </c>
      <c r="C194" s="12"/>
      <c r="D194" s="12"/>
      <c r="E194" s="96">
        <f>IF(E186="NA","NA",ROUND(E186*E183/E181,2))</f>
        <v>0</v>
      </c>
      <c r="K194"/>
      <c r="L194"/>
      <c r="M194"/>
      <c r="N194"/>
      <c r="O194"/>
      <c r="P194"/>
      <c r="Q194"/>
    </row>
    <row r="195" spans="1:17" ht="18" x14ac:dyDescent="0.25">
      <c r="A195" s="9">
        <f>+A194+1</f>
        <v>20</v>
      </c>
      <c r="B195" s="7" t="s">
        <v>574</v>
      </c>
      <c r="C195" s="12"/>
      <c r="D195" s="12"/>
      <c r="E195" s="41">
        <f>IF(E189="NA","NA",ROUND(E189*0.95,2))</f>
        <v>0</v>
      </c>
      <c r="K195"/>
      <c r="L195"/>
      <c r="M195"/>
      <c r="N195"/>
      <c r="O195"/>
      <c r="P195"/>
      <c r="Q195"/>
    </row>
    <row r="196" spans="1:17" ht="18" x14ac:dyDescent="0.25">
      <c r="A196" s="9">
        <f>+A195+1</f>
        <v>21</v>
      </c>
      <c r="B196" s="7" t="s">
        <v>573</v>
      </c>
      <c r="C196" s="12"/>
      <c r="D196" s="12"/>
      <c r="E196" s="17">
        <f>IF(E194="NA",0,+E195-E194)</f>
        <v>0</v>
      </c>
      <c r="F196" s="10"/>
      <c r="K196"/>
      <c r="L196"/>
      <c r="M196"/>
      <c r="N196"/>
      <c r="O196"/>
      <c r="P196"/>
      <c r="Q196"/>
    </row>
    <row r="197" spans="1:17" ht="19" thickBot="1" x14ac:dyDescent="0.3">
      <c r="C197" s="12"/>
      <c r="D197" s="12"/>
      <c r="E197" s="17"/>
      <c r="F197" s="10"/>
      <c r="K197"/>
      <c r="L197"/>
      <c r="M197"/>
      <c r="N197"/>
      <c r="O197"/>
      <c r="P197"/>
      <c r="Q197"/>
    </row>
    <row r="198" spans="1:17" ht="21" x14ac:dyDescent="0.3">
      <c r="A198"/>
      <c r="B198" s="315" t="str">
        <f>+H1&amp;TEXT($I$1," mm/dd/yyyy")</f>
        <v>Issued 06/30/2025</v>
      </c>
      <c r="C198" s="316"/>
      <c r="D198" s="316"/>
      <c r="E198" s="317"/>
      <c r="F198" s="332" t="str">
        <f>IFERROR(IF(I207&lt;&gt;0,"XX",""),"XX")</f>
        <v>XX</v>
      </c>
      <c r="G198"/>
      <c r="H198"/>
      <c r="I198"/>
      <c r="J198"/>
      <c r="K198"/>
      <c r="L198"/>
      <c r="M198"/>
      <c r="N198"/>
      <c r="O198"/>
      <c r="P198"/>
      <c r="Q198"/>
    </row>
    <row r="199" spans="1:17" ht="18" x14ac:dyDescent="0.25">
      <c r="A199"/>
      <c r="B199" s="318" t="s">
        <v>793</v>
      </c>
      <c r="C199" s="319"/>
      <c r="D199" s="319"/>
      <c r="E199" s="320"/>
      <c r="F199" s="332"/>
      <c r="G199"/>
      <c r="H199"/>
      <c r="I199"/>
      <c r="J199"/>
      <c r="K199"/>
      <c r="L199"/>
      <c r="M199"/>
      <c r="N199"/>
      <c r="O199"/>
      <c r="P199"/>
      <c r="Q199"/>
    </row>
    <row r="200" spans="1:17" ht="18" x14ac:dyDescent="0.25">
      <c r="A200"/>
      <c r="B200" s="318" t="s">
        <v>1830</v>
      </c>
      <c r="C200" s="319"/>
      <c r="D200" s="319"/>
      <c r="E200" s="320"/>
      <c r="F200" s="332"/>
      <c r="G200"/>
      <c r="H200"/>
      <c r="I200"/>
      <c r="J200"/>
      <c r="K200"/>
      <c r="L200"/>
      <c r="M200"/>
      <c r="N200"/>
      <c r="O200"/>
      <c r="P200"/>
      <c r="Q200"/>
    </row>
    <row r="201" spans="1:17" ht="18" x14ac:dyDescent="0.25">
      <c r="A201"/>
      <c r="B201" s="318" t="str">
        <f>"Provider #:  "&amp;VLOOKUP($H$3,'Rate Calculation'!A1:EA452,102,FALSE)</f>
        <v xml:space="preserve">Provider #:  </v>
      </c>
      <c r="C201" s="319"/>
      <c r="D201" s="319"/>
      <c r="E201" s="320"/>
      <c r="F201" s="332"/>
      <c r="G201"/>
      <c r="H201"/>
      <c r="I201"/>
      <c r="J201"/>
      <c r="K201"/>
      <c r="L201"/>
      <c r="M201"/>
      <c r="N201"/>
      <c r="O201"/>
      <c r="P201"/>
      <c r="Q201"/>
    </row>
    <row r="202" spans="1:17" ht="17.25" customHeight="1" thickBot="1" x14ac:dyDescent="0.3">
      <c r="A202"/>
      <c r="B202" s="328" t="str">
        <f>+"Provider Name: "&amp;$I$3</f>
        <v>Provider Name: Autumn Lake Healthcare at Bridgepark</v>
      </c>
      <c r="C202" s="329"/>
      <c r="D202" s="329"/>
      <c r="E202" s="330"/>
      <c r="F202" s="332"/>
      <c r="G202"/>
      <c r="H202"/>
      <c r="I202"/>
      <c r="J202"/>
      <c r="K202"/>
      <c r="L202"/>
      <c r="M202"/>
      <c r="N202"/>
      <c r="O202"/>
      <c r="P202"/>
      <c r="Q202"/>
    </row>
    <row r="203" spans="1:17" ht="17.25" customHeight="1" x14ac:dyDescent="0.55000000000000004">
      <c r="A203"/>
      <c r="B203" s="97"/>
      <c r="C203" s="97"/>
      <c r="D203" s="97"/>
      <c r="E203" s="97"/>
      <c r="F203" s="222"/>
      <c r="G203"/>
      <c r="H203"/>
      <c r="I203"/>
      <c r="J203"/>
      <c r="K203"/>
      <c r="L203"/>
      <c r="M203"/>
      <c r="N203"/>
      <c r="O203"/>
      <c r="P203"/>
      <c r="Q203"/>
    </row>
    <row r="204" spans="1:17" ht="17.25" customHeight="1" thickBot="1" x14ac:dyDescent="0.3">
      <c r="A204"/>
      <c r="B204" s="314" t="s">
        <v>795</v>
      </c>
      <c r="C204" s="314"/>
      <c r="D204" s="314"/>
      <c r="E204" s="314"/>
      <c r="F204"/>
      <c r="G204"/>
      <c r="H204"/>
      <c r="I204"/>
      <c r="J204"/>
      <c r="K204"/>
      <c r="L204"/>
      <c r="M204"/>
      <c r="N204"/>
      <c r="O204"/>
      <c r="P204"/>
      <c r="Q204"/>
    </row>
    <row r="205" spans="1:17" ht="35" customHeight="1" x14ac:dyDescent="0.25">
      <c r="A205" s="97"/>
      <c r="B205" s="52" t="s">
        <v>294</v>
      </c>
      <c r="C205" s="43" t="s">
        <v>267</v>
      </c>
      <c r="D205" s="43" t="s">
        <v>268</v>
      </c>
      <c r="E205" s="44" t="s">
        <v>269</v>
      </c>
      <c r="I205" s="10">
        <f>+E207</f>
        <v>494.13</v>
      </c>
      <c r="J205" s="7" t="s">
        <v>352</v>
      </c>
      <c r="K205"/>
      <c r="L205"/>
      <c r="M205"/>
      <c r="N205"/>
      <c r="O205"/>
      <c r="P205"/>
      <c r="Q205"/>
    </row>
    <row r="206" spans="1:17" ht="17.25" customHeight="1" x14ac:dyDescent="0.25">
      <c r="A206" s="97"/>
      <c r="B206" s="323" t="s">
        <v>270</v>
      </c>
      <c r="C206" s="324"/>
      <c r="D206" s="324"/>
      <c r="E206" s="325"/>
      <c r="G206"/>
      <c r="H206"/>
      <c r="I206" s="57" t="e">
        <f>VLOOKUP(H3,'Phase In Option'!A224:AF241,30,FALSE)</f>
        <v>#REF!</v>
      </c>
      <c r="J206" s="7" t="s">
        <v>341</v>
      </c>
      <c r="K206"/>
      <c r="L206"/>
      <c r="M206"/>
      <c r="N206"/>
      <c r="O206"/>
      <c r="P206"/>
      <c r="Q206"/>
    </row>
    <row r="207" spans="1:17" ht="35" customHeight="1" x14ac:dyDescent="0.25">
      <c r="A207" s="97"/>
      <c r="B207" s="45" t="s">
        <v>298</v>
      </c>
      <c r="C207" s="38" t="s">
        <v>271</v>
      </c>
      <c r="D207" s="46" t="s">
        <v>486</v>
      </c>
      <c r="E207" s="48">
        <f>+E232</f>
        <v>494.13</v>
      </c>
      <c r="G207"/>
      <c r="H207"/>
      <c r="I207" s="10" t="e">
        <f>+I206-I205</f>
        <v>#REF!</v>
      </c>
      <c r="J207"/>
      <c r="K207"/>
      <c r="L207"/>
      <c r="M207"/>
      <c r="N207"/>
      <c r="O207"/>
      <c r="P207"/>
      <c r="Q207"/>
    </row>
    <row r="208" spans="1:17" ht="35" customHeight="1" x14ac:dyDescent="0.25">
      <c r="A208" s="97"/>
      <c r="B208" s="45" t="s">
        <v>299</v>
      </c>
      <c r="C208" s="38" t="s">
        <v>272</v>
      </c>
      <c r="D208" s="46" t="s">
        <v>247</v>
      </c>
      <c r="E208" s="48" t="s">
        <v>254</v>
      </c>
      <c r="G208"/>
      <c r="H208"/>
      <c r="I208"/>
      <c r="J208"/>
      <c r="K208"/>
      <c r="L208"/>
      <c r="M208"/>
      <c r="N208"/>
      <c r="O208"/>
      <c r="P208"/>
      <c r="Q208"/>
    </row>
    <row r="209" spans="1:17" ht="35" customHeight="1" x14ac:dyDescent="0.25">
      <c r="A209" s="97"/>
      <c r="B209" s="45" t="s">
        <v>300</v>
      </c>
      <c r="C209" s="38" t="s">
        <v>273</v>
      </c>
      <c r="D209" s="46" t="s">
        <v>248</v>
      </c>
      <c r="E209" s="48" t="s">
        <v>254</v>
      </c>
      <c r="G209"/>
      <c r="H209"/>
      <c r="I209"/>
      <c r="J209"/>
      <c r="K209"/>
      <c r="L209"/>
      <c r="M209"/>
      <c r="N209"/>
      <c r="O209"/>
      <c r="P209"/>
      <c r="Q209"/>
    </row>
    <row r="210" spans="1:17" ht="35" customHeight="1" x14ac:dyDescent="0.25">
      <c r="A210" s="97"/>
      <c r="B210" s="45" t="s">
        <v>274</v>
      </c>
      <c r="C210" s="40" t="s">
        <v>275</v>
      </c>
      <c r="D210" s="46" t="s">
        <v>245</v>
      </c>
      <c r="E210" s="47" t="s">
        <v>276</v>
      </c>
      <c r="G210"/>
      <c r="H210"/>
      <c r="I210"/>
      <c r="J210"/>
      <c r="K210"/>
      <c r="L210"/>
      <c r="M210"/>
      <c r="N210"/>
      <c r="O210"/>
      <c r="P210"/>
      <c r="Q210"/>
    </row>
    <row r="211" spans="1:17" ht="17.25" customHeight="1" x14ac:dyDescent="0.25">
      <c r="A211" s="97"/>
      <c r="B211" s="323" t="s">
        <v>277</v>
      </c>
      <c r="C211" s="324"/>
      <c r="D211" s="324"/>
      <c r="E211" s="325"/>
      <c r="G211"/>
      <c r="H211"/>
      <c r="I211"/>
      <c r="J211"/>
      <c r="K211"/>
      <c r="L211"/>
      <c r="M211"/>
      <c r="N211"/>
      <c r="O211"/>
      <c r="P211"/>
      <c r="Q211"/>
    </row>
    <row r="212" spans="1:17" ht="35" customHeight="1" x14ac:dyDescent="0.25">
      <c r="A212" s="97"/>
      <c r="B212" s="45" t="s">
        <v>278</v>
      </c>
      <c r="C212" s="38" t="s">
        <v>279</v>
      </c>
      <c r="D212" s="46" t="s">
        <v>250</v>
      </c>
      <c r="E212" s="48">
        <v>23.13</v>
      </c>
      <c r="G212"/>
      <c r="H212"/>
      <c r="I212"/>
      <c r="J212"/>
      <c r="K212"/>
      <c r="L212"/>
      <c r="M212"/>
      <c r="N212"/>
      <c r="O212"/>
      <c r="P212"/>
      <c r="Q212"/>
    </row>
    <row r="213" spans="1:17" ht="35" customHeight="1" x14ac:dyDescent="0.3">
      <c r="A213" s="97"/>
      <c r="B213" s="45" t="s">
        <v>280</v>
      </c>
      <c r="C213" s="38" t="s">
        <v>281</v>
      </c>
      <c r="D213" s="46" t="s">
        <v>252</v>
      </c>
      <c r="E213" s="48">
        <v>92.14</v>
      </c>
      <c r="F213" s="11"/>
      <c r="G213"/>
      <c r="H213"/>
      <c r="I213"/>
      <c r="J213"/>
      <c r="K213"/>
      <c r="L213"/>
      <c r="M213"/>
      <c r="N213"/>
      <c r="O213"/>
      <c r="P213"/>
      <c r="Q213"/>
    </row>
    <row r="214" spans="1:17" ht="35" customHeight="1" x14ac:dyDescent="0.3">
      <c r="A214" s="97"/>
      <c r="B214" s="45" t="s">
        <v>282</v>
      </c>
      <c r="C214" s="38" t="s">
        <v>287</v>
      </c>
      <c r="D214" s="46" t="s">
        <v>253</v>
      </c>
      <c r="E214" s="48">
        <v>2.0499999999999998</v>
      </c>
      <c r="F214" s="11"/>
      <c r="G214"/>
      <c r="H214"/>
      <c r="I214"/>
      <c r="J214"/>
      <c r="K214"/>
      <c r="L214"/>
      <c r="M214"/>
      <c r="N214"/>
      <c r="O214"/>
      <c r="P214"/>
      <c r="Q214"/>
    </row>
    <row r="215" spans="1:17" ht="35" customHeight="1" x14ac:dyDescent="0.3">
      <c r="A215" s="97"/>
      <c r="B215" s="45" t="s">
        <v>283</v>
      </c>
      <c r="C215" s="38" t="s">
        <v>284</v>
      </c>
      <c r="D215" s="46" t="s">
        <v>251</v>
      </c>
      <c r="E215" s="48">
        <v>5.49</v>
      </c>
      <c r="F215" s="11"/>
      <c r="G215"/>
      <c r="H215"/>
      <c r="I215"/>
      <c r="J215"/>
      <c r="K215"/>
      <c r="L215"/>
      <c r="M215"/>
      <c r="N215"/>
      <c r="O215"/>
      <c r="P215"/>
      <c r="Q215"/>
    </row>
    <row r="216" spans="1:17" ht="35" customHeight="1" x14ac:dyDescent="0.3">
      <c r="A216" s="97"/>
      <c r="B216" s="45" t="s">
        <v>285</v>
      </c>
      <c r="C216" s="38" t="s">
        <v>304</v>
      </c>
      <c r="D216" s="46" t="s">
        <v>249</v>
      </c>
      <c r="E216" s="48">
        <v>116.41</v>
      </c>
      <c r="F216" s="11"/>
      <c r="G216"/>
      <c r="H216"/>
      <c r="I216"/>
      <c r="J216"/>
      <c r="K216"/>
      <c r="L216"/>
      <c r="M216"/>
      <c r="N216"/>
      <c r="O216"/>
      <c r="P216"/>
      <c r="Q216"/>
    </row>
    <row r="217" spans="1:17" ht="35" customHeight="1" thickBot="1" x14ac:dyDescent="0.35">
      <c r="A217" s="97"/>
      <c r="B217" s="49" t="s">
        <v>286</v>
      </c>
      <c r="C217" s="39" t="s">
        <v>287</v>
      </c>
      <c r="D217" s="50" t="s">
        <v>288</v>
      </c>
      <c r="E217" s="51" t="s">
        <v>289</v>
      </c>
      <c r="F217" s="11"/>
      <c r="G217"/>
      <c r="H217"/>
      <c r="I217"/>
      <c r="J217"/>
      <c r="K217"/>
      <c r="L217"/>
      <c r="M217"/>
      <c r="N217"/>
      <c r="O217"/>
      <c r="P217"/>
      <c r="Q217"/>
    </row>
    <row r="218" spans="1:17" x14ac:dyDescent="0.25">
      <c r="A218" s="7"/>
      <c r="B218" s="7" t="s">
        <v>290</v>
      </c>
      <c r="H218"/>
      <c r="I218"/>
      <c r="K218"/>
      <c r="L218"/>
      <c r="M218"/>
      <c r="N218"/>
      <c r="O218"/>
      <c r="P218"/>
      <c r="Q218"/>
    </row>
    <row r="219" spans="1:17" x14ac:dyDescent="0.25">
      <c r="A219" s="7"/>
      <c r="B219" s="7" t="s">
        <v>291</v>
      </c>
      <c r="H219" s="10"/>
      <c r="K219"/>
      <c r="L219"/>
      <c r="M219"/>
      <c r="N219"/>
      <c r="O219"/>
      <c r="P219"/>
      <c r="Q219"/>
    </row>
    <row r="220" spans="1:17" ht="13" x14ac:dyDescent="0.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</row>
    <row r="221" spans="1:17" ht="18" x14ac:dyDescent="0.25">
      <c r="B221" s="326" t="s">
        <v>1831</v>
      </c>
      <c r="C221" s="326"/>
      <c r="D221" s="326"/>
      <c r="E221" s="326"/>
      <c r="F221" s="42" t="s">
        <v>307</v>
      </c>
      <c r="G221"/>
      <c r="H221"/>
      <c r="I221"/>
      <c r="J221"/>
      <c r="K221"/>
      <c r="L221"/>
      <c r="M221"/>
      <c r="N221"/>
      <c r="O221"/>
      <c r="P221"/>
      <c r="Q221"/>
    </row>
    <row r="222" spans="1:17" ht="18" x14ac:dyDescent="0.25">
      <c r="B222" s="319" t="str">
        <f>+I3</f>
        <v>Autumn Lake Healthcare at Bridgepark</v>
      </c>
      <c r="C222" s="319"/>
      <c r="D222" s="319"/>
      <c r="E222" s="319"/>
      <c r="F222" s="42"/>
      <c r="G222"/>
      <c r="H222"/>
      <c r="I222"/>
      <c r="J222"/>
      <c r="K222"/>
      <c r="L222"/>
      <c r="M222"/>
      <c r="N222"/>
      <c r="O222"/>
      <c r="P222"/>
      <c r="Q222"/>
    </row>
    <row r="223" spans="1:17" ht="51" x14ac:dyDescent="0.25">
      <c r="B223" s="9" t="s">
        <v>143</v>
      </c>
      <c r="C223" s="20" t="s">
        <v>293</v>
      </c>
      <c r="D223" s="20" t="s">
        <v>313</v>
      </c>
      <c r="E223" s="20" t="s">
        <v>314</v>
      </c>
      <c r="G223"/>
      <c r="H223"/>
      <c r="I223"/>
      <c r="J223"/>
      <c r="K223"/>
      <c r="L223"/>
      <c r="M223"/>
      <c r="N223"/>
      <c r="O223"/>
      <c r="P223"/>
      <c r="Q223"/>
    </row>
    <row r="224" spans="1:17" ht="17.25" customHeight="1" x14ac:dyDescent="0.25">
      <c r="A224" s="9">
        <v>1</v>
      </c>
      <c r="B224" s="7" t="s">
        <v>769</v>
      </c>
      <c r="C224" s="17">
        <f>+C26</f>
        <v>117.69</v>
      </c>
      <c r="D224" s="17"/>
      <c r="G224"/>
      <c r="H224"/>
      <c r="I224"/>
      <c r="J224"/>
      <c r="K224"/>
      <c r="L224"/>
      <c r="M224"/>
      <c r="N224"/>
      <c r="O224"/>
      <c r="P224"/>
      <c r="Q224"/>
    </row>
    <row r="225" spans="1:17" ht="17.25" customHeight="1" x14ac:dyDescent="0.25">
      <c r="A225" s="9">
        <v>2</v>
      </c>
      <c r="B225" s="7" t="s">
        <v>770</v>
      </c>
      <c r="C225" s="17">
        <f>+C27</f>
        <v>25.66</v>
      </c>
      <c r="D225" s="17"/>
      <c r="G225"/>
      <c r="H225"/>
      <c r="I225"/>
      <c r="J225"/>
      <c r="K225"/>
      <c r="L225"/>
      <c r="M225"/>
      <c r="N225"/>
      <c r="O225"/>
      <c r="P225"/>
      <c r="Q225"/>
    </row>
    <row r="226" spans="1:17" ht="17.25" customHeight="1" x14ac:dyDescent="0.25">
      <c r="A226" s="9">
        <v>3</v>
      </c>
      <c r="B226" s="7" t="s">
        <v>771</v>
      </c>
      <c r="C226" s="17">
        <f>+C28</f>
        <v>41.14</v>
      </c>
      <c r="D226" s="17"/>
      <c r="G226"/>
      <c r="H226"/>
      <c r="I226"/>
      <c r="J226"/>
      <c r="K226"/>
      <c r="L226"/>
      <c r="M226"/>
      <c r="N226"/>
      <c r="O226"/>
      <c r="P226"/>
      <c r="Q226"/>
    </row>
    <row r="227" spans="1:17" ht="17.25" customHeight="1" x14ac:dyDescent="0.25">
      <c r="A227" s="9">
        <v>4</v>
      </c>
      <c r="B227" s="7" t="s">
        <v>578</v>
      </c>
      <c r="C227" s="17">
        <f>+E245</f>
        <v>0</v>
      </c>
      <c r="D227" s="17"/>
      <c r="G227"/>
      <c r="H227"/>
      <c r="I227"/>
      <c r="J227"/>
      <c r="K227"/>
      <c r="L227"/>
      <c r="M227"/>
      <c r="N227"/>
      <c r="O227"/>
      <c r="P227"/>
      <c r="Q227"/>
    </row>
    <row r="228" spans="1:17" ht="17.25" customHeight="1" x14ac:dyDescent="0.25">
      <c r="A228" s="9">
        <v>5</v>
      </c>
      <c r="B228" s="7" t="s">
        <v>772</v>
      </c>
      <c r="C228" s="17">
        <f>+C30</f>
        <v>0</v>
      </c>
      <c r="D228" s="17"/>
      <c r="G228"/>
      <c r="H228"/>
      <c r="I228"/>
      <c r="J228"/>
      <c r="K228"/>
      <c r="L228"/>
      <c r="M228"/>
      <c r="N228"/>
      <c r="O228"/>
      <c r="P228"/>
      <c r="Q228"/>
    </row>
    <row r="229" spans="1:17" ht="17.25" customHeight="1" x14ac:dyDescent="0.25">
      <c r="A229" s="9">
        <v>6</v>
      </c>
      <c r="B229" s="7" t="s">
        <v>536</v>
      </c>
      <c r="C229" s="17">
        <f>SUM(C224:C228)</f>
        <v>184.49</v>
      </c>
      <c r="D229" s="41"/>
      <c r="G229"/>
      <c r="H229"/>
      <c r="I229"/>
      <c r="J229"/>
      <c r="K229"/>
      <c r="L229"/>
      <c r="M229"/>
      <c r="N229"/>
      <c r="O229"/>
      <c r="P229"/>
      <c r="Q229"/>
    </row>
    <row r="230" spans="1:17" ht="17.25" customHeight="1" x14ac:dyDescent="0.25">
      <c r="A230" s="9">
        <f>+A229+1</f>
        <v>7</v>
      </c>
      <c r="B230" s="7" t="s">
        <v>340</v>
      </c>
      <c r="C230" s="58">
        <f>+_baf</f>
        <v>0.98772000000000004</v>
      </c>
      <c r="D230" s="41"/>
      <c r="G230"/>
      <c r="H230"/>
      <c r="I230"/>
      <c r="J230"/>
      <c r="K230"/>
      <c r="L230"/>
      <c r="M230"/>
      <c r="N230"/>
      <c r="O230"/>
      <c r="P230"/>
      <c r="Q230"/>
    </row>
    <row r="231" spans="1:17" ht="17.25" customHeight="1" x14ac:dyDescent="0.25">
      <c r="A231" s="9">
        <f t="shared" ref="A231:A232" si="9">+A230+1</f>
        <v>8</v>
      </c>
      <c r="B231" s="7" t="s">
        <v>535</v>
      </c>
      <c r="C231" s="41">
        <f>ROUND(C229*C230,2)</f>
        <v>182.22</v>
      </c>
      <c r="D231" s="41">
        <v>285</v>
      </c>
      <c r="E231" s="17">
        <f>+D231+C231</f>
        <v>467.22</v>
      </c>
      <c r="G231"/>
      <c r="H231"/>
      <c r="I231"/>
      <c r="J231"/>
      <c r="K231"/>
      <c r="L231"/>
      <c r="M231"/>
      <c r="N231"/>
      <c r="O231"/>
      <c r="P231"/>
      <c r="Q231"/>
    </row>
    <row r="232" spans="1:17" ht="17.25" customHeight="1" x14ac:dyDescent="0.25">
      <c r="A232" s="9">
        <f t="shared" si="9"/>
        <v>9</v>
      </c>
      <c r="B232" s="7" t="s">
        <v>218</v>
      </c>
      <c r="C232" s="17">
        <f>+C34</f>
        <v>26.91</v>
      </c>
      <c r="D232" s="17"/>
      <c r="E232" s="17">
        <f>+E231+C232</f>
        <v>494.13</v>
      </c>
      <c r="G232"/>
      <c r="H232"/>
      <c r="I232"/>
      <c r="J232"/>
      <c r="K232"/>
      <c r="L232"/>
      <c r="M232"/>
      <c r="N232"/>
      <c r="O232"/>
      <c r="P232"/>
      <c r="Q232"/>
    </row>
    <row r="233" spans="1:17" x14ac:dyDescent="0.25">
      <c r="C233" s="17"/>
      <c r="D233" s="17"/>
      <c r="E233" s="17"/>
      <c r="I233" s="88"/>
      <c r="K233"/>
      <c r="L233"/>
      <c r="M233"/>
      <c r="N233"/>
      <c r="O233"/>
      <c r="P233"/>
      <c r="Q233"/>
    </row>
    <row r="234" spans="1:17" ht="18" x14ac:dyDescent="0.25">
      <c r="B234" s="326" t="s">
        <v>257</v>
      </c>
      <c r="C234" s="326"/>
      <c r="D234" s="326"/>
      <c r="E234" s="326"/>
      <c r="F234" s="13"/>
      <c r="I234" s="88"/>
      <c r="K234"/>
      <c r="L234"/>
      <c r="M234"/>
      <c r="N234"/>
      <c r="O234"/>
      <c r="P234"/>
      <c r="Q234"/>
    </row>
    <row r="235" spans="1:17" ht="17.25" customHeight="1" x14ac:dyDescent="0.25">
      <c r="A235" s="9">
        <f>+A232+1</f>
        <v>10</v>
      </c>
      <c r="B235" s="15" t="s">
        <v>773</v>
      </c>
      <c r="C235" s="12"/>
      <c r="D235" s="12"/>
      <c r="E235" s="16">
        <f>+$E$37</f>
        <v>2.0203000000000002</v>
      </c>
      <c r="F235" s="8"/>
      <c r="K235"/>
      <c r="L235"/>
      <c r="M235"/>
      <c r="N235"/>
      <c r="O235"/>
      <c r="P235"/>
      <c r="Q235"/>
    </row>
    <row r="236" spans="1:17" ht="17.25" customHeight="1" x14ac:dyDescent="0.25">
      <c r="A236" s="9">
        <f>+A235+1</f>
        <v>11</v>
      </c>
      <c r="B236" s="7" t="s">
        <v>258</v>
      </c>
      <c r="C236" s="12"/>
      <c r="D236" s="12"/>
      <c r="E236" s="18">
        <f>+SW_CR_CMI</f>
        <v>1.4432</v>
      </c>
      <c r="K236"/>
      <c r="L236"/>
      <c r="M236"/>
      <c r="N236"/>
      <c r="O236"/>
      <c r="P236"/>
      <c r="Q236"/>
    </row>
    <row r="237" spans="1:17" ht="17.25" customHeight="1" x14ac:dyDescent="0.25">
      <c r="A237" s="9">
        <f>+A236+1</f>
        <v>12</v>
      </c>
      <c r="B237" s="15" t="s">
        <v>787</v>
      </c>
      <c r="C237" s="12"/>
      <c r="D237" s="12"/>
      <c r="E237" s="14">
        <f>VLOOKUP(H3,'CMI Data'!A1:U278,21,FALSE)</f>
        <v>0</v>
      </c>
      <c r="F237" s="8"/>
      <c r="K237"/>
      <c r="L237"/>
      <c r="M237"/>
      <c r="N237"/>
      <c r="O237"/>
      <c r="P237"/>
      <c r="Q237"/>
    </row>
    <row r="238" spans="1:17" ht="15" customHeight="1" x14ac:dyDescent="0.25">
      <c r="B238" s="15"/>
      <c r="C238" s="14"/>
      <c r="D238" s="14"/>
      <c r="E238" s="8"/>
      <c r="F238" s="8"/>
      <c r="K238"/>
      <c r="L238"/>
      <c r="M238"/>
      <c r="N238"/>
      <c r="O238"/>
      <c r="P238"/>
      <c r="Q238"/>
    </row>
    <row r="239" spans="1:17" ht="17.25" customHeight="1" x14ac:dyDescent="0.25">
      <c r="B239" s="12"/>
      <c r="C239" s="21"/>
      <c r="D239" s="21"/>
      <c r="E239" s="22" t="str">
        <f>VLOOKUP(H3,'Vent Rate Calculation'!A4:E21,5,FALSE)</f>
        <v>BALTIMORE METRO</v>
      </c>
      <c r="K239"/>
      <c r="L239"/>
      <c r="M239"/>
      <c r="N239"/>
      <c r="O239"/>
      <c r="P239"/>
      <c r="Q239"/>
    </row>
    <row r="240" spans="1:17" ht="17.25" customHeight="1" x14ac:dyDescent="0.25">
      <c r="A240" s="9">
        <f>+A237+1</f>
        <v>13</v>
      </c>
      <c r="B240" s="7" t="s">
        <v>779</v>
      </c>
      <c r="C240" s="21"/>
      <c r="D240" s="21"/>
      <c r="E240" s="55">
        <f>+E78</f>
        <v>195.33</v>
      </c>
      <c r="K240"/>
      <c r="L240"/>
      <c r="M240"/>
      <c r="N240"/>
      <c r="O240"/>
      <c r="P240"/>
      <c r="Q240"/>
    </row>
    <row r="241" spans="1:17" ht="17.25" customHeight="1" x14ac:dyDescent="0.25">
      <c r="A241" s="9">
        <f>+A240+1</f>
        <v>14</v>
      </c>
      <c r="B241" s="7" t="s">
        <v>783</v>
      </c>
      <c r="C241" s="12"/>
      <c r="D241" s="12"/>
      <c r="E241" s="55">
        <f>+E80</f>
        <v>281.92</v>
      </c>
      <c r="F241" s="18"/>
      <c r="K241"/>
      <c r="L241"/>
      <c r="M241"/>
      <c r="N241"/>
      <c r="O241"/>
      <c r="P241"/>
      <c r="Q241"/>
    </row>
    <row r="242" spans="1:17" ht="17.25" customHeight="1" x14ac:dyDescent="0.25">
      <c r="A242" s="9">
        <f>+A241+1</f>
        <v>15</v>
      </c>
      <c r="B242" s="7" t="s">
        <v>572</v>
      </c>
      <c r="C242" s="12"/>
      <c r="D242" s="12"/>
      <c r="E242" s="41">
        <f>IF(E235="NA","NA",ROUND(+E241*E235/E236,2))</f>
        <v>394.65</v>
      </c>
      <c r="F242" s="18"/>
      <c r="K242"/>
      <c r="L242"/>
      <c r="M242"/>
      <c r="N242"/>
      <c r="O242"/>
      <c r="P242"/>
      <c r="Q242"/>
    </row>
    <row r="243" spans="1:17" ht="17.25" customHeight="1" x14ac:dyDescent="0.25">
      <c r="A243" s="9">
        <f t="shared" ref="A243:A245" si="10">+A242+1</f>
        <v>16</v>
      </c>
      <c r="B243" s="7" t="s">
        <v>571</v>
      </c>
      <c r="C243" s="12"/>
      <c r="D243" s="12"/>
      <c r="E243" s="95">
        <f>IF(E240="NA",ROUND(E241*E237,2),ROUND(E242*E237/E235,2))</f>
        <v>0</v>
      </c>
      <c r="F243" s="18"/>
      <c r="K243"/>
      <c r="L243"/>
      <c r="M243"/>
      <c r="N243"/>
      <c r="O243"/>
      <c r="P243"/>
      <c r="Q243"/>
    </row>
    <row r="244" spans="1:17" ht="17.25" customHeight="1" x14ac:dyDescent="0.25">
      <c r="A244" s="9">
        <f t="shared" si="10"/>
        <v>17</v>
      </c>
      <c r="B244" s="7" t="s">
        <v>575</v>
      </c>
      <c r="C244" s="12"/>
      <c r="D244" s="12"/>
      <c r="E244" s="17">
        <f>MAX(0,E250)*-1</f>
        <v>0</v>
      </c>
      <c r="F244" s="17"/>
      <c r="K244"/>
      <c r="L244"/>
      <c r="M244"/>
      <c r="N244"/>
      <c r="O244"/>
      <c r="P244"/>
      <c r="Q244"/>
    </row>
    <row r="245" spans="1:17" ht="17.25" customHeight="1" x14ac:dyDescent="0.25">
      <c r="A245" s="9">
        <f t="shared" si="10"/>
        <v>18</v>
      </c>
      <c r="B245" s="7" t="s">
        <v>576</v>
      </c>
      <c r="C245" s="12"/>
      <c r="D245" s="12"/>
      <c r="E245" s="17">
        <f>+E244+E243</f>
        <v>0</v>
      </c>
      <c r="K245"/>
      <c r="L245"/>
      <c r="M245"/>
      <c r="N245"/>
      <c r="O245"/>
      <c r="P245"/>
      <c r="Q245"/>
    </row>
    <row r="246" spans="1:17" ht="18" x14ac:dyDescent="0.25">
      <c r="C246" s="12"/>
      <c r="D246" s="12"/>
      <c r="E246" s="17"/>
      <c r="K246"/>
      <c r="L246"/>
      <c r="M246"/>
      <c r="N246"/>
      <c r="O246"/>
      <c r="P246"/>
      <c r="Q246"/>
    </row>
    <row r="247" spans="1:17" ht="18" x14ac:dyDescent="0.25">
      <c r="A247" s="322" t="s">
        <v>144</v>
      </c>
      <c r="B247" s="322"/>
      <c r="C247" s="322"/>
      <c r="D247" s="322"/>
      <c r="E247" s="322"/>
      <c r="K247"/>
      <c r="L247"/>
      <c r="M247"/>
      <c r="N247"/>
      <c r="O247"/>
      <c r="P247"/>
      <c r="Q247"/>
    </row>
    <row r="248" spans="1:17" ht="18" x14ac:dyDescent="0.25">
      <c r="A248" s="9">
        <f>+A245+1</f>
        <v>19</v>
      </c>
      <c r="B248" s="7" t="s">
        <v>577</v>
      </c>
      <c r="C248" s="12"/>
      <c r="D248" s="12"/>
      <c r="E248" s="96">
        <f>IF(E240="NA","NA",ROUND(E240*E237/E235,2))</f>
        <v>0</v>
      </c>
      <c r="K248"/>
      <c r="L248"/>
      <c r="M248"/>
      <c r="N248"/>
      <c r="O248"/>
      <c r="P248"/>
      <c r="Q248"/>
    </row>
    <row r="249" spans="1:17" ht="18" x14ac:dyDescent="0.25">
      <c r="A249" s="9">
        <f>+A248+1</f>
        <v>20</v>
      </c>
      <c r="B249" s="7" t="s">
        <v>574</v>
      </c>
      <c r="C249" s="12"/>
      <c r="D249" s="12"/>
      <c r="E249" s="41">
        <f>IF(E243="NA","NA",ROUND(E243*0.95,2))</f>
        <v>0</v>
      </c>
      <c r="K249"/>
      <c r="L249"/>
      <c r="M249"/>
      <c r="N249"/>
      <c r="O249"/>
      <c r="P249"/>
      <c r="Q249"/>
    </row>
    <row r="250" spans="1:17" ht="18" x14ac:dyDescent="0.25">
      <c r="A250" s="9">
        <f>+A249+1</f>
        <v>21</v>
      </c>
      <c r="B250" s="7" t="s">
        <v>573</v>
      </c>
      <c r="C250" s="12"/>
      <c r="D250" s="12"/>
      <c r="E250" s="17">
        <f>IF(E248="NA",0,+E249-E248)</f>
        <v>0</v>
      </c>
      <c r="F250" s="10"/>
      <c r="K250"/>
      <c r="L250"/>
      <c r="M250"/>
      <c r="N250"/>
      <c r="O250"/>
      <c r="P250"/>
      <c r="Q250"/>
    </row>
    <row r="251" spans="1:17" ht="18" x14ac:dyDescent="0.25">
      <c r="C251" s="12"/>
      <c r="D251" s="12"/>
      <c r="E251" s="17"/>
      <c r="F251" s="10"/>
      <c r="K251"/>
      <c r="L251"/>
      <c r="M251"/>
      <c r="N251"/>
      <c r="O251"/>
      <c r="P251"/>
      <c r="Q251"/>
    </row>
    <row r="252" spans="1:17" ht="13" x14ac:dyDescent="0.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</row>
    <row r="253" spans="1:17" ht="13" x14ac:dyDescent="0.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</row>
    <row r="254" spans="1:17" ht="13" x14ac:dyDescent="0.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</row>
    <row r="255" spans="1:17" ht="13" x14ac:dyDescent="0.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</row>
    <row r="256" spans="1:17" ht="13" x14ac:dyDescent="0.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</row>
    <row r="257" customFormat="1" ht="13" x14ac:dyDescent="0.15"/>
    <row r="258" customFormat="1" ht="13" x14ac:dyDescent="0.15"/>
    <row r="259" customFormat="1" ht="13" x14ac:dyDescent="0.15"/>
    <row r="260" customFormat="1" ht="13" x14ac:dyDescent="0.15"/>
    <row r="261" customFormat="1" ht="13" x14ac:dyDescent="0.15"/>
    <row r="262" customFormat="1" ht="13" x14ac:dyDescent="0.15"/>
    <row r="263" customFormat="1" ht="13" x14ac:dyDescent="0.15"/>
    <row r="264" customFormat="1" ht="13" x14ac:dyDescent="0.15"/>
    <row r="265" customFormat="1" ht="13" x14ac:dyDescent="0.15"/>
    <row r="266" customFormat="1" ht="13" x14ac:dyDescent="0.15"/>
    <row r="267" customFormat="1" ht="13" x14ac:dyDescent="0.15"/>
    <row r="268" customFormat="1" ht="13" x14ac:dyDescent="0.15"/>
    <row r="269" customFormat="1" ht="13" x14ac:dyDescent="0.15"/>
    <row r="270" customFormat="1" ht="13" x14ac:dyDescent="0.15"/>
    <row r="271" customFormat="1" ht="13" x14ac:dyDescent="0.15"/>
    <row r="272" customFormat="1" ht="13" x14ac:dyDescent="0.15"/>
    <row r="273" customFormat="1" ht="13" x14ac:dyDescent="0.15"/>
    <row r="274" customFormat="1" ht="13" x14ac:dyDescent="0.15"/>
    <row r="275" customFormat="1" ht="13" x14ac:dyDescent="0.15"/>
    <row r="276" customFormat="1" ht="13" x14ac:dyDescent="0.15"/>
    <row r="277" customFormat="1" ht="13" x14ac:dyDescent="0.15"/>
    <row r="278" customFormat="1" ht="13" x14ac:dyDescent="0.15"/>
    <row r="279" customFormat="1" ht="13" x14ac:dyDescent="0.15"/>
    <row r="280" customFormat="1" ht="13" x14ac:dyDescent="0.15"/>
    <row r="281" customFormat="1" ht="13" x14ac:dyDescent="0.15"/>
    <row r="282" customFormat="1" ht="13" x14ac:dyDescent="0.15"/>
    <row r="283" customFormat="1" ht="13" x14ac:dyDescent="0.15"/>
    <row r="284" customFormat="1" ht="13" x14ac:dyDescent="0.15"/>
    <row r="285" customFormat="1" ht="13" x14ac:dyDescent="0.15"/>
    <row r="286" customFormat="1" ht="13" x14ac:dyDescent="0.15"/>
    <row r="287" customFormat="1" ht="13" x14ac:dyDescent="0.15"/>
    <row r="288" customFormat="1" ht="13" x14ac:dyDescent="0.15"/>
    <row r="289" customFormat="1" ht="13" x14ac:dyDescent="0.15"/>
    <row r="290" customFormat="1" ht="13" x14ac:dyDescent="0.15"/>
    <row r="291" customFormat="1" ht="13" x14ac:dyDescent="0.15"/>
    <row r="292" customFormat="1" ht="13" x14ac:dyDescent="0.15"/>
    <row r="293" customFormat="1" ht="13" x14ac:dyDescent="0.15"/>
    <row r="294" customFormat="1" ht="13" x14ac:dyDescent="0.15"/>
    <row r="295" customFormat="1" ht="13" x14ac:dyDescent="0.15"/>
    <row r="296" customFormat="1" ht="13" x14ac:dyDescent="0.15"/>
    <row r="297" customFormat="1" ht="13" x14ac:dyDescent="0.15"/>
    <row r="298" customFormat="1" ht="13" x14ac:dyDescent="0.15"/>
    <row r="299" customFormat="1" ht="13" x14ac:dyDescent="0.15"/>
    <row r="300" customFormat="1" ht="13" x14ac:dyDescent="0.15"/>
    <row r="301" customFormat="1" ht="13" x14ac:dyDescent="0.15"/>
    <row r="302" customFormat="1" ht="13" x14ac:dyDescent="0.15"/>
    <row r="303" customFormat="1" ht="13" x14ac:dyDescent="0.15"/>
    <row r="304" customFormat="1" ht="13" x14ac:dyDescent="0.15"/>
    <row r="305" customFormat="1" ht="13" x14ac:dyDescent="0.15"/>
    <row r="306" customFormat="1" ht="13" x14ac:dyDescent="0.15"/>
    <row r="307" customFormat="1" ht="13" x14ac:dyDescent="0.15"/>
    <row r="308" customFormat="1" ht="13" x14ac:dyDescent="0.15"/>
    <row r="309" customFormat="1" ht="13" x14ac:dyDescent="0.15"/>
    <row r="310" customFormat="1" ht="13" x14ac:dyDescent="0.15"/>
    <row r="311" customFormat="1" ht="13" x14ac:dyDescent="0.15"/>
    <row r="312" customFormat="1" ht="13" x14ac:dyDescent="0.15"/>
    <row r="313" customFormat="1" ht="13" x14ac:dyDescent="0.15"/>
    <row r="314" customFormat="1" ht="13" x14ac:dyDescent="0.15"/>
    <row r="315" customFormat="1" ht="13" x14ac:dyDescent="0.15"/>
    <row r="316" customFormat="1" ht="13" x14ac:dyDescent="0.15"/>
    <row r="317" customFormat="1" ht="13" x14ac:dyDescent="0.15"/>
    <row r="318" customFormat="1" ht="13" x14ac:dyDescent="0.15"/>
    <row r="319" customFormat="1" ht="13" x14ac:dyDescent="0.15"/>
    <row r="320" customFormat="1" ht="13" x14ac:dyDescent="0.15"/>
    <row r="321" customFormat="1" ht="13" x14ac:dyDescent="0.15"/>
    <row r="322" customFormat="1" ht="13" x14ac:dyDescent="0.15"/>
    <row r="323" customFormat="1" ht="13" x14ac:dyDescent="0.15"/>
    <row r="324" customFormat="1" ht="13" x14ac:dyDescent="0.15"/>
    <row r="325" customFormat="1" ht="13" x14ac:dyDescent="0.15"/>
    <row r="326" customFormat="1" ht="13" x14ac:dyDescent="0.15"/>
    <row r="327" customFormat="1" ht="13" x14ac:dyDescent="0.15"/>
    <row r="328" customFormat="1" ht="13" x14ac:dyDescent="0.15"/>
    <row r="329" customFormat="1" ht="13" x14ac:dyDescent="0.15"/>
    <row r="330" customFormat="1" ht="13" x14ac:dyDescent="0.15"/>
    <row r="331" customFormat="1" ht="13" x14ac:dyDescent="0.15"/>
  </sheetData>
  <mergeCells count="54">
    <mergeCell ref="F144:F148"/>
    <mergeCell ref="B145:E145"/>
    <mergeCell ref="B146:E146"/>
    <mergeCell ref="B147:E147"/>
    <mergeCell ref="B148:E148"/>
    <mergeCell ref="B144:E144"/>
    <mergeCell ref="F91:F95"/>
    <mergeCell ref="A139:E139"/>
    <mergeCell ref="B91:E91"/>
    <mergeCell ref="B92:E92"/>
    <mergeCell ref="B93:E93"/>
    <mergeCell ref="B94:E94"/>
    <mergeCell ref="B95:E95"/>
    <mergeCell ref="B98:E98"/>
    <mergeCell ref="B103:E103"/>
    <mergeCell ref="B113:E113"/>
    <mergeCell ref="B114:E114"/>
    <mergeCell ref="B126:E126"/>
    <mergeCell ref="F2:F5"/>
    <mergeCell ref="B36:E36"/>
    <mergeCell ref="B41:E41"/>
    <mergeCell ref="B46:C46"/>
    <mergeCell ref="A73:E73"/>
    <mergeCell ref="B1:E1"/>
    <mergeCell ref="B2:E2"/>
    <mergeCell ref="B3:E3"/>
    <mergeCell ref="B4:E4"/>
    <mergeCell ref="B5:E5"/>
    <mergeCell ref="A85:E85"/>
    <mergeCell ref="B8:E8"/>
    <mergeCell ref="B13:E13"/>
    <mergeCell ref="B24:E24"/>
    <mergeCell ref="B23:E23"/>
    <mergeCell ref="A74:E74"/>
    <mergeCell ref="F198:F202"/>
    <mergeCell ref="B199:E199"/>
    <mergeCell ref="B200:E200"/>
    <mergeCell ref="B201:E201"/>
    <mergeCell ref="B202:E202"/>
    <mergeCell ref="B150:E150"/>
    <mergeCell ref="A247:E247"/>
    <mergeCell ref="B206:E206"/>
    <mergeCell ref="B211:E211"/>
    <mergeCell ref="B221:E221"/>
    <mergeCell ref="B222:E222"/>
    <mergeCell ref="B234:E234"/>
    <mergeCell ref="B198:E198"/>
    <mergeCell ref="B180:E180"/>
    <mergeCell ref="A193:E193"/>
    <mergeCell ref="B152:E152"/>
    <mergeCell ref="B157:E157"/>
    <mergeCell ref="B167:E167"/>
    <mergeCell ref="B168:E168"/>
    <mergeCell ref="B204:E204"/>
  </mergeCells>
  <printOptions horizontalCentered="1"/>
  <pageMargins left="0.2" right="0.2" top="0.75" bottom="0.25" header="0.05" footer="0.05"/>
  <pageSetup scale="72" fitToHeight="0" orientation="portrait" r:id="rId1"/>
  <rowBreaks count="5" manualBreakCount="5">
    <brk id="22" max="5" man="1"/>
    <brk id="72" max="5" man="1"/>
    <brk id="111" max="5" man="1"/>
    <brk id="165" max="5" man="1"/>
    <brk id="220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Drop Down 1">
              <controlPr defaultSize="0" autoLine="0" autoPict="0">
                <anchor moveWithCells="1">
                  <from>
                    <xdr:col>7</xdr:col>
                    <xdr:colOff>254000</xdr:colOff>
                    <xdr:row>3</xdr:row>
                    <xdr:rowOff>63500</xdr:rowOff>
                  </from>
                  <to>
                    <xdr:col>10</xdr:col>
                    <xdr:colOff>76200</xdr:colOff>
                    <xdr:row>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5" name="Drop Down 3">
              <controlPr defaultSize="0" autoLine="0" autoPict="0">
                <anchor moveWithCells="1">
                  <from>
                    <xdr:col>7</xdr:col>
                    <xdr:colOff>406400</xdr:colOff>
                    <xdr:row>3</xdr:row>
                    <xdr:rowOff>114300</xdr:rowOff>
                  </from>
                  <to>
                    <xdr:col>10</xdr:col>
                    <xdr:colOff>215900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2" r:id="rId6" name="Drop Down 4">
              <controlPr defaultSize="0" autoLine="0" autoPict="0">
                <anchor moveWithCells="1">
                  <from>
                    <xdr:col>6</xdr:col>
                    <xdr:colOff>241300</xdr:colOff>
                    <xdr:row>3</xdr:row>
                    <xdr:rowOff>63500</xdr:rowOff>
                  </from>
                  <to>
                    <xdr:col>10</xdr:col>
                    <xdr:colOff>508000</xdr:colOff>
                    <xdr:row>4</xdr:row>
                    <xdr:rowOff>139700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>
    <pageSetUpPr fitToPage="1"/>
  </sheetPr>
  <dimension ref="A1:T98"/>
  <sheetViews>
    <sheetView zoomScaleNormal="100" workbookViewId="0">
      <selection activeCell="J11" sqref="J11"/>
    </sheetView>
  </sheetViews>
  <sheetFormatPr baseColWidth="10" defaultColWidth="9.3984375" defaultRowHeight="13" x14ac:dyDescent="0.15"/>
  <cols>
    <col min="2" max="2" width="61.3984375" customWidth="1"/>
    <col min="3" max="3" width="34.59765625" customWidth="1"/>
    <col min="4" max="5" width="21" customWidth="1"/>
    <col min="10" max="10" width="36.3984375" customWidth="1"/>
    <col min="11" max="11" width="9.3984375" bestFit="1" customWidth="1"/>
    <col min="12" max="12" width="48.796875" bestFit="1" customWidth="1"/>
    <col min="13" max="13" width="18.3984375" bestFit="1" customWidth="1"/>
    <col min="14" max="14" width="11.59765625" bestFit="1" customWidth="1"/>
    <col min="15" max="18" width="41.796875" bestFit="1" customWidth="1"/>
  </cols>
  <sheetData>
    <row r="1" spans="1:20" ht="21" customHeight="1" x14ac:dyDescent="0.15"/>
    <row r="2" spans="1:20" ht="21" customHeight="1" x14ac:dyDescent="0.25">
      <c r="B2" s="339" t="s">
        <v>1864</v>
      </c>
      <c r="C2" s="337"/>
      <c r="D2" s="337"/>
      <c r="E2" s="340"/>
    </row>
    <row r="3" spans="1:20" ht="18" x14ac:dyDescent="0.25">
      <c r="B3" s="339" t="str">
        <f>IF(I5="OOS","Out of State Facility",I5&amp;" Facility")</f>
        <v>Out of State Facility</v>
      </c>
      <c r="C3" s="337"/>
      <c r="D3" s="337"/>
      <c r="E3" s="340"/>
      <c r="G3">
        <v>11</v>
      </c>
      <c r="K3" s="24"/>
      <c r="L3" s="24"/>
      <c r="M3" s="24"/>
      <c r="N3" s="24"/>
      <c r="O3" s="24"/>
      <c r="P3" s="24"/>
      <c r="Q3" s="24"/>
      <c r="R3" s="24"/>
      <c r="S3" s="24"/>
    </row>
    <row r="4" spans="1:20" ht="18" x14ac:dyDescent="0.25">
      <c r="A4" s="9"/>
      <c r="B4" s="341" t="s">
        <v>266</v>
      </c>
      <c r="C4" s="319"/>
      <c r="D4" s="319"/>
      <c r="E4" s="342"/>
      <c r="F4" s="346"/>
      <c r="K4" s="30" t="s">
        <v>145</v>
      </c>
      <c r="L4" s="29" t="s">
        <v>24</v>
      </c>
      <c r="M4" s="29" t="s">
        <v>146</v>
      </c>
      <c r="N4" s="23" t="s">
        <v>301</v>
      </c>
      <c r="O4" s="146">
        <v>45839</v>
      </c>
      <c r="P4" s="146">
        <v>45931</v>
      </c>
      <c r="Q4" s="146">
        <v>46023</v>
      </c>
      <c r="R4" s="146">
        <v>46113</v>
      </c>
      <c r="S4" s="24"/>
    </row>
    <row r="5" spans="1:20" ht="18" x14ac:dyDescent="0.25">
      <c r="A5" s="9"/>
      <c r="B5" s="341" t="s">
        <v>1774</v>
      </c>
      <c r="C5" s="319"/>
      <c r="D5" s="319"/>
      <c r="E5" s="342"/>
      <c r="F5" s="346"/>
      <c r="G5">
        <v>1</v>
      </c>
      <c r="H5" s="8">
        <f>VALUE(INDEX(K5:L22,G5,1))</f>
        <v>1051</v>
      </c>
      <c r="I5" t="str">
        <f>VLOOKUP(H5,K5:M22,3,FALSE)</f>
        <v>OOS</v>
      </c>
      <c r="K5" s="30">
        <v>1051</v>
      </c>
      <c r="L5" s="23" t="s">
        <v>411</v>
      </c>
      <c r="M5" s="92" t="s">
        <v>147</v>
      </c>
      <c r="N5" s="23" t="s">
        <v>412</v>
      </c>
      <c r="O5" s="24" t="s">
        <v>1775</v>
      </c>
      <c r="P5" s="24" t="s">
        <v>1776</v>
      </c>
      <c r="Q5" s="24" t="s">
        <v>1795</v>
      </c>
      <c r="R5" s="24" t="s">
        <v>1796</v>
      </c>
      <c r="S5" s="24"/>
    </row>
    <row r="6" spans="1:20" ht="18" x14ac:dyDescent="0.25">
      <c r="A6" s="9"/>
      <c r="B6" s="341" t="str">
        <f>UPPER(VLOOKUP(H5,K5:L17,2,FALSE))</f>
        <v>BRIDGEPOINT SUB-ACUTE AND REHAB. CAPITOL HILL</v>
      </c>
      <c r="C6" s="319"/>
      <c r="D6" s="319"/>
      <c r="E6" s="342"/>
      <c r="F6" s="346"/>
      <c r="K6" s="30">
        <v>1049</v>
      </c>
      <c r="L6" s="23" t="s">
        <v>409</v>
      </c>
      <c r="M6" s="92" t="s">
        <v>147</v>
      </c>
      <c r="N6" s="23" t="s">
        <v>410</v>
      </c>
      <c r="O6" s="24" t="s">
        <v>1777</v>
      </c>
      <c r="P6" s="24" t="s">
        <v>1778</v>
      </c>
      <c r="Q6" s="24" t="s">
        <v>1797</v>
      </c>
      <c r="R6" s="24" t="s">
        <v>1798</v>
      </c>
      <c r="S6" s="24"/>
    </row>
    <row r="7" spans="1:20" ht="18" x14ac:dyDescent="0.25">
      <c r="A7" s="9"/>
      <c r="B7" s="343" t="str">
        <f>+"Provider #: "&amp;VLOOKUP(H5,K5:N22,4,FALSE)</f>
        <v>Provider #: 500252400</v>
      </c>
      <c r="C7" s="344"/>
      <c r="D7" s="344"/>
      <c r="E7" s="345"/>
      <c r="F7" s="346"/>
      <c r="K7" s="30">
        <v>1308</v>
      </c>
      <c r="L7" s="23" t="s">
        <v>368</v>
      </c>
      <c r="M7" s="92" t="s">
        <v>147</v>
      </c>
      <c r="N7" s="23" t="s">
        <v>350</v>
      </c>
      <c r="O7" s="24" t="s">
        <v>1779</v>
      </c>
      <c r="P7" s="24" t="s">
        <v>1780</v>
      </c>
      <c r="Q7" s="24" t="s">
        <v>1799</v>
      </c>
      <c r="R7" s="24" t="s">
        <v>1800</v>
      </c>
      <c r="S7" s="24"/>
    </row>
    <row r="8" spans="1:20" ht="14" thickBot="1" x14ac:dyDescent="0.2">
      <c r="K8" s="30">
        <v>464</v>
      </c>
      <c r="L8" s="23" t="s">
        <v>369</v>
      </c>
      <c r="M8" s="92" t="s">
        <v>147</v>
      </c>
      <c r="N8" s="23" t="s">
        <v>362</v>
      </c>
      <c r="O8" s="24" t="s">
        <v>1781</v>
      </c>
      <c r="P8" s="24" t="s">
        <v>1782</v>
      </c>
      <c r="Q8" s="24" t="s">
        <v>1801</v>
      </c>
      <c r="R8" s="24" t="s">
        <v>1802</v>
      </c>
      <c r="S8" s="24"/>
    </row>
    <row r="9" spans="1:20" ht="19" x14ac:dyDescent="0.25">
      <c r="B9" s="52" t="s">
        <v>294</v>
      </c>
      <c r="C9" s="43" t="s">
        <v>267</v>
      </c>
      <c r="D9" s="43" t="s">
        <v>268</v>
      </c>
      <c r="E9" s="44" t="s">
        <v>269</v>
      </c>
      <c r="K9" s="30">
        <v>196</v>
      </c>
      <c r="L9" s="23" t="s">
        <v>710</v>
      </c>
      <c r="M9" s="92" t="s">
        <v>485</v>
      </c>
      <c r="N9" s="23" t="s">
        <v>714</v>
      </c>
      <c r="O9" s="24" t="s">
        <v>1783</v>
      </c>
      <c r="P9" s="24" t="s">
        <v>1784</v>
      </c>
      <c r="Q9" s="24" t="s">
        <v>1803</v>
      </c>
      <c r="R9" s="24" t="s">
        <v>1804</v>
      </c>
      <c r="S9" s="24"/>
    </row>
    <row r="10" spans="1:20" ht="30" customHeight="1" x14ac:dyDescent="0.25">
      <c r="B10" s="323" t="s">
        <v>270</v>
      </c>
      <c r="C10" s="324"/>
      <c r="D10" s="324"/>
      <c r="E10" s="325"/>
      <c r="K10" s="30">
        <v>212</v>
      </c>
      <c r="L10" s="23" t="s">
        <v>370</v>
      </c>
      <c r="M10" s="92" t="s">
        <v>23</v>
      </c>
      <c r="N10" s="23" t="s">
        <v>361</v>
      </c>
      <c r="O10" s="24" t="s">
        <v>1785</v>
      </c>
      <c r="P10" s="24" t="s">
        <v>1786</v>
      </c>
      <c r="Q10" s="24" t="s">
        <v>1805</v>
      </c>
      <c r="R10" s="24" t="s">
        <v>1806</v>
      </c>
      <c r="S10" s="24"/>
    </row>
    <row r="11" spans="1:20" ht="30" customHeight="1" x14ac:dyDescent="0.25">
      <c r="B11" s="45" t="s">
        <v>315</v>
      </c>
      <c r="C11" s="38" t="s">
        <v>271</v>
      </c>
      <c r="D11" s="46" t="s">
        <v>246</v>
      </c>
      <c r="E11" s="53">
        <f>IF(I5="OOS",'Phase In Option'!G10,VLOOKUP(I5,'Phase In Option'!F4:G7,2,FALSE))</f>
        <v>342.54</v>
      </c>
      <c r="K11" s="32">
        <v>1353</v>
      </c>
      <c r="L11" s="23" t="s">
        <v>437</v>
      </c>
      <c r="M11" s="92" t="s">
        <v>23</v>
      </c>
      <c r="N11" s="23" t="s">
        <v>440</v>
      </c>
      <c r="O11" s="24" t="s">
        <v>1787</v>
      </c>
      <c r="P11" s="24" t="s">
        <v>1788</v>
      </c>
      <c r="Q11" s="24" t="s">
        <v>1807</v>
      </c>
      <c r="R11" s="24" t="s">
        <v>1808</v>
      </c>
      <c r="S11" s="24"/>
    </row>
    <row r="12" spans="1:20" ht="30" customHeight="1" x14ac:dyDescent="0.25">
      <c r="B12" s="45" t="s">
        <v>316</v>
      </c>
      <c r="C12" s="38" t="s">
        <v>272</v>
      </c>
      <c r="D12" s="46" t="s">
        <v>247</v>
      </c>
      <c r="E12" s="53">
        <f>IF(I5="OOS",'Phase In Option'!J10,VLOOKUP(I5,'Phase In Option'!F4:K7,5,FALSE))</f>
        <v>270.41000000000003</v>
      </c>
      <c r="K12" s="30">
        <v>849</v>
      </c>
      <c r="L12" s="23" t="s">
        <v>371</v>
      </c>
      <c r="M12" s="92" t="s">
        <v>102</v>
      </c>
      <c r="N12" s="23" t="s">
        <v>243</v>
      </c>
      <c r="O12" s="24" t="s">
        <v>1789</v>
      </c>
      <c r="P12" s="24" t="s">
        <v>1790</v>
      </c>
      <c r="Q12" s="24" t="s">
        <v>1809</v>
      </c>
      <c r="R12" s="24" t="s">
        <v>1810</v>
      </c>
      <c r="S12" s="24"/>
    </row>
    <row r="13" spans="1:20" ht="30" customHeight="1" x14ac:dyDescent="0.25">
      <c r="B13" s="45" t="s">
        <v>317</v>
      </c>
      <c r="C13" s="38" t="s">
        <v>273</v>
      </c>
      <c r="D13" s="46" t="s">
        <v>248</v>
      </c>
      <c r="E13" s="53">
        <f>IF(I5="OOS",'Phase In Option'!K10,VLOOKUP(I5,'Phase In Option'!F4:K7,6,FALSE))</f>
        <v>160.97999999999999</v>
      </c>
      <c r="K13" s="30">
        <v>1428</v>
      </c>
      <c r="L13" s="23" t="s">
        <v>537</v>
      </c>
      <c r="M13" s="92" t="s">
        <v>147</v>
      </c>
      <c r="N13" s="23" t="s">
        <v>542</v>
      </c>
      <c r="O13" s="24" t="s">
        <v>1791</v>
      </c>
      <c r="P13" s="24" t="s">
        <v>1792</v>
      </c>
      <c r="Q13" s="24" t="s">
        <v>1811</v>
      </c>
      <c r="R13" s="24" t="s">
        <v>1812</v>
      </c>
      <c r="S13" s="24"/>
    </row>
    <row r="14" spans="1:20" ht="30" customHeight="1" x14ac:dyDescent="0.25">
      <c r="B14" s="45" t="s">
        <v>274</v>
      </c>
      <c r="C14" s="40" t="s">
        <v>275</v>
      </c>
      <c r="D14" s="46" t="s">
        <v>245</v>
      </c>
      <c r="E14" s="47" t="s">
        <v>276</v>
      </c>
      <c r="K14" s="30">
        <v>1486</v>
      </c>
      <c r="L14" s="23" t="s">
        <v>759</v>
      </c>
      <c r="M14" s="92" t="s">
        <v>23</v>
      </c>
      <c r="N14" s="23" t="s">
        <v>760</v>
      </c>
      <c r="O14" s="24" t="s">
        <v>1793</v>
      </c>
      <c r="P14" s="24" t="s">
        <v>1794</v>
      </c>
      <c r="Q14" s="24" t="s">
        <v>1813</v>
      </c>
      <c r="R14" s="24" t="s">
        <v>1814</v>
      </c>
      <c r="S14" s="24"/>
    </row>
    <row r="15" spans="1:20" ht="30" customHeight="1" x14ac:dyDescent="0.25">
      <c r="B15" s="84" t="s">
        <v>277</v>
      </c>
      <c r="C15" s="85"/>
      <c r="D15" s="85"/>
      <c r="E15" s="86"/>
      <c r="K15" s="24"/>
      <c r="L15" s="24"/>
      <c r="M15" s="24"/>
      <c r="N15" s="24"/>
      <c r="O15" s="24"/>
      <c r="P15" s="24"/>
      <c r="Q15" s="24"/>
      <c r="R15" s="24"/>
      <c r="S15" s="24"/>
    </row>
    <row r="16" spans="1:20" ht="30" customHeight="1" x14ac:dyDescent="0.25">
      <c r="B16" s="45" t="s">
        <v>278</v>
      </c>
      <c r="C16" s="38" t="s">
        <v>279</v>
      </c>
      <c r="D16" s="46" t="s">
        <v>250</v>
      </c>
      <c r="E16" s="48" t="s">
        <v>254</v>
      </c>
      <c r="K16" s="24"/>
      <c r="L16" s="24"/>
      <c r="M16" s="24"/>
      <c r="N16" s="24"/>
      <c r="O16" s="24"/>
      <c r="P16" s="24"/>
      <c r="Q16" s="24"/>
      <c r="R16" s="24"/>
      <c r="S16" s="24"/>
      <c r="T16" s="24"/>
    </row>
    <row r="17" spans="1:20" ht="34.5" customHeight="1" x14ac:dyDescent="0.25">
      <c r="B17" s="45" t="s">
        <v>280</v>
      </c>
      <c r="C17" s="38" t="s">
        <v>281</v>
      </c>
      <c r="D17" s="46" t="s">
        <v>252</v>
      </c>
      <c r="E17" s="48" t="s">
        <v>254</v>
      </c>
      <c r="K17" s="24"/>
      <c r="L17" s="24"/>
      <c r="M17" s="24"/>
      <c r="N17" s="24"/>
      <c r="O17" s="24"/>
      <c r="P17" s="24"/>
      <c r="Q17" s="24"/>
      <c r="R17" s="24"/>
      <c r="S17" s="24"/>
      <c r="T17" s="24"/>
    </row>
    <row r="18" spans="1:20" ht="39.75" customHeight="1" x14ac:dyDescent="0.25">
      <c r="B18" s="45" t="s">
        <v>282</v>
      </c>
      <c r="C18" s="38" t="s">
        <v>287</v>
      </c>
      <c r="D18" s="46" t="s">
        <v>253</v>
      </c>
      <c r="E18" s="48" t="s">
        <v>254</v>
      </c>
      <c r="H18" t="s">
        <v>303</v>
      </c>
      <c r="S18" s="24"/>
      <c r="T18" s="24"/>
    </row>
    <row r="19" spans="1:20" ht="30" customHeight="1" x14ac:dyDescent="0.25">
      <c r="B19" s="45" t="s">
        <v>283</v>
      </c>
      <c r="C19" s="38" t="s">
        <v>284</v>
      </c>
      <c r="D19" s="46" t="s">
        <v>251</v>
      </c>
      <c r="E19" s="48" t="s">
        <v>254</v>
      </c>
      <c r="H19" t="str">
        <f>VLOOKUP(H5,K5:O16,5,FALSE)</f>
        <v>MD0001_20250701_Average_RateLetter</v>
      </c>
      <c r="S19" s="24"/>
    </row>
    <row r="20" spans="1:20" ht="30" customHeight="1" x14ac:dyDescent="0.25">
      <c r="B20" s="45" t="s">
        <v>285</v>
      </c>
      <c r="C20" s="38" t="s">
        <v>304</v>
      </c>
      <c r="D20" s="46" t="s">
        <v>249</v>
      </c>
      <c r="E20" s="48" t="s">
        <v>254</v>
      </c>
    </row>
    <row r="21" spans="1:20" ht="30" customHeight="1" thickBot="1" x14ac:dyDescent="0.3">
      <c r="B21" s="49" t="s">
        <v>286</v>
      </c>
      <c r="C21" s="39" t="s">
        <v>287</v>
      </c>
      <c r="D21" s="50" t="s">
        <v>288</v>
      </c>
      <c r="E21" s="54" t="s">
        <v>254</v>
      </c>
    </row>
    <row r="22" spans="1:20" ht="13.5" customHeight="1" x14ac:dyDescent="0.25">
      <c r="A22" s="7"/>
      <c r="B22" s="7" t="s">
        <v>290</v>
      </c>
      <c r="C22" s="7"/>
      <c r="D22" s="7"/>
      <c r="E22" s="7"/>
      <c r="F22" s="7"/>
      <c r="G22" s="7"/>
    </row>
    <row r="23" spans="1:20" ht="13.5" customHeight="1" x14ac:dyDescent="0.25">
      <c r="A23" s="7"/>
      <c r="B23" s="7" t="s">
        <v>291</v>
      </c>
      <c r="C23" s="7"/>
      <c r="D23" s="7"/>
      <c r="E23" s="7"/>
      <c r="F23" s="7"/>
      <c r="G23" s="7"/>
      <c r="H23" s="10"/>
      <c r="K23" s="7"/>
      <c r="L23" s="7"/>
      <c r="M23" s="7"/>
      <c r="N23" s="7"/>
      <c r="O23" s="7"/>
      <c r="P23" s="7"/>
      <c r="Q23" s="7"/>
      <c r="R23" s="7"/>
    </row>
    <row r="24" spans="1:20" ht="30" customHeight="1" x14ac:dyDescent="0.25">
      <c r="K24" s="7"/>
      <c r="L24" s="7"/>
      <c r="M24" s="7"/>
      <c r="N24" s="7"/>
      <c r="O24" s="7"/>
      <c r="P24" s="7"/>
      <c r="Q24" s="7"/>
      <c r="R24" s="7"/>
    </row>
    <row r="25" spans="1:20" s="7" customFormat="1" ht="16" x14ac:dyDescent="0.25">
      <c r="I25"/>
      <c r="K25"/>
      <c r="L25"/>
      <c r="M25"/>
      <c r="N25"/>
      <c r="O25"/>
      <c r="P25"/>
      <c r="Q25"/>
      <c r="R25"/>
    </row>
    <row r="26" spans="1:20" s="7" customFormat="1" ht="16" x14ac:dyDescent="0.25">
      <c r="K26"/>
      <c r="L26"/>
      <c r="M26"/>
      <c r="N26"/>
      <c r="O26"/>
      <c r="P26"/>
      <c r="Q26"/>
      <c r="R26"/>
    </row>
    <row r="28" spans="1:20" ht="18" x14ac:dyDescent="0.25">
      <c r="B28" s="339" t="s">
        <v>767</v>
      </c>
      <c r="C28" s="337"/>
      <c r="D28" s="337"/>
      <c r="E28" s="340"/>
    </row>
    <row r="29" spans="1:20" ht="18" x14ac:dyDescent="0.25">
      <c r="B29" s="339" t="str">
        <f>IF(I5="OOS","Out of State Facility",I5&amp;" Facility")</f>
        <v>Out of State Facility</v>
      </c>
      <c r="C29" s="337"/>
      <c r="D29" s="337"/>
      <c r="E29" s="340"/>
    </row>
    <row r="30" spans="1:20" ht="18" x14ac:dyDescent="0.25">
      <c r="B30" s="341" t="s">
        <v>266</v>
      </c>
      <c r="C30" s="319"/>
      <c r="D30" s="319"/>
      <c r="E30" s="342"/>
    </row>
    <row r="31" spans="1:20" ht="18" x14ac:dyDescent="0.25">
      <c r="B31" s="341" t="s">
        <v>755</v>
      </c>
      <c r="C31" s="319"/>
      <c r="D31" s="319"/>
      <c r="E31" s="342"/>
    </row>
    <row r="32" spans="1:20" ht="18" x14ac:dyDescent="0.25">
      <c r="B32" s="341" t="str">
        <f>UPPER(VLOOKUP(H5,K5:L22,2,FALSE))</f>
        <v>BRIDGEPOINT SUB-ACUTE AND REHAB. CAPITOL HILL</v>
      </c>
      <c r="C32" s="319"/>
      <c r="D32" s="319"/>
      <c r="E32" s="342"/>
    </row>
    <row r="33" spans="2:18" ht="18" x14ac:dyDescent="0.25">
      <c r="B33" s="343" t="str">
        <f>+"Provider #: "&amp;VLOOKUP(H5,K5:N22,4,FALSE)</f>
        <v>Provider #: 500252400</v>
      </c>
      <c r="C33" s="344"/>
      <c r="D33" s="344"/>
      <c r="E33" s="345"/>
    </row>
    <row r="34" spans="2:18" ht="14" thickBot="1" x14ac:dyDescent="0.2"/>
    <row r="35" spans="2:18" ht="19" x14ac:dyDescent="0.25">
      <c r="B35" s="52" t="s">
        <v>294</v>
      </c>
      <c r="C35" s="43" t="s">
        <v>267</v>
      </c>
      <c r="D35" s="43" t="s">
        <v>268</v>
      </c>
      <c r="E35" s="44" t="s">
        <v>269</v>
      </c>
    </row>
    <row r="36" spans="2:18" ht="30" customHeight="1" x14ac:dyDescent="0.25">
      <c r="B36" s="323" t="s">
        <v>270</v>
      </c>
      <c r="C36" s="324"/>
      <c r="D36" s="324"/>
      <c r="E36" s="325"/>
    </row>
    <row r="37" spans="2:18" ht="30" customHeight="1" x14ac:dyDescent="0.25">
      <c r="B37" s="45" t="s">
        <v>315</v>
      </c>
      <c r="C37" s="38" t="s">
        <v>271</v>
      </c>
      <c r="D37" s="46" t="s">
        <v>246</v>
      </c>
      <c r="E37" s="119" t="e">
        <f>IF($I$5="OOS",'Phase In Option'!Q10,VLOOKUP(I5,'Phase In Option'!P4:Q7,2,FALSE))</f>
        <v>#DIV/0!</v>
      </c>
    </row>
    <row r="38" spans="2:18" ht="30" customHeight="1" x14ac:dyDescent="0.25">
      <c r="B38" s="45" t="s">
        <v>316</v>
      </c>
      <c r="C38" s="38" t="s">
        <v>272</v>
      </c>
      <c r="D38" s="46" t="s">
        <v>247</v>
      </c>
      <c r="E38" s="119" t="e">
        <f>IF($I$5="OOS",'Phase In Option'!S10,VLOOKUP(I5,'Phase In Option'!P4:S7,4,FALSE))</f>
        <v>#REF!</v>
      </c>
    </row>
    <row r="39" spans="2:18" ht="30" customHeight="1" x14ac:dyDescent="0.25">
      <c r="B39" s="45" t="s">
        <v>317</v>
      </c>
      <c r="C39" s="38" t="s">
        <v>273</v>
      </c>
      <c r="D39" s="46" t="s">
        <v>248</v>
      </c>
      <c r="E39" s="119" t="e">
        <f>IF($I$5="OOS",'Phase In Option'!T10,VLOOKUP(I5,'Phase In Option'!P4:T7,5,FALSE))</f>
        <v>#REF!</v>
      </c>
    </row>
    <row r="40" spans="2:18" ht="30" customHeight="1" x14ac:dyDescent="0.25">
      <c r="B40" s="45" t="s">
        <v>274</v>
      </c>
      <c r="C40" s="40" t="s">
        <v>275</v>
      </c>
      <c r="D40" s="46" t="s">
        <v>245</v>
      </c>
      <c r="E40" s="47" t="s">
        <v>276</v>
      </c>
    </row>
    <row r="41" spans="2:18" ht="30" customHeight="1" x14ac:dyDescent="0.25">
      <c r="B41" s="323" t="s">
        <v>277</v>
      </c>
      <c r="C41" s="324"/>
      <c r="D41" s="324"/>
      <c r="E41" s="325"/>
    </row>
    <row r="42" spans="2:18" ht="30" customHeight="1" x14ac:dyDescent="0.25">
      <c r="B42" s="45" t="s">
        <v>278</v>
      </c>
      <c r="C42" s="38" t="s">
        <v>279</v>
      </c>
      <c r="D42" s="46" t="s">
        <v>250</v>
      </c>
      <c r="E42" s="48" t="s">
        <v>254</v>
      </c>
      <c r="H42" t="s">
        <v>303</v>
      </c>
    </row>
    <row r="43" spans="2:18" ht="30" customHeight="1" x14ac:dyDescent="0.25">
      <c r="B43" s="45" t="s">
        <v>280</v>
      </c>
      <c r="C43" s="38" t="s">
        <v>281</v>
      </c>
      <c r="D43" s="46" t="s">
        <v>252</v>
      </c>
      <c r="E43" s="48" t="s">
        <v>254</v>
      </c>
      <c r="H43" t="str">
        <f>VLOOKUP($H$5,K4:P22,6,FALSE)</f>
        <v>MD0001_20251001_Average_RateLetter</v>
      </c>
    </row>
    <row r="44" spans="2:18" ht="30" customHeight="1" x14ac:dyDescent="0.25">
      <c r="B44" s="45" t="s">
        <v>282</v>
      </c>
      <c r="C44" s="38" t="s">
        <v>287</v>
      </c>
      <c r="D44" s="46" t="s">
        <v>253</v>
      </c>
      <c r="E44" s="48" t="s">
        <v>254</v>
      </c>
    </row>
    <row r="45" spans="2:18" ht="30" customHeight="1" x14ac:dyDescent="0.25">
      <c r="B45" s="45" t="s">
        <v>283</v>
      </c>
      <c r="C45" s="38" t="s">
        <v>284</v>
      </c>
      <c r="D45" s="46" t="s">
        <v>251</v>
      </c>
      <c r="E45" s="48" t="s">
        <v>254</v>
      </c>
    </row>
    <row r="46" spans="2:18" ht="30" customHeight="1" x14ac:dyDescent="0.25">
      <c r="B46" s="45" t="s">
        <v>285</v>
      </c>
      <c r="C46" s="38" t="s">
        <v>304</v>
      </c>
      <c r="D46" s="46" t="s">
        <v>249</v>
      </c>
      <c r="E46" s="48" t="s">
        <v>254</v>
      </c>
      <c r="K46" s="7"/>
      <c r="L46" s="7"/>
      <c r="M46" s="7"/>
      <c r="N46" s="7"/>
      <c r="O46" s="7"/>
      <c r="P46" s="7"/>
      <c r="Q46" s="7"/>
      <c r="R46" s="7"/>
    </row>
    <row r="47" spans="2:18" ht="30" customHeight="1" thickBot="1" x14ac:dyDescent="0.3">
      <c r="B47" s="49" t="s">
        <v>286</v>
      </c>
      <c r="C47" s="39" t="s">
        <v>287</v>
      </c>
      <c r="D47" s="50" t="s">
        <v>288</v>
      </c>
      <c r="E47" s="54" t="s">
        <v>254</v>
      </c>
      <c r="K47" s="7"/>
      <c r="L47" s="7"/>
      <c r="M47" s="7"/>
      <c r="N47" s="7"/>
      <c r="O47" s="7"/>
      <c r="P47" s="7"/>
      <c r="Q47" s="7"/>
      <c r="R47" s="7"/>
    </row>
    <row r="48" spans="2:18" s="7" customFormat="1" ht="16" x14ac:dyDescent="0.25">
      <c r="B48" s="7" t="s">
        <v>290</v>
      </c>
      <c r="H48"/>
      <c r="I48"/>
      <c r="K48"/>
      <c r="L48"/>
      <c r="M48"/>
      <c r="N48"/>
      <c r="O48"/>
      <c r="P48"/>
      <c r="Q48"/>
      <c r="R48"/>
    </row>
    <row r="49" spans="2:18" s="7" customFormat="1" ht="16" x14ac:dyDescent="0.25">
      <c r="B49" s="7" t="s">
        <v>291</v>
      </c>
      <c r="H49" s="10"/>
      <c r="K49"/>
      <c r="L49"/>
      <c r="M49"/>
      <c r="N49"/>
      <c r="O49"/>
      <c r="P49"/>
      <c r="Q49"/>
      <c r="R49"/>
    </row>
    <row r="51" spans="2:18" ht="18" x14ac:dyDescent="0.25">
      <c r="B51" s="339" t="s">
        <v>794</v>
      </c>
      <c r="C51" s="337"/>
      <c r="D51" s="337"/>
      <c r="E51" s="340"/>
    </row>
    <row r="52" spans="2:18" ht="18" x14ac:dyDescent="0.25">
      <c r="B52" s="339" t="str">
        <f>+B3</f>
        <v>Out of State Facility</v>
      </c>
      <c r="C52" s="337"/>
      <c r="D52" s="337"/>
      <c r="E52" s="340"/>
    </row>
    <row r="53" spans="2:18" ht="18" x14ac:dyDescent="0.25">
      <c r="B53" s="341" t="s">
        <v>790</v>
      </c>
      <c r="C53" s="319"/>
      <c r="D53" s="319"/>
      <c r="E53" s="342"/>
    </row>
    <row r="54" spans="2:18" ht="18" x14ac:dyDescent="0.25">
      <c r="B54" s="341" t="s">
        <v>756</v>
      </c>
      <c r="C54" s="319"/>
      <c r="D54" s="319"/>
      <c r="E54" s="342"/>
    </row>
    <row r="55" spans="2:18" ht="18" x14ac:dyDescent="0.25">
      <c r="B55" s="341" t="str">
        <f>+B32</f>
        <v>BRIDGEPOINT SUB-ACUTE AND REHAB. CAPITOL HILL</v>
      </c>
      <c r="C55" s="319"/>
      <c r="D55" s="319"/>
      <c r="E55" s="342"/>
    </row>
    <row r="56" spans="2:18" ht="18" x14ac:dyDescent="0.25">
      <c r="B56" s="343" t="str">
        <f>+B33</f>
        <v>Provider #: 500252400</v>
      </c>
      <c r="C56" s="344"/>
      <c r="D56" s="344"/>
      <c r="E56" s="345"/>
    </row>
    <row r="58" spans="2:18" ht="19" thickBot="1" x14ac:dyDescent="0.3">
      <c r="B58" s="314" t="s">
        <v>795</v>
      </c>
      <c r="C58" s="314"/>
      <c r="D58" s="314"/>
      <c r="E58" s="314"/>
    </row>
    <row r="59" spans="2:18" ht="19" x14ac:dyDescent="0.25">
      <c r="B59" s="52" t="s">
        <v>294</v>
      </c>
      <c r="C59" s="43" t="s">
        <v>267</v>
      </c>
      <c r="D59" s="43" t="s">
        <v>268</v>
      </c>
      <c r="E59" s="44" t="s">
        <v>269</v>
      </c>
    </row>
    <row r="60" spans="2:18" ht="18" x14ac:dyDescent="0.25">
      <c r="B60" s="323" t="s">
        <v>270</v>
      </c>
      <c r="C60" s="324"/>
      <c r="D60" s="324"/>
      <c r="E60" s="325"/>
    </row>
    <row r="61" spans="2:18" ht="30" customHeight="1" x14ac:dyDescent="0.25">
      <c r="B61" s="45" t="s">
        <v>315</v>
      </c>
      <c r="C61" s="38" t="s">
        <v>271</v>
      </c>
      <c r="D61" s="46" t="s">
        <v>246</v>
      </c>
      <c r="E61" s="119" t="e">
        <f>IF($I$5="OOS",'Phase In Option'!W10,VLOOKUP(I5,'Phase In Option'!V4:W7,2,FALSE))</f>
        <v>#DIV/0!</v>
      </c>
    </row>
    <row r="62" spans="2:18" ht="30" customHeight="1" x14ac:dyDescent="0.25">
      <c r="B62" s="45" t="s">
        <v>316</v>
      </c>
      <c r="C62" s="38" t="s">
        <v>272</v>
      </c>
      <c r="D62" s="46" t="s">
        <v>247</v>
      </c>
      <c r="E62" s="119" t="e">
        <f>IF($I$5="OOS",'Phase In Option'!Y10,VLOOKUP(I5,'Phase In Option'!V4:Y7,4,FALSE))</f>
        <v>#REF!</v>
      </c>
    </row>
    <row r="63" spans="2:18" ht="30" customHeight="1" x14ac:dyDescent="0.25">
      <c r="B63" s="45" t="s">
        <v>317</v>
      </c>
      <c r="C63" s="38" t="s">
        <v>273</v>
      </c>
      <c r="D63" s="46" t="s">
        <v>248</v>
      </c>
      <c r="E63" s="119" t="e">
        <f>IF($I$5="OOS",'Phase In Option'!Z10,VLOOKUP(I5,'Phase In Option'!V4:Z7,5,FALSE))</f>
        <v>#REF!</v>
      </c>
    </row>
    <row r="64" spans="2:18" ht="30" customHeight="1" x14ac:dyDescent="0.25">
      <c r="B64" s="45" t="s">
        <v>274</v>
      </c>
      <c r="C64" s="40" t="s">
        <v>275</v>
      </c>
      <c r="D64" s="46" t="s">
        <v>245</v>
      </c>
      <c r="E64" s="47" t="s">
        <v>276</v>
      </c>
    </row>
    <row r="65" spans="2:8" ht="18" x14ac:dyDescent="0.25">
      <c r="B65" s="323" t="s">
        <v>277</v>
      </c>
      <c r="C65" s="324"/>
      <c r="D65" s="324"/>
      <c r="E65" s="325"/>
    </row>
    <row r="66" spans="2:8" ht="30" customHeight="1" x14ac:dyDescent="0.25">
      <c r="B66" s="45" t="s">
        <v>278</v>
      </c>
      <c r="C66" s="38" t="s">
        <v>279</v>
      </c>
      <c r="D66" s="46" t="s">
        <v>250</v>
      </c>
      <c r="E66" s="48" t="s">
        <v>254</v>
      </c>
      <c r="H66" t="s">
        <v>303</v>
      </c>
    </row>
    <row r="67" spans="2:8" ht="30" customHeight="1" x14ac:dyDescent="0.25">
      <c r="B67" s="45" t="s">
        <v>280</v>
      </c>
      <c r="C67" s="38" t="s">
        <v>281</v>
      </c>
      <c r="D67" s="46" t="s">
        <v>252</v>
      </c>
      <c r="E67" s="48" t="s">
        <v>254</v>
      </c>
      <c r="H67" t="str">
        <f>VLOOKUP(H5,K4:Q22,7,FALSE)</f>
        <v>MD0001_20260101_Average_RateLetter</v>
      </c>
    </row>
    <row r="68" spans="2:8" ht="30" customHeight="1" x14ac:dyDescent="0.25">
      <c r="B68" s="45" t="s">
        <v>282</v>
      </c>
      <c r="C68" s="38" t="s">
        <v>287</v>
      </c>
      <c r="D68" s="46" t="s">
        <v>253</v>
      </c>
      <c r="E68" s="48" t="s">
        <v>254</v>
      </c>
    </row>
    <row r="69" spans="2:8" ht="30" customHeight="1" x14ac:dyDescent="0.25">
      <c r="B69" s="45" t="s">
        <v>283</v>
      </c>
      <c r="C69" s="38" t="s">
        <v>284</v>
      </c>
      <c r="D69" s="46" t="s">
        <v>251</v>
      </c>
      <c r="E69" s="48" t="s">
        <v>254</v>
      </c>
    </row>
    <row r="70" spans="2:8" ht="30" customHeight="1" x14ac:dyDescent="0.25">
      <c r="B70" s="45" t="s">
        <v>285</v>
      </c>
      <c r="C70" s="38" t="s">
        <v>304</v>
      </c>
      <c r="D70" s="46" t="s">
        <v>249</v>
      </c>
      <c r="E70" s="48" t="s">
        <v>254</v>
      </c>
    </row>
    <row r="71" spans="2:8" ht="30" customHeight="1" thickBot="1" x14ac:dyDescent="0.3">
      <c r="B71" s="49" t="s">
        <v>286</v>
      </c>
      <c r="C71" s="39" t="s">
        <v>287</v>
      </c>
      <c r="D71" s="50" t="s">
        <v>288</v>
      </c>
      <c r="E71" s="54" t="s">
        <v>254</v>
      </c>
    </row>
    <row r="72" spans="2:8" ht="16" x14ac:dyDescent="0.25">
      <c r="B72" s="7" t="s">
        <v>290</v>
      </c>
    </row>
    <row r="73" spans="2:8" ht="16" x14ac:dyDescent="0.25">
      <c r="B73" s="7" t="s">
        <v>291</v>
      </c>
    </row>
    <row r="75" spans="2:8" ht="14" thickBot="1" x14ac:dyDescent="0.2"/>
    <row r="76" spans="2:8" ht="18" x14ac:dyDescent="0.25">
      <c r="B76" s="333" t="s">
        <v>811</v>
      </c>
      <c r="C76" s="334"/>
      <c r="D76" s="334"/>
      <c r="E76" s="335"/>
    </row>
    <row r="77" spans="2:8" ht="18" x14ac:dyDescent="0.25">
      <c r="B77" s="336" t="str">
        <f>+B52</f>
        <v>Out of State Facility</v>
      </c>
      <c r="C77" s="337"/>
      <c r="D77" s="337"/>
      <c r="E77" s="338"/>
    </row>
    <row r="78" spans="2:8" ht="18" x14ac:dyDescent="0.25">
      <c r="B78" s="318" t="s">
        <v>790</v>
      </c>
      <c r="C78" s="319"/>
      <c r="D78" s="319"/>
      <c r="E78" s="320"/>
    </row>
    <row r="79" spans="2:8" ht="18" x14ac:dyDescent="0.25">
      <c r="B79" s="318" t="s">
        <v>757</v>
      </c>
      <c r="C79" s="319"/>
      <c r="D79" s="319"/>
      <c r="E79" s="320"/>
    </row>
    <row r="80" spans="2:8" ht="18" x14ac:dyDescent="0.25">
      <c r="B80" s="318" t="str">
        <f>+B55</f>
        <v>BRIDGEPOINT SUB-ACUTE AND REHAB. CAPITOL HILL</v>
      </c>
      <c r="C80" s="319"/>
      <c r="D80" s="319"/>
      <c r="E80" s="320"/>
    </row>
    <row r="81" spans="2:8" ht="19" thickBot="1" x14ac:dyDescent="0.3">
      <c r="B81" s="328" t="str">
        <f>+B56</f>
        <v>Provider #: 500252400</v>
      </c>
      <c r="C81" s="329"/>
      <c r="D81" s="329"/>
      <c r="E81" s="330"/>
    </row>
    <row r="82" spans="2:8" ht="18" x14ac:dyDescent="0.25">
      <c r="B82" s="97"/>
      <c r="C82" s="97"/>
      <c r="D82" s="97"/>
      <c r="E82" s="97"/>
    </row>
    <row r="83" spans="2:8" ht="19" thickBot="1" x14ac:dyDescent="0.3">
      <c r="B83" s="314" t="s">
        <v>795</v>
      </c>
      <c r="C83" s="314"/>
      <c r="D83" s="314"/>
      <c r="E83" s="314"/>
    </row>
    <row r="84" spans="2:8" ht="19" x14ac:dyDescent="0.25">
      <c r="B84" s="52" t="s">
        <v>294</v>
      </c>
      <c r="C84" s="43" t="s">
        <v>267</v>
      </c>
      <c r="D84" s="43" t="s">
        <v>268</v>
      </c>
      <c r="E84" s="44" t="s">
        <v>269</v>
      </c>
    </row>
    <row r="85" spans="2:8" ht="18" x14ac:dyDescent="0.25">
      <c r="B85" s="323" t="s">
        <v>270</v>
      </c>
      <c r="C85" s="324"/>
      <c r="D85" s="324"/>
      <c r="E85" s="325"/>
    </row>
    <row r="86" spans="2:8" ht="30" customHeight="1" x14ac:dyDescent="0.25">
      <c r="B86" s="45" t="s">
        <v>315</v>
      </c>
      <c r="C86" s="38" t="s">
        <v>271</v>
      </c>
      <c r="D86" s="46" t="s">
        <v>246</v>
      </c>
      <c r="E86" s="53">
        <f>IF($I$5="OOS",'Phase In Option'!AC10,VLOOKUP($I$5,'Phase In Option'!AB4:AF7,2,FALSE))</f>
        <v>4.84</v>
      </c>
    </row>
    <row r="87" spans="2:8" ht="30" customHeight="1" x14ac:dyDescent="0.25">
      <c r="B87" s="45" t="s">
        <v>316</v>
      </c>
      <c r="C87" s="38" t="s">
        <v>272</v>
      </c>
      <c r="D87" s="46" t="s">
        <v>247</v>
      </c>
      <c r="E87" s="53" t="e">
        <f>IF($I$5="OOS",'Phase In Option'!AE10,VLOOKUP(I5,'Phase In Option'!AB4:AF7,4,FALSE))</f>
        <v>#REF!</v>
      </c>
    </row>
    <row r="88" spans="2:8" ht="30" customHeight="1" x14ac:dyDescent="0.25">
      <c r="B88" s="45" t="s">
        <v>317</v>
      </c>
      <c r="C88" s="38" t="s">
        <v>273</v>
      </c>
      <c r="D88" s="46" t="s">
        <v>248</v>
      </c>
      <c r="E88" s="53" t="e">
        <f>IF($I$5="OOS",'Phase In Option'!AF10,VLOOKUP(I5,'Phase In Option'!AB4:AF7,5,FALSE))</f>
        <v>#DIV/0!</v>
      </c>
    </row>
    <row r="89" spans="2:8" ht="30" customHeight="1" x14ac:dyDescent="0.25">
      <c r="B89" s="45" t="s">
        <v>274</v>
      </c>
      <c r="C89" s="40" t="s">
        <v>275</v>
      </c>
      <c r="D89" s="46" t="s">
        <v>245</v>
      </c>
      <c r="E89" s="47" t="s">
        <v>276</v>
      </c>
    </row>
    <row r="90" spans="2:8" ht="18" x14ac:dyDescent="0.25">
      <c r="B90" s="323" t="s">
        <v>277</v>
      </c>
      <c r="C90" s="324"/>
      <c r="D90" s="324"/>
      <c r="E90" s="325"/>
    </row>
    <row r="91" spans="2:8" ht="30" customHeight="1" x14ac:dyDescent="0.25">
      <c r="B91" s="45" t="s">
        <v>278</v>
      </c>
      <c r="C91" s="38" t="s">
        <v>279</v>
      </c>
      <c r="D91" s="46" t="s">
        <v>250</v>
      </c>
      <c r="E91" s="48" t="s">
        <v>254</v>
      </c>
      <c r="H91" t="s">
        <v>303</v>
      </c>
    </row>
    <row r="92" spans="2:8" ht="30" customHeight="1" x14ac:dyDescent="0.25">
      <c r="B92" s="45" t="s">
        <v>280</v>
      </c>
      <c r="C92" s="38" t="s">
        <v>281</v>
      </c>
      <c r="D92" s="46" t="s">
        <v>252</v>
      </c>
      <c r="E92" s="48" t="s">
        <v>254</v>
      </c>
      <c r="H92" t="str">
        <f>VLOOKUP(H5,'Averages Profiles'!K5:R14,8,FALSE)</f>
        <v>MD0001_20260401_Average_RateLetter</v>
      </c>
    </row>
    <row r="93" spans="2:8" ht="30" customHeight="1" x14ac:dyDescent="0.25">
      <c r="B93" s="45" t="s">
        <v>282</v>
      </c>
      <c r="C93" s="38" t="s">
        <v>287</v>
      </c>
      <c r="D93" s="46" t="s">
        <v>253</v>
      </c>
      <c r="E93" s="48" t="s">
        <v>254</v>
      </c>
    </row>
    <row r="94" spans="2:8" ht="30" customHeight="1" x14ac:dyDescent="0.25">
      <c r="B94" s="45" t="s">
        <v>283</v>
      </c>
      <c r="C94" s="38" t="s">
        <v>284</v>
      </c>
      <c r="D94" s="46" t="s">
        <v>251</v>
      </c>
      <c r="E94" s="48" t="s">
        <v>254</v>
      </c>
    </row>
    <row r="95" spans="2:8" ht="30" customHeight="1" x14ac:dyDescent="0.25">
      <c r="B95" s="45" t="s">
        <v>285</v>
      </c>
      <c r="C95" s="38" t="s">
        <v>304</v>
      </c>
      <c r="D95" s="46" t="s">
        <v>249</v>
      </c>
      <c r="E95" s="48" t="s">
        <v>254</v>
      </c>
    </row>
    <row r="96" spans="2:8" ht="30" customHeight="1" thickBot="1" x14ac:dyDescent="0.3">
      <c r="B96" s="49" t="s">
        <v>286</v>
      </c>
      <c r="C96" s="39" t="s">
        <v>287</v>
      </c>
      <c r="D96" s="50" t="s">
        <v>288</v>
      </c>
      <c r="E96" s="54" t="s">
        <v>254</v>
      </c>
    </row>
    <row r="97" spans="2:2" ht="16" x14ac:dyDescent="0.25">
      <c r="B97" s="7" t="s">
        <v>290</v>
      </c>
    </row>
    <row r="98" spans="2:2" ht="16" x14ac:dyDescent="0.25">
      <c r="B98" s="7" t="s">
        <v>291</v>
      </c>
    </row>
  </sheetData>
  <mergeCells count="34">
    <mergeCell ref="F4:F7"/>
    <mergeCell ref="B5:E5"/>
    <mergeCell ref="B6:E6"/>
    <mergeCell ref="B7:E7"/>
    <mergeCell ref="B10:E10"/>
    <mergeCell ref="B2:E2"/>
    <mergeCell ref="B3:E3"/>
    <mergeCell ref="B4:E4"/>
    <mergeCell ref="B36:E36"/>
    <mergeCell ref="B41:E41"/>
    <mergeCell ref="B28:E28"/>
    <mergeCell ref="B29:E29"/>
    <mergeCell ref="B30:E30"/>
    <mergeCell ref="B31:E31"/>
    <mergeCell ref="B32:E32"/>
    <mergeCell ref="B33:E33"/>
    <mergeCell ref="B60:E60"/>
    <mergeCell ref="B65:E65"/>
    <mergeCell ref="B51:E51"/>
    <mergeCell ref="B52:E52"/>
    <mergeCell ref="B53:E53"/>
    <mergeCell ref="B54:E54"/>
    <mergeCell ref="B55:E55"/>
    <mergeCell ref="B56:E56"/>
    <mergeCell ref="B58:E58"/>
    <mergeCell ref="B85:E85"/>
    <mergeCell ref="B90:E90"/>
    <mergeCell ref="B76:E76"/>
    <mergeCell ref="B77:E77"/>
    <mergeCell ref="B78:E78"/>
    <mergeCell ref="B79:E79"/>
    <mergeCell ref="B80:E80"/>
    <mergeCell ref="B81:E81"/>
    <mergeCell ref="B83:E83"/>
  </mergeCells>
  <printOptions horizontalCentered="1"/>
  <pageMargins left="0.2" right="0.2" top="0.75" bottom="0.75" header="0.3" footer="0.3"/>
  <pageSetup scale="7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4" name="Drop Down 1">
              <controlPr defaultSize="0" autoLine="0" autoPict="0">
                <anchor moveWithCells="1">
                  <from>
                    <xdr:col>6</xdr:col>
                    <xdr:colOff>38100</xdr:colOff>
                    <xdr:row>5</xdr:row>
                    <xdr:rowOff>177800</xdr:rowOff>
                  </from>
                  <to>
                    <xdr:col>9</xdr:col>
                    <xdr:colOff>774700</xdr:colOff>
                    <xdr:row>7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3"/>
  <dimension ref="A1:CQ498"/>
  <sheetViews>
    <sheetView topLeftCell="D1" zoomScaleNormal="100" workbookViewId="0">
      <pane ySplit="3" topLeftCell="A173" activePane="bottomLeft" state="frozen"/>
      <selection activeCell="D1" sqref="D1"/>
      <selection pane="bottomLeft" activeCell="X3" sqref="X3"/>
    </sheetView>
  </sheetViews>
  <sheetFormatPr baseColWidth="10" defaultColWidth="9.3984375" defaultRowHeight="12" x14ac:dyDescent="0.15"/>
  <cols>
    <col min="1" max="1" width="8.59765625" style="1" bestFit="1" customWidth="1"/>
    <col min="2" max="2" width="47.19921875" style="1" customWidth="1"/>
    <col min="3" max="3" width="9.3984375" style="1" bestFit="1" customWidth="1"/>
    <col min="4" max="4" width="16.3984375" style="1" bestFit="1" customWidth="1"/>
    <col min="5" max="5" width="23.3984375" style="1" bestFit="1" customWidth="1"/>
    <col min="6" max="6" width="22.796875" style="1" bestFit="1" customWidth="1"/>
    <col min="7" max="7" width="11.796875" style="1" bestFit="1" customWidth="1"/>
    <col min="8" max="8" width="12.3984375" style="1" bestFit="1" customWidth="1"/>
    <col min="9" max="13" width="13" style="1" customWidth="1"/>
    <col min="14" max="14" width="12" style="1" customWidth="1"/>
    <col min="15" max="15" width="13.19921875" style="1" bestFit="1" customWidth="1"/>
    <col min="16" max="16" width="9.796875" style="1" bestFit="1" customWidth="1"/>
    <col min="17" max="17" width="11.19921875" style="1" customWidth="1"/>
    <col min="18" max="18" width="13.3984375" style="1" customWidth="1"/>
    <col min="19" max="19" width="14.3984375" style="1" customWidth="1"/>
    <col min="20" max="20" width="11.3984375" style="1" customWidth="1"/>
    <col min="21" max="21" width="12.19921875" style="1" bestFit="1" customWidth="1"/>
    <col min="22" max="26" width="9.796875" style="1" customWidth="1"/>
    <col min="27" max="28" width="11.59765625" style="1" customWidth="1"/>
    <col min="29" max="29" width="15.19921875" style="1" customWidth="1"/>
    <col min="30" max="30" width="11.3984375" style="1" customWidth="1"/>
    <col min="31" max="31" width="12.19921875" style="1" customWidth="1"/>
    <col min="32" max="34" width="9.796875" style="1" customWidth="1"/>
    <col min="35" max="35" width="10.796875" style="1" customWidth="1"/>
    <col min="36" max="36" width="9.796875" style="1" customWidth="1"/>
    <col min="37" max="37" width="13" style="1" customWidth="1"/>
    <col min="38" max="38" width="13.3984375" style="1" customWidth="1"/>
    <col min="39" max="39" width="11.3984375" style="1" customWidth="1"/>
    <col min="40" max="40" width="12.3984375" style="89" customWidth="1"/>
    <col min="41" max="42" width="11.796875" style="1" customWidth="1"/>
    <col min="43" max="43" width="51.3984375" style="1" customWidth="1"/>
    <col min="44" max="44" width="34.19921875" style="1" customWidth="1"/>
    <col min="45" max="45" width="11.19921875" style="1" customWidth="1"/>
    <col min="46" max="46" width="11.3984375" style="1" bestFit="1" customWidth="1"/>
    <col min="47" max="58" width="9.59765625" style="1" customWidth="1"/>
    <col min="59" max="59" width="11.796875" style="1" bestFit="1" customWidth="1"/>
    <col min="60" max="60" width="52.3984375" style="1" bestFit="1" customWidth="1"/>
    <col min="61" max="61" width="32.3984375" style="1" customWidth="1"/>
    <col min="62" max="62" width="12" style="1" customWidth="1"/>
    <col min="63" max="63" width="11.3984375" style="1" bestFit="1" customWidth="1"/>
    <col min="64" max="64" width="11.3984375" style="1" customWidth="1"/>
    <col min="65" max="75" width="9.796875" style="1" bestFit="1" customWidth="1"/>
    <col min="76" max="76" width="11.796875" style="1" bestFit="1" customWidth="1"/>
    <col min="77" max="77" width="52.3984375" style="1" bestFit="1" customWidth="1"/>
    <col min="78" max="78" width="37.3984375" style="1" bestFit="1" customWidth="1"/>
    <col min="79" max="79" width="14" style="1" customWidth="1"/>
    <col min="80" max="80" width="11.3984375" style="1" bestFit="1" customWidth="1"/>
    <col min="81" max="92" width="9.796875" style="1" bestFit="1" customWidth="1"/>
    <col min="93" max="93" width="11.796875" style="1" bestFit="1" customWidth="1"/>
    <col min="94" max="94" width="52.3984375" style="1" bestFit="1" customWidth="1"/>
    <col min="95" max="95" width="37.3984375" style="1" bestFit="1" customWidth="1"/>
    <col min="96" max="16384" width="9.3984375" style="1"/>
  </cols>
  <sheetData>
    <row r="1" spans="1:95" s="138" customFormat="1" x14ac:dyDescent="0.15">
      <c r="A1" s="138">
        <v>1</v>
      </c>
      <c r="B1" s="138">
        <f>+A1+1</f>
        <v>2</v>
      </c>
      <c r="C1" s="138">
        <f t="shared" ref="C1:BN1" si="0">+B1+1</f>
        <v>3</v>
      </c>
      <c r="D1" s="138">
        <f t="shared" si="0"/>
        <v>4</v>
      </c>
      <c r="E1" s="138">
        <f t="shared" si="0"/>
        <v>5</v>
      </c>
      <c r="F1" s="138">
        <f t="shared" si="0"/>
        <v>6</v>
      </c>
      <c r="G1" s="138">
        <f t="shared" si="0"/>
        <v>7</v>
      </c>
      <c r="H1" s="138">
        <f t="shared" si="0"/>
        <v>8</v>
      </c>
      <c r="I1" s="138">
        <f t="shared" si="0"/>
        <v>9</v>
      </c>
      <c r="J1" s="138">
        <f t="shared" si="0"/>
        <v>10</v>
      </c>
      <c r="K1" s="138">
        <f t="shared" si="0"/>
        <v>11</v>
      </c>
      <c r="L1" s="138">
        <f t="shared" si="0"/>
        <v>12</v>
      </c>
      <c r="M1" s="138">
        <f t="shared" si="0"/>
        <v>13</v>
      </c>
      <c r="N1" s="138">
        <f t="shared" si="0"/>
        <v>14</v>
      </c>
      <c r="O1" s="138">
        <f t="shared" si="0"/>
        <v>15</v>
      </c>
      <c r="P1" s="138">
        <f t="shared" si="0"/>
        <v>16</v>
      </c>
      <c r="Q1" s="138">
        <f t="shared" si="0"/>
        <v>17</v>
      </c>
      <c r="R1" s="138">
        <f t="shared" si="0"/>
        <v>18</v>
      </c>
      <c r="S1" s="138">
        <f t="shared" si="0"/>
        <v>19</v>
      </c>
      <c r="T1" s="138">
        <f t="shared" si="0"/>
        <v>20</v>
      </c>
      <c r="U1" s="138">
        <f t="shared" si="0"/>
        <v>21</v>
      </c>
      <c r="V1" s="138">
        <f t="shared" si="0"/>
        <v>22</v>
      </c>
      <c r="W1" s="138">
        <f t="shared" si="0"/>
        <v>23</v>
      </c>
      <c r="X1" s="138">
        <f t="shared" si="0"/>
        <v>24</v>
      </c>
      <c r="Y1" s="138">
        <f t="shared" si="0"/>
        <v>25</v>
      </c>
      <c r="Z1" s="138">
        <f t="shared" si="0"/>
        <v>26</v>
      </c>
      <c r="AA1" s="138">
        <f t="shared" si="0"/>
        <v>27</v>
      </c>
      <c r="AB1" s="138">
        <f t="shared" si="0"/>
        <v>28</v>
      </c>
      <c r="AC1" s="138">
        <f t="shared" si="0"/>
        <v>29</v>
      </c>
      <c r="AD1" s="138">
        <f t="shared" si="0"/>
        <v>30</v>
      </c>
      <c r="AE1" s="138">
        <f t="shared" si="0"/>
        <v>31</v>
      </c>
      <c r="AF1" s="138">
        <f t="shared" si="0"/>
        <v>32</v>
      </c>
      <c r="AG1" s="138">
        <f t="shared" si="0"/>
        <v>33</v>
      </c>
      <c r="AH1" s="138">
        <f t="shared" si="0"/>
        <v>34</v>
      </c>
      <c r="AI1" s="138">
        <f t="shared" si="0"/>
        <v>35</v>
      </c>
      <c r="AJ1" s="138">
        <f t="shared" si="0"/>
        <v>36</v>
      </c>
      <c r="AK1" s="138">
        <f t="shared" si="0"/>
        <v>37</v>
      </c>
      <c r="AL1" s="138">
        <f t="shared" si="0"/>
        <v>38</v>
      </c>
      <c r="AM1" s="138">
        <f t="shared" si="0"/>
        <v>39</v>
      </c>
      <c r="AN1" s="138">
        <f t="shared" si="0"/>
        <v>40</v>
      </c>
      <c r="AO1" s="138">
        <f t="shared" si="0"/>
        <v>41</v>
      </c>
      <c r="AP1" s="138">
        <f t="shared" si="0"/>
        <v>42</v>
      </c>
      <c r="AQ1" s="138">
        <f t="shared" si="0"/>
        <v>43</v>
      </c>
      <c r="AR1" s="138">
        <f t="shared" si="0"/>
        <v>44</v>
      </c>
      <c r="AS1" s="138">
        <f t="shared" si="0"/>
        <v>45</v>
      </c>
      <c r="AT1" s="138">
        <f t="shared" si="0"/>
        <v>46</v>
      </c>
      <c r="AU1" s="138">
        <f t="shared" si="0"/>
        <v>47</v>
      </c>
      <c r="AV1" s="138">
        <f t="shared" si="0"/>
        <v>48</v>
      </c>
      <c r="AW1" s="138">
        <f t="shared" si="0"/>
        <v>49</v>
      </c>
      <c r="AX1" s="138">
        <f t="shared" si="0"/>
        <v>50</v>
      </c>
      <c r="AY1" s="138">
        <f t="shared" si="0"/>
        <v>51</v>
      </c>
      <c r="AZ1" s="138">
        <f t="shared" si="0"/>
        <v>52</v>
      </c>
      <c r="BA1" s="138">
        <f t="shared" si="0"/>
        <v>53</v>
      </c>
      <c r="BB1" s="138">
        <f t="shared" si="0"/>
        <v>54</v>
      </c>
      <c r="BC1" s="138">
        <f t="shared" si="0"/>
        <v>55</v>
      </c>
      <c r="BD1" s="138">
        <f t="shared" si="0"/>
        <v>56</v>
      </c>
      <c r="BE1" s="138">
        <f t="shared" si="0"/>
        <v>57</v>
      </c>
      <c r="BF1" s="138">
        <f t="shared" si="0"/>
        <v>58</v>
      </c>
      <c r="BG1" s="138">
        <f t="shared" si="0"/>
        <v>59</v>
      </c>
      <c r="BH1" s="138">
        <f t="shared" si="0"/>
        <v>60</v>
      </c>
      <c r="BI1" s="138">
        <f t="shared" si="0"/>
        <v>61</v>
      </c>
      <c r="BJ1" s="138">
        <f t="shared" si="0"/>
        <v>62</v>
      </c>
      <c r="BK1" s="138">
        <f t="shared" si="0"/>
        <v>63</v>
      </c>
      <c r="BL1" s="138">
        <f t="shared" si="0"/>
        <v>64</v>
      </c>
      <c r="BM1" s="138">
        <f t="shared" si="0"/>
        <v>65</v>
      </c>
      <c r="BN1" s="138">
        <f t="shared" si="0"/>
        <v>66</v>
      </c>
      <c r="BO1" s="138">
        <f t="shared" ref="BO1:CQ1" si="1">+BN1+1</f>
        <v>67</v>
      </c>
      <c r="BP1" s="138">
        <f t="shared" si="1"/>
        <v>68</v>
      </c>
      <c r="BQ1" s="138">
        <f t="shared" si="1"/>
        <v>69</v>
      </c>
      <c r="BR1" s="138">
        <f t="shared" si="1"/>
        <v>70</v>
      </c>
      <c r="BS1" s="138">
        <f t="shared" si="1"/>
        <v>71</v>
      </c>
      <c r="BT1" s="138">
        <f t="shared" si="1"/>
        <v>72</v>
      </c>
      <c r="BU1" s="138">
        <f t="shared" si="1"/>
        <v>73</v>
      </c>
      <c r="BV1" s="138">
        <f t="shared" si="1"/>
        <v>74</v>
      </c>
      <c r="BW1" s="138">
        <f t="shared" si="1"/>
        <v>75</v>
      </c>
      <c r="BX1" s="138">
        <f t="shared" si="1"/>
        <v>76</v>
      </c>
      <c r="BY1" s="138">
        <f t="shared" si="1"/>
        <v>77</v>
      </c>
      <c r="BZ1" s="138">
        <f t="shared" si="1"/>
        <v>78</v>
      </c>
      <c r="CA1" s="138">
        <f t="shared" si="1"/>
        <v>79</v>
      </c>
      <c r="CB1" s="138">
        <f t="shared" si="1"/>
        <v>80</v>
      </c>
      <c r="CC1" s="138">
        <f t="shared" si="1"/>
        <v>81</v>
      </c>
      <c r="CD1" s="138">
        <f t="shared" si="1"/>
        <v>82</v>
      </c>
      <c r="CE1" s="138">
        <f t="shared" si="1"/>
        <v>83</v>
      </c>
      <c r="CF1" s="138">
        <f t="shared" si="1"/>
        <v>84</v>
      </c>
      <c r="CG1" s="138">
        <f t="shared" si="1"/>
        <v>85</v>
      </c>
      <c r="CH1" s="138">
        <f t="shared" si="1"/>
        <v>86</v>
      </c>
      <c r="CI1" s="138">
        <f t="shared" si="1"/>
        <v>87</v>
      </c>
      <c r="CJ1" s="138">
        <f t="shared" si="1"/>
        <v>88</v>
      </c>
      <c r="CK1" s="138">
        <f t="shared" si="1"/>
        <v>89</v>
      </c>
      <c r="CL1" s="138">
        <f t="shared" si="1"/>
        <v>90</v>
      </c>
      <c r="CM1" s="138">
        <f t="shared" si="1"/>
        <v>91</v>
      </c>
      <c r="CN1" s="138">
        <f t="shared" si="1"/>
        <v>92</v>
      </c>
      <c r="CO1" s="138">
        <f t="shared" si="1"/>
        <v>93</v>
      </c>
      <c r="CP1" s="138">
        <f t="shared" si="1"/>
        <v>94</v>
      </c>
      <c r="CQ1" s="138">
        <f t="shared" si="1"/>
        <v>95</v>
      </c>
    </row>
    <row r="2" spans="1:95" s="138" customFormat="1" ht="12.75" customHeight="1" x14ac:dyDescent="0.15">
      <c r="I2" s="347" t="s">
        <v>847</v>
      </c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48"/>
      <c r="AF2" s="348"/>
      <c r="AG2" s="348"/>
      <c r="AH2" s="348"/>
      <c r="AI2" s="348"/>
      <c r="AJ2" s="348"/>
      <c r="AK2" s="348"/>
      <c r="AL2" s="348"/>
      <c r="AM2" s="348"/>
      <c r="AN2" s="348"/>
      <c r="AO2" s="348"/>
      <c r="AP2" s="348"/>
      <c r="AQ2" s="348"/>
      <c r="AR2" s="348"/>
      <c r="AS2" s="311" t="s">
        <v>848</v>
      </c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50" t="s">
        <v>849</v>
      </c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11" t="s">
        <v>1365</v>
      </c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</row>
    <row r="3" spans="1:95" ht="104" x14ac:dyDescent="0.15">
      <c r="A3" s="138" t="s">
        <v>145</v>
      </c>
      <c r="B3" s="2" t="s">
        <v>24</v>
      </c>
      <c r="C3" s="2" t="s">
        <v>146</v>
      </c>
      <c r="D3" s="2" t="s">
        <v>104</v>
      </c>
      <c r="E3" s="2" t="s">
        <v>613</v>
      </c>
      <c r="F3" s="2" t="s">
        <v>676</v>
      </c>
      <c r="G3" s="3" t="s">
        <v>25</v>
      </c>
      <c r="H3" s="3" t="s">
        <v>26</v>
      </c>
      <c r="I3" s="2" t="s">
        <v>54</v>
      </c>
      <c r="J3" s="2" t="s">
        <v>942</v>
      </c>
      <c r="K3" s="2" t="s">
        <v>943</v>
      </c>
      <c r="L3" s="2" t="s">
        <v>944</v>
      </c>
      <c r="M3" s="2" t="s">
        <v>642</v>
      </c>
      <c r="N3" s="2" t="s">
        <v>474</v>
      </c>
      <c r="O3" s="2" t="s">
        <v>687</v>
      </c>
      <c r="P3" s="2" t="s">
        <v>138</v>
      </c>
      <c r="Q3" s="2" t="s">
        <v>945</v>
      </c>
      <c r="R3" s="2" t="s">
        <v>946</v>
      </c>
      <c r="S3" s="2" t="s">
        <v>139</v>
      </c>
      <c r="T3" s="2" t="s">
        <v>353</v>
      </c>
      <c r="U3" s="2" t="s">
        <v>163</v>
      </c>
      <c r="V3" s="2" t="s">
        <v>950</v>
      </c>
      <c r="W3" s="2" t="s">
        <v>951</v>
      </c>
      <c r="X3" s="2" t="s">
        <v>952</v>
      </c>
      <c r="Y3" s="2" t="s">
        <v>953</v>
      </c>
      <c r="Z3" s="2" t="s">
        <v>164</v>
      </c>
      <c r="AA3" s="2" t="s">
        <v>329</v>
      </c>
      <c r="AB3" s="2" t="s">
        <v>330</v>
      </c>
      <c r="AC3" s="2" t="s">
        <v>947</v>
      </c>
      <c r="AD3" s="2" t="s">
        <v>296</v>
      </c>
      <c r="AE3" s="2" t="s">
        <v>297</v>
      </c>
      <c r="AF3" s="2" t="s">
        <v>165</v>
      </c>
      <c r="AG3" s="2" t="s">
        <v>949</v>
      </c>
      <c r="AH3" s="2" t="s">
        <v>948</v>
      </c>
      <c r="AI3" s="2" t="s">
        <v>954</v>
      </c>
      <c r="AJ3" s="2" t="s">
        <v>955</v>
      </c>
      <c r="AK3" s="2" t="s">
        <v>244</v>
      </c>
      <c r="AL3" s="2" t="s">
        <v>218</v>
      </c>
      <c r="AM3" s="2" t="s">
        <v>306</v>
      </c>
      <c r="AN3" s="2" t="s">
        <v>308</v>
      </c>
      <c r="AO3" s="2" t="s">
        <v>336</v>
      </c>
      <c r="AP3" s="138" t="s">
        <v>318</v>
      </c>
      <c r="AQ3" s="138" t="s">
        <v>265</v>
      </c>
      <c r="AR3" s="2" t="s">
        <v>302</v>
      </c>
      <c r="AS3" s="2" t="s">
        <v>762</v>
      </c>
      <c r="AT3" s="2" t="s">
        <v>474</v>
      </c>
      <c r="AU3" s="2" t="s">
        <v>475</v>
      </c>
      <c r="AV3" s="2" t="s">
        <v>138</v>
      </c>
      <c r="AW3" s="2" t="s">
        <v>139</v>
      </c>
      <c r="AX3" s="2" t="s">
        <v>487</v>
      </c>
      <c r="AY3" s="2" t="s">
        <v>163</v>
      </c>
      <c r="AZ3" s="2" t="s">
        <v>743</v>
      </c>
      <c r="BA3" s="2" t="s">
        <v>296</v>
      </c>
      <c r="BB3" s="2" t="s">
        <v>297</v>
      </c>
      <c r="BC3" s="2" t="s">
        <v>165</v>
      </c>
      <c r="BD3" s="2" t="s">
        <v>306</v>
      </c>
      <c r="BE3" s="2" t="s">
        <v>308</v>
      </c>
      <c r="BF3" s="2" t="s">
        <v>336</v>
      </c>
      <c r="BG3" s="2" t="s">
        <v>318</v>
      </c>
      <c r="BH3" s="2" t="s">
        <v>265</v>
      </c>
      <c r="BI3" s="2" t="s">
        <v>302</v>
      </c>
      <c r="BJ3" s="2" t="s">
        <v>791</v>
      </c>
      <c r="BK3" s="2" t="s">
        <v>474</v>
      </c>
      <c r="BL3" s="2" t="s">
        <v>475</v>
      </c>
      <c r="BM3" s="2" t="s">
        <v>138</v>
      </c>
      <c r="BN3" s="2" t="s">
        <v>139</v>
      </c>
      <c r="BO3" s="2" t="s">
        <v>487</v>
      </c>
      <c r="BP3" s="2" t="s">
        <v>163</v>
      </c>
      <c r="BQ3" s="2" t="s">
        <v>743</v>
      </c>
      <c r="BR3" s="2" t="s">
        <v>296</v>
      </c>
      <c r="BS3" s="2" t="s">
        <v>297</v>
      </c>
      <c r="BT3" s="2" t="s">
        <v>165</v>
      </c>
      <c r="BU3" s="2" t="s">
        <v>306</v>
      </c>
      <c r="BV3" s="2" t="s">
        <v>308</v>
      </c>
      <c r="BW3" s="2" t="s">
        <v>336</v>
      </c>
      <c r="BX3" s="2" t="s">
        <v>318</v>
      </c>
      <c r="BY3" s="2" t="s">
        <v>265</v>
      </c>
      <c r="BZ3" s="2" t="s">
        <v>302</v>
      </c>
      <c r="CA3" s="2" t="s">
        <v>792</v>
      </c>
      <c r="CB3" s="2" t="s">
        <v>474</v>
      </c>
      <c r="CC3" s="2" t="s">
        <v>475</v>
      </c>
      <c r="CD3" s="2" t="s">
        <v>138</v>
      </c>
      <c r="CE3" s="2" t="s">
        <v>139</v>
      </c>
      <c r="CF3" s="2" t="s">
        <v>487</v>
      </c>
      <c r="CG3" s="2" t="s">
        <v>163</v>
      </c>
      <c r="CH3" s="2" t="s">
        <v>743</v>
      </c>
      <c r="CI3" s="2" t="s">
        <v>296</v>
      </c>
      <c r="CJ3" s="2" t="s">
        <v>297</v>
      </c>
      <c r="CK3" s="2" t="s">
        <v>165</v>
      </c>
      <c r="CL3" s="2" t="s">
        <v>306</v>
      </c>
      <c r="CM3" s="2" t="s">
        <v>308</v>
      </c>
      <c r="CN3" s="2" t="s">
        <v>336</v>
      </c>
      <c r="CO3" s="2" t="s">
        <v>318</v>
      </c>
      <c r="CP3" s="2" t="s">
        <v>265</v>
      </c>
      <c r="CQ3" s="2" t="s">
        <v>302</v>
      </c>
    </row>
    <row r="4" spans="1:95" x14ac:dyDescent="0.15">
      <c r="A4" s="130">
        <v>228</v>
      </c>
      <c r="B4" s="37" t="s">
        <v>495</v>
      </c>
      <c r="C4" s="1" t="s">
        <v>148</v>
      </c>
      <c r="D4" s="1" t="s">
        <v>120</v>
      </c>
      <c r="E4" s="1" t="str">
        <f>VLOOKUP(D4,Documentation!$B$4:$D$27,3,FALSE)</f>
        <v>WASHINGTON METRO</v>
      </c>
      <c r="F4" s="1" t="str">
        <f>VLOOKUP(D4,Documentation!$B$4:$C$27,2,FALSE)</f>
        <v>WASHINGTON METRO</v>
      </c>
      <c r="G4" s="82">
        <f>VLOOKUP(A4,'2022 CR and CMI'!$A$3:$D$207,3,FALSE)</f>
        <v>44562</v>
      </c>
      <c r="H4" s="82">
        <f>VLOOKUP(A4,'2022 CR and CMI'!$A$3:$D$207,4,FALSE)</f>
        <v>44926</v>
      </c>
      <c r="I4" s="72">
        <f>VLOOKUP(A4,'2022 CR and CMI'!$A$2:$T$210,19,FALSE)</f>
        <v>1.3339000000000001</v>
      </c>
      <c r="J4" s="139">
        <f>Inflation!$G$24</f>
        <v>1.0309999999999999</v>
      </c>
      <c r="K4" s="192">
        <f>VLOOKUP(E4,Limits!$B$2:$D$5,3,FALSE)</f>
        <v>176.01</v>
      </c>
      <c r="L4" s="192">
        <f>ROUND(K4*J4,2)</f>
        <v>181.47</v>
      </c>
      <c r="M4" s="140">
        <f>VLOOKUP(A4,'CMI Data'!$A$4:$C$208,3,FALSE)</f>
        <v>1.3796999999999999</v>
      </c>
      <c r="N4" s="68">
        <f t="shared" ref="N4:N67" si="2">IF($I4="NA","NA",ROUND($L4*$I4/SW_CR_CMI,2))</f>
        <v>167.73</v>
      </c>
      <c r="O4" s="68">
        <f>IF($I4="NA",ROUND(M4*L4,2),ROUND(N4*(M4/$I4),2))</f>
        <v>173.49</v>
      </c>
      <c r="P4" s="75">
        <f>IF($I4="NA","NA",ROUND(O4*0.95,2))</f>
        <v>164.82</v>
      </c>
      <c r="Q4" s="75">
        <v>136.49</v>
      </c>
      <c r="R4" s="75">
        <f>IF(Q4="NA","NA",ROUND(Q4*J4,2))</f>
        <v>140.72</v>
      </c>
      <c r="S4" s="68">
        <f>IF($I4="NA","NA",ROUND(R4*M4/$I4,2))</f>
        <v>145.55000000000001</v>
      </c>
      <c r="T4" s="75">
        <f>IF(S4="NA","NA",MIN(S4-P4,0))</f>
        <v>-19.27</v>
      </c>
      <c r="U4" s="68">
        <f>IF(T4="NA",O4,O4+T4)</f>
        <v>154.22</v>
      </c>
      <c r="V4" s="68">
        <f>VLOOKUP($F4,Limits!$J$2:$L$5,3,FALSE)</f>
        <v>19.23</v>
      </c>
      <c r="W4" s="68">
        <f>ROUND(V4*J4,2)</f>
        <v>19.829999999999998</v>
      </c>
      <c r="X4" s="68">
        <f>VLOOKUP($F4,Limits!$R$2:$T$5,3,FALSE)</f>
        <v>100.61</v>
      </c>
      <c r="Y4" s="68">
        <f>ROUND(X4*J4,2)</f>
        <v>103.73</v>
      </c>
      <c r="Z4" s="75">
        <f>VLOOKUP(A4,FRV!$A$4:$U$208,21,FALSE)</f>
        <v>25.89</v>
      </c>
      <c r="AA4" s="141">
        <f>VLOOKUP(A4,'RE Tax'!$A$2:$G$206,3,FALSE)</f>
        <v>45292</v>
      </c>
      <c r="AB4" s="141">
        <f>VLOOKUP(A4,'RE Tax'!$A$2:$G$206,4,FALSE)</f>
        <v>45657</v>
      </c>
      <c r="AC4" s="4">
        <f>VLOOKUP(A4,'RE Tax'!$A$2:$G$206,7,FALSE)</f>
        <v>141398</v>
      </c>
      <c r="AD4" s="4">
        <f>VLOOKUP($A4,'RE Tax'!$A$2:$I$206,9,FALSE)</f>
        <v>62220</v>
      </c>
      <c r="AE4" s="4">
        <f>VLOOKUP($A4,'RE Tax'!$A$2:$I$206,8,FALSE)</f>
        <v>59362</v>
      </c>
      <c r="AF4" s="142">
        <f>IF(ISNA(VLOOKUP(A4&amp;AB4,'Days Exceptions'!$C$3:$I$7,6,FALSE)),ROUND(AC4/MAX(AE4,(AD4*Min_Occ)),2),ROUND(AC4/VLOOKUP(A4&amp;AB4,'Days Exceptions'!$C$3:$I$7,6,FALSE),2))</f>
        <v>2.38</v>
      </c>
      <c r="AG4" s="68">
        <v>0</v>
      </c>
      <c r="AH4" s="68">
        <f>ROUND(AG4*J4,2)</f>
        <v>0</v>
      </c>
      <c r="AI4" s="4">
        <v>51474</v>
      </c>
      <c r="AJ4" s="4">
        <v>59007</v>
      </c>
      <c r="AK4" s="68">
        <f>IF(AI4=0,0,IF(ISNA(MATCH(A4,Documentation!$B$66:$B$71,0)),QA_Tax_reg,QA_Tax_5high))</f>
        <v>32.92</v>
      </c>
      <c r="AL4" s="75">
        <f>IF(AK4=0,0,ROUND((AK4*AI4)/AJ4,2))</f>
        <v>28.72</v>
      </c>
      <c r="AM4" s="68">
        <f>+AH4+AF4+Z4+Y4+W4+U4</f>
        <v>306.05</v>
      </c>
      <c r="AN4" s="68">
        <f>+AH4+AF4+Z4+Y4+W4+ROUND(U4*0.5,2)</f>
        <v>228.94</v>
      </c>
      <c r="AO4" s="68">
        <f>+AH4+AF4+Z4+Y4+W4</f>
        <v>151.83000000000001</v>
      </c>
      <c r="AP4" s="37" t="s">
        <v>510</v>
      </c>
      <c r="AQ4" s="37" t="s">
        <v>495</v>
      </c>
      <c r="AR4" s="37" t="s">
        <v>957</v>
      </c>
      <c r="AS4" s="66" t="e">
        <f>VLOOKUP(A4,'CMI Data'!$A$3:$J$209,10,FALSE)</f>
        <v>#DIV/0!</v>
      </c>
      <c r="AT4" s="68">
        <f t="shared" ref="AT4:AT67" si="3">IF($I4="NA","NA",ROUND($K4*$I4/SW_CR_CMI,2))</f>
        <v>162.68</v>
      </c>
      <c r="AU4" s="68" t="e">
        <f t="shared" ref="AU4:AU67" si="4">IF($I4="NA",ROUND(AS4*$K4,2),ROUND(AT4*(AS4/$I4),2))</f>
        <v>#DIV/0!</v>
      </c>
      <c r="AV4" s="75" t="e">
        <f>IF($I4="NA","NA",ROUND(AU4*0.95,2))</f>
        <v>#DIV/0!</v>
      </c>
      <c r="AW4" s="68" t="e">
        <f>IF($I4="NA","NA",ROUND(#REF!*$AS4/$I4,2))</f>
        <v>#REF!</v>
      </c>
      <c r="AX4" s="75" t="e">
        <f>IF(AW4="NA","NA",MIN(AW4-AV4,0))</f>
        <v>#REF!</v>
      </c>
      <c r="AY4" s="68" t="e">
        <f>IF(AX4="NA",AU4,AU4+AX4)</f>
        <v>#REF!</v>
      </c>
      <c r="AZ4" s="4">
        <f t="shared" ref="AZ4:AZ68" si="5">$AC4</f>
        <v>141398</v>
      </c>
      <c r="BA4" s="4">
        <f t="shared" ref="BA4:BA68" si="6">$AD4</f>
        <v>62220</v>
      </c>
      <c r="BB4" s="4">
        <f t="shared" ref="BB4:BB68" si="7">$AE4</f>
        <v>59362</v>
      </c>
      <c r="BC4" s="142">
        <f>IF(ISNA(VLOOKUP($A4&amp;$AB4,'Days Exceptions'!$C$3:$I$7,6,FALSE)),ROUND(AZ4/MAX(BB4,(BA4*Min_Occ)),2),ROUND(AZ4/VLOOKUP($A4&amp;$AB4,'Days Exceptions'!$C$3:$I$7,6,FALSE),2))</f>
        <v>2.38</v>
      </c>
      <c r="BD4" s="143" t="e">
        <f t="shared" ref="BD4:BD67" si="8">$BC4+$AY4+$AG4+$Z4+$X4+$V4</f>
        <v>#REF!</v>
      </c>
      <c r="BE4" s="143" t="e">
        <f t="shared" ref="BE4:BE67" si="9">$BC4+$AG4+$Z4+$X4+$V4+ROUND(+$AY4*0.5,2)</f>
        <v>#REF!</v>
      </c>
      <c r="BF4" s="143">
        <f t="shared" ref="BF4:BF67" si="10">$BC4+$AG4+$Z4+$X4+$V4</f>
        <v>148.11000000000001</v>
      </c>
      <c r="BG4" s="37" t="s">
        <v>510</v>
      </c>
      <c r="BH4" s="37" t="s">
        <v>495</v>
      </c>
      <c r="BI4" s="37" t="s">
        <v>1161</v>
      </c>
      <c r="BJ4" s="66" t="e">
        <f>VLOOKUP(A4,'CMI Data'!$A$3:$AZ$209,15,FALSE)</f>
        <v>#DIV/0!</v>
      </c>
      <c r="BK4" s="68">
        <f t="shared" ref="BK4:BK67" si="11">IF($I4="NA","NA",ROUND($K4*$I4/SW_CR_CMI,2))</f>
        <v>162.68</v>
      </c>
      <c r="BL4" s="68" t="e">
        <f t="shared" ref="BL4:BL67" si="12">IF($I4="NA",ROUND(BJ4*$K4,2),ROUND(BK4*(BJ4/$I4),2))</f>
        <v>#DIV/0!</v>
      </c>
      <c r="BM4" s="75" t="e">
        <f t="shared" ref="BM4:BM68" si="13">IF($I4="NA","NA",ROUND(BL4*0.95,2))</f>
        <v>#DIV/0!</v>
      </c>
      <c r="BN4" s="68" t="e">
        <f>IF($I4="NA","NA",ROUND(#REF!*$BJ4/$I4,2))</f>
        <v>#REF!</v>
      </c>
      <c r="BO4" s="75" t="e">
        <f t="shared" ref="BO4:BO68" si="14">IF(BN4="NA","NA",MIN(BN4-BM4,0))</f>
        <v>#REF!</v>
      </c>
      <c r="BP4" s="68" t="e">
        <f>IF(BO4="NA",BL4,BL4+BO4)</f>
        <v>#REF!</v>
      </c>
      <c r="BQ4" s="4">
        <f t="shared" ref="BQ4:BQ68" si="15">$AC4</f>
        <v>141398</v>
      </c>
      <c r="BR4" s="4">
        <f t="shared" ref="BR4:BR68" si="16">$AD4</f>
        <v>62220</v>
      </c>
      <c r="BS4" s="4">
        <f t="shared" ref="BS4:BS68" si="17">$AE4</f>
        <v>59362</v>
      </c>
      <c r="BT4" s="142">
        <f>IF(ISNA(VLOOKUP($A4&amp;$AB4,'Days Exceptions'!$C$3:$I$7,6,FALSE)),ROUND(BQ4/MAX(BS4,(BR4*Min_Occ)),2),ROUND(BQ4/VLOOKUP($A4&amp;$AB4,'Days Exceptions'!$C$3:$I$7,6,FALSE),2))</f>
        <v>2.38</v>
      </c>
      <c r="BU4" s="143" t="e">
        <f t="shared" ref="BU4:BU67" si="18">$BT4+$BP4+$AG4+$Z4+$X4+$V4</f>
        <v>#REF!</v>
      </c>
      <c r="BV4" s="143" t="e">
        <f t="shared" ref="BV4:BV67" si="19">$BT4+$AG4+$Z4+$X4+$V4+ROUND(+$BP4*0.5,2)</f>
        <v>#REF!</v>
      </c>
      <c r="BW4" s="143">
        <f t="shared" ref="BW4:BW67" si="20">$BT4+$AG4+$Z4+$X4+$V4</f>
        <v>148.11000000000001</v>
      </c>
      <c r="BX4" s="37" t="s">
        <v>510</v>
      </c>
      <c r="BY4" s="37" t="s">
        <v>495</v>
      </c>
      <c r="BZ4" s="37" t="s">
        <v>1366</v>
      </c>
      <c r="CA4" s="66" t="e">
        <f>VLOOKUP(A4,'CMI Data'!$A$3:$AZ$209,20,FALSE)</f>
        <v>#DIV/0!</v>
      </c>
      <c r="CB4" s="68">
        <f t="shared" ref="CB4:CB67" si="21">IF($I4="NA","NA",ROUND($K4*$I4/SW_CR_CMI,2))</f>
        <v>162.68</v>
      </c>
      <c r="CC4" s="68" t="e">
        <f t="shared" ref="CC4:CC67" si="22">IF($I4="NA",ROUND(CA4*$K4,2),ROUND(CB4*(CA4/$I4),2))</f>
        <v>#DIV/0!</v>
      </c>
      <c r="CD4" s="75" t="e">
        <f>IF($I4="NA","NA",ROUND(CC4*0.95,2))</f>
        <v>#DIV/0!</v>
      </c>
      <c r="CE4" s="68" t="e">
        <f>IF($I4="NA","NA",ROUND(#REF!*$CA4/$I4,2))</f>
        <v>#REF!</v>
      </c>
      <c r="CF4" s="75" t="e">
        <f t="shared" ref="CF4:CF68" si="23">IF(CE4="NA","NA",MIN(CE4-CD4,0))</f>
        <v>#REF!</v>
      </c>
      <c r="CG4" s="68" t="e">
        <f t="shared" ref="CG4:CG68" si="24">IF(CF4="NA",CC4,CC4+CF4)</f>
        <v>#REF!</v>
      </c>
      <c r="CH4" s="4">
        <f t="shared" ref="CH4:CH68" si="25">$AC4</f>
        <v>141398</v>
      </c>
      <c r="CI4" s="4">
        <f t="shared" ref="CI4:CI68" si="26">$AD4</f>
        <v>62220</v>
      </c>
      <c r="CJ4" s="4">
        <f t="shared" ref="CJ4:CJ68" si="27">$AE4</f>
        <v>59362</v>
      </c>
      <c r="CK4" s="142">
        <f>IF(ISNA(VLOOKUP($A4&amp;$AB4,'Days Exceptions'!$C$3:$I$7,6,FALSE)),ROUND(CH4/MAX(CJ4,(CI4*Min_Occ)),2),ROUND(CH4/VLOOKUP($A4&amp;$AB4,'Days Exceptions'!$C$3:$I$7,6,FALSE),2))</f>
        <v>2.38</v>
      </c>
      <c r="CL4" s="143" t="e">
        <f t="shared" ref="CL4:CL67" si="28">$CK4+$CG4+$AG4+$Z4+$X4+$V4</f>
        <v>#REF!</v>
      </c>
      <c r="CM4" s="143" t="e">
        <f t="shared" ref="CM4:CM67" si="29">$CK4+$AG4+$Z4+$X4+$V4+ROUND(+$CG4*0.5,2)</f>
        <v>#REF!</v>
      </c>
      <c r="CN4" s="143">
        <f t="shared" ref="CN4:CN67" si="30">$CK4+$AG4+$Z4+$X4+$V4</f>
        <v>148.11000000000001</v>
      </c>
      <c r="CO4" s="37" t="s">
        <v>510</v>
      </c>
      <c r="CP4" s="37" t="s">
        <v>495</v>
      </c>
      <c r="CQ4" s="37" t="s">
        <v>1367</v>
      </c>
    </row>
    <row r="5" spans="1:95" x14ac:dyDescent="0.15">
      <c r="A5" s="130">
        <v>70</v>
      </c>
      <c r="B5" s="37" t="s">
        <v>697</v>
      </c>
      <c r="C5" s="1" t="s">
        <v>148</v>
      </c>
      <c r="D5" s="1" t="s">
        <v>107</v>
      </c>
      <c r="E5" s="1" t="str">
        <f>VLOOKUP(D5,Documentation!$B$4:$D$27,3,FALSE)</f>
        <v>BALTIMORE METRO</v>
      </c>
      <c r="F5" s="1" t="str">
        <f>VLOOKUP(D5,Documentation!$B$4:$C$27,2,FALSE)</f>
        <v>BALTIMORE METRO</v>
      </c>
      <c r="G5" s="82">
        <f>VLOOKUP(A5,'2022 CR and CMI'!$A$3:$D$207,3,FALSE)</f>
        <v>44562</v>
      </c>
      <c r="H5" s="82">
        <f>VLOOKUP(A5,'2022 CR and CMI'!$A$3:$D$207,4,FALSE)</f>
        <v>44926</v>
      </c>
      <c r="I5" s="72">
        <f>VLOOKUP(A5,'2022 CR and CMI'!$A$2:$T$210,19,FALSE)</f>
        <v>1.4508000000000001</v>
      </c>
      <c r="J5" s="139">
        <f>Inflation!$G$24</f>
        <v>1.0309999999999999</v>
      </c>
      <c r="K5" s="192">
        <f>VLOOKUP(E5,Limits!$B$2:$D$5,3,FALSE)</f>
        <v>195.33</v>
      </c>
      <c r="L5" s="192">
        <f t="shared" ref="L5:L68" si="31">ROUND(K5*J5,2)</f>
        <v>201.39</v>
      </c>
      <c r="M5" s="140">
        <f>VLOOKUP(A5,'CMI Data'!$A$4:$C$208,3,FALSE)</f>
        <v>1.5367999999999999</v>
      </c>
      <c r="N5" s="68">
        <f t="shared" si="2"/>
        <v>202.45</v>
      </c>
      <c r="O5" s="68">
        <f t="shared" ref="O5:O68" si="32">IF($I5="NA",ROUND(M5*L5,2),ROUND(N5*(M5/$I5),2))</f>
        <v>214.45</v>
      </c>
      <c r="P5" s="75">
        <f t="shared" ref="P5:P68" si="33">IF($I5="NA","NA",ROUND(O5*0.95,2))</f>
        <v>203.73</v>
      </c>
      <c r="Q5" s="75">
        <v>308.72000000000003</v>
      </c>
      <c r="R5" s="75">
        <f t="shared" ref="R5:R68" si="34">IF(Q5="NA","NA",ROUND(Q5*J5,2))</f>
        <v>318.29000000000002</v>
      </c>
      <c r="S5" s="68">
        <f t="shared" ref="S5:S68" si="35">IF($I5="NA","NA",ROUND(R5*M5/$I5,2))</f>
        <v>337.16</v>
      </c>
      <c r="T5" s="75">
        <f t="shared" ref="T5:T68" si="36">IF(S5="NA","NA",MIN(S5-P5,0))</f>
        <v>0</v>
      </c>
      <c r="U5" s="68">
        <f t="shared" ref="U5:U68" si="37">IF(T5="NA",O5,O5+T5)</f>
        <v>214.45</v>
      </c>
      <c r="V5" s="68">
        <f>VLOOKUP($F5,Limits!$J$2:$L$5,3,FALSE)</f>
        <v>20.85</v>
      </c>
      <c r="W5" s="68">
        <f t="shared" ref="W5:W68" si="38">ROUND(V5*J5,2)</f>
        <v>21.5</v>
      </c>
      <c r="X5" s="68">
        <f>VLOOKUP($F5,Limits!$R$2:$T$5,3,FALSE)</f>
        <v>102.02</v>
      </c>
      <c r="Y5" s="68">
        <f t="shared" ref="Y5:Y68" si="39">ROUND(X5*J5,2)</f>
        <v>105.18</v>
      </c>
      <c r="Z5" s="75">
        <f>VLOOKUP(A5,FRV!$A$4:$U$208,21,FALSE)</f>
        <v>44.29</v>
      </c>
      <c r="AA5" s="141">
        <f>VLOOKUP(A5,'RE Tax'!$A$2:$G$206,3,FALSE)</f>
        <v>45292</v>
      </c>
      <c r="AB5" s="141">
        <f>VLOOKUP(A5,'RE Tax'!$A$2:$G$206,4,FALSE)</f>
        <v>45657</v>
      </c>
      <c r="AC5" s="4">
        <f>VLOOKUP(A5,'RE Tax'!$A$2:$G$206,7,FALSE)</f>
        <v>81244</v>
      </c>
      <c r="AD5" s="4">
        <f>VLOOKUP($A5,'RE Tax'!$A$2:$I$206,9,FALSE)</f>
        <v>40260</v>
      </c>
      <c r="AE5" s="4">
        <f>VLOOKUP($A5,'RE Tax'!$A$2:$I$206,8,FALSE)</f>
        <v>29117</v>
      </c>
      <c r="AF5" s="142">
        <f>IF(ISNA(VLOOKUP(A5&amp;AB5,'Days Exceptions'!$C$3:$I$7,6,FALSE)),ROUND(AC5/MAX(AE5,(AD5*Min_Occ)),2),ROUND(AC5/VLOOKUP(A5&amp;AB5,'Days Exceptions'!$C$3:$I$7,6,FALSE),2))</f>
        <v>2.48</v>
      </c>
      <c r="AG5" s="68">
        <v>0</v>
      </c>
      <c r="AH5" s="68">
        <f t="shared" ref="AH5:AH68" si="40">ROUND(AG5*J5,2)</f>
        <v>0</v>
      </c>
      <c r="AI5" s="4">
        <v>6697</v>
      </c>
      <c r="AJ5" s="4">
        <v>29023</v>
      </c>
      <c r="AK5" s="68">
        <f>IF(AI5=0,0,IF(ISNA(MATCH(A5,Documentation!$B$66:$B$71,0)),QA_Tax_reg,QA_Tax_5high))</f>
        <v>32.92</v>
      </c>
      <c r="AL5" s="75">
        <f t="shared" ref="AL5:AL68" si="41">IF(AK5=0,0,ROUND((AK5*AI5)/AJ5,2))</f>
        <v>7.6</v>
      </c>
      <c r="AM5" s="68">
        <f t="shared" ref="AM5:AM68" si="42">+AH5+AF5+Z5+Y5+W5+U5</f>
        <v>387.9</v>
      </c>
      <c r="AN5" s="68">
        <f t="shared" ref="AN5:AN68" si="43">+AH5+AF5+Z5+Y5+W5+ROUND(U5*0.5,2)</f>
        <v>280.68</v>
      </c>
      <c r="AO5" s="68">
        <f t="shared" ref="AO5:AO68" si="44">+AH5+AF5+Z5+Y5+W5</f>
        <v>173.45</v>
      </c>
      <c r="AP5" s="37" t="s">
        <v>696</v>
      </c>
      <c r="AQ5" s="37" t="s">
        <v>697</v>
      </c>
      <c r="AR5" s="37" t="s">
        <v>958</v>
      </c>
      <c r="AS5" s="66" t="e">
        <f>VLOOKUP(A5,'CMI Data'!$A$3:$J$209,10,FALSE)</f>
        <v>#DIV/0!</v>
      </c>
      <c r="AT5" s="68">
        <f t="shared" si="3"/>
        <v>196.36</v>
      </c>
      <c r="AU5" s="68" t="e">
        <f t="shared" si="4"/>
        <v>#DIV/0!</v>
      </c>
      <c r="AV5" s="75" t="e">
        <f t="shared" ref="AV5:AV68" si="45">IF($I5="NA","NA",ROUND(AU5*0.95,2))</f>
        <v>#DIV/0!</v>
      </c>
      <c r="AW5" s="68" t="e">
        <f>IF($I5="NA","NA",ROUND(#REF!*$AS5/$I5,2))</f>
        <v>#REF!</v>
      </c>
      <c r="AX5" s="75" t="e">
        <f t="shared" ref="AX5:AX54" si="46">IF(AW5="NA","NA",MIN(AW5-AV5,0))</f>
        <v>#REF!</v>
      </c>
      <c r="AY5" s="68" t="e">
        <f t="shared" ref="AY5:AY68" si="47">IF(AX5="NA",AU5,AU5+AX5)</f>
        <v>#REF!</v>
      </c>
      <c r="AZ5" s="4">
        <f t="shared" si="5"/>
        <v>81244</v>
      </c>
      <c r="BA5" s="4">
        <f t="shared" si="6"/>
        <v>40260</v>
      </c>
      <c r="BB5" s="4">
        <f t="shared" si="7"/>
        <v>29117</v>
      </c>
      <c r="BC5" s="142">
        <f>IF(ISNA(VLOOKUP($A5&amp;$AB5,'Days Exceptions'!$C$3:$I$7,6,FALSE)),ROUND(AZ5/MAX(BB5,(BA5*Min_Occ)),2),ROUND(AZ5/VLOOKUP($A5&amp;$AB5,'Days Exceptions'!$C$3:$I$7,6,FALSE),2))</f>
        <v>2.48</v>
      </c>
      <c r="BD5" s="143" t="e">
        <f t="shared" si="8"/>
        <v>#REF!</v>
      </c>
      <c r="BE5" s="143" t="e">
        <f t="shared" si="9"/>
        <v>#REF!</v>
      </c>
      <c r="BF5" s="143">
        <f t="shared" si="10"/>
        <v>169.64</v>
      </c>
      <c r="BG5" s="37" t="s">
        <v>696</v>
      </c>
      <c r="BH5" s="37" t="s">
        <v>697</v>
      </c>
      <c r="BI5" s="37" t="s">
        <v>1162</v>
      </c>
      <c r="BJ5" s="66" t="e">
        <f>VLOOKUP(A5,'CMI Data'!$A$3:$AZ$209,15,FALSE)</f>
        <v>#DIV/0!</v>
      </c>
      <c r="BK5" s="68">
        <f t="shared" si="11"/>
        <v>196.36</v>
      </c>
      <c r="BL5" s="68" t="e">
        <f t="shared" si="12"/>
        <v>#DIV/0!</v>
      </c>
      <c r="BM5" s="75" t="e">
        <f t="shared" si="13"/>
        <v>#DIV/0!</v>
      </c>
      <c r="BN5" s="68" t="e">
        <f>IF($I5="NA","NA",ROUND(#REF!*$BJ5/$I5,2))</f>
        <v>#REF!</v>
      </c>
      <c r="BO5" s="75" t="e">
        <f t="shared" si="14"/>
        <v>#REF!</v>
      </c>
      <c r="BP5" s="68" t="e">
        <f t="shared" ref="BP5:BP68" si="48">IF(BO5="NA",BL5,BL5+BO5)</f>
        <v>#REF!</v>
      </c>
      <c r="BQ5" s="4">
        <f t="shared" si="15"/>
        <v>81244</v>
      </c>
      <c r="BR5" s="4">
        <f t="shared" si="16"/>
        <v>40260</v>
      </c>
      <c r="BS5" s="4">
        <f t="shared" si="17"/>
        <v>29117</v>
      </c>
      <c r="BT5" s="142">
        <f>IF(ISNA(VLOOKUP($A5&amp;$AB5,'Days Exceptions'!$C$3:$I$7,6,FALSE)),ROUND(BQ5/MAX(BS5,(BR5*Min_Occ)),2),ROUND(BQ5/VLOOKUP($A5&amp;$AB5,'Days Exceptions'!$C$3:$I$7,6,FALSE),2))</f>
        <v>2.48</v>
      </c>
      <c r="BU5" s="143" t="e">
        <f t="shared" si="18"/>
        <v>#REF!</v>
      </c>
      <c r="BV5" s="143" t="e">
        <f t="shared" si="19"/>
        <v>#REF!</v>
      </c>
      <c r="BW5" s="143">
        <f t="shared" si="20"/>
        <v>169.64</v>
      </c>
      <c r="BX5" s="37" t="s">
        <v>696</v>
      </c>
      <c r="BY5" s="37" t="s">
        <v>697</v>
      </c>
      <c r="BZ5" s="37" t="s">
        <v>1368</v>
      </c>
      <c r="CA5" s="66" t="e">
        <f>VLOOKUP(A5,'CMI Data'!$A$3:$AZ$209,20,FALSE)</f>
        <v>#DIV/0!</v>
      </c>
      <c r="CB5" s="68">
        <f t="shared" si="21"/>
        <v>196.36</v>
      </c>
      <c r="CC5" s="68" t="e">
        <f t="shared" si="22"/>
        <v>#DIV/0!</v>
      </c>
      <c r="CD5" s="75" t="e">
        <f t="shared" ref="CD5:CD68" si="49">IF($I5="NA","NA",ROUND(CC5*0.95,2))</f>
        <v>#DIV/0!</v>
      </c>
      <c r="CE5" s="68" t="e">
        <f>IF($I5="NA","NA",ROUND(#REF!*$CA5/$I5,2))</f>
        <v>#REF!</v>
      </c>
      <c r="CF5" s="75" t="e">
        <f t="shared" si="23"/>
        <v>#REF!</v>
      </c>
      <c r="CG5" s="68" t="e">
        <f t="shared" si="24"/>
        <v>#REF!</v>
      </c>
      <c r="CH5" s="4">
        <f t="shared" si="25"/>
        <v>81244</v>
      </c>
      <c r="CI5" s="4">
        <f t="shared" si="26"/>
        <v>40260</v>
      </c>
      <c r="CJ5" s="4">
        <f t="shared" si="27"/>
        <v>29117</v>
      </c>
      <c r="CK5" s="142">
        <f>IF(ISNA(VLOOKUP($A5&amp;$AB5,'Days Exceptions'!$C$3:$I$7,6,FALSE)),ROUND(CH5/MAX(CJ5,(CI5*Min_Occ)),2),ROUND(CH5/VLOOKUP($A5&amp;$AB5,'Days Exceptions'!$C$3:$I$7,6,FALSE),2))</f>
        <v>2.48</v>
      </c>
      <c r="CL5" s="143" t="e">
        <f t="shared" si="28"/>
        <v>#REF!</v>
      </c>
      <c r="CM5" s="143" t="e">
        <f t="shared" si="29"/>
        <v>#REF!</v>
      </c>
      <c r="CN5" s="143">
        <f t="shared" si="30"/>
        <v>169.64</v>
      </c>
      <c r="CO5" s="37" t="s">
        <v>696</v>
      </c>
      <c r="CP5" s="37" t="s">
        <v>697</v>
      </c>
      <c r="CQ5" s="37" t="s">
        <v>1369</v>
      </c>
    </row>
    <row r="6" spans="1:95" x14ac:dyDescent="0.15">
      <c r="A6" s="130">
        <v>30</v>
      </c>
      <c r="B6" s="37" t="s">
        <v>223</v>
      </c>
      <c r="C6" s="1" t="s">
        <v>148</v>
      </c>
      <c r="D6" s="1" t="s">
        <v>123</v>
      </c>
      <c r="E6" s="1" t="str">
        <f>VLOOKUP(D6,Documentation!$B$4:$D$27,3,FALSE)</f>
        <v>EASTERN REGION</v>
      </c>
      <c r="F6" s="1" t="str">
        <f>VLOOKUP(D6,Documentation!$B$4:$C$27,2,FALSE)</f>
        <v>NON METRO</v>
      </c>
      <c r="G6" s="82">
        <f>VLOOKUP(A6,'2022 CR and CMI'!$A$3:$D$207,3,FALSE)</f>
        <v>44378</v>
      </c>
      <c r="H6" s="82">
        <f>VLOOKUP(A6,'2022 CR and CMI'!$A$3:$D$207,4,FALSE)</f>
        <v>44742</v>
      </c>
      <c r="I6" s="72">
        <f>VLOOKUP(A6,'2022 CR and CMI'!$A$2:$T$210,19,FALSE)</f>
        <v>1.2944</v>
      </c>
      <c r="J6" s="139">
        <f>Inflation!$G$24</f>
        <v>1.0309999999999999</v>
      </c>
      <c r="K6" s="192">
        <f>VLOOKUP(E6,Limits!$B$2:$D$5,3,FALSE)</f>
        <v>186.31</v>
      </c>
      <c r="L6" s="192">
        <f t="shared" si="31"/>
        <v>192.09</v>
      </c>
      <c r="M6" s="140">
        <f>VLOOKUP(A6,'CMI Data'!$A$4:$C$208,3,FALSE)</f>
        <v>1.2388999999999999</v>
      </c>
      <c r="N6" s="68">
        <f t="shared" si="2"/>
        <v>172.28</v>
      </c>
      <c r="O6" s="68">
        <f t="shared" si="32"/>
        <v>164.89</v>
      </c>
      <c r="P6" s="75">
        <f t="shared" si="33"/>
        <v>156.65</v>
      </c>
      <c r="Q6" s="75">
        <v>283.08</v>
      </c>
      <c r="R6" s="75">
        <f t="shared" si="34"/>
        <v>291.86</v>
      </c>
      <c r="S6" s="68">
        <f t="shared" si="35"/>
        <v>279.35000000000002</v>
      </c>
      <c r="T6" s="75">
        <f t="shared" si="36"/>
        <v>0</v>
      </c>
      <c r="U6" s="68">
        <f t="shared" si="37"/>
        <v>164.89</v>
      </c>
      <c r="V6" s="68">
        <f>VLOOKUP($F6,Limits!$J$2:$L$5,3,FALSE)</f>
        <v>20.239999999999998</v>
      </c>
      <c r="W6" s="68">
        <f t="shared" si="38"/>
        <v>20.87</v>
      </c>
      <c r="X6" s="68">
        <f>VLOOKUP($F6,Limits!$R$2:$T$5,3,FALSE)</f>
        <v>89.55</v>
      </c>
      <c r="Y6" s="68">
        <f t="shared" si="39"/>
        <v>92.33</v>
      </c>
      <c r="Z6" s="75">
        <f>VLOOKUP(A6,FRV!$A$4:$U$208,21,FALSE)</f>
        <v>40.770000000000003</v>
      </c>
      <c r="AA6" s="141">
        <f>VLOOKUP(A6,'RE Tax'!$A$2:$G$206,3,FALSE)</f>
        <v>45108</v>
      </c>
      <c r="AB6" s="141">
        <f>VLOOKUP(A6,'RE Tax'!$A$2:$G$206,4,FALSE)</f>
        <v>45473</v>
      </c>
      <c r="AC6" s="4">
        <f>VLOOKUP(A6,'RE Tax'!$A$2:$G$206,7,FALSE)</f>
        <v>0</v>
      </c>
      <c r="AD6" s="4">
        <f>VLOOKUP($A6,'RE Tax'!$A$2:$I$206,9,FALSE)</f>
        <v>27816</v>
      </c>
      <c r="AE6" s="4">
        <f>VLOOKUP($A6,'RE Tax'!$A$2:$I$206,8,FALSE)</f>
        <v>24565</v>
      </c>
      <c r="AF6" s="142">
        <f>IF(ISNA(VLOOKUP(A6&amp;AB6,'Days Exceptions'!$C$3:$I$7,6,FALSE)),ROUND(AC6/MAX(AE6,(AD6*Min_Occ)),2),ROUND(AC6/VLOOKUP(A6&amp;AB6,'Days Exceptions'!$C$3:$I$7,6,FALSE),2))</f>
        <v>0</v>
      </c>
      <c r="AG6" s="68">
        <v>0</v>
      </c>
      <c r="AH6" s="68">
        <f t="shared" si="40"/>
        <v>0</v>
      </c>
      <c r="AI6" s="4">
        <v>22095</v>
      </c>
      <c r="AJ6" s="4">
        <v>24886</v>
      </c>
      <c r="AK6" s="68">
        <f>IF(AI6=0,0,IF(ISNA(MATCH(A6,Documentation!$B$66:$B$71,0)),QA_Tax_reg,QA_Tax_5high))</f>
        <v>32.92</v>
      </c>
      <c r="AL6" s="75">
        <f t="shared" si="41"/>
        <v>29.23</v>
      </c>
      <c r="AM6" s="68">
        <f t="shared" si="42"/>
        <v>318.86</v>
      </c>
      <c r="AN6" s="68">
        <f t="shared" si="43"/>
        <v>236.42</v>
      </c>
      <c r="AO6" s="68">
        <f t="shared" si="44"/>
        <v>153.97</v>
      </c>
      <c r="AP6" s="37" t="s">
        <v>89</v>
      </c>
      <c r="AQ6" s="37" t="s">
        <v>223</v>
      </c>
      <c r="AR6" s="37" t="s">
        <v>959</v>
      </c>
      <c r="AS6" s="66" t="e">
        <f>VLOOKUP(A6,'CMI Data'!$A$3:$J$209,10,FALSE)</f>
        <v>#DIV/0!</v>
      </c>
      <c r="AT6" s="68">
        <f t="shared" si="3"/>
        <v>167.1</v>
      </c>
      <c r="AU6" s="68" t="e">
        <f t="shared" si="4"/>
        <v>#DIV/0!</v>
      </c>
      <c r="AV6" s="75" t="e">
        <f t="shared" si="45"/>
        <v>#DIV/0!</v>
      </c>
      <c r="AW6" s="68" t="e">
        <f>IF($I6="NA","NA",ROUND(#REF!*$AS6/$I6,2))</f>
        <v>#REF!</v>
      </c>
      <c r="AX6" s="75" t="e">
        <f t="shared" si="46"/>
        <v>#REF!</v>
      </c>
      <c r="AY6" s="68" t="e">
        <f t="shared" si="47"/>
        <v>#REF!</v>
      </c>
      <c r="AZ6" s="4">
        <f t="shared" si="5"/>
        <v>0</v>
      </c>
      <c r="BA6" s="4">
        <f t="shared" si="6"/>
        <v>27816</v>
      </c>
      <c r="BB6" s="4">
        <f t="shared" si="7"/>
        <v>24565</v>
      </c>
      <c r="BC6" s="142">
        <f>IF(ISNA(VLOOKUP($A6&amp;$AB6,'Days Exceptions'!$C$3:$I$7,6,FALSE)),ROUND(AZ6/MAX(BB6,(BA6*Min_Occ)),2),ROUND(AZ6/VLOOKUP($A6&amp;$AB6,'Days Exceptions'!$C$3:$I$7,6,FALSE),2))</f>
        <v>0</v>
      </c>
      <c r="BD6" s="143" t="e">
        <f t="shared" si="8"/>
        <v>#REF!</v>
      </c>
      <c r="BE6" s="143" t="e">
        <f t="shared" si="9"/>
        <v>#REF!</v>
      </c>
      <c r="BF6" s="143">
        <f t="shared" si="10"/>
        <v>150.56</v>
      </c>
      <c r="BG6" s="37" t="s">
        <v>89</v>
      </c>
      <c r="BH6" s="37" t="s">
        <v>223</v>
      </c>
      <c r="BI6" s="37" t="s">
        <v>1163</v>
      </c>
      <c r="BJ6" s="66" t="e">
        <f>VLOOKUP(A6,'CMI Data'!$A$3:$AZ$209,15,FALSE)</f>
        <v>#DIV/0!</v>
      </c>
      <c r="BK6" s="68">
        <f t="shared" si="11"/>
        <v>167.1</v>
      </c>
      <c r="BL6" s="68" t="e">
        <f t="shared" si="12"/>
        <v>#DIV/0!</v>
      </c>
      <c r="BM6" s="75" t="e">
        <f t="shared" si="13"/>
        <v>#DIV/0!</v>
      </c>
      <c r="BN6" s="68" t="e">
        <f>IF($I6="NA","NA",ROUND(#REF!*$BJ6/$I6,2))</f>
        <v>#REF!</v>
      </c>
      <c r="BO6" s="75" t="e">
        <f t="shared" si="14"/>
        <v>#REF!</v>
      </c>
      <c r="BP6" s="68" t="e">
        <f t="shared" si="48"/>
        <v>#REF!</v>
      </c>
      <c r="BQ6" s="4">
        <f t="shared" si="15"/>
        <v>0</v>
      </c>
      <c r="BR6" s="4">
        <f t="shared" si="16"/>
        <v>27816</v>
      </c>
      <c r="BS6" s="4">
        <f t="shared" si="17"/>
        <v>24565</v>
      </c>
      <c r="BT6" s="142">
        <f>IF(ISNA(VLOOKUP($A6&amp;$AB6,'Days Exceptions'!$C$3:$I$7,6,FALSE)),ROUND(BQ6/MAX(BS6,(BR6*Min_Occ)),2),ROUND(BQ6/VLOOKUP($A6&amp;$AB6,'Days Exceptions'!$C$3:$I$7,6,FALSE),2))</f>
        <v>0</v>
      </c>
      <c r="BU6" s="143" t="e">
        <f t="shared" si="18"/>
        <v>#REF!</v>
      </c>
      <c r="BV6" s="143" t="e">
        <f t="shared" si="19"/>
        <v>#REF!</v>
      </c>
      <c r="BW6" s="143">
        <f t="shared" si="20"/>
        <v>150.56</v>
      </c>
      <c r="BX6" s="37" t="s">
        <v>89</v>
      </c>
      <c r="BY6" s="37" t="s">
        <v>223</v>
      </c>
      <c r="BZ6" s="37" t="s">
        <v>1370</v>
      </c>
      <c r="CA6" s="66" t="e">
        <f>VLOOKUP(A6,'CMI Data'!$A$3:$AZ$209,20,FALSE)</f>
        <v>#DIV/0!</v>
      </c>
      <c r="CB6" s="68">
        <f t="shared" si="21"/>
        <v>167.1</v>
      </c>
      <c r="CC6" s="68" t="e">
        <f t="shared" si="22"/>
        <v>#DIV/0!</v>
      </c>
      <c r="CD6" s="75" t="e">
        <f t="shared" si="49"/>
        <v>#DIV/0!</v>
      </c>
      <c r="CE6" s="68" t="e">
        <f>IF($I6="NA","NA",ROUND(#REF!*$CA6/$I6,2))</f>
        <v>#REF!</v>
      </c>
      <c r="CF6" s="75" t="e">
        <f t="shared" si="23"/>
        <v>#REF!</v>
      </c>
      <c r="CG6" s="68" t="e">
        <f t="shared" si="24"/>
        <v>#REF!</v>
      </c>
      <c r="CH6" s="4">
        <f t="shared" si="25"/>
        <v>0</v>
      </c>
      <c r="CI6" s="4">
        <f t="shared" si="26"/>
        <v>27816</v>
      </c>
      <c r="CJ6" s="4">
        <f t="shared" si="27"/>
        <v>24565</v>
      </c>
      <c r="CK6" s="142">
        <f>IF(ISNA(VLOOKUP($A6&amp;$AB6,'Days Exceptions'!$C$3:$I$7,6,FALSE)),ROUND(CH6/MAX(CJ6,(CI6*Min_Occ)),2),ROUND(CH6/VLOOKUP($A6&amp;$AB6,'Days Exceptions'!$C$3:$I$7,6,FALSE),2))</f>
        <v>0</v>
      </c>
      <c r="CL6" s="143" t="e">
        <f t="shared" si="28"/>
        <v>#REF!</v>
      </c>
      <c r="CM6" s="143" t="e">
        <f t="shared" si="29"/>
        <v>#REF!</v>
      </c>
      <c r="CN6" s="143">
        <f t="shared" si="30"/>
        <v>150.56</v>
      </c>
      <c r="CO6" s="37" t="s">
        <v>89</v>
      </c>
      <c r="CP6" s="37" t="s">
        <v>223</v>
      </c>
      <c r="CQ6" s="37" t="s">
        <v>1371</v>
      </c>
    </row>
    <row r="7" spans="1:95" x14ac:dyDescent="0.15">
      <c r="A7" s="130">
        <v>34</v>
      </c>
      <c r="B7" s="37" t="s">
        <v>381</v>
      </c>
      <c r="C7" s="1" t="s">
        <v>148</v>
      </c>
      <c r="D7" s="1" t="s">
        <v>105</v>
      </c>
      <c r="E7" s="1" t="str">
        <f>VLOOKUP(D7,Documentation!$B$4:$D$27,3,FALSE)</f>
        <v>WESTERN REGION</v>
      </c>
      <c r="F7" s="1" t="str">
        <f>VLOOKUP(D7,Documentation!$B$4:$C$27,2,FALSE)</f>
        <v>NON METRO</v>
      </c>
      <c r="G7" s="82">
        <f>VLOOKUP(A7,'2022 CR and CMI'!$A$3:$D$207,3,FALSE)</f>
        <v>44562</v>
      </c>
      <c r="H7" s="82">
        <f>VLOOKUP(A7,'2022 CR and CMI'!$A$3:$D$207,4,FALSE)</f>
        <v>44926</v>
      </c>
      <c r="I7" s="72">
        <f>VLOOKUP(A7,'2022 CR and CMI'!$A$2:$T$210,19,FALSE)</f>
        <v>1.389</v>
      </c>
      <c r="J7" s="139">
        <f>Inflation!$G$24</f>
        <v>1.0309999999999999</v>
      </c>
      <c r="K7" s="192">
        <f>VLOOKUP(E7,Limits!$B$2:$D$5,3,FALSE)</f>
        <v>166.26</v>
      </c>
      <c r="L7" s="192">
        <f t="shared" si="31"/>
        <v>171.41</v>
      </c>
      <c r="M7" s="140">
        <f>VLOOKUP(A7,'CMI Data'!$A$4:$C$208,3,FALSE)</f>
        <v>1.5118</v>
      </c>
      <c r="N7" s="68">
        <f t="shared" si="2"/>
        <v>164.97</v>
      </c>
      <c r="O7" s="68">
        <f t="shared" si="32"/>
        <v>179.55</v>
      </c>
      <c r="P7" s="75">
        <f t="shared" si="33"/>
        <v>170.57</v>
      </c>
      <c r="Q7" s="75">
        <v>143.85</v>
      </c>
      <c r="R7" s="75">
        <f t="shared" si="34"/>
        <v>148.31</v>
      </c>
      <c r="S7" s="68">
        <f t="shared" si="35"/>
        <v>161.41999999999999</v>
      </c>
      <c r="T7" s="75">
        <f t="shared" si="36"/>
        <v>-9.15</v>
      </c>
      <c r="U7" s="68">
        <f t="shared" si="37"/>
        <v>170.4</v>
      </c>
      <c r="V7" s="68">
        <f>VLOOKUP($F7,Limits!$J$2:$L$5,3,FALSE)</f>
        <v>20.239999999999998</v>
      </c>
      <c r="W7" s="68">
        <f t="shared" si="38"/>
        <v>20.87</v>
      </c>
      <c r="X7" s="68">
        <f>VLOOKUP($F7,Limits!$R$2:$T$5,3,FALSE)</f>
        <v>89.55</v>
      </c>
      <c r="Y7" s="68">
        <f t="shared" si="39"/>
        <v>92.33</v>
      </c>
      <c r="Z7" s="75">
        <f>VLOOKUP(A7,FRV!$A$4:$U$208,21,FALSE)</f>
        <v>34.4</v>
      </c>
      <c r="AA7" s="141">
        <f>VLOOKUP(A7,'RE Tax'!$A$2:$G$206,3,FALSE)</f>
        <v>45292</v>
      </c>
      <c r="AB7" s="141">
        <f>VLOOKUP(A7,'RE Tax'!$A$2:$G$206,4,FALSE)</f>
        <v>45657</v>
      </c>
      <c r="AC7" s="4">
        <f>VLOOKUP(A7,'RE Tax'!$A$2:$G$206,7,FALSE)</f>
        <v>125951</v>
      </c>
      <c r="AD7" s="4">
        <f>VLOOKUP($A7,'RE Tax'!$A$2:$I$206,9,FALSE)</f>
        <v>55998</v>
      </c>
      <c r="AE7" s="4">
        <f>VLOOKUP($A7,'RE Tax'!$A$2:$I$206,8,FALSE)</f>
        <v>40156</v>
      </c>
      <c r="AF7" s="142">
        <f>IF(ISNA(VLOOKUP(A7&amp;AB7,'Days Exceptions'!$C$3:$I$7,6,FALSE)),ROUND(AC7/MAX(AE7,(AD7*Min_Occ)),2),ROUND(AC7/VLOOKUP(A7&amp;AB7,'Days Exceptions'!$C$3:$I$7,6,FALSE),2))</f>
        <v>2.76</v>
      </c>
      <c r="AG7" s="68">
        <v>0</v>
      </c>
      <c r="AH7" s="68">
        <f t="shared" si="40"/>
        <v>0</v>
      </c>
      <c r="AI7" s="4">
        <v>31831</v>
      </c>
      <c r="AJ7" s="4">
        <v>40154</v>
      </c>
      <c r="AK7" s="68">
        <f>IF(AI7=0,0,IF(ISNA(MATCH(A7,Documentation!$B$66:$B$71,0)),QA_Tax_reg,QA_Tax_5high))</f>
        <v>32.92</v>
      </c>
      <c r="AL7" s="75">
        <f t="shared" si="41"/>
        <v>26.1</v>
      </c>
      <c r="AM7" s="68">
        <f t="shared" si="42"/>
        <v>320.76</v>
      </c>
      <c r="AN7" s="68">
        <f t="shared" si="43"/>
        <v>235.56</v>
      </c>
      <c r="AO7" s="68">
        <f t="shared" si="44"/>
        <v>150.36000000000001</v>
      </c>
      <c r="AP7" s="37" t="s">
        <v>380</v>
      </c>
      <c r="AQ7" s="37" t="s">
        <v>381</v>
      </c>
      <c r="AR7" s="37" t="s">
        <v>960</v>
      </c>
      <c r="AS7" s="66" t="e">
        <f>VLOOKUP(A7,'CMI Data'!$A$3:$J$209,10,FALSE)</f>
        <v>#DIV/0!</v>
      </c>
      <c r="AT7" s="68">
        <f t="shared" si="3"/>
        <v>160.02000000000001</v>
      </c>
      <c r="AU7" s="68" t="e">
        <f t="shared" si="4"/>
        <v>#DIV/0!</v>
      </c>
      <c r="AV7" s="75" t="e">
        <f t="shared" si="45"/>
        <v>#DIV/0!</v>
      </c>
      <c r="AW7" s="68" t="e">
        <f>IF($I7="NA","NA",ROUND(#REF!*$AS7/$I7,2))</f>
        <v>#REF!</v>
      </c>
      <c r="AX7" s="75" t="e">
        <f t="shared" si="46"/>
        <v>#REF!</v>
      </c>
      <c r="AY7" s="68" t="e">
        <f t="shared" si="47"/>
        <v>#REF!</v>
      </c>
      <c r="AZ7" s="4">
        <f t="shared" si="5"/>
        <v>125951</v>
      </c>
      <c r="BA7" s="4">
        <f t="shared" si="6"/>
        <v>55998</v>
      </c>
      <c r="BB7" s="4">
        <f t="shared" si="7"/>
        <v>40156</v>
      </c>
      <c r="BC7" s="142">
        <f>IF(ISNA(VLOOKUP($A7&amp;$AB7,'Days Exceptions'!$C$3:$I$7,6,FALSE)),ROUND(AZ7/MAX(BB7,(BA7*Min_Occ)),2),ROUND(AZ7/VLOOKUP($A7&amp;$AB7,'Days Exceptions'!$C$3:$I$7,6,FALSE),2))</f>
        <v>2.76</v>
      </c>
      <c r="BD7" s="143" t="e">
        <f t="shared" si="8"/>
        <v>#REF!</v>
      </c>
      <c r="BE7" s="143" t="e">
        <f t="shared" si="9"/>
        <v>#REF!</v>
      </c>
      <c r="BF7" s="143">
        <f t="shared" si="10"/>
        <v>146.94999999999999</v>
      </c>
      <c r="BG7" s="37" t="s">
        <v>380</v>
      </c>
      <c r="BH7" s="37" t="s">
        <v>381</v>
      </c>
      <c r="BI7" s="37" t="s">
        <v>1164</v>
      </c>
      <c r="BJ7" s="66" t="e">
        <f>VLOOKUP(A7,'CMI Data'!$A$3:$AZ$209,15,FALSE)</f>
        <v>#DIV/0!</v>
      </c>
      <c r="BK7" s="68">
        <f t="shared" si="11"/>
        <v>160.02000000000001</v>
      </c>
      <c r="BL7" s="68" t="e">
        <f t="shared" si="12"/>
        <v>#DIV/0!</v>
      </c>
      <c r="BM7" s="75" t="e">
        <f t="shared" si="13"/>
        <v>#DIV/0!</v>
      </c>
      <c r="BN7" s="68" t="e">
        <f>IF($I7="NA","NA",ROUND(#REF!*$BJ7/$I7,2))</f>
        <v>#REF!</v>
      </c>
      <c r="BO7" s="75" t="e">
        <f t="shared" si="14"/>
        <v>#REF!</v>
      </c>
      <c r="BP7" s="68" t="e">
        <f t="shared" si="48"/>
        <v>#REF!</v>
      </c>
      <c r="BQ7" s="4">
        <f t="shared" si="15"/>
        <v>125951</v>
      </c>
      <c r="BR7" s="4">
        <f t="shared" si="16"/>
        <v>55998</v>
      </c>
      <c r="BS7" s="4">
        <f t="shared" si="17"/>
        <v>40156</v>
      </c>
      <c r="BT7" s="142">
        <f>IF(ISNA(VLOOKUP($A7&amp;$AB7,'Days Exceptions'!$C$3:$I$7,6,FALSE)),ROUND(BQ7/MAX(BS7,(BR7*Min_Occ)),2),ROUND(BQ7/VLOOKUP($A7&amp;$AB7,'Days Exceptions'!$C$3:$I$7,6,FALSE),2))</f>
        <v>2.76</v>
      </c>
      <c r="BU7" s="143" t="e">
        <f t="shared" si="18"/>
        <v>#REF!</v>
      </c>
      <c r="BV7" s="143" t="e">
        <f t="shared" si="19"/>
        <v>#REF!</v>
      </c>
      <c r="BW7" s="143">
        <f t="shared" si="20"/>
        <v>146.94999999999999</v>
      </c>
      <c r="BX7" s="37" t="s">
        <v>380</v>
      </c>
      <c r="BY7" s="37" t="s">
        <v>381</v>
      </c>
      <c r="BZ7" s="37" t="s">
        <v>1372</v>
      </c>
      <c r="CA7" s="66" t="e">
        <f>VLOOKUP(A7,'CMI Data'!$A$3:$AZ$209,20,FALSE)</f>
        <v>#DIV/0!</v>
      </c>
      <c r="CB7" s="68">
        <f t="shared" si="21"/>
        <v>160.02000000000001</v>
      </c>
      <c r="CC7" s="68" t="e">
        <f t="shared" si="22"/>
        <v>#DIV/0!</v>
      </c>
      <c r="CD7" s="75" t="e">
        <f t="shared" si="49"/>
        <v>#DIV/0!</v>
      </c>
      <c r="CE7" s="68" t="e">
        <f>IF($I7="NA","NA",ROUND(#REF!*$CA7/$I7,2))</f>
        <v>#REF!</v>
      </c>
      <c r="CF7" s="75" t="e">
        <f t="shared" si="23"/>
        <v>#REF!</v>
      </c>
      <c r="CG7" s="68" t="e">
        <f t="shared" si="24"/>
        <v>#REF!</v>
      </c>
      <c r="CH7" s="4">
        <f t="shared" si="25"/>
        <v>125951</v>
      </c>
      <c r="CI7" s="4">
        <f t="shared" si="26"/>
        <v>55998</v>
      </c>
      <c r="CJ7" s="4">
        <f t="shared" si="27"/>
        <v>40156</v>
      </c>
      <c r="CK7" s="142">
        <f>IF(ISNA(VLOOKUP($A7&amp;$AB7,'Days Exceptions'!$C$3:$I$7,6,FALSE)),ROUND(CH7/MAX(CJ7,(CI7*Min_Occ)),2),ROUND(CH7/VLOOKUP($A7&amp;$AB7,'Days Exceptions'!$C$3:$I$7,6,FALSE),2))</f>
        <v>2.76</v>
      </c>
      <c r="CL7" s="143" t="e">
        <f t="shared" si="28"/>
        <v>#REF!</v>
      </c>
      <c r="CM7" s="143" t="e">
        <f t="shared" si="29"/>
        <v>#REF!</v>
      </c>
      <c r="CN7" s="143">
        <f t="shared" si="30"/>
        <v>146.94999999999999</v>
      </c>
      <c r="CO7" s="37" t="s">
        <v>380</v>
      </c>
      <c r="CP7" s="37" t="s">
        <v>381</v>
      </c>
      <c r="CQ7" s="37" t="s">
        <v>1373</v>
      </c>
    </row>
    <row r="8" spans="1:95" x14ac:dyDescent="0.15">
      <c r="A8" s="130">
        <v>36</v>
      </c>
      <c r="B8" s="37" t="s">
        <v>197</v>
      </c>
      <c r="C8" s="1" t="s">
        <v>148</v>
      </c>
      <c r="D8" s="1" t="s">
        <v>119</v>
      </c>
      <c r="E8" s="1" t="str">
        <f>VLOOKUP(D8,Documentation!$B$4:$D$27,3,FALSE)</f>
        <v>WASHINGTON METRO</v>
      </c>
      <c r="F8" s="1" t="str">
        <f>VLOOKUP(D8,Documentation!$B$4:$C$27,2,FALSE)</f>
        <v>WASHINGTON METRO</v>
      </c>
      <c r="G8" s="82">
        <f>VLOOKUP(A8,'2022 CR and CMI'!$A$3:$D$207,3,FALSE)</f>
        <v>44562</v>
      </c>
      <c r="H8" s="82">
        <f>VLOOKUP(A8,'2022 CR and CMI'!$A$3:$D$207,4,FALSE)</f>
        <v>44926</v>
      </c>
      <c r="I8" s="72">
        <f>VLOOKUP(A8,'2022 CR and CMI'!$A$2:$T$210,19,FALSE)</f>
        <v>1.2823</v>
      </c>
      <c r="J8" s="139">
        <f>Inflation!$G$24</f>
        <v>1.0309999999999999</v>
      </c>
      <c r="K8" s="192">
        <f>VLOOKUP(E8,Limits!$B$2:$D$5,3,FALSE)</f>
        <v>176.01</v>
      </c>
      <c r="L8" s="192">
        <f t="shared" si="31"/>
        <v>181.47</v>
      </c>
      <c r="M8" s="140">
        <f>VLOOKUP(A8,'CMI Data'!$A$4:$C$208,3,FALSE)</f>
        <v>1.2130000000000001</v>
      </c>
      <c r="N8" s="68">
        <f t="shared" si="2"/>
        <v>161.24</v>
      </c>
      <c r="O8" s="68">
        <f t="shared" si="32"/>
        <v>152.53</v>
      </c>
      <c r="P8" s="75">
        <f t="shared" si="33"/>
        <v>144.9</v>
      </c>
      <c r="Q8" s="75">
        <v>125.92</v>
      </c>
      <c r="R8" s="75">
        <f t="shared" si="34"/>
        <v>129.82</v>
      </c>
      <c r="S8" s="68">
        <f t="shared" si="35"/>
        <v>122.8</v>
      </c>
      <c r="T8" s="75">
        <f t="shared" si="36"/>
        <v>-22.1</v>
      </c>
      <c r="U8" s="68">
        <f t="shared" si="37"/>
        <v>130.43</v>
      </c>
      <c r="V8" s="68">
        <f>VLOOKUP($F8,Limits!$J$2:$L$5,3,FALSE)</f>
        <v>19.23</v>
      </c>
      <c r="W8" s="68">
        <f t="shared" si="38"/>
        <v>19.829999999999998</v>
      </c>
      <c r="X8" s="68">
        <f>VLOOKUP($F8,Limits!$R$2:$T$5,3,FALSE)</f>
        <v>100.61</v>
      </c>
      <c r="Y8" s="68">
        <f t="shared" si="39"/>
        <v>103.73</v>
      </c>
      <c r="Z8" s="75">
        <f>VLOOKUP(A8,FRV!$A$4:$U$208,21,FALSE)</f>
        <v>33.64</v>
      </c>
      <c r="AA8" s="141">
        <f>VLOOKUP(A8,'RE Tax'!$A$2:$G$206,3,FALSE)</f>
        <v>45292</v>
      </c>
      <c r="AB8" s="141">
        <f>VLOOKUP(A8,'RE Tax'!$A$2:$G$206,4,FALSE)</f>
        <v>45657</v>
      </c>
      <c r="AC8" s="4">
        <f>VLOOKUP(A8,'RE Tax'!$A$2:$G$206,7,FALSE)</f>
        <v>60014</v>
      </c>
      <c r="AD8" s="4">
        <f>VLOOKUP($A8,'RE Tax'!$A$2:$I$206,9,FALSE)</f>
        <v>18300</v>
      </c>
      <c r="AE8" s="4">
        <f>VLOOKUP($A8,'RE Tax'!$A$2:$I$206,8,FALSE)</f>
        <v>16678</v>
      </c>
      <c r="AF8" s="142">
        <f>IF(ISNA(VLOOKUP(A8&amp;AB8,'Days Exceptions'!$C$3:$I$7,6,FALSE)),ROUND(AC8/MAX(AE8,(AD8*Min_Occ)),2),ROUND(AC8/VLOOKUP(A8&amp;AB8,'Days Exceptions'!$C$3:$I$7,6,FALSE),2))</f>
        <v>3.6</v>
      </c>
      <c r="AG8" s="68">
        <v>0</v>
      </c>
      <c r="AH8" s="68">
        <f t="shared" si="40"/>
        <v>0</v>
      </c>
      <c r="AI8" s="4">
        <v>15851</v>
      </c>
      <c r="AJ8" s="4">
        <v>16621</v>
      </c>
      <c r="AK8" s="68">
        <f>IF(AI8=0,0,IF(ISNA(MATCH(A8,Documentation!$B$66:$B$71,0)),QA_Tax_reg,QA_Tax_5high))</f>
        <v>32.92</v>
      </c>
      <c r="AL8" s="75">
        <f t="shared" si="41"/>
        <v>31.39</v>
      </c>
      <c r="AM8" s="68">
        <f t="shared" si="42"/>
        <v>291.23</v>
      </c>
      <c r="AN8" s="68">
        <f t="shared" si="43"/>
        <v>226.02</v>
      </c>
      <c r="AO8" s="68">
        <f t="shared" si="44"/>
        <v>160.80000000000001</v>
      </c>
      <c r="AP8" s="37" t="s">
        <v>17</v>
      </c>
      <c r="AQ8" s="37" t="s">
        <v>197</v>
      </c>
      <c r="AR8" s="37" t="s">
        <v>961</v>
      </c>
      <c r="AS8" s="66" t="e">
        <f>VLOOKUP(A8,'CMI Data'!$A$3:$J$209,10,FALSE)</f>
        <v>#DIV/0!</v>
      </c>
      <c r="AT8" s="68">
        <f t="shared" si="3"/>
        <v>156.38999999999999</v>
      </c>
      <c r="AU8" s="68" t="e">
        <f t="shared" si="4"/>
        <v>#DIV/0!</v>
      </c>
      <c r="AV8" s="75" t="e">
        <f t="shared" si="45"/>
        <v>#DIV/0!</v>
      </c>
      <c r="AW8" s="68" t="e">
        <f>IF($I8="NA","NA",ROUND(#REF!*$AS8/$I8,2))</f>
        <v>#REF!</v>
      </c>
      <c r="AX8" s="75" t="e">
        <f t="shared" si="46"/>
        <v>#REF!</v>
      </c>
      <c r="AY8" s="68" t="e">
        <f t="shared" si="47"/>
        <v>#REF!</v>
      </c>
      <c r="AZ8" s="4">
        <f t="shared" si="5"/>
        <v>60014</v>
      </c>
      <c r="BA8" s="4">
        <f t="shared" si="6"/>
        <v>18300</v>
      </c>
      <c r="BB8" s="4">
        <f t="shared" si="7"/>
        <v>16678</v>
      </c>
      <c r="BC8" s="142">
        <f>IF(ISNA(VLOOKUP($A8&amp;$AB8,'Days Exceptions'!$C$3:$I$7,6,FALSE)),ROUND(AZ8/MAX(BB8,(BA8*Min_Occ)),2),ROUND(AZ8/VLOOKUP($A8&amp;$AB8,'Days Exceptions'!$C$3:$I$7,6,FALSE),2))</f>
        <v>3.6</v>
      </c>
      <c r="BD8" s="143" t="e">
        <f t="shared" si="8"/>
        <v>#REF!</v>
      </c>
      <c r="BE8" s="143" t="e">
        <f t="shared" si="9"/>
        <v>#REF!</v>
      </c>
      <c r="BF8" s="143">
        <f t="shared" si="10"/>
        <v>157.08000000000001</v>
      </c>
      <c r="BG8" s="37" t="s">
        <v>17</v>
      </c>
      <c r="BH8" s="37" t="s">
        <v>197</v>
      </c>
      <c r="BI8" s="37" t="s">
        <v>1165</v>
      </c>
      <c r="BJ8" s="66" t="e">
        <f>VLOOKUP(A8,'CMI Data'!$A$3:$AZ$209,15,FALSE)</f>
        <v>#DIV/0!</v>
      </c>
      <c r="BK8" s="68">
        <f t="shared" si="11"/>
        <v>156.38999999999999</v>
      </c>
      <c r="BL8" s="68" t="e">
        <f t="shared" si="12"/>
        <v>#DIV/0!</v>
      </c>
      <c r="BM8" s="75" t="e">
        <f t="shared" si="13"/>
        <v>#DIV/0!</v>
      </c>
      <c r="BN8" s="68" t="e">
        <f>IF($I8="NA","NA",ROUND(#REF!*$BJ8/$I8,2))</f>
        <v>#REF!</v>
      </c>
      <c r="BO8" s="75" t="e">
        <f t="shared" si="14"/>
        <v>#REF!</v>
      </c>
      <c r="BP8" s="68" t="e">
        <f t="shared" si="48"/>
        <v>#REF!</v>
      </c>
      <c r="BQ8" s="4">
        <f t="shared" si="15"/>
        <v>60014</v>
      </c>
      <c r="BR8" s="4">
        <f t="shared" si="16"/>
        <v>18300</v>
      </c>
      <c r="BS8" s="4">
        <f t="shared" si="17"/>
        <v>16678</v>
      </c>
      <c r="BT8" s="142">
        <f>IF(ISNA(VLOOKUP($A8&amp;$AB8,'Days Exceptions'!$C$3:$I$7,6,FALSE)),ROUND(BQ8/MAX(BS8,(BR8*Min_Occ)),2),ROUND(BQ8/VLOOKUP($A8&amp;$AB8,'Days Exceptions'!$C$3:$I$7,6,FALSE),2))</f>
        <v>3.6</v>
      </c>
      <c r="BU8" s="143" t="e">
        <f t="shared" si="18"/>
        <v>#REF!</v>
      </c>
      <c r="BV8" s="143" t="e">
        <f t="shared" si="19"/>
        <v>#REF!</v>
      </c>
      <c r="BW8" s="143">
        <f t="shared" si="20"/>
        <v>157.08000000000001</v>
      </c>
      <c r="BX8" s="37" t="s">
        <v>17</v>
      </c>
      <c r="BY8" s="37" t="s">
        <v>197</v>
      </c>
      <c r="BZ8" s="37" t="s">
        <v>1374</v>
      </c>
      <c r="CA8" s="66" t="e">
        <f>VLOOKUP(A8,'CMI Data'!$A$3:$AZ$209,20,FALSE)</f>
        <v>#DIV/0!</v>
      </c>
      <c r="CB8" s="68">
        <f t="shared" si="21"/>
        <v>156.38999999999999</v>
      </c>
      <c r="CC8" s="68" t="e">
        <f t="shared" si="22"/>
        <v>#DIV/0!</v>
      </c>
      <c r="CD8" s="75" t="e">
        <f t="shared" si="49"/>
        <v>#DIV/0!</v>
      </c>
      <c r="CE8" s="68" t="e">
        <f>IF($I8="NA","NA",ROUND(#REF!*$CA8/$I8,2))</f>
        <v>#REF!</v>
      </c>
      <c r="CF8" s="75" t="e">
        <f t="shared" si="23"/>
        <v>#REF!</v>
      </c>
      <c r="CG8" s="68" t="e">
        <f t="shared" si="24"/>
        <v>#REF!</v>
      </c>
      <c r="CH8" s="4">
        <f t="shared" si="25"/>
        <v>60014</v>
      </c>
      <c r="CI8" s="4">
        <f t="shared" si="26"/>
        <v>18300</v>
      </c>
      <c r="CJ8" s="4">
        <f t="shared" si="27"/>
        <v>16678</v>
      </c>
      <c r="CK8" s="142">
        <f>IF(ISNA(VLOOKUP($A8&amp;$AB8,'Days Exceptions'!$C$3:$I$7,6,FALSE)),ROUND(CH8/MAX(CJ8,(CI8*Min_Occ)),2),ROUND(CH8/VLOOKUP($A8&amp;$AB8,'Days Exceptions'!$C$3:$I$7,6,FALSE),2))</f>
        <v>3.6</v>
      </c>
      <c r="CL8" s="143" t="e">
        <f t="shared" si="28"/>
        <v>#REF!</v>
      </c>
      <c r="CM8" s="143" t="e">
        <f t="shared" si="29"/>
        <v>#REF!</v>
      </c>
      <c r="CN8" s="143">
        <f t="shared" si="30"/>
        <v>157.08000000000001</v>
      </c>
      <c r="CO8" s="37" t="s">
        <v>17</v>
      </c>
      <c r="CP8" s="37" t="s">
        <v>197</v>
      </c>
      <c r="CQ8" s="37" t="s">
        <v>1375</v>
      </c>
    </row>
    <row r="9" spans="1:95" x14ac:dyDescent="0.15">
      <c r="A9" s="130">
        <v>38</v>
      </c>
      <c r="B9" s="37" t="s">
        <v>240</v>
      </c>
      <c r="C9" s="1" t="s">
        <v>148</v>
      </c>
      <c r="D9" s="1" t="s">
        <v>126</v>
      </c>
      <c r="E9" s="1" t="str">
        <f>VLOOKUP(D9,Documentation!$B$4:$D$27,3,FALSE)</f>
        <v>EASTERN REGION</v>
      </c>
      <c r="F9" s="1" t="str">
        <f>VLOOKUP(D9,Documentation!$B$4:$C$27,2,FALSE)</f>
        <v>NON METRO</v>
      </c>
      <c r="G9" s="82">
        <f>VLOOKUP(A9,'2022 CR and CMI'!$A$3:$D$207,3,FALSE)</f>
        <v>44378</v>
      </c>
      <c r="H9" s="82">
        <f>VLOOKUP(A9,'2022 CR and CMI'!$A$3:$D$207,4,FALSE)</f>
        <v>44742</v>
      </c>
      <c r="I9" s="72">
        <f>VLOOKUP(A9,'2022 CR and CMI'!$A$2:$T$210,19,FALSE)</f>
        <v>1.5242</v>
      </c>
      <c r="J9" s="139">
        <f>Inflation!$G$24</f>
        <v>1.0309999999999999</v>
      </c>
      <c r="K9" s="192">
        <f>VLOOKUP(E9,Limits!$B$2:$D$5,3,FALSE)</f>
        <v>186.31</v>
      </c>
      <c r="L9" s="192">
        <f t="shared" si="31"/>
        <v>192.09</v>
      </c>
      <c r="M9" s="140">
        <f>VLOOKUP(A9,'CMI Data'!$A$4:$C$208,3,FALSE)</f>
        <v>1.1957</v>
      </c>
      <c r="N9" s="68">
        <f t="shared" si="2"/>
        <v>202.87</v>
      </c>
      <c r="O9" s="68">
        <f t="shared" si="32"/>
        <v>159.15</v>
      </c>
      <c r="P9" s="75">
        <f t="shared" si="33"/>
        <v>151.19</v>
      </c>
      <c r="Q9" s="75">
        <v>191.03</v>
      </c>
      <c r="R9" s="75">
        <f t="shared" si="34"/>
        <v>196.95</v>
      </c>
      <c r="S9" s="68">
        <f t="shared" si="35"/>
        <v>154.5</v>
      </c>
      <c r="T9" s="75">
        <f t="shared" si="36"/>
        <v>0</v>
      </c>
      <c r="U9" s="68">
        <f t="shared" si="37"/>
        <v>159.15</v>
      </c>
      <c r="V9" s="68">
        <f>VLOOKUP($F9,Limits!$J$2:$L$5,3,FALSE)</f>
        <v>20.239999999999998</v>
      </c>
      <c r="W9" s="68">
        <f t="shared" si="38"/>
        <v>20.87</v>
      </c>
      <c r="X9" s="68">
        <f>VLOOKUP($F9,Limits!$R$2:$T$5,3,FALSE)</f>
        <v>89.55</v>
      </c>
      <c r="Y9" s="68">
        <f t="shared" si="39"/>
        <v>92.33</v>
      </c>
      <c r="Z9" s="75">
        <f>VLOOKUP(A9,FRV!$A$4:$U$208,21,FALSE)</f>
        <v>30.63</v>
      </c>
      <c r="AA9" s="141">
        <f>VLOOKUP(A9,'RE Tax'!$A$2:$G$206,3,FALSE)</f>
        <v>45108</v>
      </c>
      <c r="AB9" s="141">
        <f>VLOOKUP(A9,'RE Tax'!$A$2:$G$206,4,FALSE)</f>
        <v>45473</v>
      </c>
      <c r="AC9" s="4">
        <f>VLOOKUP(A9,'RE Tax'!$A$2:$G$206,7,FALSE)</f>
        <v>198363</v>
      </c>
      <c r="AD9" s="4">
        <f>VLOOKUP($A9,'RE Tax'!$A$2:$I$206,9,FALSE)</f>
        <v>46116</v>
      </c>
      <c r="AE9" s="4">
        <f>VLOOKUP($A9,'RE Tax'!$A$2:$I$206,8,FALSE)</f>
        <v>34223</v>
      </c>
      <c r="AF9" s="142">
        <f>IF(ISNA(VLOOKUP(A9&amp;AB9,'Days Exceptions'!$C$3:$I$7,6,FALSE)),ROUND(AC9/MAX(AE9,(AD9*Min_Occ)),2),ROUND(AC9/VLOOKUP(A9&amp;AB9,'Days Exceptions'!$C$3:$I$7,6,FALSE),2))</f>
        <v>5.28</v>
      </c>
      <c r="AG9" s="68">
        <v>0</v>
      </c>
      <c r="AH9" s="68">
        <f t="shared" si="40"/>
        <v>0</v>
      </c>
      <c r="AI9" s="4">
        <v>32278</v>
      </c>
      <c r="AJ9" s="4">
        <v>34006</v>
      </c>
      <c r="AK9" s="68">
        <f>IF(AI9=0,0,IF(ISNA(MATCH(A9,Documentation!$B$66:$B$71,0)),QA_Tax_reg,QA_Tax_5high))</f>
        <v>32.92</v>
      </c>
      <c r="AL9" s="75">
        <f t="shared" si="41"/>
        <v>31.25</v>
      </c>
      <c r="AM9" s="68">
        <f t="shared" si="42"/>
        <v>308.26</v>
      </c>
      <c r="AN9" s="68">
        <f t="shared" si="43"/>
        <v>228.69</v>
      </c>
      <c r="AO9" s="68">
        <f t="shared" si="44"/>
        <v>149.11000000000001</v>
      </c>
      <c r="AP9" s="37" t="s">
        <v>133</v>
      </c>
      <c r="AQ9" s="37" t="s">
        <v>240</v>
      </c>
      <c r="AR9" s="37" t="s">
        <v>962</v>
      </c>
      <c r="AS9" s="66" t="e">
        <f>VLOOKUP(A9,'CMI Data'!$A$3:$J$209,10,FALSE)</f>
        <v>#DIV/0!</v>
      </c>
      <c r="AT9" s="68">
        <f t="shared" si="3"/>
        <v>196.77</v>
      </c>
      <c r="AU9" s="68" t="e">
        <f t="shared" si="4"/>
        <v>#DIV/0!</v>
      </c>
      <c r="AV9" s="75" t="e">
        <f t="shared" si="45"/>
        <v>#DIV/0!</v>
      </c>
      <c r="AW9" s="68" t="e">
        <f>IF($I9="NA","NA",ROUND(#REF!*$AS9/$I9,2))</f>
        <v>#REF!</v>
      </c>
      <c r="AX9" s="75" t="e">
        <f t="shared" si="46"/>
        <v>#REF!</v>
      </c>
      <c r="AY9" s="68" t="e">
        <f t="shared" si="47"/>
        <v>#REF!</v>
      </c>
      <c r="AZ9" s="4">
        <f t="shared" si="5"/>
        <v>198363</v>
      </c>
      <c r="BA9" s="4">
        <f t="shared" si="6"/>
        <v>46116</v>
      </c>
      <c r="BB9" s="4">
        <f t="shared" si="7"/>
        <v>34223</v>
      </c>
      <c r="BC9" s="142">
        <f>IF(ISNA(VLOOKUP($A9&amp;$AB9,'Days Exceptions'!$C$3:$I$7,6,FALSE)),ROUND(AZ9/MAX(BB9,(BA9*Min_Occ)),2),ROUND(AZ9/VLOOKUP($A9&amp;$AB9,'Days Exceptions'!$C$3:$I$7,6,FALSE),2))</f>
        <v>5.28</v>
      </c>
      <c r="BD9" s="143" t="e">
        <f t="shared" si="8"/>
        <v>#REF!</v>
      </c>
      <c r="BE9" s="143" t="e">
        <f t="shared" si="9"/>
        <v>#REF!</v>
      </c>
      <c r="BF9" s="143">
        <f t="shared" si="10"/>
        <v>145.69999999999999</v>
      </c>
      <c r="BG9" s="37" t="s">
        <v>133</v>
      </c>
      <c r="BH9" s="37" t="s">
        <v>240</v>
      </c>
      <c r="BI9" s="37" t="s">
        <v>1166</v>
      </c>
      <c r="BJ9" s="66" t="e">
        <f>VLOOKUP(A9,'CMI Data'!$A$3:$AZ$209,15,FALSE)</f>
        <v>#DIV/0!</v>
      </c>
      <c r="BK9" s="68">
        <f t="shared" si="11"/>
        <v>196.77</v>
      </c>
      <c r="BL9" s="68" t="e">
        <f t="shared" si="12"/>
        <v>#DIV/0!</v>
      </c>
      <c r="BM9" s="75" t="e">
        <f t="shared" si="13"/>
        <v>#DIV/0!</v>
      </c>
      <c r="BN9" s="68" t="e">
        <f>IF($I9="NA","NA",ROUND(#REF!*$BJ9/$I9,2))</f>
        <v>#REF!</v>
      </c>
      <c r="BO9" s="75" t="e">
        <f t="shared" si="14"/>
        <v>#REF!</v>
      </c>
      <c r="BP9" s="68" t="e">
        <f t="shared" si="48"/>
        <v>#REF!</v>
      </c>
      <c r="BQ9" s="4">
        <f t="shared" si="15"/>
        <v>198363</v>
      </c>
      <c r="BR9" s="4">
        <f t="shared" si="16"/>
        <v>46116</v>
      </c>
      <c r="BS9" s="4">
        <f t="shared" si="17"/>
        <v>34223</v>
      </c>
      <c r="BT9" s="142">
        <f>IF(ISNA(VLOOKUP($A9&amp;$AB9,'Days Exceptions'!$C$3:$I$7,6,FALSE)),ROUND(BQ9/MAX(BS9,(BR9*Min_Occ)),2),ROUND(BQ9/VLOOKUP($A9&amp;$AB9,'Days Exceptions'!$C$3:$I$7,6,FALSE),2))</f>
        <v>5.28</v>
      </c>
      <c r="BU9" s="143" t="e">
        <f t="shared" si="18"/>
        <v>#REF!</v>
      </c>
      <c r="BV9" s="143" t="e">
        <f t="shared" si="19"/>
        <v>#REF!</v>
      </c>
      <c r="BW9" s="143">
        <f t="shared" si="20"/>
        <v>145.69999999999999</v>
      </c>
      <c r="BX9" s="37" t="s">
        <v>133</v>
      </c>
      <c r="BY9" s="37" t="s">
        <v>240</v>
      </c>
      <c r="BZ9" s="37" t="s">
        <v>1376</v>
      </c>
      <c r="CA9" s="66" t="e">
        <f>VLOOKUP(A9,'CMI Data'!$A$3:$AZ$209,20,FALSE)</f>
        <v>#DIV/0!</v>
      </c>
      <c r="CB9" s="68">
        <f t="shared" si="21"/>
        <v>196.77</v>
      </c>
      <c r="CC9" s="68" t="e">
        <f t="shared" si="22"/>
        <v>#DIV/0!</v>
      </c>
      <c r="CD9" s="75" t="e">
        <f t="shared" si="49"/>
        <v>#DIV/0!</v>
      </c>
      <c r="CE9" s="68" t="e">
        <f>IF($I9="NA","NA",ROUND(#REF!*$CA9/$I9,2))</f>
        <v>#REF!</v>
      </c>
      <c r="CF9" s="75" t="e">
        <f t="shared" si="23"/>
        <v>#REF!</v>
      </c>
      <c r="CG9" s="68" t="e">
        <f t="shared" si="24"/>
        <v>#REF!</v>
      </c>
      <c r="CH9" s="4">
        <f t="shared" si="25"/>
        <v>198363</v>
      </c>
      <c r="CI9" s="4">
        <f t="shared" si="26"/>
        <v>46116</v>
      </c>
      <c r="CJ9" s="4">
        <f t="shared" si="27"/>
        <v>34223</v>
      </c>
      <c r="CK9" s="142">
        <f>IF(ISNA(VLOOKUP($A9&amp;$AB9,'Days Exceptions'!$C$3:$I$7,6,FALSE)),ROUND(CH9/MAX(CJ9,(CI9*Min_Occ)),2),ROUND(CH9/VLOOKUP($A9&amp;$AB9,'Days Exceptions'!$C$3:$I$7,6,FALSE),2))</f>
        <v>5.28</v>
      </c>
      <c r="CL9" s="143" t="e">
        <f t="shared" si="28"/>
        <v>#REF!</v>
      </c>
      <c r="CM9" s="143" t="e">
        <f t="shared" si="29"/>
        <v>#REF!</v>
      </c>
      <c r="CN9" s="143">
        <f t="shared" si="30"/>
        <v>145.69999999999999</v>
      </c>
      <c r="CO9" s="37" t="s">
        <v>133</v>
      </c>
      <c r="CP9" s="37" t="s">
        <v>240</v>
      </c>
      <c r="CQ9" s="37" t="s">
        <v>1377</v>
      </c>
    </row>
    <row r="10" spans="1:95" x14ac:dyDescent="0.15">
      <c r="A10" s="130">
        <v>224</v>
      </c>
      <c r="B10" s="37" t="s">
        <v>466</v>
      </c>
      <c r="C10" s="1" t="s">
        <v>148</v>
      </c>
      <c r="D10" s="1" t="s">
        <v>102</v>
      </c>
      <c r="E10" s="1" t="str">
        <f>VLOOKUP(D10,Documentation!$B$4:$D$27,3,FALSE)</f>
        <v>BALTIMORE METRO</v>
      </c>
      <c r="F10" s="1" t="str">
        <f>VLOOKUP(D10,Documentation!$B$4:$C$27,2,FALSE)</f>
        <v>BALTIMORE CITY</v>
      </c>
      <c r="G10" s="82">
        <f>VLOOKUP(A10,'2022 CR and CMI'!$A$3:$D$207,3,FALSE)</f>
        <v>44562</v>
      </c>
      <c r="H10" s="82">
        <f>VLOOKUP(A10,'2022 CR and CMI'!$A$3:$D$207,4,FALSE)</f>
        <v>44926</v>
      </c>
      <c r="I10" s="72">
        <f>VLOOKUP(A10,'2022 CR and CMI'!$A$2:$T$210,19,FALSE)</f>
        <v>1.5634999999999999</v>
      </c>
      <c r="J10" s="139">
        <f>Inflation!$G$24</f>
        <v>1.0309999999999999</v>
      </c>
      <c r="K10" s="192">
        <f>VLOOKUP(E10,Limits!$B$2:$D$5,3,FALSE)</f>
        <v>195.33</v>
      </c>
      <c r="L10" s="192">
        <f t="shared" si="31"/>
        <v>201.39</v>
      </c>
      <c r="M10" s="140">
        <f>VLOOKUP(A10,'CMI Data'!$A$4:$C$208,3,FALSE)</f>
        <v>1.5579000000000001</v>
      </c>
      <c r="N10" s="68">
        <f t="shared" si="2"/>
        <v>218.18</v>
      </c>
      <c r="O10" s="68">
        <f t="shared" si="32"/>
        <v>217.4</v>
      </c>
      <c r="P10" s="75">
        <f t="shared" si="33"/>
        <v>206.53</v>
      </c>
      <c r="Q10" s="75">
        <v>172.45</v>
      </c>
      <c r="R10" s="75">
        <f t="shared" si="34"/>
        <v>177.8</v>
      </c>
      <c r="S10" s="68">
        <f t="shared" si="35"/>
        <v>177.16</v>
      </c>
      <c r="T10" s="75">
        <f t="shared" si="36"/>
        <v>-29.37</v>
      </c>
      <c r="U10" s="68">
        <f t="shared" si="37"/>
        <v>188.03</v>
      </c>
      <c r="V10" s="68">
        <f>VLOOKUP($F10,Limits!$J$2:$L$5,3,FALSE)</f>
        <v>24.89</v>
      </c>
      <c r="W10" s="68">
        <f t="shared" si="38"/>
        <v>25.66</v>
      </c>
      <c r="X10" s="68">
        <f>VLOOKUP($F10,Limits!$R$2:$T$5,3,FALSE)</f>
        <v>114.15</v>
      </c>
      <c r="Y10" s="68">
        <f t="shared" si="39"/>
        <v>117.69</v>
      </c>
      <c r="Z10" s="75">
        <f>VLOOKUP(A10,FRV!$A$4:$U$208,21,FALSE)</f>
        <v>36.46</v>
      </c>
      <c r="AA10" s="141">
        <f>VLOOKUP(A10,'RE Tax'!$A$2:$G$206,3,FALSE)</f>
        <v>45292</v>
      </c>
      <c r="AB10" s="141">
        <f>VLOOKUP(A10,'RE Tax'!$A$2:$G$206,4,FALSE)</f>
        <v>45657</v>
      </c>
      <c r="AC10" s="4">
        <f>VLOOKUP(A10,'RE Tax'!$A$2:$G$206,7,FALSE)</f>
        <v>141088</v>
      </c>
      <c r="AD10" s="4">
        <f>VLOOKUP($A10,'RE Tax'!$A$2:$I$206,9,FALSE)</f>
        <v>30012</v>
      </c>
      <c r="AE10" s="4">
        <f>VLOOKUP($A10,'RE Tax'!$A$2:$I$206,8,FALSE)</f>
        <v>27847</v>
      </c>
      <c r="AF10" s="142">
        <f>IF(ISNA(VLOOKUP(A10&amp;AB10,'Days Exceptions'!$C$3:$I$7,6,FALSE)),ROUND(AC10/MAX(AE10,(AD10*Min_Occ)),2),ROUND(AC10/VLOOKUP(A10&amp;AB10,'Days Exceptions'!$C$3:$I$7,6,FALSE),2))</f>
        <v>5.07</v>
      </c>
      <c r="AG10" s="68">
        <v>0</v>
      </c>
      <c r="AH10" s="68">
        <f t="shared" si="40"/>
        <v>0</v>
      </c>
      <c r="AI10" s="4">
        <v>23420</v>
      </c>
      <c r="AJ10" s="4">
        <v>26898</v>
      </c>
      <c r="AK10" s="68">
        <f>IF(AI10=0,0,IF(ISNA(MATCH(A10,Documentation!$B$66:$B$71,0)),QA_Tax_reg,QA_Tax_5high))</f>
        <v>32.92</v>
      </c>
      <c r="AL10" s="75">
        <f t="shared" si="41"/>
        <v>28.66</v>
      </c>
      <c r="AM10" s="68">
        <f t="shared" si="42"/>
        <v>372.91</v>
      </c>
      <c r="AN10" s="68">
        <f t="shared" si="43"/>
        <v>278.89999999999998</v>
      </c>
      <c r="AO10" s="68">
        <f t="shared" si="44"/>
        <v>184.88</v>
      </c>
      <c r="AP10" s="37" t="s">
        <v>465</v>
      </c>
      <c r="AQ10" s="37" t="s">
        <v>466</v>
      </c>
      <c r="AR10" s="37" t="s">
        <v>963</v>
      </c>
      <c r="AS10" s="66" t="e">
        <f>VLOOKUP(A10,'CMI Data'!$A$3:$J$209,10,FALSE)</f>
        <v>#DIV/0!</v>
      </c>
      <c r="AT10" s="68">
        <f t="shared" si="3"/>
        <v>211.61</v>
      </c>
      <c r="AU10" s="68" t="e">
        <f t="shared" si="4"/>
        <v>#DIV/0!</v>
      </c>
      <c r="AV10" s="75" t="e">
        <f t="shared" si="45"/>
        <v>#DIV/0!</v>
      </c>
      <c r="AW10" s="68" t="e">
        <f>IF($I10="NA","NA",ROUND(#REF!*$AS10/$I10,2))</f>
        <v>#REF!</v>
      </c>
      <c r="AX10" s="75" t="e">
        <f t="shared" si="46"/>
        <v>#REF!</v>
      </c>
      <c r="AY10" s="68" t="e">
        <f t="shared" si="47"/>
        <v>#REF!</v>
      </c>
      <c r="AZ10" s="4">
        <f t="shared" si="5"/>
        <v>141088</v>
      </c>
      <c r="BA10" s="4">
        <f t="shared" si="6"/>
        <v>30012</v>
      </c>
      <c r="BB10" s="4">
        <f t="shared" si="7"/>
        <v>27847</v>
      </c>
      <c r="BC10" s="142">
        <f>IF(ISNA(VLOOKUP($A10&amp;$AB10,'Days Exceptions'!$C$3:$I$7,6,FALSE)),ROUND(AZ10/MAX(BB10,(BA10*Min_Occ)),2),ROUND(AZ10/VLOOKUP($A10&amp;$AB10,'Days Exceptions'!$C$3:$I$7,6,FALSE),2))</f>
        <v>5.07</v>
      </c>
      <c r="BD10" s="143" t="e">
        <f t="shared" si="8"/>
        <v>#REF!</v>
      </c>
      <c r="BE10" s="143" t="e">
        <f t="shared" si="9"/>
        <v>#REF!</v>
      </c>
      <c r="BF10" s="143">
        <f t="shared" si="10"/>
        <v>180.57</v>
      </c>
      <c r="BG10" s="37" t="s">
        <v>465</v>
      </c>
      <c r="BH10" s="37" t="s">
        <v>466</v>
      </c>
      <c r="BI10" s="37" t="s">
        <v>1167</v>
      </c>
      <c r="BJ10" s="66" t="e">
        <f>VLOOKUP(A10,'CMI Data'!$A$3:$AZ$209,15,FALSE)</f>
        <v>#DIV/0!</v>
      </c>
      <c r="BK10" s="68">
        <f t="shared" si="11"/>
        <v>211.61</v>
      </c>
      <c r="BL10" s="68" t="e">
        <f t="shared" si="12"/>
        <v>#DIV/0!</v>
      </c>
      <c r="BM10" s="75" t="e">
        <f t="shared" si="13"/>
        <v>#DIV/0!</v>
      </c>
      <c r="BN10" s="68" t="e">
        <f>IF($I10="NA","NA",ROUND(#REF!*$BJ10/$I10,2))</f>
        <v>#REF!</v>
      </c>
      <c r="BO10" s="75" t="e">
        <f t="shared" si="14"/>
        <v>#REF!</v>
      </c>
      <c r="BP10" s="68" t="e">
        <f t="shared" si="48"/>
        <v>#REF!</v>
      </c>
      <c r="BQ10" s="4">
        <f t="shared" si="15"/>
        <v>141088</v>
      </c>
      <c r="BR10" s="4">
        <f t="shared" si="16"/>
        <v>30012</v>
      </c>
      <c r="BS10" s="4">
        <f t="shared" si="17"/>
        <v>27847</v>
      </c>
      <c r="BT10" s="142">
        <f>IF(ISNA(VLOOKUP($A10&amp;$AB10,'Days Exceptions'!$C$3:$I$7,6,FALSE)),ROUND(BQ10/MAX(BS10,(BR10*Min_Occ)),2),ROUND(BQ10/VLOOKUP($A10&amp;$AB10,'Days Exceptions'!$C$3:$I$7,6,FALSE),2))</f>
        <v>5.07</v>
      </c>
      <c r="BU10" s="143" t="e">
        <f t="shared" si="18"/>
        <v>#REF!</v>
      </c>
      <c r="BV10" s="143" t="e">
        <f t="shared" si="19"/>
        <v>#REF!</v>
      </c>
      <c r="BW10" s="143">
        <f t="shared" si="20"/>
        <v>180.57</v>
      </c>
      <c r="BX10" s="37" t="s">
        <v>465</v>
      </c>
      <c r="BY10" s="37" t="s">
        <v>466</v>
      </c>
      <c r="BZ10" s="37" t="s">
        <v>1378</v>
      </c>
      <c r="CA10" s="66" t="e">
        <f>VLOOKUP(A10,'CMI Data'!$A$3:$AZ$209,20,FALSE)</f>
        <v>#DIV/0!</v>
      </c>
      <c r="CB10" s="68">
        <f t="shared" si="21"/>
        <v>211.61</v>
      </c>
      <c r="CC10" s="68" t="e">
        <f t="shared" si="22"/>
        <v>#DIV/0!</v>
      </c>
      <c r="CD10" s="75" t="e">
        <f t="shared" si="49"/>
        <v>#DIV/0!</v>
      </c>
      <c r="CE10" s="68" t="e">
        <f>IF($I10="NA","NA",ROUND(#REF!*$CA10/$I10,2))</f>
        <v>#REF!</v>
      </c>
      <c r="CF10" s="75" t="e">
        <f t="shared" si="23"/>
        <v>#REF!</v>
      </c>
      <c r="CG10" s="68" t="e">
        <f t="shared" si="24"/>
        <v>#REF!</v>
      </c>
      <c r="CH10" s="4">
        <f t="shared" si="25"/>
        <v>141088</v>
      </c>
      <c r="CI10" s="4">
        <f t="shared" si="26"/>
        <v>30012</v>
      </c>
      <c r="CJ10" s="4">
        <f t="shared" si="27"/>
        <v>27847</v>
      </c>
      <c r="CK10" s="142">
        <f>IF(ISNA(VLOOKUP($A10&amp;$AB10,'Days Exceptions'!$C$3:$I$7,6,FALSE)),ROUND(CH10/MAX(CJ10,(CI10*Min_Occ)),2),ROUND(CH10/VLOOKUP($A10&amp;$AB10,'Days Exceptions'!$C$3:$I$7,6,FALSE),2))</f>
        <v>5.07</v>
      </c>
      <c r="CL10" s="143" t="e">
        <f t="shared" si="28"/>
        <v>#REF!</v>
      </c>
      <c r="CM10" s="143" t="e">
        <f t="shared" si="29"/>
        <v>#REF!</v>
      </c>
      <c r="CN10" s="143">
        <f t="shared" si="30"/>
        <v>180.57</v>
      </c>
      <c r="CO10" s="37" t="s">
        <v>465</v>
      </c>
      <c r="CP10" s="37" t="s">
        <v>466</v>
      </c>
      <c r="CQ10" s="37" t="s">
        <v>1379</v>
      </c>
    </row>
    <row r="11" spans="1:95" x14ac:dyDescent="0.15">
      <c r="A11" s="130">
        <v>44</v>
      </c>
      <c r="B11" s="37" t="s">
        <v>396</v>
      </c>
      <c r="C11" s="1" t="s">
        <v>148</v>
      </c>
      <c r="D11" s="1" t="s">
        <v>108</v>
      </c>
      <c r="E11" s="1" t="str">
        <f>VLOOKUP(D11,Documentation!$B$4:$D$27,3,FALSE)</f>
        <v>WASHINGTON METRO</v>
      </c>
      <c r="F11" s="1" t="str">
        <f>VLOOKUP(D11,Documentation!$B$4:$C$27,2,FALSE)</f>
        <v>NON METRO</v>
      </c>
      <c r="G11" s="82">
        <f>VLOOKUP(A11,'2022 CR and CMI'!$A$3:$D$207,3,FALSE)</f>
        <v>44562</v>
      </c>
      <c r="H11" s="82">
        <f>VLOOKUP(A11,'2022 CR and CMI'!$A$3:$D$207,4,FALSE)</f>
        <v>44926</v>
      </c>
      <c r="I11" s="72">
        <f>VLOOKUP(A11,'2022 CR and CMI'!$A$2:$T$210,19,FALSE)</f>
        <v>1.3117000000000001</v>
      </c>
      <c r="J11" s="139">
        <f>Inflation!$G$24</f>
        <v>1.0309999999999999</v>
      </c>
      <c r="K11" s="192">
        <f>VLOOKUP(E11,Limits!$B$2:$D$5,3,FALSE)</f>
        <v>176.01</v>
      </c>
      <c r="L11" s="192">
        <f t="shared" si="31"/>
        <v>181.47</v>
      </c>
      <c r="M11" s="140">
        <f>VLOOKUP(A11,'CMI Data'!$A$4:$C$208,3,FALSE)</f>
        <v>1.3333999999999999</v>
      </c>
      <c r="N11" s="68">
        <f t="shared" si="2"/>
        <v>164.94</v>
      </c>
      <c r="O11" s="68">
        <f t="shared" si="32"/>
        <v>167.67</v>
      </c>
      <c r="P11" s="75">
        <f t="shared" si="33"/>
        <v>159.29</v>
      </c>
      <c r="Q11" s="75">
        <v>174.65</v>
      </c>
      <c r="R11" s="75">
        <f t="shared" si="34"/>
        <v>180.06</v>
      </c>
      <c r="S11" s="68">
        <f t="shared" si="35"/>
        <v>183.04</v>
      </c>
      <c r="T11" s="75">
        <f t="shared" si="36"/>
        <v>0</v>
      </c>
      <c r="U11" s="68">
        <f t="shared" si="37"/>
        <v>167.67</v>
      </c>
      <c r="V11" s="68">
        <f>VLOOKUP($F11,Limits!$J$2:$L$5,3,FALSE)</f>
        <v>20.239999999999998</v>
      </c>
      <c r="W11" s="68">
        <f t="shared" si="38"/>
        <v>20.87</v>
      </c>
      <c r="X11" s="68">
        <f>VLOOKUP($F11,Limits!$R$2:$T$5,3,FALSE)</f>
        <v>89.55</v>
      </c>
      <c r="Y11" s="68">
        <f t="shared" si="39"/>
        <v>92.33</v>
      </c>
      <c r="Z11" s="75">
        <f>VLOOKUP(A11,FRV!$A$4:$U$208,21,FALSE)</f>
        <v>44.17</v>
      </c>
      <c r="AA11" s="141">
        <f>VLOOKUP(A11,'RE Tax'!$A$2:$G$206,3,FALSE)</f>
        <v>45292</v>
      </c>
      <c r="AB11" s="141">
        <f>VLOOKUP(A11,'RE Tax'!$A$2:$G$206,4,FALSE)</f>
        <v>45657</v>
      </c>
      <c r="AC11" s="4">
        <f>VLOOKUP(A11,'RE Tax'!$A$2:$G$206,7,FALSE)</f>
        <v>0</v>
      </c>
      <c r="AD11" s="4">
        <f>VLOOKUP($A11,'RE Tax'!$A$2:$I$206,9,FALSE)</f>
        <v>17568</v>
      </c>
      <c r="AE11" s="4">
        <f>VLOOKUP($A11,'RE Tax'!$A$2:$I$206,8,FALSE)</f>
        <v>13052</v>
      </c>
      <c r="AF11" s="142">
        <f>IF(ISNA(VLOOKUP(A11&amp;AB11,'Days Exceptions'!$C$3:$I$7,6,FALSE)),ROUND(AC11/MAX(AE11,(AD11*Min_Occ)),2),ROUND(AC11/VLOOKUP(A11&amp;AB11,'Days Exceptions'!$C$3:$I$7,6,FALSE),2))</f>
        <v>0</v>
      </c>
      <c r="AG11" s="68">
        <v>0</v>
      </c>
      <c r="AH11" s="68">
        <f t="shared" si="40"/>
        <v>0</v>
      </c>
      <c r="AI11" s="4">
        <v>0</v>
      </c>
      <c r="AJ11" s="4">
        <v>0</v>
      </c>
      <c r="AK11" s="68">
        <f>IF(AI11=0,0,IF(ISNA(MATCH(A11,Documentation!$B$66:$B$71,0)),QA_Tax_reg,QA_Tax_5high))</f>
        <v>0</v>
      </c>
      <c r="AL11" s="75">
        <f t="shared" si="41"/>
        <v>0</v>
      </c>
      <c r="AM11" s="68">
        <f t="shared" si="42"/>
        <v>325.04000000000002</v>
      </c>
      <c r="AN11" s="68">
        <f t="shared" si="43"/>
        <v>241.21</v>
      </c>
      <c r="AO11" s="68">
        <f t="shared" si="44"/>
        <v>157.37</v>
      </c>
      <c r="AP11" s="37" t="s">
        <v>402</v>
      </c>
      <c r="AQ11" s="37" t="s">
        <v>396</v>
      </c>
      <c r="AR11" s="37" t="s">
        <v>964</v>
      </c>
      <c r="AS11" s="66" t="e">
        <f>VLOOKUP(A11,'CMI Data'!$A$3:$J$209,10,FALSE)</f>
        <v>#DIV/0!</v>
      </c>
      <c r="AT11" s="68">
        <f t="shared" si="3"/>
        <v>159.97</v>
      </c>
      <c r="AU11" s="68" t="e">
        <f t="shared" si="4"/>
        <v>#DIV/0!</v>
      </c>
      <c r="AV11" s="75" t="e">
        <f t="shared" si="45"/>
        <v>#DIV/0!</v>
      </c>
      <c r="AW11" s="68" t="e">
        <f>IF($I11="NA","NA",ROUND(#REF!*$AS11/$I11,2))</f>
        <v>#REF!</v>
      </c>
      <c r="AX11" s="75" t="e">
        <f t="shared" si="46"/>
        <v>#REF!</v>
      </c>
      <c r="AY11" s="68" t="e">
        <f t="shared" si="47"/>
        <v>#REF!</v>
      </c>
      <c r="AZ11" s="4">
        <f t="shared" si="5"/>
        <v>0</v>
      </c>
      <c r="BA11" s="4">
        <f t="shared" si="6"/>
        <v>17568</v>
      </c>
      <c r="BB11" s="4">
        <f t="shared" si="7"/>
        <v>13052</v>
      </c>
      <c r="BC11" s="142">
        <f>IF(ISNA(VLOOKUP($A11&amp;$AB11,'Days Exceptions'!$C$3:$I$7,6,FALSE)),ROUND(AZ11/MAX(BB11,(BA11*Min_Occ)),2),ROUND(AZ11/VLOOKUP($A11&amp;$AB11,'Days Exceptions'!$C$3:$I$7,6,FALSE),2))</f>
        <v>0</v>
      </c>
      <c r="BD11" s="143" t="e">
        <f t="shared" si="8"/>
        <v>#REF!</v>
      </c>
      <c r="BE11" s="143" t="e">
        <f t="shared" si="9"/>
        <v>#REF!</v>
      </c>
      <c r="BF11" s="143">
        <f t="shared" si="10"/>
        <v>153.96</v>
      </c>
      <c r="BG11" s="37" t="s">
        <v>402</v>
      </c>
      <c r="BH11" s="37" t="s">
        <v>396</v>
      </c>
      <c r="BI11" s="37" t="s">
        <v>1168</v>
      </c>
      <c r="BJ11" s="66" t="e">
        <f>VLOOKUP(A11,'CMI Data'!$A$3:$AZ$209,15,FALSE)</f>
        <v>#DIV/0!</v>
      </c>
      <c r="BK11" s="68">
        <f t="shared" si="11"/>
        <v>159.97</v>
      </c>
      <c r="BL11" s="68" t="e">
        <f t="shared" si="12"/>
        <v>#DIV/0!</v>
      </c>
      <c r="BM11" s="75" t="e">
        <f t="shared" si="13"/>
        <v>#DIV/0!</v>
      </c>
      <c r="BN11" s="68" t="e">
        <f>IF($I11="NA","NA",ROUND(#REF!*$BJ11/$I11,2))</f>
        <v>#REF!</v>
      </c>
      <c r="BO11" s="75" t="e">
        <f t="shared" si="14"/>
        <v>#REF!</v>
      </c>
      <c r="BP11" s="68" t="e">
        <f t="shared" si="48"/>
        <v>#REF!</v>
      </c>
      <c r="BQ11" s="4">
        <f t="shared" si="15"/>
        <v>0</v>
      </c>
      <c r="BR11" s="4">
        <f t="shared" si="16"/>
        <v>17568</v>
      </c>
      <c r="BS11" s="4">
        <f t="shared" si="17"/>
        <v>13052</v>
      </c>
      <c r="BT11" s="142">
        <f>IF(ISNA(VLOOKUP($A11&amp;$AB11,'Days Exceptions'!$C$3:$I$7,6,FALSE)),ROUND(BQ11/MAX(BS11,(BR11*Min_Occ)),2),ROUND(BQ11/VLOOKUP($A11&amp;$AB11,'Days Exceptions'!$C$3:$I$7,6,FALSE),2))</f>
        <v>0</v>
      </c>
      <c r="BU11" s="143" t="e">
        <f t="shared" si="18"/>
        <v>#REF!</v>
      </c>
      <c r="BV11" s="143" t="e">
        <f t="shared" si="19"/>
        <v>#REF!</v>
      </c>
      <c r="BW11" s="143">
        <f t="shared" si="20"/>
        <v>153.96</v>
      </c>
      <c r="BX11" s="37" t="s">
        <v>402</v>
      </c>
      <c r="BY11" s="37" t="s">
        <v>396</v>
      </c>
      <c r="BZ11" s="37" t="s">
        <v>1380</v>
      </c>
      <c r="CA11" s="66" t="e">
        <f>VLOOKUP(A11,'CMI Data'!$A$3:$AZ$209,20,FALSE)</f>
        <v>#DIV/0!</v>
      </c>
      <c r="CB11" s="68">
        <f t="shared" si="21"/>
        <v>159.97</v>
      </c>
      <c r="CC11" s="68" t="e">
        <f t="shared" si="22"/>
        <v>#DIV/0!</v>
      </c>
      <c r="CD11" s="75" t="e">
        <f t="shared" si="49"/>
        <v>#DIV/0!</v>
      </c>
      <c r="CE11" s="68" t="e">
        <f>IF($I11="NA","NA",ROUND(#REF!*$CA11/$I11,2))</f>
        <v>#REF!</v>
      </c>
      <c r="CF11" s="75" t="e">
        <f t="shared" si="23"/>
        <v>#REF!</v>
      </c>
      <c r="CG11" s="68" t="e">
        <f t="shared" si="24"/>
        <v>#REF!</v>
      </c>
      <c r="CH11" s="4">
        <f t="shared" si="25"/>
        <v>0</v>
      </c>
      <c r="CI11" s="4">
        <f t="shared" si="26"/>
        <v>17568</v>
      </c>
      <c r="CJ11" s="4">
        <f t="shared" si="27"/>
        <v>13052</v>
      </c>
      <c r="CK11" s="142">
        <f>IF(ISNA(VLOOKUP($A11&amp;$AB11,'Days Exceptions'!$C$3:$I$7,6,FALSE)),ROUND(CH11/MAX(CJ11,(CI11*Min_Occ)),2),ROUND(CH11/VLOOKUP($A11&amp;$AB11,'Days Exceptions'!$C$3:$I$7,6,FALSE),2))</f>
        <v>0</v>
      </c>
      <c r="CL11" s="143" t="e">
        <f t="shared" si="28"/>
        <v>#REF!</v>
      </c>
      <c r="CM11" s="143" t="e">
        <f t="shared" si="29"/>
        <v>#REF!</v>
      </c>
      <c r="CN11" s="143">
        <f t="shared" si="30"/>
        <v>153.96</v>
      </c>
      <c r="CO11" s="37" t="s">
        <v>402</v>
      </c>
      <c r="CP11" s="37" t="s">
        <v>396</v>
      </c>
      <c r="CQ11" s="37" t="s">
        <v>1381</v>
      </c>
    </row>
    <row r="12" spans="1:95" x14ac:dyDescent="0.15">
      <c r="A12" s="130">
        <v>671</v>
      </c>
      <c r="B12" s="37" t="s">
        <v>606</v>
      </c>
      <c r="C12" s="1" t="s">
        <v>148</v>
      </c>
      <c r="D12" s="1" t="s">
        <v>110</v>
      </c>
      <c r="E12" s="1" t="str">
        <f>VLOOKUP(D12,Documentation!$B$4:$D$27,3,FALSE)</f>
        <v>BALTIMORE METRO</v>
      </c>
      <c r="F12" s="1" t="str">
        <f>VLOOKUP(D12,Documentation!$B$4:$C$27,2,FALSE)</f>
        <v>BALTIMORE METRO</v>
      </c>
      <c r="G12" s="82">
        <f>VLOOKUP(A12,'2022 CR and CMI'!$A$3:$D$207,3,FALSE)</f>
        <v>44562</v>
      </c>
      <c r="H12" s="82">
        <f>VLOOKUP(A12,'2022 CR and CMI'!$A$3:$D$207,4,FALSE)</f>
        <v>44926</v>
      </c>
      <c r="I12" s="72">
        <f>VLOOKUP(A12,'2022 CR and CMI'!$A$2:$T$210,19,FALSE)</f>
        <v>1.4001999999999999</v>
      </c>
      <c r="J12" s="139">
        <f>Inflation!$G$24</f>
        <v>1.0309999999999999</v>
      </c>
      <c r="K12" s="192">
        <f>VLOOKUP(E12,Limits!$B$2:$D$5,3,FALSE)</f>
        <v>195.33</v>
      </c>
      <c r="L12" s="192">
        <f t="shared" si="31"/>
        <v>201.39</v>
      </c>
      <c r="M12" s="140">
        <f>VLOOKUP(A12,'CMI Data'!$A$4:$C$208,3,FALSE)</f>
        <v>1.3915999999999999</v>
      </c>
      <c r="N12" s="68">
        <f t="shared" si="2"/>
        <v>195.39</v>
      </c>
      <c r="O12" s="68">
        <f t="shared" si="32"/>
        <v>194.19</v>
      </c>
      <c r="P12" s="75">
        <f t="shared" si="33"/>
        <v>184.48</v>
      </c>
      <c r="Q12" s="75">
        <v>225.89</v>
      </c>
      <c r="R12" s="75">
        <f t="shared" si="34"/>
        <v>232.89</v>
      </c>
      <c r="S12" s="68">
        <f t="shared" si="35"/>
        <v>231.46</v>
      </c>
      <c r="T12" s="75">
        <f t="shared" si="36"/>
        <v>0</v>
      </c>
      <c r="U12" s="68">
        <f t="shared" si="37"/>
        <v>194.19</v>
      </c>
      <c r="V12" s="68">
        <f>VLOOKUP($F12,Limits!$J$2:$L$5,3,FALSE)</f>
        <v>20.85</v>
      </c>
      <c r="W12" s="68">
        <f t="shared" si="38"/>
        <v>21.5</v>
      </c>
      <c r="X12" s="68">
        <f>VLOOKUP($F12,Limits!$R$2:$T$5,3,FALSE)</f>
        <v>102.02</v>
      </c>
      <c r="Y12" s="68">
        <f t="shared" si="39"/>
        <v>105.18</v>
      </c>
      <c r="Z12" s="75">
        <f>VLOOKUP(A12,FRV!$A$4:$U$208,21,FALSE)</f>
        <v>41.95</v>
      </c>
      <c r="AA12" s="141">
        <f>VLOOKUP(A12,'RE Tax'!$A$2:$G$206,3,FALSE)</f>
        <v>45292</v>
      </c>
      <c r="AB12" s="141">
        <f>VLOOKUP(A12,'RE Tax'!$A$2:$G$206,4,FALSE)</f>
        <v>45657</v>
      </c>
      <c r="AC12" s="4">
        <f>VLOOKUP(A12,'RE Tax'!$A$2:$G$206,7,FALSE)</f>
        <v>24639</v>
      </c>
      <c r="AD12" s="4">
        <f>VLOOKUP($A12,'RE Tax'!$A$2:$I$206,9,FALSE)</f>
        <v>21960</v>
      </c>
      <c r="AE12" s="4">
        <f>VLOOKUP($A12,'RE Tax'!$A$2:$I$206,8,FALSE)</f>
        <v>20044</v>
      </c>
      <c r="AF12" s="142">
        <f>IF(ISNA(VLOOKUP(A12&amp;AB12,'Days Exceptions'!$C$3:$I$7,6,FALSE)),ROUND(AC12/MAX(AE12,(AD12*Min_Occ)),2),ROUND(AC12/VLOOKUP(A12&amp;AB12,'Days Exceptions'!$C$3:$I$7,6,FALSE),2))</f>
        <v>1.23</v>
      </c>
      <c r="AG12" s="68">
        <v>0</v>
      </c>
      <c r="AH12" s="68">
        <f t="shared" si="40"/>
        <v>0</v>
      </c>
      <c r="AI12" s="4">
        <v>10776</v>
      </c>
      <c r="AJ12" s="4">
        <v>20045</v>
      </c>
      <c r="AK12" s="68">
        <f>IF(AI12=0,0,IF(ISNA(MATCH(A12,Documentation!$B$66:$B$71,0)),QA_Tax_reg,QA_Tax_5high))</f>
        <v>32.92</v>
      </c>
      <c r="AL12" s="75">
        <f t="shared" si="41"/>
        <v>17.7</v>
      </c>
      <c r="AM12" s="68">
        <f t="shared" si="42"/>
        <v>364.05</v>
      </c>
      <c r="AN12" s="68">
        <f t="shared" si="43"/>
        <v>266.95999999999998</v>
      </c>
      <c r="AO12" s="68">
        <f t="shared" si="44"/>
        <v>169.86</v>
      </c>
      <c r="AP12" s="37" t="s">
        <v>1</v>
      </c>
      <c r="AQ12" s="37" t="s">
        <v>606</v>
      </c>
      <c r="AR12" s="37" t="s">
        <v>965</v>
      </c>
      <c r="AS12" s="66" t="e">
        <f>VLOOKUP(A12,'CMI Data'!$A$3:$J$209,10,FALSE)</f>
        <v>#DIV/0!</v>
      </c>
      <c r="AT12" s="68">
        <f t="shared" si="3"/>
        <v>189.51</v>
      </c>
      <c r="AU12" s="68" t="e">
        <f t="shared" si="4"/>
        <v>#DIV/0!</v>
      </c>
      <c r="AV12" s="75" t="e">
        <f t="shared" si="45"/>
        <v>#DIV/0!</v>
      </c>
      <c r="AW12" s="68" t="e">
        <f>IF($I12="NA","NA",ROUND(#REF!*$AS12/$I12,2))</f>
        <v>#REF!</v>
      </c>
      <c r="AX12" s="75" t="e">
        <f t="shared" si="46"/>
        <v>#REF!</v>
      </c>
      <c r="AY12" s="68" t="e">
        <f t="shared" si="47"/>
        <v>#REF!</v>
      </c>
      <c r="AZ12" s="4">
        <f t="shared" si="5"/>
        <v>24639</v>
      </c>
      <c r="BA12" s="4">
        <f t="shared" si="6"/>
        <v>21960</v>
      </c>
      <c r="BB12" s="4">
        <f t="shared" si="7"/>
        <v>20044</v>
      </c>
      <c r="BC12" s="142">
        <f>IF(ISNA(VLOOKUP($A12&amp;$AB12,'Days Exceptions'!$C$3:$I$7,6,FALSE)),ROUND(AZ12/MAX(BB12,(BA12*Min_Occ)),2),ROUND(AZ12/VLOOKUP($A12&amp;$AB12,'Days Exceptions'!$C$3:$I$7,6,FALSE),2))</f>
        <v>1.23</v>
      </c>
      <c r="BD12" s="143" t="e">
        <f t="shared" si="8"/>
        <v>#REF!</v>
      </c>
      <c r="BE12" s="143" t="e">
        <f t="shared" si="9"/>
        <v>#REF!</v>
      </c>
      <c r="BF12" s="143">
        <f t="shared" si="10"/>
        <v>166.05</v>
      </c>
      <c r="BG12" s="37" t="s">
        <v>1</v>
      </c>
      <c r="BH12" s="37" t="s">
        <v>606</v>
      </c>
      <c r="BI12" s="37" t="s">
        <v>1169</v>
      </c>
      <c r="BJ12" s="66" t="e">
        <f>VLOOKUP(A12,'CMI Data'!$A$3:$AZ$209,15,FALSE)</f>
        <v>#DIV/0!</v>
      </c>
      <c r="BK12" s="68">
        <f t="shared" si="11"/>
        <v>189.51</v>
      </c>
      <c r="BL12" s="68" t="e">
        <f t="shared" si="12"/>
        <v>#DIV/0!</v>
      </c>
      <c r="BM12" s="75" t="e">
        <f t="shared" si="13"/>
        <v>#DIV/0!</v>
      </c>
      <c r="BN12" s="68" t="e">
        <f>IF($I12="NA","NA",ROUND(#REF!*$BJ12/$I12,2))</f>
        <v>#REF!</v>
      </c>
      <c r="BO12" s="75" t="e">
        <f t="shared" si="14"/>
        <v>#REF!</v>
      </c>
      <c r="BP12" s="68" t="e">
        <f t="shared" si="48"/>
        <v>#REF!</v>
      </c>
      <c r="BQ12" s="4">
        <f t="shared" si="15"/>
        <v>24639</v>
      </c>
      <c r="BR12" s="4">
        <f t="shared" si="16"/>
        <v>21960</v>
      </c>
      <c r="BS12" s="4">
        <f t="shared" si="17"/>
        <v>20044</v>
      </c>
      <c r="BT12" s="142">
        <f>IF(ISNA(VLOOKUP($A12&amp;$AB12,'Days Exceptions'!$C$3:$I$7,6,FALSE)),ROUND(BQ12/MAX(BS12,(BR12*Min_Occ)),2),ROUND(BQ12/VLOOKUP($A12&amp;$AB12,'Days Exceptions'!$C$3:$I$7,6,FALSE),2))</f>
        <v>1.23</v>
      </c>
      <c r="BU12" s="143" t="e">
        <f t="shared" si="18"/>
        <v>#REF!</v>
      </c>
      <c r="BV12" s="143" t="e">
        <f t="shared" si="19"/>
        <v>#REF!</v>
      </c>
      <c r="BW12" s="143">
        <f t="shared" si="20"/>
        <v>166.05</v>
      </c>
      <c r="BX12" s="37" t="s">
        <v>1</v>
      </c>
      <c r="BY12" s="37" t="s">
        <v>606</v>
      </c>
      <c r="BZ12" s="37" t="s">
        <v>1382</v>
      </c>
      <c r="CA12" s="66" t="e">
        <f>VLOOKUP(A12,'CMI Data'!$A$3:$AZ$209,20,FALSE)</f>
        <v>#DIV/0!</v>
      </c>
      <c r="CB12" s="68">
        <f t="shared" si="21"/>
        <v>189.51</v>
      </c>
      <c r="CC12" s="68" t="e">
        <f t="shared" si="22"/>
        <v>#DIV/0!</v>
      </c>
      <c r="CD12" s="75" t="e">
        <f t="shared" si="49"/>
        <v>#DIV/0!</v>
      </c>
      <c r="CE12" s="68" t="e">
        <f>IF($I12="NA","NA",ROUND(#REF!*$CA12/$I12,2))</f>
        <v>#REF!</v>
      </c>
      <c r="CF12" s="75" t="e">
        <f t="shared" si="23"/>
        <v>#REF!</v>
      </c>
      <c r="CG12" s="68" t="e">
        <f t="shared" si="24"/>
        <v>#REF!</v>
      </c>
      <c r="CH12" s="4">
        <f t="shared" si="25"/>
        <v>24639</v>
      </c>
      <c r="CI12" s="4">
        <f t="shared" si="26"/>
        <v>21960</v>
      </c>
      <c r="CJ12" s="4">
        <f t="shared" si="27"/>
        <v>20044</v>
      </c>
      <c r="CK12" s="142">
        <f>IF(ISNA(VLOOKUP($A12&amp;$AB12,'Days Exceptions'!$C$3:$I$7,6,FALSE)),ROUND(CH12/MAX(CJ12,(CI12*Min_Occ)),2),ROUND(CH12/VLOOKUP($A12&amp;$AB12,'Days Exceptions'!$C$3:$I$7,6,FALSE),2))</f>
        <v>1.23</v>
      </c>
      <c r="CL12" s="143" t="e">
        <f t="shared" si="28"/>
        <v>#REF!</v>
      </c>
      <c r="CM12" s="143" t="e">
        <f t="shared" si="29"/>
        <v>#REF!</v>
      </c>
      <c r="CN12" s="143">
        <f t="shared" si="30"/>
        <v>166.05</v>
      </c>
      <c r="CO12" s="37" t="s">
        <v>1</v>
      </c>
      <c r="CP12" s="37" t="s">
        <v>606</v>
      </c>
      <c r="CQ12" s="37" t="s">
        <v>1383</v>
      </c>
    </row>
    <row r="13" spans="1:95" x14ac:dyDescent="0.15">
      <c r="A13" s="130">
        <v>46</v>
      </c>
      <c r="B13" s="37" t="s">
        <v>746</v>
      </c>
      <c r="C13" s="1" t="s">
        <v>148</v>
      </c>
      <c r="D13" s="1" t="s">
        <v>107</v>
      </c>
      <c r="E13" s="1" t="str">
        <f>VLOOKUP(D13,Documentation!$B$4:$D$27,3,FALSE)</f>
        <v>BALTIMORE METRO</v>
      </c>
      <c r="F13" s="1" t="str">
        <f>VLOOKUP(D13,Documentation!$B$4:$C$27,2,FALSE)</f>
        <v>BALTIMORE METRO</v>
      </c>
      <c r="G13" s="82">
        <f>VLOOKUP(A13,'2022 CR and CMI'!$A$3:$D$207,3,FALSE)</f>
        <v>44562</v>
      </c>
      <c r="H13" s="82">
        <f>VLOOKUP(A13,'2022 CR and CMI'!$A$3:$D$207,4,FALSE)</f>
        <v>44926</v>
      </c>
      <c r="I13" s="72">
        <f>VLOOKUP(A13,'2022 CR and CMI'!$A$2:$T$210,19,FALSE)</f>
        <v>1.3243</v>
      </c>
      <c r="J13" s="139">
        <f>Inflation!$G$24</f>
        <v>1.0309999999999999</v>
      </c>
      <c r="K13" s="192">
        <f>VLOOKUP(E13,Limits!$B$2:$D$5,3,FALSE)</f>
        <v>195.33</v>
      </c>
      <c r="L13" s="192">
        <f t="shared" si="31"/>
        <v>201.39</v>
      </c>
      <c r="M13" s="140">
        <f>VLOOKUP(A13,'CMI Data'!$A$4:$C$208,3,FALSE)</f>
        <v>1.4037999999999999</v>
      </c>
      <c r="N13" s="68">
        <f t="shared" si="2"/>
        <v>184.8</v>
      </c>
      <c r="O13" s="68">
        <f t="shared" si="32"/>
        <v>195.89</v>
      </c>
      <c r="P13" s="75">
        <f t="shared" si="33"/>
        <v>186.1</v>
      </c>
      <c r="Q13" s="75">
        <v>184.63</v>
      </c>
      <c r="R13" s="75">
        <f t="shared" si="34"/>
        <v>190.35</v>
      </c>
      <c r="S13" s="68">
        <f t="shared" si="35"/>
        <v>201.78</v>
      </c>
      <c r="T13" s="75">
        <f t="shared" si="36"/>
        <v>0</v>
      </c>
      <c r="U13" s="68">
        <f t="shared" si="37"/>
        <v>195.89</v>
      </c>
      <c r="V13" s="68">
        <f>VLOOKUP($F13,Limits!$J$2:$L$5,3,FALSE)</f>
        <v>20.85</v>
      </c>
      <c r="W13" s="68">
        <f t="shared" si="38"/>
        <v>21.5</v>
      </c>
      <c r="X13" s="68">
        <f>VLOOKUP($F13,Limits!$R$2:$T$5,3,FALSE)</f>
        <v>102.02</v>
      </c>
      <c r="Y13" s="68">
        <f t="shared" si="39"/>
        <v>105.18</v>
      </c>
      <c r="Z13" s="75">
        <f>VLOOKUP(A13,FRV!$A$4:$U$208,21,FALSE)</f>
        <v>44.17</v>
      </c>
      <c r="AA13" s="141">
        <f>VLOOKUP(A13,'RE Tax'!$A$2:$G$206,3,FALSE)</f>
        <v>45292</v>
      </c>
      <c r="AB13" s="141">
        <f>VLOOKUP(A13,'RE Tax'!$A$2:$G$206,4,FALSE)</f>
        <v>45657</v>
      </c>
      <c r="AC13" s="4">
        <f>VLOOKUP(A13,'RE Tax'!$A$2:$G$206,7,FALSE)</f>
        <v>166139</v>
      </c>
      <c r="AD13" s="4">
        <f>VLOOKUP($A13,'RE Tax'!$A$2:$I$206,9,FALSE)</f>
        <v>47946</v>
      </c>
      <c r="AE13" s="4">
        <f>VLOOKUP($A13,'RE Tax'!$A$2:$I$206,8,FALSE)</f>
        <v>38691</v>
      </c>
      <c r="AF13" s="142">
        <f>IF(ISNA(VLOOKUP(A13&amp;AB13,'Days Exceptions'!$C$3:$I$7,6,FALSE)),ROUND(AC13/MAX(AE13,(AD13*Min_Occ)),2),ROUND(AC13/VLOOKUP(A13&amp;AB13,'Days Exceptions'!$C$3:$I$7,6,FALSE),2))</f>
        <v>4.25</v>
      </c>
      <c r="AG13" s="68">
        <v>0</v>
      </c>
      <c r="AH13" s="68">
        <f t="shared" si="40"/>
        <v>0</v>
      </c>
      <c r="AI13" s="4">
        <v>0</v>
      </c>
      <c r="AJ13" s="4">
        <v>0</v>
      </c>
      <c r="AK13" s="68">
        <f>IF(AI13=0,0,IF(ISNA(MATCH(A13,Documentation!$B$66:$B$71,0)),QA_Tax_reg,QA_Tax_5high))</f>
        <v>0</v>
      </c>
      <c r="AL13" s="75">
        <f t="shared" si="41"/>
        <v>0</v>
      </c>
      <c r="AM13" s="68">
        <f t="shared" si="42"/>
        <v>370.99</v>
      </c>
      <c r="AN13" s="68">
        <f t="shared" si="43"/>
        <v>273.05</v>
      </c>
      <c r="AO13" s="68">
        <f t="shared" si="44"/>
        <v>175.1</v>
      </c>
      <c r="AP13" s="37" t="s">
        <v>745</v>
      </c>
      <c r="AQ13" s="37" t="s">
        <v>746</v>
      </c>
      <c r="AR13" s="37" t="s">
        <v>966</v>
      </c>
      <c r="AS13" s="66" t="e">
        <f>VLOOKUP(A13,'CMI Data'!$A$3:$J$209,10,FALSE)</f>
        <v>#DIV/0!</v>
      </c>
      <c r="AT13" s="68">
        <f t="shared" si="3"/>
        <v>179.24</v>
      </c>
      <c r="AU13" s="68" t="e">
        <f t="shared" si="4"/>
        <v>#DIV/0!</v>
      </c>
      <c r="AV13" s="75" t="e">
        <f t="shared" si="45"/>
        <v>#DIV/0!</v>
      </c>
      <c r="AW13" s="68" t="e">
        <f>IF($I13="NA","NA",ROUND(#REF!*$AS13/$I13,2))</f>
        <v>#REF!</v>
      </c>
      <c r="AX13" s="75" t="e">
        <f t="shared" si="46"/>
        <v>#REF!</v>
      </c>
      <c r="AY13" s="68" t="e">
        <f t="shared" si="47"/>
        <v>#REF!</v>
      </c>
      <c r="AZ13" s="4">
        <f t="shared" si="5"/>
        <v>166139</v>
      </c>
      <c r="BA13" s="4">
        <f t="shared" si="6"/>
        <v>47946</v>
      </c>
      <c r="BB13" s="4">
        <f t="shared" si="7"/>
        <v>38691</v>
      </c>
      <c r="BC13" s="142">
        <f>IF(ISNA(VLOOKUP($A13&amp;$AB13,'Days Exceptions'!$C$3:$I$7,6,FALSE)),ROUND(AZ13/MAX(BB13,(BA13*Min_Occ)),2),ROUND(AZ13/VLOOKUP($A13&amp;$AB13,'Days Exceptions'!$C$3:$I$7,6,FALSE),2))</f>
        <v>4.25</v>
      </c>
      <c r="BD13" s="143" t="e">
        <f t="shared" si="8"/>
        <v>#REF!</v>
      </c>
      <c r="BE13" s="143" t="e">
        <f t="shared" si="9"/>
        <v>#REF!</v>
      </c>
      <c r="BF13" s="143">
        <f t="shared" si="10"/>
        <v>171.29</v>
      </c>
      <c r="BG13" s="37" t="s">
        <v>745</v>
      </c>
      <c r="BH13" s="37" t="s">
        <v>746</v>
      </c>
      <c r="BI13" s="37" t="s">
        <v>1170</v>
      </c>
      <c r="BJ13" s="66" t="e">
        <f>VLOOKUP(A13,'CMI Data'!$A$3:$AZ$209,15,FALSE)</f>
        <v>#DIV/0!</v>
      </c>
      <c r="BK13" s="68">
        <f t="shared" si="11"/>
        <v>179.24</v>
      </c>
      <c r="BL13" s="68" t="e">
        <f t="shared" si="12"/>
        <v>#DIV/0!</v>
      </c>
      <c r="BM13" s="75" t="e">
        <f t="shared" si="13"/>
        <v>#DIV/0!</v>
      </c>
      <c r="BN13" s="68" t="e">
        <f>IF($I13="NA","NA",ROUND(#REF!*$BJ13/$I13,2))</f>
        <v>#REF!</v>
      </c>
      <c r="BO13" s="75" t="e">
        <f t="shared" si="14"/>
        <v>#REF!</v>
      </c>
      <c r="BP13" s="68" t="e">
        <f t="shared" si="48"/>
        <v>#REF!</v>
      </c>
      <c r="BQ13" s="4">
        <f t="shared" si="15"/>
        <v>166139</v>
      </c>
      <c r="BR13" s="4">
        <f t="shared" si="16"/>
        <v>47946</v>
      </c>
      <c r="BS13" s="4">
        <f t="shared" si="17"/>
        <v>38691</v>
      </c>
      <c r="BT13" s="142">
        <f>IF(ISNA(VLOOKUP($A13&amp;$AB13,'Days Exceptions'!$C$3:$I$7,6,FALSE)),ROUND(BQ13/MAX(BS13,(BR13*Min_Occ)),2),ROUND(BQ13/VLOOKUP($A13&amp;$AB13,'Days Exceptions'!$C$3:$I$7,6,FALSE),2))</f>
        <v>4.25</v>
      </c>
      <c r="BU13" s="143" t="e">
        <f t="shared" si="18"/>
        <v>#REF!</v>
      </c>
      <c r="BV13" s="143" t="e">
        <f t="shared" si="19"/>
        <v>#REF!</v>
      </c>
      <c r="BW13" s="143">
        <f t="shared" si="20"/>
        <v>171.29</v>
      </c>
      <c r="BX13" s="37" t="s">
        <v>745</v>
      </c>
      <c r="BY13" s="37" t="s">
        <v>746</v>
      </c>
      <c r="BZ13" s="37" t="s">
        <v>1384</v>
      </c>
      <c r="CA13" s="66" t="e">
        <f>VLOOKUP(A13,'CMI Data'!$A$3:$AZ$209,20,FALSE)</f>
        <v>#DIV/0!</v>
      </c>
      <c r="CB13" s="68">
        <f t="shared" si="21"/>
        <v>179.24</v>
      </c>
      <c r="CC13" s="68" t="e">
        <f t="shared" si="22"/>
        <v>#DIV/0!</v>
      </c>
      <c r="CD13" s="75" t="e">
        <f t="shared" si="49"/>
        <v>#DIV/0!</v>
      </c>
      <c r="CE13" s="68" t="e">
        <f>IF($I13="NA","NA",ROUND(#REF!*$CA13/$I13,2))</f>
        <v>#REF!</v>
      </c>
      <c r="CF13" s="75" t="e">
        <f t="shared" si="23"/>
        <v>#REF!</v>
      </c>
      <c r="CG13" s="68" t="e">
        <f t="shared" si="24"/>
        <v>#REF!</v>
      </c>
      <c r="CH13" s="4">
        <f t="shared" si="25"/>
        <v>166139</v>
      </c>
      <c r="CI13" s="4">
        <f t="shared" si="26"/>
        <v>47946</v>
      </c>
      <c r="CJ13" s="4">
        <f t="shared" si="27"/>
        <v>38691</v>
      </c>
      <c r="CK13" s="142">
        <f>IF(ISNA(VLOOKUP($A13&amp;$AB13,'Days Exceptions'!$C$3:$I$7,6,FALSE)),ROUND(CH13/MAX(CJ13,(CI13*Min_Occ)),2),ROUND(CH13/VLOOKUP($A13&amp;$AB13,'Days Exceptions'!$C$3:$I$7,6,FALSE),2))</f>
        <v>4.25</v>
      </c>
      <c r="CL13" s="143" t="e">
        <f t="shared" si="28"/>
        <v>#REF!</v>
      </c>
      <c r="CM13" s="143" t="e">
        <f t="shared" si="29"/>
        <v>#REF!</v>
      </c>
      <c r="CN13" s="143">
        <f t="shared" si="30"/>
        <v>171.29</v>
      </c>
      <c r="CO13" s="37" t="s">
        <v>745</v>
      </c>
      <c r="CP13" s="37" t="s">
        <v>746</v>
      </c>
      <c r="CQ13" s="37" t="s">
        <v>1385</v>
      </c>
    </row>
    <row r="14" spans="1:95" x14ac:dyDescent="0.15">
      <c r="A14" s="130">
        <v>32</v>
      </c>
      <c r="B14" s="37" t="s">
        <v>349</v>
      </c>
      <c r="C14" s="1" t="s">
        <v>148</v>
      </c>
      <c r="D14" s="1" t="s">
        <v>102</v>
      </c>
      <c r="E14" s="1" t="str">
        <f>VLOOKUP(D14,Documentation!$B$4:$D$27,3,FALSE)</f>
        <v>BALTIMORE METRO</v>
      </c>
      <c r="F14" s="1" t="str">
        <f>VLOOKUP(D14,Documentation!$B$4:$C$27,2,FALSE)</f>
        <v>BALTIMORE CITY</v>
      </c>
      <c r="G14" s="82">
        <f>VLOOKUP(A14,'2022 CR and CMI'!$A$3:$D$207,3,FALSE)</f>
        <v>44562</v>
      </c>
      <c r="H14" s="82">
        <f>VLOOKUP(A14,'2022 CR and CMI'!$A$3:$D$207,4,FALSE)</f>
        <v>44926</v>
      </c>
      <c r="I14" s="72">
        <f>VLOOKUP(A14,'2022 CR and CMI'!$A$2:$T$210,19,FALSE)</f>
        <v>1.5281</v>
      </c>
      <c r="J14" s="139">
        <f>Inflation!$G$24</f>
        <v>1.0309999999999999</v>
      </c>
      <c r="K14" s="192">
        <f>VLOOKUP(E14,Limits!$B$2:$D$5,3,FALSE)</f>
        <v>195.33</v>
      </c>
      <c r="L14" s="192">
        <f t="shared" si="31"/>
        <v>201.39</v>
      </c>
      <c r="M14" s="140">
        <f>VLOOKUP(A14,'CMI Data'!$A$4:$C$208,3,FALSE)</f>
        <v>1.3753</v>
      </c>
      <c r="N14" s="68">
        <f t="shared" si="2"/>
        <v>213.24</v>
      </c>
      <c r="O14" s="68">
        <f t="shared" si="32"/>
        <v>191.92</v>
      </c>
      <c r="P14" s="75">
        <f t="shared" si="33"/>
        <v>182.32</v>
      </c>
      <c r="Q14" s="75">
        <v>169.94</v>
      </c>
      <c r="R14" s="75">
        <f t="shared" si="34"/>
        <v>175.21</v>
      </c>
      <c r="S14" s="68">
        <f t="shared" si="35"/>
        <v>157.69</v>
      </c>
      <c r="T14" s="75">
        <f t="shared" si="36"/>
        <v>-24.63</v>
      </c>
      <c r="U14" s="68">
        <f t="shared" si="37"/>
        <v>167.29</v>
      </c>
      <c r="V14" s="68">
        <f>VLOOKUP($F14,Limits!$J$2:$L$5,3,FALSE)</f>
        <v>24.89</v>
      </c>
      <c r="W14" s="68">
        <f t="shared" si="38"/>
        <v>25.66</v>
      </c>
      <c r="X14" s="68">
        <f>VLOOKUP($F14,Limits!$R$2:$T$5,3,FALSE)</f>
        <v>114.15</v>
      </c>
      <c r="Y14" s="68">
        <f t="shared" si="39"/>
        <v>117.69</v>
      </c>
      <c r="Z14" s="75">
        <f>VLOOKUP(A14,FRV!$A$4:$U$208,21,FALSE)</f>
        <v>38.450000000000003</v>
      </c>
      <c r="AA14" s="141">
        <f>VLOOKUP(A14,'RE Tax'!$A$2:$G$206,3,FALSE)</f>
        <v>45292</v>
      </c>
      <c r="AB14" s="141">
        <f>VLOOKUP(A14,'RE Tax'!$A$2:$G$206,4,FALSE)</f>
        <v>45657</v>
      </c>
      <c r="AC14" s="4">
        <f>VLOOKUP(A14,'RE Tax'!$A$2:$G$206,7,FALSE)</f>
        <v>200694</v>
      </c>
      <c r="AD14" s="4">
        <f>VLOOKUP($A14,'RE Tax'!$A$2:$I$206,9,FALSE)</f>
        <v>38430</v>
      </c>
      <c r="AE14" s="4">
        <f>VLOOKUP($A14,'RE Tax'!$A$2:$I$206,8,FALSE)</f>
        <v>34804</v>
      </c>
      <c r="AF14" s="142">
        <f>IF(ISNA(VLOOKUP(A14&amp;AB14,'Days Exceptions'!$C$3:$I$7,6,FALSE)),ROUND(AC14/MAX(AE14,(AD14*Min_Occ)),2),ROUND(AC14/VLOOKUP(A14&amp;AB14,'Days Exceptions'!$C$3:$I$7,6,FALSE),2))</f>
        <v>5.77</v>
      </c>
      <c r="AG14" s="68">
        <v>0</v>
      </c>
      <c r="AH14" s="68">
        <f t="shared" si="40"/>
        <v>0</v>
      </c>
      <c r="AI14" s="4">
        <v>29911</v>
      </c>
      <c r="AJ14" s="4">
        <v>34764</v>
      </c>
      <c r="AK14" s="68">
        <f>IF(AI14=0,0,IF(ISNA(MATCH(A14,Documentation!$B$66:$B$71,0)),QA_Tax_reg,QA_Tax_5high))</f>
        <v>32.92</v>
      </c>
      <c r="AL14" s="75">
        <f t="shared" si="41"/>
        <v>28.32</v>
      </c>
      <c r="AM14" s="68">
        <f t="shared" si="42"/>
        <v>354.86</v>
      </c>
      <c r="AN14" s="68">
        <f t="shared" si="43"/>
        <v>271.22000000000003</v>
      </c>
      <c r="AO14" s="68">
        <f t="shared" si="44"/>
        <v>187.57</v>
      </c>
      <c r="AP14" s="37" t="s">
        <v>263</v>
      </c>
      <c r="AQ14" s="37" t="s">
        <v>349</v>
      </c>
      <c r="AR14" s="37" t="s">
        <v>967</v>
      </c>
      <c r="AS14" s="66" t="e">
        <f>VLOOKUP(A14,'CMI Data'!$A$3:$J$209,10,FALSE)</f>
        <v>#DIV/0!</v>
      </c>
      <c r="AT14" s="68">
        <f t="shared" si="3"/>
        <v>206.82</v>
      </c>
      <c r="AU14" s="68" t="e">
        <f t="shared" si="4"/>
        <v>#DIV/0!</v>
      </c>
      <c r="AV14" s="75" t="e">
        <f t="shared" si="45"/>
        <v>#DIV/0!</v>
      </c>
      <c r="AW14" s="68" t="e">
        <f>IF($I14="NA","NA",ROUND(#REF!*$AS14/$I14,2))</f>
        <v>#REF!</v>
      </c>
      <c r="AX14" s="75" t="e">
        <f t="shared" si="46"/>
        <v>#REF!</v>
      </c>
      <c r="AY14" s="68" t="e">
        <f t="shared" si="47"/>
        <v>#REF!</v>
      </c>
      <c r="AZ14" s="4">
        <f t="shared" si="5"/>
        <v>200694</v>
      </c>
      <c r="BA14" s="4">
        <f t="shared" si="6"/>
        <v>38430</v>
      </c>
      <c r="BB14" s="4">
        <f t="shared" si="7"/>
        <v>34804</v>
      </c>
      <c r="BC14" s="142">
        <f>IF(ISNA(VLOOKUP($A14&amp;$AB14,'Days Exceptions'!$C$3:$I$7,6,FALSE)),ROUND(AZ14/MAX(BB14,(BA14*Min_Occ)),2),ROUND(AZ14/VLOOKUP($A14&amp;$AB14,'Days Exceptions'!$C$3:$I$7,6,FALSE),2))</f>
        <v>5.77</v>
      </c>
      <c r="BD14" s="143" t="e">
        <f t="shared" si="8"/>
        <v>#REF!</v>
      </c>
      <c r="BE14" s="143" t="e">
        <f t="shared" si="9"/>
        <v>#REF!</v>
      </c>
      <c r="BF14" s="143">
        <f t="shared" si="10"/>
        <v>183.26</v>
      </c>
      <c r="BG14" s="37" t="s">
        <v>263</v>
      </c>
      <c r="BH14" s="37" t="s">
        <v>349</v>
      </c>
      <c r="BI14" s="37" t="s">
        <v>1171</v>
      </c>
      <c r="BJ14" s="66" t="e">
        <f>VLOOKUP(A14,'CMI Data'!$A$3:$AZ$209,15,FALSE)</f>
        <v>#DIV/0!</v>
      </c>
      <c r="BK14" s="68">
        <f t="shared" si="11"/>
        <v>206.82</v>
      </c>
      <c r="BL14" s="68" t="e">
        <f t="shared" si="12"/>
        <v>#DIV/0!</v>
      </c>
      <c r="BM14" s="75" t="e">
        <f t="shared" si="13"/>
        <v>#DIV/0!</v>
      </c>
      <c r="BN14" s="68" t="e">
        <f>IF($I14="NA","NA",ROUND(#REF!*$BJ14/$I14,2))</f>
        <v>#REF!</v>
      </c>
      <c r="BO14" s="75" t="e">
        <f t="shared" si="14"/>
        <v>#REF!</v>
      </c>
      <c r="BP14" s="68" t="e">
        <f t="shared" si="48"/>
        <v>#REF!</v>
      </c>
      <c r="BQ14" s="4">
        <f t="shared" si="15"/>
        <v>200694</v>
      </c>
      <c r="BR14" s="4">
        <f t="shared" si="16"/>
        <v>38430</v>
      </c>
      <c r="BS14" s="4">
        <f t="shared" si="17"/>
        <v>34804</v>
      </c>
      <c r="BT14" s="142">
        <f>IF(ISNA(VLOOKUP($A14&amp;$AB14,'Days Exceptions'!$C$3:$I$7,6,FALSE)),ROUND(BQ14/MAX(BS14,(BR14*Min_Occ)),2),ROUND(BQ14/VLOOKUP($A14&amp;$AB14,'Days Exceptions'!$C$3:$I$7,6,FALSE),2))</f>
        <v>5.77</v>
      </c>
      <c r="BU14" s="143" t="e">
        <f t="shared" si="18"/>
        <v>#REF!</v>
      </c>
      <c r="BV14" s="143" t="e">
        <f t="shared" si="19"/>
        <v>#REF!</v>
      </c>
      <c r="BW14" s="143">
        <f t="shared" si="20"/>
        <v>183.26</v>
      </c>
      <c r="BX14" s="37" t="s">
        <v>263</v>
      </c>
      <c r="BY14" s="37" t="s">
        <v>349</v>
      </c>
      <c r="BZ14" s="37" t="s">
        <v>1386</v>
      </c>
      <c r="CA14" s="66" t="e">
        <f>VLOOKUP(A14,'CMI Data'!$A$3:$AZ$209,20,FALSE)</f>
        <v>#DIV/0!</v>
      </c>
      <c r="CB14" s="68">
        <f t="shared" si="21"/>
        <v>206.82</v>
      </c>
      <c r="CC14" s="68" t="e">
        <f t="shared" si="22"/>
        <v>#DIV/0!</v>
      </c>
      <c r="CD14" s="75" t="e">
        <f t="shared" si="49"/>
        <v>#DIV/0!</v>
      </c>
      <c r="CE14" s="68" t="e">
        <f>IF($I14="NA","NA",ROUND(#REF!*$CA14/$I14,2))</f>
        <v>#REF!</v>
      </c>
      <c r="CF14" s="75" t="e">
        <f t="shared" si="23"/>
        <v>#REF!</v>
      </c>
      <c r="CG14" s="68" t="e">
        <f t="shared" si="24"/>
        <v>#REF!</v>
      </c>
      <c r="CH14" s="4">
        <f t="shared" si="25"/>
        <v>200694</v>
      </c>
      <c r="CI14" s="4">
        <f t="shared" si="26"/>
        <v>38430</v>
      </c>
      <c r="CJ14" s="4">
        <f t="shared" si="27"/>
        <v>34804</v>
      </c>
      <c r="CK14" s="142">
        <f>IF(ISNA(VLOOKUP($A14&amp;$AB14,'Days Exceptions'!$C$3:$I$7,6,FALSE)),ROUND(CH14/MAX(CJ14,(CI14*Min_Occ)),2),ROUND(CH14/VLOOKUP($A14&amp;$AB14,'Days Exceptions'!$C$3:$I$7,6,FALSE),2))</f>
        <v>5.77</v>
      </c>
      <c r="CL14" s="143" t="e">
        <f t="shared" si="28"/>
        <v>#REF!</v>
      </c>
      <c r="CM14" s="143" t="e">
        <f t="shared" si="29"/>
        <v>#REF!</v>
      </c>
      <c r="CN14" s="143">
        <f t="shared" si="30"/>
        <v>183.26</v>
      </c>
      <c r="CO14" s="37" t="s">
        <v>263</v>
      </c>
      <c r="CP14" s="37" t="s">
        <v>349</v>
      </c>
      <c r="CQ14" s="37" t="s">
        <v>1387</v>
      </c>
    </row>
    <row r="15" spans="1:95" x14ac:dyDescent="0.15">
      <c r="A15" s="130">
        <v>689</v>
      </c>
      <c r="B15" s="37" t="s">
        <v>622</v>
      </c>
      <c r="C15" s="1" t="s">
        <v>148</v>
      </c>
      <c r="D15" s="1" t="s">
        <v>119</v>
      </c>
      <c r="E15" s="1" t="str">
        <f>VLOOKUP(D15,Documentation!$B$4:$D$27,3,FALSE)</f>
        <v>WASHINGTON METRO</v>
      </c>
      <c r="F15" s="1" t="str">
        <f>VLOOKUP(D15,Documentation!$B$4:$C$27,2,FALSE)</f>
        <v>WASHINGTON METRO</v>
      </c>
      <c r="G15" s="82">
        <f>VLOOKUP(A15,'2022 CR and CMI'!$A$3:$D$207,3,FALSE)</f>
        <v>44713</v>
      </c>
      <c r="H15" s="82">
        <f>VLOOKUP(A15,'2022 CR and CMI'!$A$3:$D$207,4,FALSE)</f>
        <v>44926</v>
      </c>
      <c r="I15" s="72">
        <f>VLOOKUP(A15,'2022 CR and CMI'!$A$2:$T$210,19,FALSE)</f>
        <v>1.4241999999999999</v>
      </c>
      <c r="J15" s="139">
        <f>Inflation!$G$24</f>
        <v>1.0309999999999999</v>
      </c>
      <c r="K15" s="192">
        <f>VLOOKUP(E15,Limits!$B$2:$D$5,3,FALSE)</f>
        <v>176.01</v>
      </c>
      <c r="L15" s="192">
        <f t="shared" si="31"/>
        <v>181.47</v>
      </c>
      <c r="M15" s="140">
        <f>VLOOKUP(A15,'CMI Data'!$A$4:$C$208,3,FALSE)</f>
        <v>1.3580000000000001</v>
      </c>
      <c r="N15" s="68">
        <f t="shared" si="2"/>
        <v>179.08</v>
      </c>
      <c r="O15" s="68">
        <f t="shared" si="32"/>
        <v>170.76</v>
      </c>
      <c r="P15" s="75">
        <f t="shared" si="33"/>
        <v>162.22</v>
      </c>
      <c r="Q15" s="75">
        <v>160.68</v>
      </c>
      <c r="R15" s="75">
        <f t="shared" si="34"/>
        <v>165.66</v>
      </c>
      <c r="S15" s="68">
        <f t="shared" si="35"/>
        <v>157.96</v>
      </c>
      <c r="T15" s="75">
        <f t="shared" si="36"/>
        <v>-4.26</v>
      </c>
      <c r="U15" s="68">
        <f t="shared" si="37"/>
        <v>166.5</v>
      </c>
      <c r="V15" s="68">
        <f>VLOOKUP($F15,Limits!$J$2:$L$5,3,FALSE)</f>
        <v>19.23</v>
      </c>
      <c r="W15" s="68">
        <f t="shared" si="38"/>
        <v>19.829999999999998</v>
      </c>
      <c r="X15" s="68">
        <f>VLOOKUP($F15,Limits!$R$2:$T$5,3,FALSE)</f>
        <v>100.61</v>
      </c>
      <c r="Y15" s="68">
        <f t="shared" si="39"/>
        <v>103.73</v>
      </c>
      <c r="Z15" s="75">
        <f>VLOOKUP(A15,FRV!$A$4:$U$208,21,FALSE)</f>
        <v>38.36</v>
      </c>
      <c r="AA15" s="141">
        <f>VLOOKUP(A15,'RE Tax'!$A$2:$G$206,3,FALSE)</f>
        <v>45292</v>
      </c>
      <c r="AB15" s="141">
        <f>VLOOKUP(A15,'RE Tax'!$A$2:$G$206,4,FALSE)</f>
        <v>45657</v>
      </c>
      <c r="AC15" s="4">
        <f>VLOOKUP(A15,'RE Tax'!$A$2:$G$206,7,FALSE)</f>
        <v>168053</v>
      </c>
      <c r="AD15" s="4">
        <f>VLOOKUP($A15,'RE Tax'!$A$2:$I$206,9,FALSE)</f>
        <v>55266</v>
      </c>
      <c r="AE15" s="4">
        <f>VLOOKUP($A15,'RE Tax'!$A$2:$I$206,8,FALSE)</f>
        <v>51050</v>
      </c>
      <c r="AF15" s="142">
        <f>IF(ISNA(VLOOKUP(A15&amp;AB15,'Days Exceptions'!$C$3:$I$7,6,FALSE)),ROUND(AC15/MAX(AE15,(AD15*Min_Occ)),2),ROUND(AC15/VLOOKUP(A15&amp;AB15,'Days Exceptions'!$C$3:$I$7,6,FALSE),2))</f>
        <v>3.29</v>
      </c>
      <c r="AG15" s="68">
        <v>0</v>
      </c>
      <c r="AH15" s="68">
        <f t="shared" si="40"/>
        <v>0</v>
      </c>
      <c r="AI15" s="4">
        <v>37973</v>
      </c>
      <c r="AJ15" s="4">
        <v>50806</v>
      </c>
      <c r="AK15" s="68">
        <f>IF(AI15=0,0,IF(ISNA(MATCH(A15,Documentation!$B$66:$B$71,0)),QA_Tax_reg,QA_Tax_5high))</f>
        <v>32.92</v>
      </c>
      <c r="AL15" s="75">
        <f t="shared" si="41"/>
        <v>24.6</v>
      </c>
      <c r="AM15" s="68">
        <f t="shared" si="42"/>
        <v>331.71</v>
      </c>
      <c r="AN15" s="68">
        <f t="shared" si="43"/>
        <v>248.46</v>
      </c>
      <c r="AO15" s="68">
        <f t="shared" si="44"/>
        <v>165.21</v>
      </c>
      <c r="AP15" s="37" t="s">
        <v>625</v>
      </c>
      <c r="AQ15" s="37" t="s">
        <v>622</v>
      </c>
      <c r="AR15" s="37" t="s">
        <v>968</v>
      </c>
      <c r="AS15" s="66" t="e">
        <f>VLOOKUP(A15,'CMI Data'!$A$3:$J$209,10,FALSE)</f>
        <v>#DIV/0!</v>
      </c>
      <c r="AT15" s="68">
        <f t="shared" si="3"/>
        <v>173.69</v>
      </c>
      <c r="AU15" s="68" t="e">
        <f t="shared" si="4"/>
        <v>#DIV/0!</v>
      </c>
      <c r="AV15" s="75" t="e">
        <f t="shared" si="45"/>
        <v>#DIV/0!</v>
      </c>
      <c r="AW15" s="68" t="e">
        <f>IF($I15="NA","NA",ROUND(#REF!*$AS15/$I15,2))</f>
        <v>#REF!</v>
      </c>
      <c r="AX15" s="75" t="e">
        <f t="shared" si="46"/>
        <v>#REF!</v>
      </c>
      <c r="AY15" s="68" t="e">
        <f t="shared" si="47"/>
        <v>#REF!</v>
      </c>
      <c r="AZ15" s="4">
        <f t="shared" si="5"/>
        <v>168053</v>
      </c>
      <c r="BA15" s="4">
        <f t="shared" si="6"/>
        <v>55266</v>
      </c>
      <c r="BB15" s="4">
        <f t="shared" si="7"/>
        <v>51050</v>
      </c>
      <c r="BC15" s="142">
        <f>IF(ISNA(VLOOKUP($A15&amp;$AB15,'Days Exceptions'!$C$3:$I$7,6,FALSE)),ROUND(AZ15/MAX(BB15,(BA15*Min_Occ)),2),ROUND(AZ15/VLOOKUP($A15&amp;$AB15,'Days Exceptions'!$C$3:$I$7,6,FALSE),2))</f>
        <v>3.29</v>
      </c>
      <c r="BD15" s="143" t="e">
        <f t="shared" si="8"/>
        <v>#REF!</v>
      </c>
      <c r="BE15" s="143" t="e">
        <f t="shared" si="9"/>
        <v>#REF!</v>
      </c>
      <c r="BF15" s="143">
        <f t="shared" si="10"/>
        <v>161.49</v>
      </c>
      <c r="BG15" s="37" t="s">
        <v>625</v>
      </c>
      <c r="BH15" s="37" t="s">
        <v>622</v>
      </c>
      <c r="BI15" s="37" t="s">
        <v>1172</v>
      </c>
      <c r="BJ15" s="66" t="e">
        <f>VLOOKUP(A15,'CMI Data'!$A$3:$AZ$209,15,FALSE)</f>
        <v>#DIV/0!</v>
      </c>
      <c r="BK15" s="68">
        <f t="shared" si="11"/>
        <v>173.69</v>
      </c>
      <c r="BL15" s="68" t="e">
        <f t="shared" si="12"/>
        <v>#DIV/0!</v>
      </c>
      <c r="BM15" s="75" t="e">
        <f t="shared" si="13"/>
        <v>#DIV/0!</v>
      </c>
      <c r="BN15" s="68" t="e">
        <f>IF($I15="NA","NA",ROUND(#REF!*$BJ15/$I15,2))</f>
        <v>#REF!</v>
      </c>
      <c r="BO15" s="75" t="e">
        <f t="shared" si="14"/>
        <v>#REF!</v>
      </c>
      <c r="BP15" s="68" t="e">
        <f t="shared" si="48"/>
        <v>#REF!</v>
      </c>
      <c r="BQ15" s="4">
        <f t="shared" si="15"/>
        <v>168053</v>
      </c>
      <c r="BR15" s="4">
        <f t="shared" si="16"/>
        <v>55266</v>
      </c>
      <c r="BS15" s="4">
        <f t="shared" si="17"/>
        <v>51050</v>
      </c>
      <c r="BT15" s="142">
        <f>IF(ISNA(VLOOKUP($A15&amp;$AB15,'Days Exceptions'!$C$3:$I$7,6,FALSE)),ROUND(BQ15/MAX(BS15,(BR15*Min_Occ)),2),ROUND(BQ15/VLOOKUP($A15&amp;$AB15,'Days Exceptions'!$C$3:$I$7,6,FALSE),2))</f>
        <v>3.29</v>
      </c>
      <c r="BU15" s="143" t="e">
        <f t="shared" si="18"/>
        <v>#REF!</v>
      </c>
      <c r="BV15" s="143" t="e">
        <f t="shared" si="19"/>
        <v>#REF!</v>
      </c>
      <c r="BW15" s="143">
        <f t="shared" si="20"/>
        <v>161.49</v>
      </c>
      <c r="BX15" s="37" t="s">
        <v>625</v>
      </c>
      <c r="BY15" s="37" t="s">
        <v>622</v>
      </c>
      <c r="BZ15" s="37" t="s">
        <v>1388</v>
      </c>
      <c r="CA15" s="66" t="e">
        <f>VLOOKUP(A15,'CMI Data'!$A$3:$AZ$209,20,FALSE)</f>
        <v>#DIV/0!</v>
      </c>
      <c r="CB15" s="68">
        <f t="shared" si="21"/>
        <v>173.69</v>
      </c>
      <c r="CC15" s="68" t="e">
        <f t="shared" si="22"/>
        <v>#DIV/0!</v>
      </c>
      <c r="CD15" s="75" t="e">
        <f t="shared" si="49"/>
        <v>#DIV/0!</v>
      </c>
      <c r="CE15" s="68" t="e">
        <f>IF($I15="NA","NA",ROUND(#REF!*$CA15/$I15,2))</f>
        <v>#REF!</v>
      </c>
      <c r="CF15" s="75" t="e">
        <f t="shared" si="23"/>
        <v>#REF!</v>
      </c>
      <c r="CG15" s="68" t="e">
        <f t="shared" si="24"/>
        <v>#REF!</v>
      </c>
      <c r="CH15" s="4">
        <f t="shared" si="25"/>
        <v>168053</v>
      </c>
      <c r="CI15" s="4">
        <f t="shared" si="26"/>
        <v>55266</v>
      </c>
      <c r="CJ15" s="4">
        <f t="shared" si="27"/>
        <v>51050</v>
      </c>
      <c r="CK15" s="142">
        <f>IF(ISNA(VLOOKUP($A15&amp;$AB15,'Days Exceptions'!$C$3:$I$7,6,FALSE)),ROUND(CH15/MAX(CJ15,(CI15*Min_Occ)),2),ROUND(CH15/VLOOKUP($A15&amp;$AB15,'Days Exceptions'!$C$3:$I$7,6,FALSE),2))</f>
        <v>3.29</v>
      </c>
      <c r="CL15" s="143" t="e">
        <f t="shared" si="28"/>
        <v>#REF!</v>
      </c>
      <c r="CM15" s="143" t="e">
        <f t="shared" si="29"/>
        <v>#REF!</v>
      </c>
      <c r="CN15" s="143">
        <f t="shared" si="30"/>
        <v>161.49</v>
      </c>
      <c r="CO15" s="37" t="s">
        <v>625</v>
      </c>
      <c r="CP15" s="37" t="s">
        <v>622</v>
      </c>
      <c r="CQ15" s="37" t="s">
        <v>1389</v>
      </c>
    </row>
    <row r="16" spans="1:95" x14ac:dyDescent="0.15">
      <c r="A16" s="130">
        <v>116</v>
      </c>
      <c r="B16" s="37" t="s">
        <v>586</v>
      </c>
      <c r="C16" s="1" t="s">
        <v>148</v>
      </c>
      <c r="D16" s="1" t="s">
        <v>114</v>
      </c>
      <c r="E16" s="1" t="str">
        <f>VLOOKUP(D16,Documentation!$B$4:$D$27,3,FALSE)</f>
        <v>WASHINGTON METRO</v>
      </c>
      <c r="F16" s="1" t="str">
        <f>VLOOKUP(D16,Documentation!$B$4:$C$27,2,FALSE)</f>
        <v>NON METRO</v>
      </c>
      <c r="G16" s="82">
        <f>VLOOKUP(A16,'2022 CR and CMI'!$A$3:$D$207,3,FALSE)</f>
        <v>44562</v>
      </c>
      <c r="H16" s="82">
        <f>VLOOKUP(A16,'2022 CR and CMI'!$A$3:$D$207,4,FALSE)</f>
        <v>44926</v>
      </c>
      <c r="I16" s="72">
        <f>VLOOKUP(A16,'2022 CR and CMI'!$A$2:$T$210,19,FALSE)</f>
        <v>1.6815</v>
      </c>
      <c r="J16" s="139">
        <f>Inflation!$G$24</f>
        <v>1.0309999999999999</v>
      </c>
      <c r="K16" s="192">
        <f>VLOOKUP(E16,Limits!$B$2:$D$5,3,FALSE)</f>
        <v>176.01</v>
      </c>
      <c r="L16" s="192">
        <f t="shared" si="31"/>
        <v>181.47</v>
      </c>
      <c r="M16" s="140">
        <f>VLOOKUP(A16,'CMI Data'!$A$4:$C$208,3,FALSE)</f>
        <v>1.6404000000000001</v>
      </c>
      <c r="N16" s="68">
        <f t="shared" si="2"/>
        <v>211.43</v>
      </c>
      <c r="O16" s="68">
        <f t="shared" si="32"/>
        <v>206.26</v>
      </c>
      <c r="P16" s="75">
        <f t="shared" si="33"/>
        <v>195.95</v>
      </c>
      <c r="Q16" s="75">
        <v>185.95</v>
      </c>
      <c r="R16" s="75">
        <f t="shared" si="34"/>
        <v>191.71</v>
      </c>
      <c r="S16" s="68">
        <f t="shared" si="35"/>
        <v>187.02</v>
      </c>
      <c r="T16" s="75">
        <f t="shared" si="36"/>
        <v>-8.93</v>
      </c>
      <c r="U16" s="68">
        <f t="shared" si="37"/>
        <v>197.33</v>
      </c>
      <c r="V16" s="68">
        <f>VLOOKUP($F16,Limits!$J$2:$L$5,3,FALSE)</f>
        <v>20.239999999999998</v>
      </c>
      <c r="W16" s="68">
        <f t="shared" si="38"/>
        <v>20.87</v>
      </c>
      <c r="X16" s="68">
        <f>VLOOKUP($F16,Limits!$R$2:$T$5,3,FALSE)</f>
        <v>89.55</v>
      </c>
      <c r="Y16" s="68">
        <f t="shared" si="39"/>
        <v>92.33</v>
      </c>
      <c r="Z16" s="75">
        <f>VLOOKUP(A16,FRV!$A$4:$U$208,21,FALSE)</f>
        <v>41.27</v>
      </c>
      <c r="AA16" s="141">
        <f>VLOOKUP(A16,'RE Tax'!$A$2:$G$206,3,FALSE)</f>
        <v>45292</v>
      </c>
      <c r="AB16" s="141">
        <f>VLOOKUP(A16,'RE Tax'!$A$2:$G$206,4,FALSE)</f>
        <v>45657</v>
      </c>
      <c r="AC16" s="4">
        <f>VLOOKUP(A16,'RE Tax'!$A$2:$G$206,7,FALSE)</f>
        <v>211675</v>
      </c>
      <c r="AD16" s="4">
        <f>VLOOKUP($A16,'RE Tax'!$A$2:$I$206,9,FALSE)</f>
        <v>47580</v>
      </c>
      <c r="AE16" s="4">
        <f>VLOOKUP($A16,'RE Tax'!$A$2:$I$206,8,FALSE)</f>
        <v>43178</v>
      </c>
      <c r="AF16" s="142">
        <f>IF(ISNA(VLOOKUP(A16&amp;AB16,'Days Exceptions'!$C$3:$I$7,6,FALSE)),ROUND(AC16/MAX(AE16,(AD16*Min_Occ)),2),ROUND(AC16/VLOOKUP(A16&amp;AB16,'Days Exceptions'!$C$3:$I$7,6,FALSE),2))</f>
        <v>4.9000000000000004</v>
      </c>
      <c r="AG16" s="68">
        <v>0</v>
      </c>
      <c r="AH16" s="68">
        <f t="shared" si="40"/>
        <v>0</v>
      </c>
      <c r="AI16" s="4">
        <v>26219</v>
      </c>
      <c r="AJ16" s="4">
        <v>43068</v>
      </c>
      <c r="AK16" s="68">
        <f>IF(AI16=0,0,IF(ISNA(MATCH(A16,Documentation!$B$66:$B$71,0)),QA_Tax_reg,QA_Tax_5high))</f>
        <v>32.92</v>
      </c>
      <c r="AL16" s="75">
        <f t="shared" si="41"/>
        <v>20.04</v>
      </c>
      <c r="AM16" s="68">
        <f t="shared" si="42"/>
        <v>356.7</v>
      </c>
      <c r="AN16" s="68">
        <f t="shared" si="43"/>
        <v>258.04000000000002</v>
      </c>
      <c r="AO16" s="68">
        <f t="shared" si="44"/>
        <v>159.37</v>
      </c>
      <c r="AP16" s="37" t="s">
        <v>585</v>
      </c>
      <c r="AQ16" s="37" t="s">
        <v>586</v>
      </c>
      <c r="AR16" s="37" t="s">
        <v>969</v>
      </c>
      <c r="AS16" s="66" t="e">
        <f>VLOOKUP(A16,'CMI Data'!$A$3:$J$209,10,FALSE)</f>
        <v>#DIV/0!</v>
      </c>
      <c r="AT16" s="68">
        <f t="shared" si="3"/>
        <v>205.07</v>
      </c>
      <c r="AU16" s="68" t="e">
        <f t="shared" si="4"/>
        <v>#DIV/0!</v>
      </c>
      <c r="AV16" s="75" t="e">
        <f t="shared" si="45"/>
        <v>#DIV/0!</v>
      </c>
      <c r="AW16" s="68" t="e">
        <f>IF($I16="NA","NA",ROUND(#REF!*$AS16/$I16,2))</f>
        <v>#REF!</v>
      </c>
      <c r="AX16" s="75" t="e">
        <f t="shared" si="46"/>
        <v>#REF!</v>
      </c>
      <c r="AY16" s="68" t="e">
        <f t="shared" si="47"/>
        <v>#REF!</v>
      </c>
      <c r="AZ16" s="4">
        <f t="shared" si="5"/>
        <v>211675</v>
      </c>
      <c r="BA16" s="4">
        <f t="shared" si="6"/>
        <v>47580</v>
      </c>
      <c r="BB16" s="4">
        <f t="shared" si="7"/>
        <v>43178</v>
      </c>
      <c r="BC16" s="142">
        <f>IF(ISNA(VLOOKUP($A16&amp;$AB16,'Days Exceptions'!$C$3:$I$7,6,FALSE)),ROUND(AZ16/MAX(BB16,(BA16*Min_Occ)),2),ROUND(AZ16/VLOOKUP($A16&amp;$AB16,'Days Exceptions'!$C$3:$I$7,6,FALSE),2))</f>
        <v>4.9000000000000004</v>
      </c>
      <c r="BD16" s="143" t="e">
        <f t="shared" si="8"/>
        <v>#REF!</v>
      </c>
      <c r="BE16" s="143" t="e">
        <f t="shared" si="9"/>
        <v>#REF!</v>
      </c>
      <c r="BF16" s="143">
        <f t="shared" si="10"/>
        <v>155.96</v>
      </c>
      <c r="BG16" s="37" t="s">
        <v>585</v>
      </c>
      <c r="BH16" s="37" t="s">
        <v>586</v>
      </c>
      <c r="BI16" s="37" t="s">
        <v>1173</v>
      </c>
      <c r="BJ16" s="66" t="e">
        <f>VLOOKUP(A16,'CMI Data'!$A$3:$AZ$209,15,FALSE)</f>
        <v>#DIV/0!</v>
      </c>
      <c r="BK16" s="68">
        <f t="shared" si="11"/>
        <v>205.07</v>
      </c>
      <c r="BL16" s="68" t="e">
        <f t="shared" si="12"/>
        <v>#DIV/0!</v>
      </c>
      <c r="BM16" s="75" t="e">
        <f t="shared" si="13"/>
        <v>#DIV/0!</v>
      </c>
      <c r="BN16" s="68" t="e">
        <f>IF($I16="NA","NA",ROUND(#REF!*$BJ16/$I16,2))</f>
        <v>#REF!</v>
      </c>
      <c r="BO16" s="75" t="e">
        <f t="shared" si="14"/>
        <v>#REF!</v>
      </c>
      <c r="BP16" s="68" t="e">
        <f t="shared" si="48"/>
        <v>#REF!</v>
      </c>
      <c r="BQ16" s="4">
        <f t="shared" si="15"/>
        <v>211675</v>
      </c>
      <c r="BR16" s="4">
        <f t="shared" si="16"/>
        <v>47580</v>
      </c>
      <c r="BS16" s="4">
        <f t="shared" si="17"/>
        <v>43178</v>
      </c>
      <c r="BT16" s="142">
        <f>IF(ISNA(VLOOKUP($A16&amp;$AB16,'Days Exceptions'!$C$3:$I$7,6,FALSE)),ROUND(BQ16/MAX(BS16,(BR16*Min_Occ)),2),ROUND(BQ16/VLOOKUP($A16&amp;$AB16,'Days Exceptions'!$C$3:$I$7,6,FALSE),2))</f>
        <v>4.9000000000000004</v>
      </c>
      <c r="BU16" s="143" t="e">
        <f t="shared" si="18"/>
        <v>#REF!</v>
      </c>
      <c r="BV16" s="143" t="e">
        <f t="shared" si="19"/>
        <v>#REF!</v>
      </c>
      <c r="BW16" s="143">
        <f t="shared" si="20"/>
        <v>155.96</v>
      </c>
      <c r="BX16" s="37" t="s">
        <v>585</v>
      </c>
      <c r="BY16" s="37" t="s">
        <v>586</v>
      </c>
      <c r="BZ16" s="37" t="s">
        <v>1390</v>
      </c>
      <c r="CA16" s="66" t="e">
        <f>VLOOKUP(A16,'CMI Data'!$A$3:$AZ$209,20,FALSE)</f>
        <v>#DIV/0!</v>
      </c>
      <c r="CB16" s="68">
        <f t="shared" si="21"/>
        <v>205.07</v>
      </c>
      <c r="CC16" s="68" t="e">
        <f t="shared" si="22"/>
        <v>#DIV/0!</v>
      </c>
      <c r="CD16" s="75" t="e">
        <f t="shared" si="49"/>
        <v>#DIV/0!</v>
      </c>
      <c r="CE16" s="68" t="e">
        <f>IF($I16="NA","NA",ROUND(#REF!*$CA16/$I16,2))</f>
        <v>#REF!</v>
      </c>
      <c r="CF16" s="75" t="e">
        <f t="shared" si="23"/>
        <v>#REF!</v>
      </c>
      <c r="CG16" s="68" t="e">
        <f t="shared" si="24"/>
        <v>#REF!</v>
      </c>
      <c r="CH16" s="4">
        <f t="shared" si="25"/>
        <v>211675</v>
      </c>
      <c r="CI16" s="4">
        <f t="shared" si="26"/>
        <v>47580</v>
      </c>
      <c r="CJ16" s="4">
        <f t="shared" si="27"/>
        <v>43178</v>
      </c>
      <c r="CK16" s="142">
        <f>IF(ISNA(VLOOKUP($A16&amp;$AB16,'Days Exceptions'!$C$3:$I$7,6,FALSE)),ROUND(CH16/MAX(CJ16,(CI16*Min_Occ)),2),ROUND(CH16/VLOOKUP($A16&amp;$AB16,'Days Exceptions'!$C$3:$I$7,6,FALSE),2))</f>
        <v>4.9000000000000004</v>
      </c>
      <c r="CL16" s="143" t="e">
        <f t="shared" si="28"/>
        <v>#REF!</v>
      </c>
      <c r="CM16" s="143" t="e">
        <f t="shared" si="29"/>
        <v>#REF!</v>
      </c>
      <c r="CN16" s="143">
        <f t="shared" si="30"/>
        <v>155.96</v>
      </c>
      <c r="CO16" s="37" t="s">
        <v>585</v>
      </c>
      <c r="CP16" s="37" t="s">
        <v>586</v>
      </c>
      <c r="CQ16" s="37" t="s">
        <v>1391</v>
      </c>
    </row>
    <row r="17" spans="1:95" x14ac:dyDescent="0.15">
      <c r="A17" s="130">
        <v>725</v>
      </c>
      <c r="B17" s="37" t="s">
        <v>624</v>
      </c>
      <c r="C17" s="1" t="s">
        <v>148</v>
      </c>
      <c r="D17" s="1" t="s">
        <v>106</v>
      </c>
      <c r="E17" s="1" t="str">
        <f>VLOOKUP(D17,Documentation!$B$4:$D$27,3,FALSE)</f>
        <v>BALTIMORE METRO</v>
      </c>
      <c r="F17" s="1" t="str">
        <f>VLOOKUP(D17,Documentation!$B$4:$C$27,2,FALSE)</f>
        <v>BALTIMORE METRO</v>
      </c>
      <c r="G17" s="82">
        <f>VLOOKUP(A17,'2022 CR and CMI'!$A$3:$D$207,3,FALSE)</f>
        <v>44713</v>
      </c>
      <c r="H17" s="82">
        <f>VLOOKUP(A17,'2022 CR and CMI'!$A$3:$D$207,4,FALSE)</f>
        <v>44926</v>
      </c>
      <c r="I17" s="72">
        <f>VLOOKUP(A17,'2022 CR and CMI'!$A$2:$T$210,19,FALSE)</f>
        <v>1.4557</v>
      </c>
      <c r="J17" s="139">
        <f>Inflation!$G$24</f>
        <v>1.0309999999999999</v>
      </c>
      <c r="K17" s="192">
        <f>VLOOKUP(E17,Limits!$B$2:$D$5,3,FALSE)</f>
        <v>195.33</v>
      </c>
      <c r="L17" s="192">
        <f t="shared" si="31"/>
        <v>201.39</v>
      </c>
      <c r="M17" s="140">
        <f>VLOOKUP(A17,'CMI Data'!$A$4:$C$208,3,FALSE)</f>
        <v>1.4296</v>
      </c>
      <c r="N17" s="68">
        <f t="shared" si="2"/>
        <v>203.13</v>
      </c>
      <c r="O17" s="68">
        <f t="shared" si="32"/>
        <v>199.49</v>
      </c>
      <c r="P17" s="75">
        <f t="shared" si="33"/>
        <v>189.52</v>
      </c>
      <c r="Q17" s="75">
        <v>144.75</v>
      </c>
      <c r="R17" s="75">
        <f t="shared" si="34"/>
        <v>149.24</v>
      </c>
      <c r="S17" s="68">
        <f t="shared" si="35"/>
        <v>146.56</v>
      </c>
      <c r="T17" s="75">
        <f t="shared" si="36"/>
        <v>-42.96</v>
      </c>
      <c r="U17" s="68">
        <f t="shared" si="37"/>
        <v>156.53</v>
      </c>
      <c r="V17" s="68">
        <f>VLOOKUP($F17,Limits!$J$2:$L$5,3,FALSE)</f>
        <v>20.85</v>
      </c>
      <c r="W17" s="68">
        <f t="shared" si="38"/>
        <v>21.5</v>
      </c>
      <c r="X17" s="68">
        <f>VLOOKUP($F17,Limits!$R$2:$T$5,3,FALSE)</f>
        <v>102.02</v>
      </c>
      <c r="Y17" s="68">
        <f t="shared" si="39"/>
        <v>105.18</v>
      </c>
      <c r="Z17" s="75">
        <f>VLOOKUP(A17,FRV!$A$4:$U$208,21,FALSE)</f>
        <v>26.01</v>
      </c>
      <c r="AA17" s="141">
        <f>VLOOKUP(A17,'RE Tax'!$A$2:$G$206,3,FALSE)</f>
        <v>45292</v>
      </c>
      <c r="AB17" s="141">
        <f>VLOOKUP(A17,'RE Tax'!$A$2:$G$206,4,FALSE)</f>
        <v>45657</v>
      </c>
      <c r="AC17" s="4">
        <f>VLOOKUP(A17,'RE Tax'!$A$2:$G$206,7,FALSE)</f>
        <v>85251</v>
      </c>
      <c r="AD17" s="4">
        <f>VLOOKUP($A17,'RE Tax'!$A$2:$I$206,9,FALSE)</f>
        <v>42456</v>
      </c>
      <c r="AE17" s="4">
        <f>VLOOKUP($A17,'RE Tax'!$A$2:$I$206,8,FALSE)</f>
        <v>37540</v>
      </c>
      <c r="AF17" s="142">
        <f>IF(ISNA(VLOOKUP(A17&amp;AB17,'Days Exceptions'!$C$3:$I$7,6,FALSE)),ROUND(AC17/MAX(AE17,(AD17*Min_Occ)),2),ROUND(AC17/VLOOKUP(A17&amp;AB17,'Days Exceptions'!$C$3:$I$7,6,FALSE),2))</f>
        <v>2.27</v>
      </c>
      <c r="AG17" s="68">
        <v>0</v>
      </c>
      <c r="AH17" s="68">
        <f t="shared" si="40"/>
        <v>0</v>
      </c>
      <c r="AI17" s="4">
        <v>24725</v>
      </c>
      <c r="AJ17" s="4">
        <v>35631</v>
      </c>
      <c r="AK17" s="68">
        <f>IF(AI17=0,0,IF(ISNA(MATCH(A17,Documentation!$B$66:$B$71,0)),QA_Tax_reg,QA_Tax_5high))</f>
        <v>32.92</v>
      </c>
      <c r="AL17" s="75">
        <f t="shared" si="41"/>
        <v>22.84</v>
      </c>
      <c r="AM17" s="68">
        <f t="shared" si="42"/>
        <v>311.49</v>
      </c>
      <c r="AN17" s="68">
        <f t="shared" si="43"/>
        <v>233.23</v>
      </c>
      <c r="AO17" s="68">
        <f t="shared" si="44"/>
        <v>154.96</v>
      </c>
      <c r="AP17" s="37" t="s">
        <v>626</v>
      </c>
      <c r="AQ17" s="37" t="s">
        <v>624</v>
      </c>
      <c r="AR17" s="37" t="s">
        <v>970</v>
      </c>
      <c r="AS17" s="66" t="e">
        <f>VLOOKUP(A17,'CMI Data'!$A$3:$J$209,10,FALSE)</f>
        <v>#DIV/0!</v>
      </c>
      <c r="AT17" s="68">
        <f t="shared" si="3"/>
        <v>197.02</v>
      </c>
      <c r="AU17" s="68" t="e">
        <f t="shared" si="4"/>
        <v>#DIV/0!</v>
      </c>
      <c r="AV17" s="75" t="e">
        <f t="shared" si="45"/>
        <v>#DIV/0!</v>
      </c>
      <c r="AW17" s="68" t="e">
        <f>IF($I17="NA","NA",ROUND(#REF!*$AS17/$I17,2))</f>
        <v>#REF!</v>
      </c>
      <c r="AX17" s="75" t="e">
        <f t="shared" si="46"/>
        <v>#REF!</v>
      </c>
      <c r="AY17" s="68" t="e">
        <f t="shared" si="47"/>
        <v>#REF!</v>
      </c>
      <c r="AZ17" s="4">
        <f t="shared" si="5"/>
        <v>85251</v>
      </c>
      <c r="BA17" s="4">
        <f t="shared" si="6"/>
        <v>42456</v>
      </c>
      <c r="BB17" s="4">
        <f t="shared" si="7"/>
        <v>37540</v>
      </c>
      <c r="BC17" s="142">
        <f>IF(ISNA(VLOOKUP($A17&amp;$AB17,'Days Exceptions'!$C$3:$I$7,6,FALSE)),ROUND(AZ17/MAX(BB17,(BA17*Min_Occ)),2),ROUND(AZ17/VLOOKUP($A17&amp;$AB17,'Days Exceptions'!$C$3:$I$7,6,FALSE),2))</f>
        <v>2.27</v>
      </c>
      <c r="BD17" s="143" t="e">
        <f t="shared" si="8"/>
        <v>#REF!</v>
      </c>
      <c r="BE17" s="143" t="e">
        <f t="shared" si="9"/>
        <v>#REF!</v>
      </c>
      <c r="BF17" s="143">
        <f t="shared" si="10"/>
        <v>151.15</v>
      </c>
      <c r="BG17" s="37" t="s">
        <v>626</v>
      </c>
      <c r="BH17" s="37" t="s">
        <v>624</v>
      </c>
      <c r="BI17" s="37" t="s">
        <v>1174</v>
      </c>
      <c r="BJ17" s="66" t="e">
        <f>VLOOKUP(A17,'CMI Data'!$A$3:$AZ$209,15,FALSE)</f>
        <v>#DIV/0!</v>
      </c>
      <c r="BK17" s="68">
        <f t="shared" si="11"/>
        <v>197.02</v>
      </c>
      <c r="BL17" s="68" t="e">
        <f t="shared" si="12"/>
        <v>#DIV/0!</v>
      </c>
      <c r="BM17" s="75" t="e">
        <f t="shared" si="13"/>
        <v>#DIV/0!</v>
      </c>
      <c r="BN17" s="68" t="e">
        <f>IF($I17="NA","NA",ROUND(#REF!*$BJ17/$I17,2))</f>
        <v>#REF!</v>
      </c>
      <c r="BO17" s="75" t="e">
        <f t="shared" si="14"/>
        <v>#REF!</v>
      </c>
      <c r="BP17" s="68" t="e">
        <f t="shared" si="48"/>
        <v>#REF!</v>
      </c>
      <c r="BQ17" s="4">
        <f t="shared" si="15"/>
        <v>85251</v>
      </c>
      <c r="BR17" s="4">
        <f t="shared" si="16"/>
        <v>42456</v>
      </c>
      <c r="BS17" s="4">
        <f t="shared" si="17"/>
        <v>37540</v>
      </c>
      <c r="BT17" s="142">
        <f>IF(ISNA(VLOOKUP($A17&amp;$AB17,'Days Exceptions'!$C$3:$I$7,6,FALSE)),ROUND(BQ17/MAX(BS17,(BR17*Min_Occ)),2),ROUND(BQ17/VLOOKUP($A17&amp;$AB17,'Days Exceptions'!$C$3:$I$7,6,FALSE),2))</f>
        <v>2.27</v>
      </c>
      <c r="BU17" s="143" t="e">
        <f t="shared" si="18"/>
        <v>#REF!</v>
      </c>
      <c r="BV17" s="143" t="e">
        <f t="shared" si="19"/>
        <v>#REF!</v>
      </c>
      <c r="BW17" s="143">
        <f t="shared" si="20"/>
        <v>151.15</v>
      </c>
      <c r="BX17" s="37" t="s">
        <v>626</v>
      </c>
      <c r="BY17" s="37" t="s">
        <v>624</v>
      </c>
      <c r="BZ17" s="37" t="s">
        <v>1392</v>
      </c>
      <c r="CA17" s="66" t="e">
        <f>VLOOKUP(A17,'CMI Data'!$A$3:$AZ$209,20,FALSE)</f>
        <v>#DIV/0!</v>
      </c>
      <c r="CB17" s="68">
        <f t="shared" si="21"/>
        <v>197.02</v>
      </c>
      <c r="CC17" s="68" t="e">
        <f t="shared" si="22"/>
        <v>#DIV/0!</v>
      </c>
      <c r="CD17" s="75" t="e">
        <f t="shared" si="49"/>
        <v>#DIV/0!</v>
      </c>
      <c r="CE17" s="68" t="e">
        <f>IF($I17="NA","NA",ROUND(#REF!*$CA17/$I17,2))</f>
        <v>#REF!</v>
      </c>
      <c r="CF17" s="75" t="e">
        <f t="shared" si="23"/>
        <v>#REF!</v>
      </c>
      <c r="CG17" s="68" t="e">
        <f t="shared" si="24"/>
        <v>#REF!</v>
      </c>
      <c r="CH17" s="4">
        <f t="shared" si="25"/>
        <v>85251</v>
      </c>
      <c r="CI17" s="4">
        <f t="shared" si="26"/>
        <v>42456</v>
      </c>
      <c r="CJ17" s="4">
        <f t="shared" si="27"/>
        <v>37540</v>
      </c>
      <c r="CK17" s="142">
        <f>IF(ISNA(VLOOKUP($A17&amp;$AB17,'Days Exceptions'!$C$3:$I$7,6,FALSE)),ROUND(CH17/MAX(CJ17,(CI17*Min_Occ)),2),ROUND(CH17/VLOOKUP($A17&amp;$AB17,'Days Exceptions'!$C$3:$I$7,6,FALSE),2))</f>
        <v>2.27</v>
      </c>
      <c r="CL17" s="143" t="e">
        <f t="shared" si="28"/>
        <v>#REF!</v>
      </c>
      <c r="CM17" s="143" t="e">
        <f t="shared" si="29"/>
        <v>#REF!</v>
      </c>
      <c r="CN17" s="143">
        <f t="shared" si="30"/>
        <v>151.15</v>
      </c>
      <c r="CO17" s="37" t="s">
        <v>626</v>
      </c>
      <c r="CP17" s="37" t="s">
        <v>624</v>
      </c>
      <c r="CQ17" s="37" t="s">
        <v>1393</v>
      </c>
    </row>
    <row r="18" spans="1:95" x14ac:dyDescent="0.15">
      <c r="A18" s="130">
        <v>122</v>
      </c>
      <c r="B18" s="37" t="s">
        <v>634</v>
      </c>
      <c r="C18" s="1" t="s">
        <v>148</v>
      </c>
      <c r="D18" s="1" t="s">
        <v>110</v>
      </c>
      <c r="E18" s="1" t="str">
        <f>VLOOKUP(D18,Documentation!$B$4:$D$27,3,FALSE)</f>
        <v>BALTIMORE METRO</v>
      </c>
      <c r="F18" s="1" t="str">
        <f>VLOOKUP(D18,Documentation!$B$4:$C$27,2,FALSE)</f>
        <v>BALTIMORE METRO</v>
      </c>
      <c r="G18" s="82">
        <f>VLOOKUP(A18,'2022 CR and CMI'!$A$3:$D$207,3,FALSE)</f>
        <v>44774</v>
      </c>
      <c r="H18" s="82">
        <f>VLOOKUP(A18,'2022 CR and CMI'!$A$3:$D$207,4,FALSE)</f>
        <v>44926</v>
      </c>
      <c r="I18" s="72">
        <f>VLOOKUP(A18,'2022 CR and CMI'!$A$2:$T$210,19,FALSE)</f>
        <v>1.4891000000000001</v>
      </c>
      <c r="J18" s="139">
        <f>Inflation!$G$24</f>
        <v>1.0309999999999999</v>
      </c>
      <c r="K18" s="192">
        <f>VLOOKUP(E18,Limits!$B$2:$D$5,3,FALSE)</f>
        <v>195.33</v>
      </c>
      <c r="L18" s="192">
        <f t="shared" si="31"/>
        <v>201.39</v>
      </c>
      <c r="M18" s="140">
        <f>VLOOKUP(A18,'CMI Data'!$A$4:$C$208,3,FALSE)</f>
        <v>1.2937000000000001</v>
      </c>
      <c r="N18" s="68">
        <f t="shared" si="2"/>
        <v>207.8</v>
      </c>
      <c r="O18" s="68">
        <f t="shared" si="32"/>
        <v>180.53</v>
      </c>
      <c r="P18" s="75">
        <f t="shared" si="33"/>
        <v>171.5</v>
      </c>
      <c r="Q18" s="75">
        <v>195.78</v>
      </c>
      <c r="R18" s="75">
        <f t="shared" si="34"/>
        <v>201.85</v>
      </c>
      <c r="S18" s="68">
        <f t="shared" si="35"/>
        <v>175.36</v>
      </c>
      <c r="T18" s="75">
        <f t="shared" si="36"/>
        <v>0</v>
      </c>
      <c r="U18" s="68">
        <f t="shared" si="37"/>
        <v>180.53</v>
      </c>
      <c r="V18" s="68">
        <f>VLOOKUP($F18,Limits!$J$2:$L$5,3,FALSE)</f>
        <v>20.85</v>
      </c>
      <c r="W18" s="68">
        <f t="shared" si="38"/>
        <v>21.5</v>
      </c>
      <c r="X18" s="68">
        <f>VLOOKUP($F18,Limits!$R$2:$T$5,3,FALSE)</f>
        <v>102.02</v>
      </c>
      <c r="Y18" s="68">
        <f t="shared" si="39"/>
        <v>105.18</v>
      </c>
      <c r="Z18" s="75">
        <f>VLOOKUP(A18,FRV!$A$4:$U$208,21,FALSE)</f>
        <v>29.69</v>
      </c>
      <c r="AA18" s="141">
        <f>VLOOKUP(A18,'RE Tax'!$A$2:$G$206,3,FALSE)</f>
        <v>45292</v>
      </c>
      <c r="AB18" s="141">
        <f>VLOOKUP(A18,'RE Tax'!$A$2:$G$206,4,FALSE)</f>
        <v>45657</v>
      </c>
      <c r="AC18" s="4">
        <f>VLOOKUP(A18,'RE Tax'!$A$2:$G$206,7,FALSE)</f>
        <v>74767</v>
      </c>
      <c r="AD18" s="4">
        <f>VLOOKUP($A18,'RE Tax'!$A$2:$I$206,9,FALSE)</f>
        <v>43188</v>
      </c>
      <c r="AE18" s="4">
        <f>VLOOKUP($A18,'RE Tax'!$A$2:$I$206,8,FALSE)</f>
        <v>38772</v>
      </c>
      <c r="AF18" s="142">
        <f>IF(ISNA(VLOOKUP(A18&amp;AB18,'Days Exceptions'!$C$3:$I$7,6,FALSE)),ROUND(AC18/MAX(AE18,(AD18*Min_Occ)),2),ROUND(AC18/VLOOKUP(A18&amp;AB18,'Days Exceptions'!$C$3:$I$7,6,FALSE),2))</f>
        <v>1.93</v>
      </c>
      <c r="AG18" s="68">
        <v>0</v>
      </c>
      <c r="AH18" s="68">
        <f t="shared" si="40"/>
        <v>0</v>
      </c>
      <c r="AI18" s="4">
        <v>32094</v>
      </c>
      <c r="AJ18" s="4">
        <v>37948</v>
      </c>
      <c r="AK18" s="68">
        <f>IF(AI18=0,0,IF(ISNA(MATCH(A18,Documentation!$B$66:$B$71,0)),QA_Tax_reg,QA_Tax_5high))</f>
        <v>32.92</v>
      </c>
      <c r="AL18" s="75">
        <f t="shared" si="41"/>
        <v>27.84</v>
      </c>
      <c r="AM18" s="68">
        <f t="shared" si="42"/>
        <v>338.83</v>
      </c>
      <c r="AN18" s="68">
        <f t="shared" si="43"/>
        <v>248.57</v>
      </c>
      <c r="AO18" s="68">
        <f t="shared" si="44"/>
        <v>158.30000000000001</v>
      </c>
      <c r="AP18" s="37" t="s">
        <v>633</v>
      </c>
      <c r="AQ18" s="37" t="s">
        <v>634</v>
      </c>
      <c r="AR18" s="37" t="s">
        <v>971</v>
      </c>
      <c r="AS18" s="66" t="e">
        <f>VLOOKUP(A18,'CMI Data'!$A$3:$J$209,10,FALSE)</f>
        <v>#DIV/0!</v>
      </c>
      <c r="AT18" s="68">
        <f t="shared" si="3"/>
        <v>201.54</v>
      </c>
      <c r="AU18" s="68" t="e">
        <f t="shared" si="4"/>
        <v>#DIV/0!</v>
      </c>
      <c r="AV18" s="75" t="e">
        <f t="shared" si="45"/>
        <v>#DIV/0!</v>
      </c>
      <c r="AW18" s="68" t="e">
        <f>IF($I18="NA","NA",ROUND(#REF!*$AS18/$I18,2))</f>
        <v>#REF!</v>
      </c>
      <c r="AX18" s="75" t="e">
        <f t="shared" si="46"/>
        <v>#REF!</v>
      </c>
      <c r="AY18" s="68" t="e">
        <f t="shared" si="47"/>
        <v>#REF!</v>
      </c>
      <c r="AZ18" s="4">
        <f t="shared" si="5"/>
        <v>74767</v>
      </c>
      <c r="BA18" s="4">
        <f t="shared" si="6"/>
        <v>43188</v>
      </c>
      <c r="BB18" s="4">
        <f t="shared" si="7"/>
        <v>38772</v>
      </c>
      <c r="BC18" s="142">
        <f>IF(ISNA(VLOOKUP($A18&amp;$AB18,'Days Exceptions'!$C$3:$I$7,6,FALSE)),ROUND(AZ18/MAX(BB18,(BA18*Min_Occ)),2),ROUND(AZ18/VLOOKUP($A18&amp;$AB18,'Days Exceptions'!$C$3:$I$7,6,FALSE),2))</f>
        <v>1.93</v>
      </c>
      <c r="BD18" s="143" t="e">
        <f t="shared" si="8"/>
        <v>#REF!</v>
      </c>
      <c r="BE18" s="143" t="e">
        <f t="shared" si="9"/>
        <v>#REF!</v>
      </c>
      <c r="BF18" s="143">
        <f t="shared" si="10"/>
        <v>154.49</v>
      </c>
      <c r="BG18" s="37" t="s">
        <v>633</v>
      </c>
      <c r="BH18" s="37" t="s">
        <v>634</v>
      </c>
      <c r="BI18" s="37" t="s">
        <v>1175</v>
      </c>
      <c r="BJ18" s="66" t="e">
        <f>VLOOKUP(A18,'CMI Data'!$A$3:$AZ$209,15,FALSE)</f>
        <v>#DIV/0!</v>
      </c>
      <c r="BK18" s="68">
        <f t="shared" si="11"/>
        <v>201.54</v>
      </c>
      <c r="BL18" s="68" t="e">
        <f t="shared" si="12"/>
        <v>#DIV/0!</v>
      </c>
      <c r="BM18" s="75" t="e">
        <f t="shared" si="13"/>
        <v>#DIV/0!</v>
      </c>
      <c r="BN18" s="68" t="e">
        <f>IF($I18="NA","NA",ROUND(#REF!*$BJ18/$I18,2))</f>
        <v>#REF!</v>
      </c>
      <c r="BO18" s="75" t="e">
        <f t="shared" si="14"/>
        <v>#REF!</v>
      </c>
      <c r="BP18" s="68" t="e">
        <f t="shared" si="48"/>
        <v>#REF!</v>
      </c>
      <c r="BQ18" s="4">
        <f t="shared" si="15"/>
        <v>74767</v>
      </c>
      <c r="BR18" s="4">
        <f t="shared" si="16"/>
        <v>43188</v>
      </c>
      <c r="BS18" s="4">
        <f t="shared" si="17"/>
        <v>38772</v>
      </c>
      <c r="BT18" s="142">
        <f>IF(ISNA(VLOOKUP($A18&amp;$AB18,'Days Exceptions'!$C$3:$I$7,6,FALSE)),ROUND(BQ18/MAX(BS18,(BR18*Min_Occ)),2),ROUND(BQ18/VLOOKUP($A18&amp;$AB18,'Days Exceptions'!$C$3:$I$7,6,FALSE),2))</f>
        <v>1.93</v>
      </c>
      <c r="BU18" s="143" t="e">
        <f t="shared" si="18"/>
        <v>#REF!</v>
      </c>
      <c r="BV18" s="143" t="e">
        <f t="shared" si="19"/>
        <v>#REF!</v>
      </c>
      <c r="BW18" s="143">
        <f t="shared" si="20"/>
        <v>154.49</v>
      </c>
      <c r="BX18" s="37" t="s">
        <v>633</v>
      </c>
      <c r="BY18" s="37" t="s">
        <v>634</v>
      </c>
      <c r="BZ18" s="37" t="s">
        <v>1394</v>
      </c>
      <c r="CA18" s="66" t="e">
        <f>VLOOKUP(A18,'CMI Data'!$A$3:$AZ$209,20,FALSE)</f>
        <v>#DIV/0!</v>
      </c>
      <c r="CB18" s="68">
        <f t="shared" si="21"/>
        <v>201.54</v>
      </c>
      <c r="CC18" s="68" t="e">
        <f t="shared" si="22"/>
        <v>#DIV/0!</v>
      </c>
      <c r="CD18" s="75" t="e">
        <f t="shared" si="49"/>
        <v>#DIV/0!</v>
      </c>
      <c r="CE18" s="68" t="e">
        <f>IF($I18="NA","NA",ROUND(#REF!*$CA18/$I18,2))</f>
        <v>#REF!</v>
      </c>
      <c r="CF18" s="75" t="e">
        <f t="shared" si="23"/>
        <v>#REF!</v>
      </c>
      <c r="CG18" s="68" t="e">
        <f t="shared" si="24"/>
        <v>#REF!</v>
      </c>
      <c r="CH18" s="4">
        <f t="shared" si="25"/>
        <v>74767</v>
      </c>
      <c r="CI18" s="4">
        <f t="shared" si="26"/>
        <v>43188</v>
      </c>
      <c r="CJ18" s="4">
        <f t="shared" si="27"/>
        <v>38772</v>
      </c>
      <c r="CK18" s="142">
        <f>IF(ISNA(VLOOKUP($A18&amp;$AB18,'Days Exceptions'!$C$3:$I$7,6,FALSE)),ROUND(CH18/MAX(CJ18,(CI18*Min_Occ)),2),ROUND(CH18/VLOOKUP($A18&amp;$AB18,'Days Exceptions'!$C$3:$I$7,6,FALSE),2))</f>
        <v>1.93</v>
      </c>
      <c r="CL18" s="143" t="e">
        <f t="shared" si="28"/>
        <v>#REF!</v>
      </c>
      <c r="CM18" s="143" t="e">
        <f t="shared" si="29"/>
        <v>#REF!</v>
      </c>
      <c r="CN18" s="143">
        <f t="shared" si="30"/>
        <v>154.49</v>
      </c>
      <c r="CO18" s="37" t="s">
        <v>633</v>
      </c>
      <c r="CP18" s="37" t="s">
        <v>634</v>
      </c>
      <c r="CQ18" s="37" t="s">
        <v>1395</v>
      </c>
    </row>
    <row r="19" spans="1:95" x14ac:dyDescent="0.15">
      <c r="A19" s="130">
        <v>446</v>
      </c>
      <c r="B19" s="37" t="s">
        <v>674</v>
      </c>
      <c r="C19" s="1" t="s">
        <v>148</v>
      </c>
      <c r="D19" s="1" t="s">
        <v>114</v>
      </c>
      <c r="E19" s="1" t="str">
        <f>VLOOKUP(D19,Documentation!$B$4:$D$27,3,FALSE)</f>
        <v>WASHINGTON METRO</v>
      </c>
      <c r="F19" s="1" t="str">
        <f>VLOOKUP(D19,Documentation!$B$4:$C$27,2,FALSE)</f>
        <v>NON METRO</v>
      </c>
      <c r="G19" s="82">
        <f>VLOOKUP(A19,'2022 CR and CMI'!$A$3:$D$207,3,FALSE)</f>
        <v>44562</v>
      </c>
      <c r="H19" s="82">
        <f>VLOOKUP(A19,'2022 CR and CMI'!$A$3:$D$207,4,FALSE)</f>
        <v>44926</v>
      </c>
      <c r="I19" s="72">
        <f>VLOOKUP(A19,'2022 CR and CMI'!$A$2:$T$210,19,FALSE)</f>
        <v>1.5791999999999999</v>
      </c>
      <c r="J19" s="139">
        <f>Inflation!$G$24</f>
        <v>1.0309999999999999</v>
      </c>
      <c r="K19" s="192">
        <f>VLOOKUP(E19,Limits!$B$2:$D$5,3,FALSE)</f>
        <v>176.01</v>
      </c>
      <c r="L19" s="192">
        <f t="shared" si="31"/>
        <v>181.47</v>
      </c>
      <c r="M19" s="140">
        <f>VLOOKUP(A19,'CMI Data'!$A$4:$C$208,3,FALSE)</f>
        <v>1.3916999999999999</v>
      </c>
      <c r="N19" s="68">
        <f t="shared" si="2"/>
        <v>198.57</v>
      </c>
      <c r="O19" s="68">
        <f t="shared" si="32"/>
        <v>174.99</v>
      </c>
      <c r="P19" s="75">
        <f t="shared" si="33"/>
        <v>166.24</v>
      </c>
      <c r="Q19" s="75">
        <v>148</v>
      </c>
      <c r="R19" s="75">
        <f t="shared" si="34"/>
        <v>152.59</v>
      </c>
      <c r="S19" s="68">
        <f t="shared" si="35"/>
        <v>134.47</v>
      </c>
      <c r="T19" s="75">
        <f t="shared" si="36"/>
        <v>-31.77</v>
      </c>
      <c r="U19" s="68">
        <f t="shared" si="37"/>
        <v>143.22</v>
      </c>
      <c r="V19" s="68">
        <f>VLOOKUP($F19,Limits!$J$2:$L$5,3,FALSE)</f>
        <v>20.239999999999998</v>
      </c>
      <c r="W19" s="68">
        <f t="shared" si="38"/>
        <v>20.87</v>
      </c>
      <c r="X19" s="68">
        <f>VLOOKUP($F19,Limits!$R$2:$T$5,3,FALSE)</f>
        <v>89.55</v>
      </c>
      <c r="Y19" s="68">
        <f t="shared" si="39"/>
        <v>92.33</v>
      </c>
      <c r="Z19" s="75">
        <f>VLOOKUP(A19,FRV!$A$4:$U$208,21,FALSE)</f>
        <v>24.4</v>
      </c>
      <c r="AA19" s="141">
        <f>VLOOKUP(A19,'RE Tax'!$A$2:$G$206,3,FALSE)</f>
        <v>45292</v>
      </c>
      <c r="AB19" s="141">
        <f>VLOOKUP(A19,'RE Tax'!$A$2:$G$206,4,FALSE)</f>
        <v>45657</v>
      </c>
      <c r="AC19" s="4">
        <f>VLOOKUP(A19,'RE Tax'!$A$2:$G$206,7,FALSE)</f>
        <v>24987</v>
      </c>
      <c r="AD19" s="4">
        <f>VLOOKUP($A19,'RE Tax'!$A$2:$I$206,9,FALSE)</f>
        <v>23790</v>
      </c>
      <c r="AE19" s="4">
        <f>VLOOKUP($A19,'RE Tax'!$A$2:$I$206,8,FALSE)</f>
        <v>19718</v>
      </c>
      <c r="AF19" s="142">
        <f>IF(ISNA(VLOOKUP(A19&amp;AB19,'Days Exceptions'!$C$3:$I$7,6,FALSE)),ROUND(AC19/MAX(AE19,(AD19*Min_Occ)),2),ROUND(AC19/VLOOKUP(A19&amp;AB19,'Days Exceptions'!$C$3:$I$7,6,FALSE),2))</f>
        <v>1.27</v>
      </c>
      <c r="AG19" s="68">
        <v>0</v>
      </c>
      <c r="AH19" s="68">
        <f t="shared" si="40"/>
        <v>0</v>
      </c>
      <c r="AI19" s="4">
        <v>14268</v>
      </c>
      <c r="AJ19" s="4">
        <v>19053</v>
      </c>
      <c r="AK19" s="68">
        <f>IF(AI19=0,0,IF(ISNA(MATCH(A19,Documentation!$B$66:$B$71,0)),QA_Tax_reg,QA_Tax_5high))</f>
        <v>32.92</v>
      </c>
      <c r="AL19" s="75">
        <f t="shared" si="41"/>
        <v>24.65</v>
      </c>
      <c r="AM19" s="68">
        <f t="shared" si="42"/>
        <v>282.08999999999997</v>
      </c>
      <c r="AN19" s="68">
        <f t="shared" si="43"/>
        <v>210.48</v>
      </c>
      <c r="AO19" s="68">
        <f t="shared" si="44"/>
        <v>138.87</v>
      </c>
      <c r="AP19" s="37" t="s">
        <v>673</v>
      </c>
      <c r="AQ19" s="37" t="s">
        <v>674</v>
      </c>
      <c r="AR19" s="37" t="s">
        <v>972</v>
      </c>
      <c r="AS19" s="66" t="e">
        <f>VLOOKUP(A19,'CMI Data'!$A$3:$J$209,10,FALSE)</f>
        <v>#DIV/0!</v>
      </c>
      <c r="AT19" s="68">
        <f t="shared" si="3"/>
        <v>192.6</v>
      </c>
      <c r="AU19" s="68" t="e">
        <f t="shared" si="4"/>
        <v>#DIV/0!</v>
      </c>
      <c r="AV19" s="75" t="e">
        <f t="shared" si="45"/>
        <v>#DIV/0!</v>
      </c>
      <c r="AW19" s="68" t="e">
        <f>IF($I19="NA","NA",ROUND(#REF!*$AS19/$I19,2))</f>
        <v>#REF!</v>
      </c>
      <c r="AX19" s="75" t="e">
        <f t="shared" si="46"/>
        <v>#REF!</v>
      </c>
      <c r="AY19" s="68" t="e">
        <f t="shared" si="47"/>
        <v>#REF!</v>
      </c>
      <c r="AZ19" s="4">
        <f t="shared" si="5"/>
        <v>24987</v>
      </c>
      <c r="BA19" s="4">
        <f t="shared" si="6"/>
        <v>23790</v>
      </c>
      <c r="BB19" s="4">
        <f t="shared" si="7"/>
        <v>19718</v>
      </c>
      <c r="BC19" s="142">
        <f>IF(ISNA(VLOOKUP($A19&amp;$AB19,'Days Exceptions'!$C$3:$I$7,6,FALSE)),ROUND(AZ19/MAX(BB19,(BA19*Min_Occ)),2),ROUND(AZ19/VLOOKUP($A19&amp;$AB19,'Days Exceptions'!$C$3:$I$7,6,FALSE),2))</f>
        <v>1.27</v>
      </c>
      <c r="BD19" s="143" t="e">
        <f t="shared" si="8"/>
        <v>#REF!</v>
      </c>
      <c r="BE19" s="143" t="e">
        <f t="shared" si="9"/>
        <v>#REF!</v>
      </c>
      <c r="BF19" s="143">
        <f t="shared" si="10"/>
        <v>135.46</v>
      </c>
      <c r="BG19" s="37" t="s">
        <v>673</v>
      </c>
      <c r="BH19" s="37" t="s">
        <v>674</v>
      </c>
      <c r="BI19" s="37" t="s">
        <v>1176</v>
      </c>
      <c r="BJ19" s="66" t="e">
        <f>VLOOKUP(A19,'CMI Data'!$A$3:$AZ$209,15,FALSE)</f>
        <v>#DIV/0!</v>
      </c>
      <c r="BK19" s="68">
        <f t="shared" si="11"/>
        <v>192.6</v>
      </c>
      <c r="BL19" s="68" t="e">
        <f t="shared" si="12"/>
        <v>#DIV/0!</v>
      </c>
      <c r="BM19" s="75" t="e">
        <f t="shared" si="13"/>
        <v>#DIV/0!</v>
      </c>
      <c r="BN19" s="68" t="e">
        <f>IF($I19="NA","NA",ROUND(#REF!*$BJ19/$I19,2))</f>
        <v>#REF!</v>
      </c>
      <c r="BO19" s="75" t="e">
        <f t="shared" si="14"/>
        <v>#REF!</v>
      </c>
      <c r="BP19" s="68" t="e">
        <f t="shared" si="48"/>
        <v>#REF!</v>
      </c>
      <c r="BQ19" s="4">
        <f t="shared" si="15"/>
        <v>24987</v>
      </c>
      <c r="BR19" s="4">
        <f t="shared" si="16"/>
        <v>23790</v>
      </c>
      <c r="BS19" s="4">
        <f t="shared" si="17"/>
        <v>19718</v>
      </c>
      <c r="BT19" s="142">
        <f>IF(ISNA(VLOOKUP($A19&amp;$AB19,'Days Exceptions'!$C$3:$I$7,6,FALSE)),ROUND(BQ19/MAX(BS19,(BR19*Min_Occ)),2),ROUND(BQ19/VLOOKUP($A19&amp;$AB19,'Days Exceptions'!$C$3:$I$7,6,FALSE),2))</f>
        <v>1.27</v>
      </c>
      <c r="BU19" s="143" t="e">
        <f t="shared" si="18"/>
        <v>#REF!</v>
      </c>
      <c r="BV19" s="143" t="e">
        <f t="shared" si="19"/>
        <v>#REF!</v>
      </c>
      <c r="BW19" s="143">
        <f t="shared" si="20"/>
        <v>135.46</v>
      </c>
      <c r="BX19" s="37" t="s">
        <v>673</v>
      </c>
      <c r="BY19" s="37" t="s">
        <v>674</v>
      </c>
      <c r="BZ19" s="37" t="s">
        <v>1396</v>
      </c>
      <c r="CA19" s="66" t="e">
        <f>VLOOKUP(A19,'CMI Data'!$A$3:$AZ$209,20,FALSE)</f>
        <v>#DIV/0!</v>
      </c>
      <c r="CB19" s="68">
        <f t="shared" si="21"/>
        <v>192.6</v>
      </c>
      <c r="CC19" s="68" t="e">
        <f t="shared" si="22"/>
        <v>#DIV/0!</v>
      </c>
      <c r="CD19" s="75" t="e">
        <f t="shared" si="49"/>
        <v>#DIV/0!</v>
      </c>
      <c r="CE19" s="68" t="e">
        <f>IF($I19="NA","NA",ROUND(#REF!*$CA19/$I19,2))</f>
        <v>#REF!</v>
      </c>
      <c r="CF19" s="75" t="e">
        <f t="shared" si="23"/>
        <v>#REF!</v>
      </c>
      <c r="CG19" s="68" t="e">
        <f t="shared" si="24"/>
        <v>#REF!</v>
      </c>
      <c r="CH19" s="4">
        <f t="shared" si="25"/>
        <v>24987</v>
      </c>
      <c r="CI19" s="4">
        <f t="shared" si="26"/>
        <v>23790</v>
      </c>
      <c r="CJ19" s="4">
        <f t="shared" si="27"/>
        <v>19718</v>
      </c>
      <c r="CK19" s="142">
        <f>IF(ISNA(VLOOKUP($A19&amp;$AB19,'Days Exceptions'!$C$3:$I$7,6,FALSE)),ROUND(CH19/MAX(CJ19,(CI19*Min_Occ)),2),ROUND(CH19/VLOOKUP($A19&amp;$AB19,'Days Exceptions'!$C$3:$I$7,6,FALSE),2))</f>
        <v>1.27</v>
      </c>
      <c r="CL19" s="143" t="e">
        <f t="shared" si="28"/>
        <v>#REF!</v>
      </c>
      <c r="CM19" s="143" t="e">
        <f t="shared" si="29"/>
        <v>#REF!</v>
      </c>
      <c r="CN19" s="143">
        <f t="shared" si="30"/>
        <v>135.46</v>
      </c>
      <c r="CO19" s="37" t="s">
        <v>673</v>
      </c>
      <c r="CP19" s="37" t="s">
        <v>674</v>
      </c>
      <c r="CQ19" s="37" t="s">
        <v>1397</v>
      </c>
    </row>
    <row r="20" spans="1:95" x14ac:dyDescent="0.15">
      <c r="A20" s="130">
        <v>66</v>
      </c>
      <c r="B20" s="37" t="s">
        <v>588</v>
      </c>
      <c r="C20" s="1" t="s">
        <v>148</v>
      </c>
      <c r="D20" s="1" t="s">
        <v>120</v>
      </c>
      <c r="E20" s="1" t="str">
        <f>VLOOKUP(D20,Documentation!$B$4:$D$27,3,FALSE)</f>
        <v>WASHINGTON METRO</v>
      </c>
      <c r="F20" s="1" t="str">
        <f>VLOOKUP(D20,Documentation!$B$4:$C$27,2,FALSE)</f>
        <v>WASHINGTON METRO</v>
      </c>
      <c r="G20" s="82">
        <f>VLOOKUP(A20,'2022 CR and CMI'!$A$3:$D$207,3,FALSE)</f>
        <v>44562</v>
      </c>
      <c r="H20" s="82">
        <f>VLOOKUP(A20,'2022 CR and CMI'!$A$3:$D$207,4,FALSE)</f>
        <v>44926</v>
      </c>
      <c r="I20" s="72">
        <f>VLOOKUP(A20,'2022 CR and CMI'!$A$2:$T$210,19,FALSE)</f>
        <v>1.5084</v>
      </c>
      <c r="J20" s="139">
        <f>Inflation!$G$24</f>
        <v>1.0309999999999999</v>
      </c>
      <c r="K20" s="192">
        <f>VLOOKUP(E20,Limits!$B$2:$D$5,3,FALSE)</f>
        <v>176.01</v>
      </c>
      <c r="L20" s="192">
        <f t="shared" si="31"/>
        <v>181.47</v>
      </c>
      <c r="M20" s="140">
        <f>VLOOKUP(A20,'CMI Data'!$A$4:$C$208,3,FALSE)</f>
        <v>1.3978999999999999</v>
      </c>
      <c r="N20" s="68">
        <f t="shared" si="2"/>
        <v>189.67</v>
      </c>
      <c r="O20" s="68">
        <f t="shared" si="32"/>
        <v>175.78</v>
      </c>
      <c r="P20" s="75">
        <f t="shared" si="33"/>
        <v>166.99</v>
      </c>
      <c r="Q20" s="75">
        <v>146.16999999999999</v>
      </c>
      <c r="R20" s="75">
        <f t="shared" si="34"/>
        <v>150.69999999999999</v>
      </c>
      <c r="S20" s="68">
        <f t="shared" si="35"/>
        <v>139.66</v>
      </c>
      <c r="T20" s="75">
        <f t="shared" si="36"/>
        <v>-27.33</v>
      </c>
      <c r="U20" s="68">
        <f t="shared" si="37"/>
        <v>148.44999999999999</v>
      </c>
      <c r="V20" s="68">
        <f>VLOOKUP($F20,Limits!$J$2:$L$5,3,FALSE)</f>
        <v>19.23</v>
      </c>
      <c r="W20" s="68">
        <f t="shared" si="38"/>
        <v>19.829999999999998</v>
      </c>
      <c r="X20" s="68">
        <f>VLOOKUP($F20,Limits!$R$2:$T$5,3,FALSE)</f>
        <v>100.61</v>
      </c>
      <c r="Y20" s="68">
        <f t="shared" si="39"/>
        <v>103.73</v>
      </c>
      <c r="Z20" s="75">
        <f>VLOOKUP(A20,FRV!$A$4:$U$208,21,FALSE)</f>
        <v>25.2</v>
      </c>
      <c r="AA20" s="141">
        <f>VLOOKUP(A20,'RE Tax'!$A$2:$G$206,3,FALSE)</f>
        <v>45292</v>
      </c>
      <c r="AB20" s="141">
        <f>VLOOKUP(A20,'RE Tax'!$A$2:$G$206,4,FALSE)</f>
        <v>45657</v>
      </c>
      <c r="AC20" s="4">
        <f>VLOOKUP(A20,'RE Tax'!$A$2:$G$206,7,FALSE)</f>
        <v>247679</v>
      </c>
      <c r="AD20" s="4">
        <f>VLOOKUP($A20,'RE Tax'!$A$2:$I$206,9,FALSE)</f>
        <v>65880</v>
      </c>
      <c r="AE20" s="4">
        <f>VLOOKUP($A20,'RE Tax'!$A$2:$I$206,8,FALSE)</f>
        <v>61037</v>
      </c>
      <c r="AF20" s="142">
        <f>IF(ISNA(VLOOKUP(A20&amp;AB20,'Days Exceptions'!$C$3:$I$7,6,FALSE)),ROUND(AC20/MAX(AE20,(AD20*Min_Occ)),2),ROUND(AC20/VLOOKUP(A20&amp;AB20,'Days Exceptions'!$C$3:$I$7,6,FALSE),2))</f>
        <v>4.0599999999999996</v>
      </c>
      <c r="AG20" s="68">
        <v>0</v>
      </c>
      <c r="AH20" s="68">
        <f t="shared" si="40"/>
        <v>0</v>
      </c>
      <c r="AI20" s="4">
        <v>46183</v>
      </c>
      <c r="AJ20" s="4">
        <v>60791</v>
      </c>
      <c r="AK20" s="68">
        <f>IF(AI20=0,0,IF(ISNA(MATCH(A20,Documentation!$B$66:$B$71,0)),QA_Tax_reg,QA_Tax_5high))</f>
        <v>32.92</v>
      </c>
      <c r="AL20" s="75">
        <f t="shared" si="41"/>
        <v>25.01</v>
      </c>
      <c r="AM20" s="68">
        <f t="shared" si="42"/>
        <v>301.27</v>
      </c>
      <c r="AN20" s="68">
        <f t="shared" si="43"/>
        <v>227.05</v>
      </c>
      <c r="AO20" s="68">
        <f t="shared" si="44"/>
        <v>152.82</v>
      </c>
      <c r="AP20" s="37" t="s">
        <v>587</v>
      </c>
      <c r="AQ20" s="37" t="s">
        <v>588</v>
      </c>
      <c r="AR20" s="37" t="s">
        <v>973</v>
      </c>
      <c r="AS20" s="66" t="e">
        <f>VLOOKUP(A20,'CMI Data'!$A$3:$J$209,10,FALSE)</f>
        <v>#DIV/0!</v>
      </c>
      <c r="AT20" s="68">
        <f t="shared" si="3"/>
        <v>183.96</v>
      </c>
      <c r="AU20" s="68" t="e">
        <f t="shared" si="4"/>
        <v>#DIV/0!</v>
      </c>
      <c r="AV20" s="75" t="e">
        <f t="shared" si="45"/>
        <v>#DIV/0!</v>
      </c>
      <c r="AW20" s="68" t="e">
        <f>IF($I20="NA","NA",ROUND(#REF!*$AS20/$I20,2))</f>
        <v>#REF!</v>
      </c>
      <c r="AX20" s="75" t="e">
        <f t="shared" si="46"/>
        <v>#REF!</v>
      </c>
      <c r="AY20" s="68" t="e">
        <f t="shared" si="47"/>
        <v>#REF!</v>
      </c>
      <c r="AZ20" s="4">
        <f t="shared" si="5"/>
        <v>247679</v>
      </c>
      <c r="BA20" s="4">
        <f t="shared" si="6"/>
        <v>65880</v>
      </c>
      <c r="BB20" s="4">
        <f t="shared" si="7"/>
        <v>61037</v>
      </c>
      <c r="BC20" s="142">
        <f>IF(ISNA(VLOOKUP($A20&amp;$AB20,'Days Exceptions'!$C$3:$I$7,6,FALSE)),ROUND(AZ20/MAX(BB20,(BA20*Min_Occ)),2),ROUND(AZ20/VLOOKUP($A20&amp;$AB20,'Days Exceptions'!$C$3:$I$7,6,FALSE),2))</f>
        <v>4.0599999999999996</v>
      </c>
      <c r="BD20" s="143" t="e">
        <f t="shared" si="8"/>
        <v>#REF!</v>
      </c>
      <c r="BE20" s="143" t="e">
        <f t="shared" si="9"/>
        <v>#REF!</v>
      </c>
      <c r="BF20" s="143">
        <f t="shared" si="10"/>
        <v>149.1</v>
      </c>
      <c r="BG20" s="37" t="s">
        <v>587</v>
      </c>
      <c r="BH20" s="37" t="s">
        <v>588</v>
      </c>
      <c r="BI20" s="37" t="s">
        <v>1177</v>
      </c>
      <c r="BJ20" s="66" t="e">
        <f>VLOOKUP(A20,'CMI Data'!$A$3:$AZ$209,15,FALSE)</f>
        <v>#DIV/0!</v>
      </c>
      <c r="BK20" s="68">
        <f t="shared" si="11"/>
        <v>183.96</v>
      </c>
      <c r="BL20" s="68" t="e">
        <f t="shared" si="12"/>
        <v>#DIV/0!</v>
      </c>
      <c r="BM20" s="75" t="e">
        <f t="shared" si="13"/>
        <v>#DIV/0!</v>
      </c>
      <c r="BN20" s="68" t="e">
        <f>IF($I20="NA","NA",ROUND(#REF!*$BJ20/$I20,2))</f>
        <v>#REF!</v>
      </c>
      <c r="BO20" s="75" t="e">
        <f t="shared" si="14"/>
        <v>#REF!</v>
      </c>
      <c r="BP20" s="68" t="e">
        <f t="shared" si="48"/>
        <v>#REF!</v>
      </c>
      <c r="BQ20" s="4">
        <f t="shared" si="15"/>
        <v>247679</v>
      </c>
      <c r="BR20" s="4">
        <f t="shared" si="16"/>
        <v>65880</v>
      </c>
      <c r="BS20" s="4">
        <f t="shared" si="17"/>
        <v>61037</v>
      </c>
      <c r="BT20" s="142">
        <f>IF(ISNA(VLOOKUP($A20&amp;$AB20,'Days Exceptions'!$C$3:$I$7,6,FALSE)),ROUND(BQ20/MAX(BS20,(BR20*Min_Occ)),2),ROUND(BQ20/VLOOKUP($A20&amp;$AB20,'Days Exceptions'!$C$3:$I$7,6,FALSE),2))</f>
        <v>4.0599999999999996</v>
      </c>
      <c r="BU20" s="143" t="e">
        <f t="shared" si="18"/>
        <v>#REF!</v>
      </c>
      <c r="BV20" s="143" t="e">
        <f t="shared" si="19"/>
        <v>#REF!</v>
      </c>
      <c r="BW20" s="143">
        <f t="shared" si="20"/>
        <v>149.1</v>
      </c>
      <c r="BX20" s="37" t="s">
        <v>587</v>
      </c>
      <c r="BY20" s="37" t="s">
        <v>588</v>
      </c>
      <c r="BZ20" s="37" t="s">
        <v>1398</v>
      </c>
      <c r="CA20" s="66" t="e">
        <f>VLOOKUP(A20,'CMI Data'!$A$3:$AZ$209,20,FALSE)</f>
        <v>#DIV/0!</v>
      </c>
      <c r="CB20" s="68">
        <f t="shared" si="21"/>
        <v>183.96</v>
      </c>
      <c r="CC20" s="68" t="e">
        <f t="shared" si="22"/>
        <v>#DIV/0!</v>
      </c>
      <c r="CD20" s="75" t="e">
        <f t="shared" si="49"/>
        <v>#DIV/0!</v>
      </c>
      <c r="CE20" s="68" t="e">
        <f>IF($I20="NA","NA",ROUND(#REF!*$CA20/$I20,2))</f>
        <v>#REF!</v>
      </c>
      <c r="CF20" s="75" t="e">
        <f t="shared" si="23"/>
        <v>#REF!</v>
      </c>
      <c r="CG20" s="68" t="e">
        <f t="shared" si="24"/>
        <v>#REF!</v>
      </c>
      <c r="CH20" s="4">
        <f t="shared" si="25"/>
        <v>247679</v>
      </c>
      <c r="CI20" s="4">
        <f t="shared" si="26"/>
        <v>65880</v>
      </c>
      <c r="CJ20" s="4">
        <f t="shared" si="27"/>
        <v>61037</v>
      </c>
      <c r="CK20" s="142">
        <f>IF(ISNA(VLOOKUP($A20&amp;$AB20,'Days Exceptions'!$C$3:$I$7,6,FALSE)),ROUND(CH20/MAX(CJ20,(CI20*Min_Occ)),2),ROUND(CH20/VLOOKUP($A20&amp;$AB20,'Days Exceptions'!$C$3:$I$7,6,FALSE),2))</f>
        <v>4.0599999999999996</v>
      </c>
      <c r="CL20" s="143" t="e">
        <f t="shared" si="28"/>
        <v>#REF!</v>
      </c>
      <c r="CM20" s="143" t="e">
        <f t="shared" si="29"/>
        <v>#REF!</v>
      </c>
      <c r="CN20" s="143">
        <f t="shared" si="30"/>
        <v>149.1</v>
      </c>
      <c r="CO20" s="37" t="s">
        <v>587</v>
      </c>
      <c r="CP20" s="37" t="s">
        <v>588</v>
      </c>
      <c r="CQ20" s="37" t="s">
        <v>1399</v>
      </c>
    </row>
    <row r="21" spans="1:95" x14ac:dyDescent="0.15">
      <c r="A21" s="130">
        <v>741</v>
      </c>
      <c r="B21" s="37" t="s">
        <v>435</v>
      </c>
      <c r="C21" s="1" t="s">
        <v>148</v>
      </c>
      <c r="D21" s="1" t="s">
        <v>102</v>
      </c>
      <c r="E21" s="1" t="str">
        <f>VLOOKUP(D21,Documentation!$B$4:$D$27,3,FALSE)</f>
        <v>BALTIMORE METRO</v>
      </c>
      <c r="F21" s="1" t="str">
        <f>VLOOKUP(D21,Documentation!$B$4:$C$27,2,FALSE)</f>
        <v>BALTIMORE CITY</v>
      </c>
      <c r="G21" s="82">
        <f>VLOOKUP(A21,'2022 CR and CMI'!$A$3:$D$207,3,FALSE)</f>
        <v>44562</v>
      </c>
      <c r="H21" s="82">
        <f>VLOOKUP(A21,'2022 CR and CMI'!$A$3:$D$207,4,FALSE)</f>
        <v>44926</v>
      </c>
      <c r="I21" s="72">
        <f>VLOOKUP(A21,'2022 CR and CMI'!$A$2:$T$210,19,FALSE)</f>
        <v>2.0203000000000002</v>
      </c>
      <c r="J21" s="139">
        <f>Inflation!$G$24</f>
        <v>1.0309999999999999</v>
      </c>
      <c r="K21" s="192">
        <f>VLOOKUP(E21,Limits!$B$2:$D$5,3,FALSE)</f>
        <v>195.33</v>
      </c>
      <c r="L21" s="192">
        <f t="shared" si="31"/>
        <v>201.39</v>
      </c>
      <c r="M21" s="140">
        <f>VLOOKUP(A21,'CMI Data'!$A$4:$C$208,3,FALSE)</f>
        <v>1.6027</v>
      </c>
      <c r="N21" s="68">
        <f t="shared" si="2"/>
        <v>281.92</v>
      </c>
      <c r="O21" s="68">
        <f t="shared" si="32"/>
        <v>223.65</v>
      </c>
      <c r="P21" s="75">
        <f t="shared" si="33"/>
        <v>212.47</v>
      </c>
      <c r="Q21" s="75">
        <v>261.45</v>
      </c>
      <c r="R21" s="75">
        <f t="shared" si="34"/>
        <v>269.55</v>
      </c>
      <c r="S21" s="68">
        <f t="shared" si="35"/>
        <v>213.83</v>
      </c>
      <c r="T21" s="75">
        <f t="shared" si="36"/>
        <v>0</v>
      </c>
      <c r="U21" s="68">
        <f t="shared" si="37"/>
        <v>223.65</v>
      </c>
      <c r="V21" s="68">
        <f>VLOOKUP($F21,Limits!$J$2:$L$5,3,FALSE)</f>
        <v>24.89</v>
      </c>
      <c r="W21" s="68">
        <f t="shared" si="38"/>
        <v>25.66</v>
      </c>
      <c r="X21" s="68">
        <f>VLOOKUP($F21,Limits!$R$2:$T$5,3,FALSE)</f>
        <v>114.15</v>
      </c>
      <c r="Y21" s="68">
        <f t="shared" si="39"/>
        <v>117.69</v>
      </c>
      <c r="Z21" s="75">
        <f>VLOOKUP(A21,FRV!$A$4:$U$208,21,FALSE)</f>
        <v>44.06</v>
      </c>
      <c r="AA21" s="141">
        <f>VLOOKUP(A21,'RE Tax'!$A$2:$G$206,3,FALSE)</f>
        <v>45292</v>
      </c>
      <c r="AB21" s="141">
        <f>VLOOKUP(A21,'RE Tax'!$A$2:$G$206,4,FALSE)</f>
        <v>45657</v>
      </c>
      <c r="AC21" s="4">
        <f>VLOOKUP(A21,'RE Tax'!$A$2:$G$206,7,FALSE)</f>
        <v>129076</v>
      </c>
      <c r="AD21" s="4">
        <f>VLOOKUP($A21,'RE Tax'!$A$2:$I$206,9,FALSE)</f>
        <v>36234</v>
      </c>
      <c r="AE21" s="4">
        <f>VLOOKUP($A21,'RE Tax'!$A$2:$I$206,8,FALSE)</f>
        <v>32015</v>
      </c>
      <c r="AF21" s="142">
        <f>IF(ISNA(VLOOKUP(A21&amp;AB21,'Days Exceptions'!$C$3:$I$7,6,FALSE)),ROUND(AC21/MAX(AE21,(AD21*Min_Occ)),2),ROUND(AC21/VLOOKUP(A21&amp;AB21,'Days Exceptions'!$C$3:$I$7,6,FALSE),2))</f>
        <v>4.03</v>
      </c>
      <c r="AG21" s="68">
        <v>0</v>
      </c>
      <c r="AH21" s="68">
        <f t="shared" si="40"/>
        <v>0</v>
      </c>
      <c r="AI21" s="4">
        <v>26031</v>
      </c>
      <c r="AJ21" s="4">
        <v>31841</v>
      </c>
      <c r="AK21" s="68">
        <f>IF(AI21=0,0,IF(ISNA(MATCH(A21,Documentation!$B$66:$B$71,0)),QA_Tax_reg,QA_Tax_5high))</f>
        <v>32.92</v>
      </c>
      <c r="AL21" s="75">
        <f t="shared" si="41"/>
        <v>26.91</v>
      </c>
      <c r="AM21" s="68">
        <f t="shared" si="42"/>
        <v>415.09</v>
      </c>
      <c r="AN21" s="68">
        <f t="shared" si="43"/>
        <v>303.27</v>
      </c>
      <c r="AO21" s="68">
        <f t="shared" si="44"/>
        <v>191.44</v>
      </c>
      <c r="AP21" s="37" t="s">
        <v>439</v>
      </c>
      <c r="AQ21" s="37" t="s">
        <v>435</v>
      </c>
      <c r="AR21" s="37" t="s">
        <v>974</v>
      </c>
      <c r="AS21" s="66" t="e">
        <f>VLOOKUP(A21,'CMI Data'!$A$3:$J$209,10,FALSE)</f>
        <v>#DIV/0!</v>
      </c>
      <c r="AT21" s="68">
        <f t="shared" si="3"/>
        <v>273.44</v>
      </c>
      <c r="AU21" s="68" t="e">
        <f t="shared" si="4"/>
        <v>#DIV/0!</v>
      </c>
      <c r="AV21" s="75" t="e">
        <f t="shared" si="45"/>
        <v>#DIV/0!</v>
      </c>
      <c r="AW21" s="68" t="e">
        <f>IF($I21="NA","NA",ROUND(#REF!*$AS21/$I21,2))</f>
        <v>#REF!</v>
      </c>
      <c r="AX21" s="75" t="e">
        <f t="shared" si="46"/>
        <v>#REF!</v>
      </c>
      <c r="AY21" s="68" t="e">
        <f t="shared" si="47"/>
        <v>#REF!</v>
      </c>
      <c r="AZ21" s="4">
        <f t="shared" si="5"/>
        <v>129076</v>
      </c>
      <c r="BA21" s="4">
        <f t="shared" si="6"/>
        <v>36234</v>
      </c>
      <c r="BB21" s="4">
        <f t="shared" si="7"/>
        <v>32015</v>
      </c>
      <c r="BC21" s="142">
        <f>IF(ISNA(VLOOKUP($A21&amp;$AB21,'Days Exceptions'!$C$3:$I$7,6,FALSE)),ROUND(AZ21/MAX(BB21,(BA21*Min_Occ)),2),ROUND(AZ21/VLOOKUP($A21&amp;$AB21,'Days Exceptions'!$C$3:$I$7,6,FALSE),2))</f>
        <v>4.03</v>
      </c>
      <c r="BD21" s="143" t="e">
        <f t="shared" si="8"/>
        <v>#REF!</v>
      </c>
      <c r="BE21" s="143" t="e">
        <f t="shared" si="9"/>
        <v>#REF!</v>
      </c>
      <c r="BF21" s="143">
        <f t="shared" si="10"/>
        <v>187.13</v>
      </c>
      <c r="BG21" s="37" t="s">
        <v>439</v>
      </c>
      <c r="BH21" s="37" t="s">
        <v>435</v>
      </c>
      <c r="BI21" s="37" t="s">
        <v>1178</v>
      </c>
      <c r="BJ21" s="66" t="e">
        <f>VLOOKUP(A21,'CMI Data'!$A$3:$AZ$209,15,FALSE)</f>
        <v>#DIV/0!</v>
      </c>
      <c r="BK21" s="68">
        <f t="shared" si="11"/>
        <v>273.44</v>
      </c>
      <c r="BL21" s="68" t="e">
        <f t="shared" si="12"/>
        <v>#DIV/0!</v>
      </c>
      <c r="BM21" s="75" t="e">
        <f t="shared" si="13"/>
        <v>#DIV/0!</v>
      </c>
      <c r="BN21" s="68" t="e">
        <f>IF($I21="NA","NA",ROUND(#REF!*$BJ21/$I21,2))</f>
        <v>#REF!</v>
      </c>
      <c r="BO21" s="75" t="e">
        <f t="shared" si="14"/>
        <v>#REF!</v>
      </c>
      <c r="BP21" s="68" t="e">
        <f t="shared" si="48"/>
        <v>#REF!</v>
      </c>
      <c r="BQ21" s="4">
        <f t="shared" si="15"/>
        <v>129076</v>
      </c>
      <c r="BR21" s="4">
        <f t="shared" si="16"/>
        <v>36234</v>
      </c>
      <c r="BS21" s="4">
        <f t="shared" si="17"/>
        <v>32015</v>
      </c>
      <c r="BT21" s="142">
        <f>IF(ISNA(VLOOKUP($A21&amp;$AB21,'Days Exceptions'!$C$3:$I$7,6,FALSE)),ROUND(BQ21/MAX(BS21,(BR21*Min_Occ)),2),ROUND(BQ21/VLOOKUP($A21&amp;$AB21,'Days Exceptions'!$C$3:$I$7,6,FALSE),2))</f>
        <v>4.03</v>
      </c>
      <c r="BU21" s="143" t="e">
        <f t="shared" si="18"/>
        <v>#REF!</v>
      </c>
      <c r="BV21" s="143" t="e">
        <f t="shared" si="19"/>
        <v>#REF!</v>
      </c>
      <c r="BW21" s="143">
        <f t="shared" si="20"/>
        <v>187.13</v>
      </c>
      <c r="BX21" s="37" t="s">
        <v>439</v>
      </c>
      <c r="BY21" s="37" t="s">
        <v>435</v>
      </c>
      <c r="BZ21" s="37" t="s">
        <v>1400</v>
      </c>
      <c r="CA21" s="66" t="e">
        <f>VLOOKUP(A21,'CMI Data'!$A$3:$AZ$209,20,FALSE)</f>
        <v>#DIV/0!</v>
      </c>
      <c r="CB21" s="68">
        <f t="shared" si="21"/>
        <v>273.44</v>
      </c>
      <c r="CC21" s="68" t="e">
        <f t="shared" si="22"/>
        <v>#DIV/0!</v>
      </c>
      <c r="CD21" s="75" t="e">
        <f t="shared" si="49"/>
        <v>#DIV/0!</v>
      </c>
      <c r="CE21" s="68" t="e">
        <f>IF($I21="NA","NA",ROUND(#REF!*$CA21/$I21,2))</f>
        <v>#REF!</v>
      </c>
      <c r="CF21" s="75" t="e">
        <f t="shared" si="23"/>
        <v>#REF!</v>
      </c>
      <c r="CG21" s="68" t="e">
        <f t="shared" si="24"/>
        <v>#REF!</v>
      </c>
      <c r="CH21" s="4">
        <f t="shared" si="25"/>
        <v>129076</v>
      </c>
      <c r="CI21" s="4">
        <f t="shared" si="26"/>
        <v>36234</v>
      </c>
      <c r="CJ21" s="4">
        <f t="shared" si="27"/>
        <v>32015</v>
      </c>
      <c r="CK21" s="142">
        <f>IF(ISNA(VLOOKUP($A21&amp;$AB21,'Days Exceptions'!$C$3:$I$7,6,FALSE)),ROUND(CH21/MAX(CJ21,(CI21*Min_Occ)),2),ROUND(CH21/VLOOKUP($A21&amp;$AB21,'Days Exceptions'!$C$3:$I$7,6,FALSE),2))</f>
        <v>4.03</v>
      </c>
      <c r="CL21" s="143" t="e">
        <f t="shared" si="28"/>
        <v>#REF!</v>
      </c>
      <c r="CM21" s="143" t="e">
        <f t="shared" si="29"/>
        <v>#REF!</v>
      </c>
      <c r="CN21" s="143">
        <f t="shared" si="30"/>
        <v>187.13</v>
      </c>
      <c r="CO21" s="37" t="s">
        <v>439</v>
      </c>
      <c r="CP21" s="37" t="s">
        <v>435</v>
      </c>
      <c r="CQ21" s="37" t="s">
        <v>1401</v>
      </c>
    </row>
    <row r="22" spans="1:95" x14ac:dyDescent="0.15">
      <c r="A22" s="130">
        <v>78</v>
      </c>
      <c r="B22" s="37" t="s">
        <v>636</v>
      </c>
      <c r="C22" s="1" t="s">
        <v>148</v>
      </c>
      <c r="D22" s="1" t="s">
        <v>111</v>
      </c>
      <c r="E22" s="1" t="str">
        <f>VLOOKUP(D22,Documentation!$B$4:$D$27,3,FALSE)</f>
        <v>BALTIMORE METRO</v>
      </c>
      <c r="F22" s="1" t="str">
        <f>VLOOKUP(D22,Documentation!$B$4:$C$27,2,FALSE)</f>
        <v>NON METRO</v>
      </c>
      <c r="G22" s="82">
        <f>VLOOKUP(A22,'2022 CR and CMI'!$A$3:$D$207,3,FALSE)</f>
        <v>44774</v>
      </c>
      <c r="H22" s="82">
        <f>VLOOKUP(A22,'2022 CR and CMI'!$A$3:$D$207,4,FALSE)</f>
        <v>44926</v>
      </c>
      <c r="I22" s="72">
        <f>VLOOKUP(A22,'2022 CR and CMI'!$A$2:$T$210,19,FALSE)</f>
        <v>1.5645</v>
      </c>
      <c r="J22" s="139">
        <f>Inflation!$G$24</f>
        <v>1.0309999999999999</v>
      </c>
      <c r="K22" s="192">
        <f>VLOOKUP(E22,Limits!$B$2:$D$5,3,FALSE)</f>
        <v>195.33</v>
      </c>
      <c r="L22" s="192">
        <f t="shared" si="31"/>
        <v>201.39</v>
      </c>
      <c r="M22" s="140">
        <f>VLOOKUP(A22,'CMI Data'!$A$4:$C$208,3,FALSE)</f>
        <v>1.4168000000000001</v>
      </c>
      <c r="N22" s="68">
        <f t="shared" si="2"/>
        <v>218.32</v>
      </c>
      <c r="O22" s="68">
        <f t="shared" si="32"/>
        <v>197.71</v>
      </c>
      <c r="P22" s="75">
        <f t="shared" si="33"/>
        <v>187.82</v>
      </c>
      <c r="Q22" s="75">
        <v>186.85</v>
      </c>
      <c r="R22" s="75">
        <f t="shared" si="34"/>
        <v>192.64</v>
      </c>
      <c r="S22" s="68">
        <f t="shared" si="35"/>
        <v>174.45</v>
      </c>
      <c r="T22" s="75">
        <f t="shared" si="36"/>
        <v>-13.37</v>
      </c>
      <c r="U22" s="68">
        <f t="shared" si="37"/>
        <v>184.34</v>
      </c>
      <c r="V22" s="68">
        <f>VLOOKUP($F22,Limits!$J$2:$L$5,3,FALSE)</f>
        <v>20.239999999999998</v>
      </c>
      <c r="W22" s="68">
        <f t="shared" si="38"/>
        <v>20.87</v>
      </c>
      <c r="X22" s="68">
        <f>VLOOKUP($F22,Limits!$R$2:$T$5,3,FALSE)</f>
        <v>89.55</v>
      </c>
      <c r="Y22" s="68">
        <f t="shared" si="39"/>
        <v>92.33</v>
      </c>
      <c r="Z22" s="75">
        <f>VLOOKUP(A22,FRV!$A$4:$U$208,21,FALSE)</f>
        <v>25.59</v>
      </c>
      <c r="AA22" s="141">
        <f>VLOOKUP(A22,'RE Tax'!$A$2:$G$206,3,FALSE)</f>
        <v>45292</v>
      </c>
      <c r="AB22" s="141">
        <f>VLOOKUP(A22,'RE Tax'!$A$2:$G$206,4,FALSE)</f>
        <v>45657</v>
      </c>
      <c r="AC22" s="4">
        <f>VLOOKUP(A22,'RE Tax'!$A$2:$G$206,7,FALSE)</f>
        <v>144420</v>
      </c>
      <c r="AD22" s="4">
        <f>VLOOKUP($A22,'RE Tax'!$A$2:$I$206,9,FALSE)</f>
        <v>52704</v>
      </c>
      <c r="AE22" s="4">
        <f>VLOOKUP($A22,'RE Tax'!$A$2:$I$206,8,FALSE)</f>
        <v>50032</v>
      </c>
      <c r="AF22" s="142">
        <f>IF(ISNA(VLOOKUP(A22&amp;AB22,'Days Exceptions'!$C$3:$I$7,6,FALSE)),ROUND(AC22/MAX(AE22,(AD22*Min_Occ)),2),ROUND(AC22/VLOOKUP(A22&amp;AB22,'Days Exceptions'!$C$3:$I$7,6,FALSE),2))</f>
        <v>2.89</v>
      </c>
      <c r="AG22" s="68">
        <v>0</v>
      </c>
      <c r="AH22" s="68">
        <f t="shared" si="40"/>
        <v>0</v>
      </c>
      <c r="AI22" s="4">
        <v>34096</v>
      </c>
      <c r="AJ22" s="4">
        <v>49478</v>
      </c>
      <c r="AK22" s="68">
        <f>IF(AI22=0,0,IF(ISNA(MATCH(A22,Documentation!$B$66:$B$71,0)),QA_Tax_reg,QA_Tax_5high))</f>
        <v>32.92</v>
      </c>
      <c r="AL22" s="75">
        <f t="shared" si="41"/>
        <v>22.69</v>
      </c>
      <c r="AM22" s="68">
        <f t="shared" si="42"/>
        <v>326.02</v>
      </c>
      <c r="AN22" s="68">
        <f t="shared" si="43"/>
        <v>233.85</v>
      </c>
      <c r="AO22" s="68">
        <f t="shared" si="44"/>
        <v>141.68</v>
      </c>
      <c r="AP22" s="37" t="s">
        <v>635</v>
      </c>
      <c r="AQ22" s="37" t="s">
        <v>636</v>
      </c>
      <c r="AR22" s="37" t="s">
        <v>975</v>
      </c>
      <c r="AS22" s="66" t="e">
        <f>VLOOKUP(A22,'CMI Data'!$A$3:$J$209,10,FALSE)</f>
        <v>#DIV/0!</v>
      </c>
      <c r="AT22" s="68">
        <f t="shared" si="3"/>
        <v>211.75</v>
      </c>
      <c r="AU22" s="68" t="e">
        <f t="shared" si="4"/>
        <v>#DIV/0!</v>
      </c>
      <c r="AV22" s="75" t="e">
        <f t="shared" si="45"/>
        <v>#DIV/0!</v>
      </c>
      <c r="AW22" s="68" t="e">
        <f>IF($I22="NA","NA",ROUND(#REF!*$AS22/$I22,2))</f>
        <v>#REF!</v>
      </c>
      <c r="AX22" s="75" t="e">
        <f t="shared" si="46"/>
        <v>#REF!</v>
      </c>
      <c r="AY22" s="68" t="e">
        <f t="shared" si="47"/>
        <v>#REF!</v>
      </c>
      <c r="AZ22" s="4">
        <f t="shared" si="5"/>
        <v>144420</v>
      </c>
      <c r="BA22" s="4">
        <f t="shared" si="6"/>
        <v>52704</v>
      </c>
      <c r="BB22" s="4">
        <f t="shared" si="7"/>
        <v>50032</v>
      </c>
      <c r="BC22" s="142">
        <f>IF(ISNA(VLOOKUP($A22&amp;$AB22,'Days Exceptions'!$C$3:$I$7,6,FALSE)),ROUND(AZ22/MAX(BB22,(BA22*Min_Occ)),2),ROUND(AZ22/VLOOKUP($A22&amp;$AB22,'Days Exceptions'!$C$3:$I$7,6,FALSE),2))</f>
        <v>2.89</v>
      </c>
      <c r="BD22" s="143" t="e">
        <f t="shared" si="8"/>
        <v>#REF!</v>
      </c>
      <c r="BE22" s="143" t="e">
        <f t="shared" si="9"/>
        <v>#REF!</v>
      </c>
      <c r="BF22" s="143">
        <f t="shared" si="10"/>
        <v>138.27000000000001</v>
      </c>
      <c r="BG22" s="37" t="s">
        <v>635</v>
      </c>
      <c r="BH22" s="37" t="s">
        <v>636</v>
      </c>
      <c r="BI22" s="37" t="s">
        <v>1179</v>
      </c>
      <c r="BJ22" s="66" t="e">
        <f>VLOOKUP(A22,'CMI Data'!$A$3:$AZ$209,15,FALSE)</f>
        <v>#DIV/0!</v>
      </c>
      <c r="BK22" s="68">
        <f t="shared" si="11"/>
        <v>211.75</v>
      </c>
      <c r="BL22" s="68" t="e">
        <f t="shared" si="12"/>
        <v>#DIV/0!</v>
      </c>
      <c r="BM22" s="75" t="e">
        <f t="shared" si="13"/>
        <v>#DIV/0!</v>
      </c>
      <c r="BN22" s="68" t="e">
        <f>IF($I22="NA","NA",ROUND(#REF!*$BJ22/$I22,2))</f>
        <v>#REF!</v>
      </c>
      <c r="BO22" s="75" t="e">
        <f t="shared" si="14"/>
        <v>#REF!</v>
      </c>
      <c r="BP22" s="68" t="e">
        <f t="shared" si="48"/>
        <v>#REF!</v>
      </c>
      <c r="BQ22" s="4">
        <f t="shared" si="15"/>
        <v>144420</v>
      </c>
      <c r="BR22" s="4">
        <f t="shared" si="16"/>
        <v>52704</v>
      </c>
      <c r="BS22" s="4">
        <f t="shared" si="17"/>
        <v>50032</v>
      </c>
      <c r="BT22" s="142">
        <f>IF(ISNA(VLOOKUP($A22&amp;$AB22,'Days Exceptions'!$C$3:$I$7,6,FALSE)),ROUND(BQ22/MAX(BS22,(BR22*Min_Occ)),2),ROUND(BQ22/VLOOKUP($A22&amp;$AB22,'Days Exceptions'!$C$3:$I$7,6,FALSE),2))</f>
        <v>2.89</v>
      </c>
      <c r="BU22" s="143" t="e">
        <f t="shared" si="18"/>
        <v>#REF!</v>
      </c>
      <c r="BV22" s="143" t="e">
        <f t="shared" si="19"/>
        <v>#REF!</v>
      </c>
      <c r="BW22" s="143">
        <f t="shared" si="20"/>
        <v>138.27000000000001</v>
      </c>
      <c r="BX22" s="37" t="s">
        <v>635</v>
      </c>
      <c r="BY22" s="37" t="s">
        <v>636</v>
      </c>
      <c r="BZ22" s="37" t="s">
        <v>1402</v>
      </c>
      <c r="CA22" s="66" t="e">
        <f>VLOOKUP(A22,'CMI Data'!$A$3:$AZ$209,20,FALSE)</f>
        <v>#DIV/0!</v>
      </c>
      <c r="CB22" s="68">
        <f t="shared" si="21"/>
        <v>211.75</v>
      </c>
      <c r="CC22" s="68" t="e">
        <f t="shared" si="22"/>
        <v>#DIV/0!</v>
      </c>
      <c r="CD22" s="75" t="e">
        <f t="shared" si="49"/>
        <v>#DIV/0!</v>
      </c>
      <c r="CE22" s="68" t="e">
        <f>IF($I22="NA","NA",ROUND(#REF!*$CA22/$I22,2))</f>
        <v>#REF!</v>
      </c>
      <c r="CF22" s="75" t="e">
        <f t="shared" si="23"/>
        <v>#REF!</v>
      </c>
      <c r="CG22" s="68" t="e">
        <f t="shared" si="24"/>
        <v>#REF!</v>
      </c>
      <c r="CH22" s="4">
        <f t="shared" si="25"/>
        <v>144420</v>
      </c>
      <c r="CI22" s="4">
        <f t="shared" si="26"/>
        <v>52704</v>
      </c>
      <c r="CJ22" s="4">
        <f t="shared" si="27"/>
        <v>50032</v>
      </c>
      <c r="CK22" s="142">
        <f>IF(ISNA(VLOOKUP($A22&amp;$AB22,'Days Exceptions'!$C$3:$I$7,6,FALSE)),ROUND(CH22/MAX(CJ22,(CI22*Min_Occ)),2),ROUND(CH22/VLOOKUP($A22&amp;$AB22,'Days Exceptions'!$C$3:$I$7,6,FALSE),2))</f>
        <v>2.89</v>
      </c>
      <c r="CL22" s="143" t="e">
        <f t="shared" si="28"/>
        <v>#REF!</v>
      </c>
      <c r="CM22" s="143" t="e">
        <f t="shared" si="29"/>
        <v>#REF!</v>
      </c>
      <c r="CN22" s="143">
        <f t="shared" si="30"/>
        <v>138.27000000000001</v>
      </c>
      <c r="CO22" s="37" t="s">
        <v>635</v>
      </c>
      <c r="CP22" s="37" t="s">
        <v>636</v>
      </c>
      <c r="CQ22" s="37" t="s">
        <v>1403</v>
      </c>
    </row>
    <row r="23" spans="1:95" x14ac:dyDescent="0.15">
      <c r="A23" s="130">
        <v>88</v>
      </c>
      <c r="B23" s="37" t="s">
        <v>544</v>
      </c>
      <c r="C23" s="1" t="s">
        <v>148</v>
      </c>
      <c r="D23" s="1" t="s">
        <v>107</v>
      </c>
      <c r="E23" s="1" t="str">
        <f>VLOOKUP(D23,Documentation!$B$4:$D$27,3,FALSE)</f>
        <v>BALTIMORE METRO</v>
      </c>
      <c r="F23" s="1" t="str">
        <f>VLOOKUP(D23,Documentation!$B$4:$C$27,2,FALSE)</f>
        <v>BALTIMORE METRO</v>
      </c>
      <c r="G23" s="82">
        <f>VLOOKUP(A23,'2022 CR and CMI'!$A$3:$D$207,3,FALSE)</f>
        <v>44562</v>
      </c>
      <c r="H23" s="82">
        <f>VLOOKUP(A23,'2022 CR and CMI'!$A$3:$D$207,4,FALSE)</f>
        <v>44926</v>
      </c>
      <c r="I23" s="72">
        <f>VLOOKUP(A23,'2022 CR and CMI'!$A$2:$T$210,19,FALSE)</f>
        <v>1.5427999999999999</v>
      </c>
      <c r="J23" s="139">
        <f>Inflation!$G$24</f>
        <v>1.0309999999999999</v>
      </c>
      <c r="K23" s="192">
        <f>VLOOKUP(E23,Limits!$B$2:$D$5,3,FALSE)</f>
        <v>195.33</v>
      </c>
      <c r="L23" s="192">
        <f t="shared" si="31"/>
        <v>201.39</v>
      </c>
      <c r="M23" s="140">
        <f>VLOOKUP(A23,'CMI Data'!$A$4:$C$208,3,FALSE)</f>
        <v>1.3972</v>
      </c>
      <c r="N23" s="68">
        <f t="shared" si="2"/>
        <v>215.29</v>
      </c>
      <c r="O23" s="68">
        <f t="shared" si="32"/>
        <v>194.97</v>
      </c>
      <c r="P23" s="75">
        <f t="shared" si="33"/>
        <v>185.22</v>
      </c>
      <c r="Q23" s="75">
        <v>187.59</v>
      </c>
      <c r="R23" s="75">
        <f t="shared" si="34"/>
        <v>193.41</v>
      </c>
      <c r="S23" s="68">
        <f t="shared" si="35"/>
        <v>175.16</v>
      </c>
      <c r="T23" s="75">
        <f t="shared" si="36"/>
        <v>-10.06</v>
      </c>
      <c r="U23" s="68">
        <f t="shared" si="37"/>
        <v>184.91</v>
      </c>
      <c r="V23" s="68">
        <f>VLOOKUP($F23,Limits!$J$2:$L$5,3,FALSE)</f>
        <v>20.85</v>
      </c>
      <c r="W23" s="68">
        <f t="shared" si="38"/>
        <v>21.5</v>
      </c>
      <c r="X23" s="68">
        <f>VLOOKUP($F23,Limits!$R$2:$T$5,3,FALSE)</f>
        <v>102.02</v>
      </c>
      <c r="Y23" s="68">
        <f t="shared" si="39"/>
        <v>105.18</v>
      </c>
      <c r="Z23" s="75">
        <f>VLOOKUP(A23,FRV!$A$4:$U$208,21,FALSE)</f>
        <v>26.07</v>
      </c>
      <c r="AA23" s="141">
        <f>VLOOKUP(A23,'RE Tax'!$A$2:$G$206,3,FALSE)</f>
        <v>45292</v>
      </c>
      <c r="AB23" s="141">
        <f>VLOOKUP(A23,'RE Tax'!$A$2:$G$206,4,FALSE)</f>
        <v>45657</v>
      </c>
      <c r="AC23" s="4">
        <f>VLOOKUP(A23,'RE Tax'!$A$2:$G$206,7,FALSE)</f>
        <v>60456</v>
      </c>
      <c r="AD23" s="4">
        <f>VLOOKUP($A23,'RE Tax'!$A$2:$I$206,9,FALSE)</f>
        <v>49776</v>
      </c>
      <c r="AE23" s="4">
        <f>VLOOKUP($A23,'RE Tax'!$A$2:$I$206,8,FALSE)</f>
        <v>43450</v>
      </c>
      <c r="AF23" s="142">
        <f>IF(ISNA(VLOOKUP(A23&amp;AB23,'Days Exceptions'!$C$3:$I$7,6,FALSE)),ROUND(AC23/MAX(AE23,(AD23*Min_Occ)),2),ROUND(AC23/VLOOKUP(A23&amp;AB23,'Days Exceptions'!$C$3:$I$7,6,FALSE),2))</f>
        <v>1.39</v>
      </c>
      <c r="AG23" s="68">
        <v>0</v>
      </c>
      <c r="AH23" s="68">
        <f t="shared" si="40"/>
        <v>0</v>
      </c>
      <c r="AI23" s="4">
        <v>34585</v>
      </c>
      <c r="AJ23" s="4">
        <v>41915</v>
      </c>
      <c r="AK23" s="68">
        <f>IF(AI23=0,0,IF(ISNA(MATCH(A23,Documentation!$B$66:$B$71,0)),QA_Tax_reg,QA_Tax_5high))</f>
        <v>32.92</v>
      </c>
      <c r="AL23" s="75">
        <f t="shared" si="41"/>
        <v>27.16</v>
      </c>
      <c r="AM23" s="68">
        <f t="shared" si="42"/>
        <v>339.05</v>
      </c>
      <c r="AN23" s="68">
        <f t="shared" si="43"/>
        <v>246.6</v>
      </c>
      <c r="AO23" s="68">
        <f t="shared" si="44"/>
        <v>154.13999999999999</v>
      </c>
      <c r="AP23" s="37" t="s">
        <v>543</v>
      </c>
      <c r="AQ23" s="37" t="s">
        <v>544</v>
      </c>
      <c r="AR23" s="37" t="s">
        <v>976</v>
      </c>
      <c r="AS23" s="66" t="e">
        <f>VLOOKUP(A23,'CMI Data'!$A$3:$J$209,10,FALSE)</f>
        <v>#DIV/0!</v>
      </c>
      <c r="AT23" s="68">
        <f t="shared" si="3"/>
        <v>208.81</v>
      </c>
      <c r="AU23" s="68" t="e">
        <f t="shared" si="4"/>
        <v>#DIV/0!</v>
      </c>
      <c r="AV23" s="75" t="e">
        <f t="shared" si="45"/>
        <v>#DIV/0!</v>
      </c>
      <c r="AW23" s="68" t="e">
        <f>IF($I23="NA","NA",ROUND(#REF!*$AS23/$I23,2))</f>
        <v>#REF!</v>
      </c>
      <c r="AX23" s="75" t="e">
        <f t="shared" si="46"/>
        <v>#REF!</v>
      </c>
      <c r="AY23" s="68" t="e">
        <f t="shared" si="47"/>
        <v>#REF!</v>
      </c>
      <c r="AZ23" s="4">
        <f t="shared" si="5"/>
        <v>60456</v>
      </c>
      <c r="BA23" s="4">
        <f t="shared" si="6"/>
        <v>49776</v>
      </c>
      <c r="BB23" s="4">
        <f t="shared" si="7"/>
        <v>43450</v>
      </c>
      <c r="BC23" s="142">
        <f>IF(ISNA(VLOOKUP($A23&amp;$AB23,'Days Exceptions'!$C$3:$I$7,6,FALSE)),ROUND(AZ23/MAX(BB23,(BA23*Min_Occ)),2),ROUND(AZ23/VLOOKUP($A23&amp;$AB23,'Days Exceptions'!$C$3:$I$7,6,FALSE),2))</f>
        <v>1.39</v>
      </c>
      <c r="BD23" s="143" t="e">
        <f t="shared" si="8"/>
        <v>#REF!</v>
      </c>
      <c r="BE23" s="143" t="e">
        <f t="shared" si="9"/>
        <v>#REF!</v>
      </c>
      <c r="BF23" s="143">
        <f t="shared" si="10"/>
        <v>150.33000000000001</v>
      </c>
      <c r="BG23" s="37" t="s">
        <v>543</v>
      </c>
      <c r="BH23" s="37" t="s">
        <v>544</v>
      </c>
      <c r="BI23" s="37" t="s">
        <v>1180</v>
      </c>
      <c r="BJ23" s="66" t="e">
        <f>VLOOKUP(A23,'CMI Data'!$A$3:$AZ$209,15,FALSE)</f>
        <v>#DIV/0!</v>
      </c>
      <c r="BK23" s="68">
        <f t="shared" si="11"/>
        <v>208.81</v>
      </c>
      <c r="BL23" s="68" t="e">
        <f t="shared" si="12"/>
        <v>#DIV/0!</v>
      </c>
      <c r="BM23" s="75" t="e">
        <f t="shared" si="13"/>
        <v>#DIV/0!</v>
      </c>
      <c r="BN23" s="68" t="e">
        <f>IF($I23="NA","NA",ROUND(#REF!*$BJ23/$I23,2))</f>
        <v>#REF!</v>
      </c>
      <c r="BO23" s="75" t="e">
        <f t="shared" si="14"/>
        <v>#REF!</v>
      </c>
      <c r="BP23" s="68" t="e">
        <f t="shared" si="48"/>
        <v>#REF!</v>
      </c>
      <c r="BQ23" s="4">
        <f t="shared" si="15"/>
        <v>60456</v>
      </c>
      <c r="BR23" s="4">
        <f t="shared" si="16"/>
        <v>49776</v>
      </c>
      <c r="BS23" s="4">
        <f t="shared" si="17"/>
        <v>43450</v>
      </c>
      <c r="BT23" s="142">
        <f>IF(ISNA(VLOOKUP($A23&amp;$AB23,'Days Exceptions'!$C$3:$I$7,6,FALSE)),ROUND(BQ23/MAX(BS23,(BR23*Min_Occ)),2),ROUND(BQ23/VLOOKUP($A23&amp;$AB23,'Days Exceptions'!$C$3:$I$7,6,FALSE),2))</f>
        <v>1.39</v>
      </c>
      <c r="BU23" s="143" t="e">
        <f t="shared" si="18"/>
        <v>#REF!</v>
      </c>
      <c r="BV23" s="143" t="e">
        <f t="shared" si="19"/>
        <v>#REF!</v>
      </c>
      <c r="BW23" s="143">
        <f t="shared" si="20"/>
        <v>150.33000000000001</v>
      </c>
      <c r="BX23" s="37" t="s">
        <v>543</v>
      </c>
      <c r="BY23" s="37" t="s">
        <v>544</v>
      </c>
      <c r="BZ23" s="37" t="s">
        <v>1404</v>
      </c>
      <c r="CA23" s="66" t="e">
        <f>VLOOKUP(A23,'CMI Data'!$A$3:$AZ$209,20,FALSE)</f>
        <v>#DIV/0!</v>
      </c>
      <c r="CB23" s="68">
        <f t="shared" si="21"/>
        <v>208.81</v>
      </c>
      <c r="CC23" s="68" t="e">
        <f t="shared" si="22"/>
        <v>#DIV/0!</v>
      </c>
      <c r="CD23" s="75" t="e">
        <f t="shared" si="49"/>
        <v>#DIV/0!</v>
      </c>
      <c r="CE23" s="68" t="e">
        <f>IF($I23="NA","NA",ROUND(#REF!*$CA23/$I23,2))</f>
        <v>#REF!</v>
      </c>
      <c r="CF23" s="75" t="e">
        <f t="shared" si="23"/>
        <v>#REF!</v>
      </c>
      <c r="CG23" s="68" t="e">
        <f t="shared" si="24"/>
        <v>#REF!</v>
      </c>
      <c r="CH23" s="4">
        <f t="shared" si="25"/>
        <v>60456</v>
      </c>
      <c r="CI23" s="4">
        <f t="shared" si="26"/>
        <v>49776</v>
      </c>
      <c r="CJ23" s="4">
        <f t="shared" si="27"/>
        <v>43450</v>
      </c>
      <c r="CK23" s="142">
        <f>IF(ISNA(VLOOKUP($A23&amp;$AB23,'Days Exceptions'!$C$3:$I$7,6,FALSE)),ROUND(CH23/MAX(CJ23,(CI23*Min_Occ)),2),ROUND(CH23/VLOOKUP($A23&amp;$AB23,'Days Exceptions'!$C$3:$I$7,6,FALSE),2))</f>
        <v>1.39</v>
      </c>
      <c r="CL23" s="143" t="e">
        <f t="shared" si="28"/>
        <v>#REF!</v>
      </c>
      <c r="CM23" s="143" t="e">
        <f t="shared" si="29"/>
        <v>#REF!</v>
      </c>
      <c r="CN23" s="143">
        <f t="shared" si="30"/>
        <v>150.33000000000001</v>
      </c>
      <c r="CO23" s="37" t="s">
        <v>543</v>
      </c>
      <c r="CP23" s="37" t="s">
        <v>544</v>
      </c>
      <c r="CQ23" s="37" t="s">
        <v>1405</v>
      </c>
    </row>
    <row r="24" spans="1:95" x14ac:dyDescent="0.15">
      <c r="A24" s="130">
        <v>98</v>
      </c>
      <c r="B24" s="37" t="s">
        <v>494</v>
      </c>
      <c r="C24" s="1" t="s">
        <v>148</v>
      </c>
      <c r="D24" s="1" t="s">
        <v>120</v>
      </c>
      <c r="E24" s="1" t="str">
        <f>VLOOKUP(D24,Documentation!$B$4:$D$27,3,FALSE)</f>
        <v>WASHINGTON METRO</v>
      </c>
      <c r="F24" s="1" t="str">
        <f>VLOOKUP(D24,Documentation!$B$4:$C$27,2,FALSE)</f>
        <v>WASHINGTON METRO</v>
      </c>
      <c r="G24" s="82">
        <f>VLOOKUP(A24,'2022 CR and CMI'!$A$3:$D$207,3,FALSE)</f>
        <v>44562</v>
      </c>
      <c r="H24" s="82">
        <f>VLOOKUP(A24,'2022 CR and CMI'!$A$3:$D$207,4,FALSE)</f>
        <v>44926</v>
      </c>
      <c r="I24" s="72">
        <f>VLOOKUP(A24,'2022 CR and CMI'!$A$2:$T$210,19,FALSE)</f>
        <v>1.7618</v>
      </c>
      <c r="J24" s="139">
        <f>Inflation!$G$24</f>
        <v>1.0309999999999999</v>
      </c>
      <c r="K24" s="192">
        <f>VLOOKUP(E24,Limits!$B$2:$D$5,3,FALSE)</f>
        <v>176.01</v>
      </c>
      <c r="L24" s="192">
        <f t="shared" si="31"/>
        <v>181.47</v>
      </c>
      <c r="M24" s="140">
        <f>VLOOKUP(A24,'CMI Data'!$A$4:$C$208,3,FALSE)</f>
        <v>1.5808</v>
      </c>
      <c r="N24" s="68">
        <f t="shared" si="2"/>
        <v>221.53</v>
      </c>
      <c r="O24" s="68">
        <f t="shared" si="32"/>
        <v>198.77</v>
      </c>
      <c r="P24" s="75">
        <f t="shared" si="33"/>
        <v>188.83</v>
      </c>
      <c r="Q24" s="75">
        <v>178.46</v>
      </c>
      <c r="R24" s="75">
        <f t="shared" si="34"/>
        <v>183.99</v>
      </c>
      <c r="S24" s="68">
        <f t="shared" si="35"/>
        <v>165.09</v>
      </c>
      <c r="T24" s="75">
        <f t="shared" si="36"/>
        <v>-23.74</v>
      </c>
      <c r="U24" s="68">
        <f t="shared" si="37"/>
        <v>175.03</v>
      </c>
      <c r="V24" s="68">
        <f>VLOOKUP($F24,Limits!$J$2:$L$5,3,FALSE)</f>
        <v>19.23</v>
      </c>
      <c r="W24" s="68">
        <f t="shared" si="38"/>
        <v>19.829999999999998</v>
      </c>
      <c r="X24" s="68">
        <f>VLOOKUP($F24,Limits!$R$2:$T$5,3,FALSE)</f>
        <v>100.61</v>
      </c>
      <c r="Y24" s="68">
        <f t="shared" si="39"/>
        <v>103.73</v>
      </c>
      <c r="Z24" s="75">
        <f>VLOOKUP(A24,FRV!$A$4:$U$208,21,FALSE)</f>
        <v>32.08</v>
      </c>
      <c r="AA24" s="141">
        <f>VLOOKUP(A24,'RE Tax'!$A$2:$G$206,3,FALSE)</f>
        <v>45292</v>
      </c>
      <c r="AB24" s="141">
        <f>VLOOKUP(A24,'RE Tax'!$A$2:$G$206,4,FALSE)</f>
        <v>45657</v>
      </c>
      <c r="AC24" s="4">
        <f>VLOOKUP(A24,'RE Tax'!$A$2:$G$206,7,FALSE)</f>
        <v>206748</v>
      </c>
      <c r="AD24" s="4">
        <f>VLOOKUP($A24,'RE Tax'!$A$2:$I$206,9,FALSE)</f>
        <v>56730</v>
      </c>
      <c r="AE24" s="4">
        <f>VLOOKUP($A24,'RE Tax'!$A$2:$I$206,8,FALSE)</f>
        <v>54197</v>
      </c>
      <c r="AF24" s="142">
        <f>IF(ISNA(VLOOKUP(A24&amp;AB24,'Days Exceptions'!$C$3:$I$7,6,FALSE)),ROUND(AC24/MAX(AE24,(AD24*Min_Occ)),2),ROUND(AC24/VLOOKUP(A24&amp;AB24,'Days Exceptions'!$C$3:$I$7,6,FALSE),2))</f>
        <v>3.81</v>
      </c>
      <c r="AG24" s="68">
        <v>0</v>
      </c>
      <c r="AH24" s="68">
        <f t="shared" si="40"/>
        <v>0</v>
      </c>
      <c r="AI24" s="4">
        <v>38724</v>
      </c>
      <c r="AJ24" s="4">
        <v>52595</v>
      </c>
      <c r="AK24" s="68">
        <f>IF(AI24=0,0,IF(ISNA(MATCH(A24,Documentation!$B$66:$B$71,0)),QA_Tax_reg,QA_Tax_5high))</f>
        <v>32.92</v>
      </c>
      <c r="AL24" s="75">
        <f t="shared" si="41"/>
        <v>24.24</v>
      </c>
      <c r="AM24" s="68">
        <f t="shared" si="42"/>
        <v>334.48</v>
      </c>
      <c r="AN24" s="68">
        <f t="shared" si="43"/>
        <v>246.97</v>
      </c>
      <c r="AO24" s="68">
        <f t="shared" si="44"/>
        <v>159.44999999999999</v>
      </c>
      <c r="AP24" s="37" t="s">
        <v>448</v>
      </c>
      <c r="AQ24" s="37" t="s">
        <v>494</v>
      </c>
      <c r="AR24" s="37" t="s">
        <v>977</v>
      </c>
      <c r="AS24" s="66" t="e">
        <f>VLOOKUP(A24,'CMI Data'!$A$3:$J$209,10,FALSE)</f>
        <v>#DIV/0!</v>
      </c>
      <c r="AT24" s="68">
        <f t="shared" si="3"/>
        <v>214.87</v>
      </c>
      <c r="AU24" s="68" t="e">
        <f t="shared" si="4"/>
        <v>#DIV/0!</v>
      </c>
      <c r="AV24" s="75" t="e">
        <f t="shared" si="45"/>
        <v>#DIV/0!</v>
      </c>
      <c r="AW24" s="68" t="e">
        <f>IF($I24="NA","NA",ROUND(#REF!*$AS24/$I24,2))</f>
        <v>#REF!</v>
      </c>
      <c r="AX24" s="75" t="e">
        <f t="shared" si="46"/>
        <v>#REF!</v>
      </c>
      <c r="AY24" s="68" t="e">
        <f t="shared" si="47"/>
        <v>#REF!</v>
      </c>
      <c r="AZ24" s="4">
        <f t="shared" si="5"/>
        <v>206748</v>
      </c>
      <c r="BA24" s="4">
        <f t="shared" si="6"/>
        <v>56730</v>
      </c>
      <c r="BB24" s="4">
        <f t="shared" si="7"/>
        <v>54197</v>
      </c>
      <c r="BC24" s="142">
        <f>IF(ISNA(VLOOKUP($A24&amp;$AB24,'Days Exceptions'!$C$3:$I$7,6,FALSE)),ROUND(AZ24/MAX(BB24,(BA24*Min_Occ)),2),ROUND(AZ24/VLOOKUP($A24&amp;$AB24,'Days Exceptions'!$C$3:$I$7,6,FALSE),2))</f>
        <v>3.81</v>
      </c>
      <c r="BD24" s="143" t="e">
        <f t="shared" si="8"/>
        <v>#REF!</v>
      </c>
      <c r="BE24" s="143" t="e">
        <f t="shared" si="9"/>
        <v>#REF!</v>
      </c>
      <c r="BF24" s="143">
        <f t="shared" si="10"/>
        <v>155.72999999999999</v>
      </c>
      <c r="BG24" s="37" t="s">
        <v>448</v>
      </c>
      <c r="BH24" s="37" t="s">
        <v>494</v>
      </c>
      <c r="BI24" s="37" t="s">
        <v>1181</v>
      </c>
      <c r="BJ24" s="66" t="e">
        <f>VLOOKUP(A24,'CMI Data'!$A$3:$AZ$209,15,FALSE)</f>
        <v>#DIV/0!</v>
      </c>
      <c r="BK24" s="68">
        <f t="shared" si="11"/>
        <v>214.87</v>
      </c>
      <c r="BL24" s="68" t="e">
        <f t="shared" si="12"/>
        <v>#DIV/0!</v>
      </c>
      <c r="BM24" s="75" t="e">
        <f t="shared" si="13"/>
        <v>#DIV/0!</v>
      </c>
      <c r="BN24" s="68" t="e">
        <f>IF($I24="NA","NA",ROUND(#REF!*$BJ24/$I24,2))</f>
        <v>#REF!</v>
      </c>
      <c r="BO24" s="75" t="e">
        <f t="shared" si="14"/>
        <v>#REF!</v>
      </c>
      <c r="BP24" s="68" t="e">
        <f t="shared" si="48"/>
        <v>#REF!</v>
      </c>
      <c r="BQ24" s="4">
        <f t="shared" si="15"/>
        <v>206748</v>
      </c>
      <c r="BR24" s="4">
        <f t="shared" si="16"/>
        <v>56730</v>
      </c>
      <c r="BS24" s="4">
        <f t="shared" si="17"/>
        <v>54197</v>
      </c>
      <c r="BT24" s="142">
        <f>IF(ISNA(VLOOKUP($A24&amp;$AB24,'Days Exceptions'!$C$3:$I$7,6,FALSE)),ROUND(BQ24/MAX(BS24,(BR24*Min_Occ)),2),ROUND(BQ24/VLOOKUP($A24&amp;$AB24,'Days Exceptions'!$C$3:$I$7,6,FALSE),2))</f>
        <v>3.81</v>
      </c>
      <c r="BU24" s="143" t="e">
        <f t="shared" si="18"/>
        <v>#REF!</v>
      </c>
      <c r="BV24" s="143" t="e">
        <f t="shared" si="19"/>
        <v>#REF!</v>
      </c>
      <c r="BW24" s="143">
        <f t="shared" si="20"/>
        <v>155.72999999999999</v>
      </c>
      <c r="BX24" s="37" t="s">
        <v>448</v>
      </c>
      <c r="BY24" s="37" t="s">
        <v>494</v>
      </c>
      <c r="BZ24" s="37" t="s">
        <v>1406</v>
      </c>
      <c r="CA24" s="66" t="e">
        <f>VLOOKUP(A24,'CMI Data'!$A$3:$AZ$209,20,FALSE)</f>
        <v>#DIV/0!</v>
      </c>
      <c r="CB24" s="68">
        <f t="shared" si="21"/>
        <v>214.87</v>
      </c>
      <c r="CC24" s="68" t="e">
        <f t="shared" si="22"/>
        <v>#DIV/0!</v>
      </c>
      <c r="CD24" s="75" t="e">
        <f t="shared" si="49"/>
        <v>#DIV/0!</v>
      </c>
      <c r="CE24" s="68" t="e">
        <f>IF($I24="NA","NA",ROUND(#REF!*$CA24/$I24,2))</f>
        <v>#REF!</v>
      </c>
      <c r="CF24" s="75" t="e">
        <f t="shared" si="23"/>
        <v>#REF!</v>
      </c>
      <c r="CG24" s="68" t="e">
        <f t="shared" si="24"/>
        <v>#REF!</v>
      </c>
      <c r="CH24" s="4">
        <f t="shared" si="25"/>
        <v>206748</v>
      </c>
      <c r="CI24" s="4">
        <f t="shared" si="26"/>
        <v>56730</v>
      </c>
      <c r="CJ24" s="4">
        <f t="shared" si="27"/>
        <v>54197</v>
      </c>
      <c r="CK24" s="142">
        <f>IF(ISNA(VLOOKUP($A24&amp;$AB24,'Days Exceptions'!$C$3:$I$7,6,FALSE)),ROUND(CH24/MAX(CJ24,(CI24*Min_Occ)),2),ROUND(CH24/VLOOKUP($A24&amp;$AB24,'Days Exceptions'!$C$3:$I$7,6,FALSE),2))</f>
        <v>3.81</v>
      </c>
      <c r="CL24" s="143" t="e">
        <f t="shared" si="28"/>
        <v>#REF!</v>
      </c>
      <c r="CM24" s="143" t="e">
        <f t="shared" si="29"/>
        <v>#REF!</v>
      </c>
      <c r="CN24" s="143">
        <f t="shared" si="30"/>
        <v>155.72999999999999</v>
      </c>
      <c r="CO24" s="37" t="s">
        <v>448</v>
      </c>
      <c r="CP24" s="37" t="s">
        <v>494</v>
      </c>
      <c r="CQ24" s="37" t="s">
        <v>1407</v>
      </c>
    </row>
    <row r="25" spans="1:95" x14ac:dyDescent="0.15">
      <c r="A25" s="130">
        <v>100</v>
      </c>
      <c r="B25" s="37" t="s">
        <v>546</v>
      </c>
      <c r="C25" s="1" t="s">
        <v>148</v>
      </c>
      <c r="D25" s="1" t="s">
        <v>113</v>
      </c>
      <c r="E25" s="1" t="str">
        <f>VLOOKUP(D25,Documentation!$B$4:$D$27,3,FALSE)</f>
        <v>EASTERN REGION</v>
      </c>
      <c r="F25" s="1" t="str">
        <f>VLOOKUP(D25,Documentation!$B$4:$C$27,2,FALSE)</f>
        <v>NON METRO</v>
      </c>
      <c r="G25" s="82">
        <f>VLOOKUP(A25,'2022 CR and CMI'!$A$3:$D$207,3,FALSE)</f>
        <v>44562</v>
      </c>
      <c r="H25" s="82">
        <f>VLOOKUP(A25,'2022 CR and CMI'!$A$3:$D$207,4,FALSE)</f>
        <v>44926</v>
      </c>
      <c r="I25" s="72">
        <f>VLOOKUP(A25,'2022 CR and CMI'!$A$2:$T$210,19,FALSE)</f>
        <v>1.4428000000000001</v>
      </c>
      <c r="J25" s="139">
        <f>Inflation!$G$24</f>
        <v>1.0309999999999999</v>
      </c>
      <c r="K25" s="192">
        <f>VLOOKUP(E25,Limits!$B$2:$D$5,3,FALSE)</f>
        <v>186.31</v>
      </c>
      <c r="L25" s="192">
        <f t="shared" si="31"/>
        <v>192.09</v>
      </c>
      <c r="M25" s="140">
        <f>VLOOKUP(A25,'CMI Data'!$A$4:$C$208,3,FALSE)</f>
        <v>1.4233</v>
      </c>
      <c r="N25" s="68">
        <f t="shared" si="2"/>
        <v>192.04</v>
      </c>
      <c r="O25" s="68">
        <f t="shared" si="32"/>
        <v>189.44</v>
      </c>
      <c r="P25" s="75">
        <f t="shared" si="33"/>
        <v>179.97</v>
      </c>
      <c r="Q25" s="75">
        <v>140.47999999999999</v>
      </c>
      <c r="R25" s="75">
        <f t="shared" si="34"/>
        <v>144.83000000000001</v>
      </c>
      <c r="S25" s="68">
        <f t="shared" si="35"/>
        <v>142.87</v>
      </c>
      <c r="T25" s="75">
        <f t="shared" si="36"/>
        <v>-37.1</v>
      </c>
      <c r="U25" s="68">
        <f t="shared" si="37"/>
        <v>152.34</v>
      </c>
      <c r="V25" s="68">
        <f>VLOOKUP($F25,Limits!$J$2:$L$5,3,FALSE)</f>
        <v>20.239999999999998</v>
      </c>
      <c r="W25" s="68">
        <f t="shared" si="38"/>
        <v>20.87</v>
      </c>
      <c r="X25" s="68">
        <f>VLOOKUP($F25,Limits!$R$2:$T$5,3,FALSE)</f>
        <v>89.55</v>
      </c>
      <c r="Y25" s="68">
        <f t="shared" si="39"/>
        <v>92.33</v>
      </c>
      <c r="Z25" s="75">
        <f>VLOOKUP(A25,FRV!$A$4:$U$208,21,FALSE)</f>
        <v>28.03</v>
      </c>
      <c r="AA25" s="141">
        <f>VLOOKUP(A25,'RE Tax'!$A$2:$G$206,3,FALSE)</f>
        <v>45292</v>
      </c>
      <c r="AB25" s="141">
        <f>VLOOKUP(A25,'RE Tax'!$A$2:$G$206,4,FALSE)</f>
        <v>45657</v>
      </c>
      <c r="AC25" s="4">
        <f>VLOOKUP(A25,'RE Tax'!$A$2:$G$206,7,FALSE)</f>
        <v>67211</v>
      </c>
      <c r="AD25" s="4">
        <f>VLOOKUP($A25,'RE Tax'!$A$2:$I$206,9,FALSE)</f>
        <v>35868</v>
      </c>
      <c r="AE25" s="4">
        <f>VLOOKUP($A25,'RE Tax'!$A$2:$I$206,8,FALSE)</f>
        <v>32871</v>
      </c>
      <c r="AF25" s="142">
        <f>IF(ISNA(VLOOKUP(A25&amp;AB25,'Days Exceptions'!$C$3:$I$7,6,FALSE)),ROUND(AC25/MAX(AE25,(AD25*Min_Occ)),2),ROUND(AC25/VLOOKUP(A25&amp;AB25,'Days Exceptions'!$C$3:$I$7,6,FALSE),2))</f>
        <v>2.04</v>
      </c>
      <c r="AG25" s="68">
        <v>0</v>
      </c>
      <c r="AH25" s="68">
        <f t="shared" si="40"/>
        <v>0</v>
      </c>
      <c r="AI25" s="4">
        <v>26315</v>
      </c>
      <c r="AJ25" s="4">
        <v>32644</v>
      </c>
      <c r="AK25" s="68">
        <f>IF(AI25=0,0,IF(ISNA(MATCH(A25,Documentation!$B$66:$B$71,0)),QA_Tax_reg,QA_Tax_5high))</f>
        <v>32.92</v>
      </c>
      <c r="AL25" s="75">
        <f t="shared" si="41"/>
        <v>26.54</v>
      </c>
      <c r="AM25" s="68">
        <f t="shared" si="42"/>
        <v>295.61</v>
      </c>
      <c r="AN25" s="68">
        <f t="shared" si="43"/>
        <v>219.44</v>
      </c>
      <c r="AO25" s="68">
        <f t="shared" si="44"/>
        <v>143.27000000000001</v>
      </c>
      <c r="AP25" s="37" t="s">
        <v>545</v>
      </c>
      <c r="AQ25" s="37" t="s">
        <v>546</v>
      </c>
      <c r="AR25" s="37" t="s">
        <v>978</v>
      </c>
      <c r="AS25" s="66" t="e">
        <f>VLOOKUP(A25,'CMI Data'!$A$3:$J$209,10,FALSE)</f>
        <v>#DIV/0!</v>
      </c>
      <c r="AT25" s="68">
        <f t="shared" si="3"/>
        <v>186.26</v>
      </c>
      <c r="AU25" s="68" t="e">
        <f t="shared" si="4"/>
        <v>#DIV/0!</v>
      </c>
      <c r="AV25" s="75" t="e">
        <f t="shared" si="45"/>
        <v>#DIV/0!</v>
      </c>
      <c r="AW25" s="68" t="e">
        <f>IF($I25="NA","NA",ROUND(#REF!*$AS25/$I25,2))</f>
        <v>#REF!</v>
      </c>
      <c r="AX25" s="75" t="e">
        <f t="shared" si="46"/>
        <v>#REF!</v>
      </c>
      <c r="AY25" s="68" t="e">
        <f t="shared" si="47"/>
        <v>#REF!</v>
      </c>
      <c r="AZ25" s="4">
        <f t="shared" si="5"/>
        <v>67211</v>
      </c>
      <c r="BA25" s="4">
        <f t="shared" si="6"/>
        <v>35868</v>
      </c>
      <c r="BB25" s="4">
        <f t="shared" si="7"/>
        <v>32871</v>
      </c>
      <c r="BC25" s="142">
        <f>IF(ISNA(VLOOKUP($A25&amp;$AB25,'Days Exceptions'!$C$3:$I$7,6,FALSE)),ROUND(AZ25/MAX(BB25,(BA25*Min_Occ)),2),ROUND(AZ25/VLOOKUP($A25&amp;$AB25,'Days Exceptions'!$C$3:$I$7,6,FALSE),2))</f>
        <v>2.04</v>
      </c>
      <c r="BD25" s="143" t="e">
        <f t="shared" si="8"/>
        <v>#REF!</v>
      </c>
      <c r="BE25" s="143" t="e">
        <f t="shared" si="9"/>
        <v>#REF!</v>
      </c>
      <c r="BF25" s="143">
        <f t="shared" si="10"/>
        <v>139.86000000000001</v>
      </c>
      <c r="BG25" s="37" t="s">
        <v>545</v>
      </c>
      <c r="BH25" s="37" t="s">
        <v>546</v>
      </c>
      <c r="BI25" s="37" t="s">
        <v>1182</v>
      </c>
      <c r="BJ25" s="66" t="e">
        <f>VLOOKUP(A25,'CMI Data'!$A$3:$AZ$209,15,FALSE)</f>
        <v>#DIV/0!</v>
      </c>
      <c r="BK25" s="68">
        <f t="shared" si="11"/>
        <v>186.26</v>
      </c>
      <c r="BL25" s="68" t="e">
        <f t="shared" si="12"/>
        <v>#DIV/0!</v>
      </c>
      <c r="BM25" s="75" t="e">
        <f t="shared" si="13"/>
        <v>#DIV/0!</v>
      </c>
      <c r="BN25" s="68" t="e">
        <f>IF($I25="NA","NA",ROUND(#REF!*$BJ25/$I25,2))</f>
        <v>#REF!</v>
      </c>
      <c r="BO25" s="75" t="e">
        <f t="shared" si="14"/>
        <v>#REF!</v>
      </c>
      <c r="BP25" s="68" t="e">
        <f t="shared" si="48"/>
        <v>#REF!</v>
      </c>
      <c r="BQ25" s="4">
        <f t="shared" si="15"/>
        <v>67211</v>
      </c>
      <c r="BR25" s="4">
        <f t="shared" si="16"/>
        <v>35868</v>
      </c>
      <c r="BS25" s="4">
        <f t="shared" si="17"/>
        <v>32871</v>
      </c>
      <c r="BT25" s="142">
        <f>IF(ISNA(VLOOKUP($A25&amp;$AB25,'Days Exceptions'!$C$3:$I$7,6,FALSE)),ROUND(BQ25/MAX(BS25,(BR25*Min_Occ)),2),ROUND(BQ25/VLOOKUP($A25&amp;$AB25,'Days Exceptions'!$C$3:$I$7,6,FALSE),2))</f>
        <v>2.04</v>
      </c>
      <c r="BU25" s="143" t="e">
        <f t="shared" si="18"/>
        <v>#REF!</v>
      </c>
      <c r="BV25" s="143" t="e">
        <f t="shared" si="19"/>
        <v>#REF!</v>
      </c>
      <c r="BW25" s="143">
        <f t="shared" si="20"/>
        <v>139.86000000000001</v>
      </c>
      <c r="BX25" s="37" t="s">
        <v>545</v>
      </c>
      <c r="BY25" s="37" t="s">
        <v>546</v>
      </c>
      <c r="BZ25" s="37" t="s">
        <v>1408</v>
      </c>
      <c r="CA25" s="66" t="e">
        <f>VLOOKUP(A25,'CMI Data'!$A$3:$AZ$209,20,FALSE)</f>
        <v>#DIV/0!</v>
      </c>
      <c r="CB25" s="68">
        <f t="shared" si="21"/>
        <v>186.26</v>
      </c>
      <c r="CC25" s="68" t="e">
        <f t="shared" si="22"/>
        <v>#DIV/0!</v>
      </c>
      <c r="CD25" s="75" t="e">
        <f t="shared" si="49"/>
        <v>#DIV/0!</v>
      </c>
      <c r="CE25" s="68" t="e">
        <f>IF($I25="NA","NA",ROUND(#REF!*$CA25/$I25,2))</f>
        <v>#REF!</v>
      </c>
      <c r="CF25" s="75" t="e">
        <f t="shared" si="23"/>
        <v>#REF!</v>
      </c>
      <c r="CG25" s="68" t="e">
        <f t="shared" si="24"/>
        <v>#REF!</v>
      </c>
      <c r="CH25" s="4">
        <f t="shared" si="25"/>
        <v>67211</v>
      </c>
      <c r="CI25" s="4">
        <f t="shared" si="26"/>
        <v>35868</v>
      </c>
      <c r="CJ25" s="4">
        <f t="shared" si="27"/>
        <v>32871</v>
      </c>
      <c r="CK25" s="142">
        <f>IF(ISNA(VLOOKUP($A25&amp;$AB25,'Days Exceptions'!$C$3:$I$7,6,FALSE)),ROUND(CH25/MAX(CJ25,(CI25*Min_Occ)),2),ROUND(CH25/VLOOKUP($A25&amp;$AB25,'Days Exceptions'!$C$3:$I$7,6,FALSE),2))</f>
        <v>2.04</v>
      </c>
      <c r="CL25" s="143" t="e">
        <f t="shared" si="28"/>
        <v>#REF!</v>
      </c>
      <c r="CM25" s="143" t="e">
        <f t="shared" si="29"/>
        <v>#REF!</v>
      </c>
      <c r="CN25" s="143">
        <f t="shared" si="30"/>
        <v>139.86000000000001</v>
      </c>
      <c r="CO25" s="37" t="s">
        <v>545</v>
      </c>
      <c r="CP25" s="37" t="s">
        <v>546</v>
      </c>
      <c r="CQ25" s="37" t="s">
        <v>1409</v>
      </c>
    </row>
    <row r="26" spans="1:95" x14ac:dyDescent="0.15">
      <c r="A26" s="130">
        <v>310</v>
      </c>
      <c r="B26" s="37" t="s">
        <v>693</v>
      </c>
      <c r="C26" s="1" t="s">
        <v>148</v>
      </c>
      <c r="D26" s="1" t="s">
        <v>119</v>
      </c>
      <c r="E26" s="1" t="str">
        <f>VLOOKUP(D26,Documentation!$B$4:$D$27,3,FALSE)</f>
        <v>WASHINGTON METRO</v>
      </c>
      <c r="F26" s="1" t="str">
        <f>VLOOKUP(D26,Documentation!$B$4:$C$27,2,FALSE)</f>
        <v>WASHINGTON METRO</v>
      </c>
      <c r="G26" s="82">
        <f>VLOOKUP(A26,'2022 CR and CMI'!$A$3:$D$207,3,FALSE)</f>
        <v>44348</v>
      </c>
      <c r="H26" s="82">
        <f>VLOOKUP(A26,'2022 CR and CMI'!$A$3:$D$207,4,FALSE)</f>
        <v>44712</v>
      </c>
      <c r="I26" s="72">
        <f>VLOOKUP(A26,'2022 CR and CMI'!$A$2:$T$210,19,FALSE)</f>
        <v>1.3846000000000001</v>
      </c>
      <c r="J26" s="139">
        <f>Inflation!$G$24</f>
        <v>1.0309999999999999</v>
      </c>
      <c r="K26" s="192">
        <f>VLOOKUP(E26,Limits!$B$2:$D$5,3,FALSE)</f>
        <v>176.01</v>
      </c>
      <c r="L26" s="192">
        <f t="shared" si="31"/>
        <v>181.47</v>
      </c>
      <c r="M26" s="140">
        <f>VLOOKUP(A26,'CMI Data'!$A$4:$C$208,3,FALSE)</f>
        <v>1.3564000000000001</v>
      </c>
      <c r="N26" s="68">
        <f t="shared" si="2"/>
        <v>174.1</v>
      </c>
      <c r="O26" s="68">
        <f t="shared" si="32"/>
        <v>170.55</v>
      </c>
      <c r="P26" s="75">
        <f t="shared" si="33"/>
        <v>162.02000000000001</v>
      </c>
      <c r="Q26" s="75">
        <v>178.65</v>
      </c>
      <c r="R26" s="75">
        <f t="shared" si="34"/>
        <v>184.19</v>
      </c>
      <c r="S26" s="68">
        <f t="shared" si="35"/>
        <v>180.44</v>
      </c>
      <c r="T26" s="75">
        <f t="shared" si="36"/>
        <v>0</v>
      </c>
      <c r="U26" s="68">
        <f t="shared" si="37"/>
        <v>170.55</v>
      </c>
      <c r="V26" s="68">
        <f>VLOOKUP($F26,Limits!$J$2:$L$5,3,FALSE)</f>
        <v>19.23</v>
      </c>
      <c r="W26" s="68">
        <f t="shared" si="38"/>
        <v>19.829999999999998</v>
      </c>
      <c r="X26" s="68">
        <f>VLOOKUP($F26,Limits!$R$2:$T$5,3,FALSE)</f>
        <v>100.61</v>
      </c>
      <c r="Y26" s="68">
        <f t="shared" si="39"/>
        <v>103.73</v>
      </c>
      <c r="Z26" s="75">
        <f>VLOOKUP(A26,FRV!$A$4:$U$208,21,FALSE)</f>
        <v>34.82</v>
      </c>
      <c r="AA26" s="141">
        <f>VLOOKUP(A26,'RE Tax'!$A$2:$G$206,3,FALSE)</f>
        <v>45292</v>
      </c>
      <c r="AB26" s="141">
        <f>VLOOKUP(A26,'RE Tax'!$A$2:$G$206,4,FALSE)</f>
        <v>45657</v>
      </c>
      <c r="AC26" s="4">
        <f>VLOOKUP(A26,'RE Tax'!$A$2:$G$206,7,FALSE)</f>
        <v>182549</v>
      </c>
      <c r="AD26" s="4">
        <f>VLOOKUP($A26,'RE Tax'!$A$2:$I$206,9,FALSE)</f>
        <v>62952</v>
      </c>
      <c r="AE26" s="4">
        <f>VLOOKUP($A26,'RE Tax'!$A$2:$I$206,8,FALSE)</f>
        <v>53214</v>
      </c>
      <c r="AF26" s="142">
        <f>IF(ISNA(VLOOKUP(A26&amp;AB26,'Days Exceptions'!$C$3:$I$7,6,FALSE)),ROUND(AC26/MAX(AE26,(AD26*Min_Occ)),2),ROUND(AC26/VLOOKUP(A26&amp;AB26,'Days Exceptions'!$C$3:$I$7,6,FALSE),2))</f>
        <v>3.43</v>
      </c>
      <c r="AG26" s="68">
        <v>0</v>
      </c>
      <c r="AH26" s="68">
        <f t="shared" si="40"/>
        <v>0</v>
      </c>
      <c r="AI26" s="4">
        <v>29843</v>
      </c>
      <c r="AJ26" s="4">
        <v>40927</v>
      </c>
      <c r="AK26" s="68">
        <f>IF(AI26=0,0,IF(ISNA(MATCH(A26,Documentation!$B$66:$B$71,0)),QA_Tax_reg,QA_Tax_5high))</f>
        <v>32.92</v>
      </c>
      <c r="AL26" s="75">
        <f t="shared" si="41"/>
        <v>24</v>
      </c>
      <c r="AM26" s="68">
        <f t="shared" si="42"/>
        <v>332.36</v>
      </c>
      <c r="AN26" s="68">
        <f t="shared" si="43"/>
        <v>247.09</v>
      </c>
      <c r="AO26" s="68">
        <f t="shared" si="44"/>
        <v>161.81</v>
      </c>
      <c r="AP26" s="37" t="s">
        <v>692</v>
      </c>
      <c r="AQ26" s="37" t="s">
        <v>693</v>
      </c>
      <c r="AR26" s="37" t="s">
        <v>979</v>
      </c>
      <c r="AS26" s="66" t="e">
        <f>VLOOKUP(A26,'CMI Data'!$A$3:$J$209,10,FALSE)</f>
        <v>#DIV/0!</v>
      </c>
      <c r="AT26" s="68">
        <f t="shared" si="3"/>
        <v>168.86</v>
      </c>
      <c r="AU26" s="68" t="e">
        <f t="shared" si="4"/>
        <v>#DIV/0!</v>
      </c>
      <c r="AV26" s="75" t="e">
        <f t="shared" si="45"/>
        <v>#DIV/0!</v>
      </c>
      <c r="AW26" s="68" t="e">
        <f>IF($I26="NA","NA",ROUND(#REF!*$AS26/$I26,2))</f>
        <v>#REF!</v>
      </c>
      <c r="AX26" s="75" t="e">
        <f t="shared" si="46"/>
        <v>#REF!</v>
      </c>
      <c r="AY26" s="68" t="e">
        <f t="shared" si="47"/>
        <v>#REF!</v>
      </c>
      <c r="AZ26" s="4">
        <f t="shared" si="5"/>
        <v>182549</v>
      </c>
      <c r="BA26" s="4">
        <f t="shared" si="6"/>
        <v>62952</v>
      </c>
      <c r="BB26" s="4">
        <f t="shared" si="7"/>
        <v>53214</v>
      </c>
      <c r="BC26" s="142">
        <f>IF(ISNA(VLOOKUP($A26&amp;$AB26,'Days Exceptions'!$C$3:$I$7,6,FALSE)),ROUND(AZ26/MAX(BB26,(BA26*Min_Occ)),2),ROUND(AZ26/VLOOKUP($A26&amp;$AB26,'Days Exceptions'!$C$3:$I$7,6,FALSE),2))</f>
        <v>3.43</v>
      </c>
      <c r="BD26" s="143" t="e">
        <f t="shared" si="8"/>
        <v>#REF!</v>
      </c>
      <c r="BE26" s="143" t="e">
        <f t="shared" si="9"/>
        <v>#REF!</v>
      </c>
      <c r="BF26" s="143">
        <f t="shared" si="10"/>
        <v>158.09</v>
      </c>
      <c r="BG26" s="37" t="s">
        <v>692</v>
      </c>
      <c r="BH26" s="37" t="s">
        <v>693</v>
      </c>
      <c r="BI26" s="37" t="s">
        <v>1183</v>
      </c>
      <c r="BJ26" s="66" t="e">
        <f>VLOOKUP(A26,'CMI Data'!$A$3:$AZ$209,15,FALSE)</f>
        <v>#DIV/0!</v>
      </c>
      <c r="BK26" s="68">
        <f t="shared" si="11"/>
        <v>168.86</v>
      </c>
      <c r="BL26" s="68" t="e">
        <f t="shared" si="12"/>
        <v>#DIV/0!</v>
      </c>
      <c r="BM26" s="75" t="e">
        <f t="shared" si="13"/>
        <v>#DIV/0!</v>
      </c>
      <c r="BN26" s="68" t="e">
        <f>IF($I26="NA","NA",ROUND(#REF!*$BJ26/$I26,2))</f>
        <v>#REF!</v>
      </c>
      <c r="BO26" s="75" t="e">
        <f t="shared" si="14"/>
        <v>#REF!</v>
      </c>
      <c r="BP26" s="68" t="e">
        <f t="shared" si="48"/>
        <v>#REF!</v>
      </c>
      <c r="BQ26" s="4">
        <f t="shared" si="15"/>
        <v>182549</v>
      </c>
      <c r="BR26" s="4">
        <f t="shared" si="16"/>
        <v>62952</v>
      </c>
      <c r="BS26" s="4">
        <f t="shared" si="17"/>
        <v>53214</v>
      </c>
      <c r="BT26" s="142">
        <f>IF(ISNA(VLOOKUP($A26&amp;$AB26,'Days Exceptions'!$C$3:$I$7,6,FALSE)),ROUND(BQ26/MAX(BS26,(BR26*Min_Occ)),2),ROUND(BQ26/VLOOKUP($A26&amp;$AB26,'Days Exceptions'!$C$3:$I$7,6,FALSE),2))</f>
        <v>3.43</v>
      </c>
      <c r="BU26" s="143" t="e">
        <f t="shared" si="18"/>
        <v>#REF!</v>
      </c>
      <c r="BV26" s="143" t="e">
        <f t="shared" si="19"/>
        <v>#REF!</v>
      </c>
      <c r="BW26" s="143">
        <f t="shared" si="20"/>
        <v>158.09</v>
      </c>
      <c r="BX26" s="37" t="s">
        <v>692</v>
      </c>
      <c r="BY26" s="37" t="s">
        <v>693</v>
      </c>
      <c r="BZ26" s="37" t="s">
        <v>1410</v>
      </c>
      <c r="CA26" s="66" t="e">
        <f>VLOOKUP(A26,'CMI Data'!$A$3:$AZ$209,20,FALSE)</f>
        <v>#DIV/0!</v>
      </c>
      <c r="CB26" s="68">
        <f t="shared" si="21"/>
        <v>168.86</v>
      </c>
      <c r="CC26" s="68" t="e">
        <f t="shared" si="22"/>
        <v>#DIV/0!</v>
      </c>
      <c r="CD26" s="75" t="e">
        <f t="shared" si="49"/>
        <v>#DIV/0!</v>
      </c>
      <c r="CE26" s="68" t="e">
        <f>IF($I26="NA","NA",ROUND(#REF!*$CA26/$I26,2))</f>
        <v>#REF!</v>
      </c>
      <c r="CF26" s="75" t="e">
        <f t="shared" si="23"/>
        <v>#REF!</v>
      </c>
      <c r="CG26" s="68" t="e">
        <f t="shared" si="24"/>
        <v>#REF!</v>
      </c>
      <c r="CH26" s="4">
        <f t="shared" si="25"/>
        <v>182549</v>
      </c>
      <c r="CI26" s="4">
        <f t="shared" si="26"/>
        <v>62952</v>
      </c>
      <c r="CJ26" s="4">
        <f t="shared" si="27"/>
        <v>53214</v>
      </c>
      <c r="CK26" s="142">
        <f>IF(ISNA(VLOOKUP($A26&amp;$AB26,'Days Exceptions'!$C$3:$I$7,6,FALSE)),ROUND(CH26/MAX(CJ26,(CI26*Min_Occ)),2),ROUND(CH26/VLOOKUP($A26&amp;$AB26,'Days Exceptions'!$C$3:$I$7,6,FALSE),2))</f>
        <v>3.43</v>
      </c>
      <c r="CL26" s="143" t="e">
        <f t="shared" si="28"/>
        <v>#REF!</v>
      </c>
      <c r="CM26" s="143" t="e">
        <f t="shared" si="29"/>
        <v>#REF!</v>
      </c>
      <c r="CN26" s="143">
        <f t="shared" si="30"/>
        <v>158.09</v>
      </c>
      <c r="CO26" s="37" t="s">
        <v>692</v>
      </c>
      <c r="CP26" s="37" t="s">
        <v>693</v>
      </c>
      <c r="CQ26" s="37" t="s">
        <v>1411</v>
      </c>
    </row>
    <row r="27" spans="1:95" x14ac:dyDescent="0.15">
      <c r="A27" s="130">
        <v>132</v>
      </c>
      <c r="B27" s="37" t="s">
        <v>589</v>
      </c>
      <c r="C27" s="1" t="s">
        <v>148</v>
      </c>
      <c r="D27" s="1" t="s">
        <v>106</v>
      </c>
      <c r="E27" s="1" t="str">
        <f>VLOOKUP(D27,Documentation!$B$4:$D$27,3,FALSE)</f>
        <v>BALTIMORE METRO</v>
      </c>
      <c r="F27" s="1" t="str">
        <f>VLOOKUP(D27,Documentation!$B$4:$C$27,2,FALSE)</f>
        <v>BALTIMORE METRO</v>
      </c>
      <c r="G27" s="82">
        <f>VLOOKUP(A27,'2022 CR and CMI'!$A$3:$D$207,3,FALSE)</f>
        <v>44562</v>
      </c>
      <c r="H27" s="82">
        <f>VLOOKUP(A27,'2022 CR and CMI'!$A$3:$D$207,4,FALSE)</f>
        <v>44926</v>
      </c>
      <c r="I27" s="72">
        <f>VLOOKUP(A27,'2022 CR and CMI'!$A$2:$T$210,19,FALSE)</f>
        <v>1.6105</v>
      </c>
      <c r="J27" s="139">
        <f>Inflation!$G$24</f>
        <v>1.0309999999999999</v>
      </c>
      <c r="K27" s="192">
        <f>VLOOKUP(E27,Limits!$B$2:$D$5,3,FALSE)</f>
        <v>195.33</v>
      </c>
      <c r="L27" s="192">
        <f t="shared" si="31"/>
        <v>201.39</v>
      </c>
      <c r="M27" s="140">
        <f>VLOOKUP(A27,'CMI Data'!$A$4:$C$208,3,FALSE)</f>
        <v>1.5213000000000001</v>
      </c>
      <c r="N27" s="68">
        <f t="shared" si="2"/>
        <v>224.74</v>
      </c>
      <c r="O27" s="68">
        <f t="shared" si="32"/>
        <v>212.29</v>
      </c>
      <c r="P27" s="75">
        <f t="shared" si="33"/>
        <v>201.68</v>
      </c>
      <c r="Q27" s="75">
        <v>190.16</v>
      </c>
      <c r="R27" s="75">
        <f t="shared" si="34"/>
        <v>196.05</v>
      </c>
      <c r="S27" s="68">
        <f t="shared" si="35"/>
        <v>185.19</v>
      </c>
      <c r="T27" s="75">
        <f t="shared" si="36"/>
        <v>-16.489999999999998</v>
      </c>
      <c r="U27" s="68">
        <f t="shared" si="37"/>
        <v>195.8</v>
      </c>
      <c r="V27" s="68">
        <f>VLOOKUP($F27,Limits!$J$2:$L$5,3,FALSE)</f>
        <v>20.85</v>
      </c>
      <c r="W27" s="68">
        <f t="shared" si="38"/>
        <v>21.5</v>
      </c>
      <c r="X27" s="68">
        <f>VLOOKUP($F27,Limits!$R$2:$T$5,3,FALSE)</f>
        <v>102.02</v>
      </c>
      <c r="Y27" s="68">
        <f t="shared" si="39"/>
        <v>105.18</v>
      </c>
      <c r="Z27" s="75">
        <f>VLOOKUP(A27,FRV!$A$4:$U$208,21,FALSE)</f>
        <v>32.15</v>
      </c>
      <c r="AA27" s="141">
        <f>VLOOKUP(A27,'RE Tax'!$A$2:$G$206,3,FALSE)</f>
        <v>45292</v>
      </c>
      <c r="AB27" s="141">
        <f>VLOOKUP(A27,'RE Tax'!$A$2:$G$206,4,FALSE)</f>
        <v>45657</v>
      </c>
      <c r="AC27" s="4">
        <f>VLOOKUP(A27,'RE Tax'!$A$2:$G$206,7,FALSE)</f>
        <v>125724</v>
      </c>
      <c r="AD27" s="4">
        <f>VLOOKUP($A27,'RE Tax'!$A$2:$I$206,9,FALSE)</f>
        <v>65880</v>
      </c>
      <c r="AE27" s="4">
        <f>VLOOKUP($A27,'RE Tax'!$A$2:$I$206,8,FALSE)</f>
        <v>58980</v>
      </c>
      <c r="AF27" s="142">
        <f>IF(ISNA(VLOOKUP(A27&amp;AB27,'Days Exceptions'!$C$3:$I$7,6,FALSE)),ROUND(AC27/MAX(AE27,(AD27*Min_Occ)),2),ROUND(AC27/VLOOKUP(A27&amp;AB27,'Days Exceptions'!$C$3:$I$7,6,FALSE),2))</f>
        <v>2.13</v>
      </c>
      <c r="AG27" s="68">
        <v>0</v>
      </c>
      <c r="AH27" s="68">
        <f t="shared" si="40"/>
        <v>0</v>
      </c>
      <c r="AI27" s="4">
        <v>32808</v>
      </c>
      <c r="AJ27" s="4">
        <v>56435</v>
      </c>
      <c r="AK27" s="68">
        <f>IF(AI27=0,0,IF(ISNA(MATCH(A27,Documentation!$B$66:$B$71,0)),QA_Tax_reg,QA_Tax_5high))</f>
        <v>32.92</v>
      </c>
      <c r="AL27" s="75">
        <f t="shared" si="41"/>
        <v>19.14</v>
      </c>
      <c r="AM27" s="68">
        <f t="shared" si="42"/>
        <v>356.76</v>
      </c>
      <c r="AN27" s="68">
        <f t="shared" si="43"/>
        <v>258.86</v>
      </c>
      <c r="AO27" s="68">
        <f t="shared" si="44"/>
        <v>160.96</v>
      </c>
      <c r="AP27" s="37" t="s">
        <v>595</v>
      </c>
      <c r="AQ27" s="37" t="s">
        <v>589</v>
      </c>
      <c r="AR27" s="37" t="s">
        <v>980</v>
      </c>
      <c r="AS27" s="66" t="e">
        <f>VLOOKUP(A27,'CMI Data'!$A$3:$J$209,10,FALSE)</f>
        <v>#DIV/0!</v>
      </c>
      <c r="AT27" s="68">
        <f t="shared" si="3"/>
        <v>217.97</v>
      </c>
      <c r="AU27" s="68" t="e">
        <f t="shared" si="4"/>
        <v>#DIV/0!</v>
      </c>
      <c r="AV27" s="75" t="e">
        <f t="shared" si="45"/>
        <v>#DIV/0!</v>
      </c>
      <c r="AW27" s="68" t="e">
        <f>IF($I27="NA","NA",ROUND(#REF!*$AS27/$I27,2))</f>
        <v>#REF!</v>
      </c>
      <c r="AX27" s="75" t="e">
        <f t="shared" si="46"/>
        <v>#REF!</v>
      </c>
      <c r="AY27" s="68" t="e">
        <f t="shared" si="47"/>
        <v>#REF!</v>
      </c>
      <c r="AZ27" s="4">
        <f t="shared" si="5"/>
        <v>125724</v>
      </c>
      <c r="BA27" s="4">
        <f t="shared" si="6"/>
        <v>65880</v>
      </c>
      <c r="BB27" s="4">
        <f t="shared" si="7"/>
        <v>58980</v>
      </c>
      <c r="BC27" s="142">
        <f>IF(ISNA(VLOOKUP($A27&amp;$AB27,'Days Exceptions'!$C$3:$I$7,6,FALSE)),ROUND(AZ27/MAX(BB27,(BA27*Min_Occ)),2),ROUND(AZ27/VLOOKUP($A27&amp;$AB27,'Days Exceptions'!$C$3:$I$7,6,FALSE),2))</f>
        <v>2.13</v>
      </c>
      <c r="BD27" s="143" t="e">
        <f t="shared" si="8"/>
        <v>#REF!</v>
      </c>
      <c r="BE27" s="143" t="e">
        <f t="shared" si="9"/>
        <v>#REF!</v>
      </c>
      <c r="BF27" s="143">
        <f t="shared" si="10"/>
        <v>157.15</v>
      </c>
      <c r="BG27" s="37" t="s">
        <v>595</v>
      </c>
      <c r="BH27" s="37" t="s">
        <v>589</v>
      </c>
      <c r="BI27" s="37" t="s">
        <v>1184</v>
      </c>
      <c r="BJ27" s="66" t="e">
        <f>VLOOKUP(A27,'CMI Data'!$A$3:$AZ$209,15,FALSE)</f>
        <v>#DIV/0!</v>
      </c>
      <c r="BK27" s="68">
        <f t="shared" si="11"/>
        <v>217.97</v>
      </c>
      <c r="BL27" s="68" t="e">
        <f t="shared" si="12"/>
        <v>#DIV/0!</v>
      </c>
      <c r="BM27" s="75" t="e">
        <f t="shared" si="13"/>
        <v>#DIV/0!</v>
      </c>
      <c r="BN27" s="68" t="e">
        <f>IF($I27="NA","NA",ROUND(#REF!*$BJ27/$I27,2))</f>
        <v>#REF!</v>
      </c>
      <c r="BO27" s="75" t="e">
        <f t="shared" si="14"/>
        <v>#REF!</v>
      </c>
      <c r="BP27" s="68" t="e">
        <f t="shared" si="48"/>
        <v>#REF!</v>
      </c>
      <c r="BQ27" s="4">
        <f t="shared" si="15"/>
        <v>125724</v>
      </c>
      <c r="BR27" s="4">
        <f t="shared" si="16"/>
        <v>65880</v>
      </c>
      <c r="BS27" s="4">
        <f t="shared" si="17"/>
        <v>58980</v>
      </c>
      <c r="BT27" s="142">
        <f>IF(ISNA(VLOOKUP($A27&amp;$AB27,'Days Exceptions'!$C$3:$I$7,6,FALSE)),ROUND(BQ27/MAX(BS27,(BR27*Min_Occ)),2),ROUND(BQ27/VLOOKUP($A27&amp;$AB27,'Days Exceptions'!$C$3:$I$7,6,FALSE),2))</f>
        <v>2.13</v>
      </c>
      <c r="BU27" s="143" t="e">
        <f t="shared" si="18"/>
        <v>#REF!</v>
      </c>
      <c r="BV27" s="143" t="e">
        <f t="shared" si="19"/>
        <v>#REF!</v>
      </c>
      <c r="BW27" s="143">
        <f t="shared" si="20"/>
        <v>157.15</v>
      </c>
      <c r="BX27" s="37" t="s">
        <v>595</v>
      </c>
      <c r="BY27" s="37" t="s">
        <v>589</v>
      </c>
      <c r="BZ27" s="37" t="s">
        <v>1412</v>
      </c>
      <c r="CA27" s="66" t="e">
        <f>VLOOKUP(A27,'CMI Data'!$A$3:$AZ$209,20,FALSE)</f>
        <v>#DIV/0!</v>
      </c>
      <c r="CB27" s="68">
        <f t="shared" si="21"/>
        <v>217.97</v>
      </c>
      <c r="CC27" s="68" t="e">
        <f t="shared" si="22"/>
        <v>#DIV/0!</v>
      </c>
      <c r="CD27" s="75" t="e">
        <f t="shared" si="49"/>
        <v>#DIV/0!</v>
      </c>
      <c r="CE27" s="68" t="e">
        <f>IF($I27="NA","NA",ROUND(#REF!*$CA27/$I27,2))</f>
        <v>#REF!</v>
      </c>
      <c r="CF27" s="75" t="e">
        <f t="shared" si="23"/>
        <v>#REF!</v>
      </c>
      <c r="CG27" s="68" t="e">
        <f t="shared" si="24"/>
        <v>#REF!</v>
      </c>
      <c r="CH27" s="4">
        <f t="shared" si="25"/>
        <v>125724</v>
      </c>
      <c r="CI27" s="4">
        <f t="shared" si="26"/>
        <v>65880</v>
      </c>
      <c r="CJ27" s="4">
        <f t="shared" si="27"/>
        <v>58980</v>
      </c>
      <c r="CK27" s="142">
        <f>IF(ISNA(VLOOKUP($A27&amp;$AB27,'Days Exceptions'!$C$3:$I$7,6,FALSE)),ROUND(CH27/MAX(CJ27,(CI27*Min_Occ)),2),ROUND(CH27/VLOOKUP($A27&amp;$AB27,'Days Exceptions'!$C$3:$I$7,6,FALSE),2))</f>
        <v>2.13</v>
      </c>
      <c r="CL27" s="143" t="e">
        <f t="shared" si="28"/>
        <v>#REF!</v>
      </c>
      <c r="CM27" s="143" t="e">
        <f t="shared" si="29"/>
        <v>#REF!</v>
      </c>
      <c r="CN27" s="143">
        <f t="shared" si="30"/>
        <v>157.15</v>
      </c>
      <c r="CO27" s="37" t="s">
        <v>595</v>
      </c>
      <c r="CP27" s="37" t="s">
        <v>589</v>
      </c>
      <c r="CQ27" s="37" t="s">
        <v>1413</v>
      </c>
    </row>
    <row r="28" spans="1:95" x14ac:dyDescent="0.15">
      <c r="A28" s="130">
        <v>198</v>
      </c>
      <c r="B28" s="37" t="s">
        <v>551</v>
      </c>
      <c r="C28" s="1" t="s">
        <v>148</v>
      </c>
      <c r="D28" s="1" t="s">
        <v>114</v>
      </c>
      <c r="E28" s="1" t="str">
        <f>VLOOKUP(D28,Documentation!$B$4:$D$27,3,FALSE)</f>
        <v>WASHINGTON METRO</v>
      </c>
      <c r="F28" s="1" t="str">
        <f>VLOOKUP(D28,Documentation!$B$4:$C$27,2,FALSE)</f>
        <v>NON METRO</v>
      </c>
      <c r="G28" s="82">
        <f>VLOOKUP(A28,'2022 CR and CMI'!$A$3:$D$207,3,FALSE)</f>
        <v>44562</v>
      </c>
      <c r="H28" s="82">
        <f>VLOOKUP(A28,'2022 CR and CMI'!$A$3:$D$207,4,FALSE)</f>
        <v>44926</v>
      </c>
      <c r="I28" s="72">
        <f>VLOOKUP(A28,'2022 CR and CMI'!$A$2:$T$210,19,FALSE)</f>
        <v>1.5586</v>
      </c>
      <c r="J28" s="139">
        <f>Inflation!$G$24</f>
        <v>1.0309999999999999</v>
      </c>
      <c r="K28" s="192">
        <f>VLOOKUP(E28,Limits!$B$2:$D$5,3,FALSE)</f>
        <v>176.01</v>
      </c>
      <c r="L28" s="192">
        <f t="shared" si="31"/>
        <v>181.47</v>
      </c>
      <c r="M28" s="140">
        <f>VLOOKUP(A28,'CMI Data'!$A$4:$C$208,3,FALSE)</f>
        <v>1.4841</v>
      </c>
      <c r="N28" s="68">
        <f t="shared" si="2"/>
        <v>195.98</v>
      </c>
      <c r="O28" s="68">
        <f t="shared" si="32"/>
        <v>186.61</v>
      </c>
      <c r="P28" s="75">
        <f t="shared" si="33"/>
        <v>177.28</v>
      </c>
      <c r="Q28" s="75">
        <v>187.52</v>
      </c>
      <c r="R28" s="75">
        <f t="shared" si="34"/>
        <v>193.33</v>
      </c>
      <c r="S28" s="68">
        <f t="shared" si="35"/>
        <v>184.09</v>
      </c>
      <c r="T28" s="75">
        <f t="shared" si="36"/>
        <v>0</v>
      </c>
      <c r="U28" s="68">
        <f t="shared" si="37"/>
        <v>186.61</v>
      </c>
      <c r="V28" s="68">
        <f>VLOOKUP($F28,Limits!$J$2:$L$5,3,FALSE)</f>
        <v>20.239999999999998</v>
      </c>
      <c r="W28" s="68">
        <f t="shared" si="38"/>
        <v>20.87</v>
      </c>
      <c r="X28" s="68">
        <f>VLOOKUP($F28,Limits!$R$2:$T$5,3,FALSE)</f>
        <v>89.55</v>
      </c>
      <c r="Y28" s="68">
        <f t="shared" si="39"/>
        <v>92.33</v>
      </c>
      <c r="Z28" s="75">
        <f>VLOOKUP(A28,FRV!$A$4:$U$208,21,FALSE)</f>
        <v>40.450000000000003</v>
      </c>
      <c r="AA28" s="141">
        <f>VLOOKUP(A28,'RE Tax'!$A$2:$G$206,3,FALSE)</f>
        <v>45292</v>
      </c>
      <c r="AB28" s="141">
        <f>VLOOKUP(A28,'RE Tax'!$A$2:$G$206,4,FALSE)</f>
        <v>45657</v>
      </c>
      <c r="AC28" s="4">
        <f>VLOOKUP(A28,'RE Tax'!$A$2:$G$206,7,FALSE)</f>
        <v>139023</v>
      </c>
      <c r="AD28" s="4">
        <f>VLOOKUP($A28,'RE Tax'!$A$2:$I$206,9,FALSE)</f>
        <v>45384</v>
      </c>
      <c r="AE28" s="4">
        <f>VLOOKUP($A28,'RE Tax'!$A$2:$I$206,8,FALSE)</f>
        <v>41116</v>
      </c>
      <c r="AF28" s="142">
        <f>IF(ISNA(VLOOKUP(A28&amp;AB28,'Days Exceptions'!$C$3:$I$7,6,FALSE)),ROUND(AC28/MAX(AE28,(AD28*Min_Occ)),2),ROUND(AC28/VLOOKUP(A28&amp;AB28,'Days Exceptions'!$C$3:$I$7,6,FALSE),2))</f>
        <v>3.38</v>
      </c>
      <c r="AG28" s="68">
        <v>0</v>
      </c>
      <c r="AH28" s="68">
        <f t="shared" si="40"/>
        <v>0</v>
      </c>
      <c r="AI28" s="4">
        <v>27527</v>
      </c>
      <c r="AJ28" s="4">
        <v>40960</v>
      </c>
      <c r="AK28" s="68">
        <f>IF(AI28=0,0,IF(ISNA(MATCH(A28,Documentation!$B$66:$B$71,0)),QA_Tax_reg,QA_Tax_5high))</f>
        <v>32.92</v>
      </c>
      <c r="AL28" s="75">
        <f t="shared" si="41"/>
        <v>22.12</v>
      </c>
      <c r="AM28" s="68">
        <f t="shared" si="42"/>
        <v>343.64</v>
      </c>
      <c r="AN28" s="68">
        <f t="shared" si="43"/>
        <v>250.34</v>
      </c>
      <c r="AO28" s="68">
        <f t="shared" si="44"/>
        <v>157.03</v>
      </c>
      <c r="AP28" s="37" t="s">
        <v>550</v>
      </c>
      <c r="AQ28" s="37" t="s">
        <v>551</v>
      </c>
      <c r="AR28" s="37" t="s">
        <v>981</v>
      </c>
      <c r="AS28" s="66" t="e">
        <f>VLOOKUP(A28,'CMI Data'!$A$3:$J$209,10,FALSE)</f>
        <v>#DIV/0!</v>
      </c>
      <c r="AT28" s="68">
        <f t="shared" si="3"/>
        <v>190.08</v>
      </c>
      <c r="AU28" s="68" t="e">
        <f t="shared" si="4"/>
        <v>#DIV/0!</v>
      </c>
      <c r="AV28" s="75" t="e">
        <f t="shared" si="45"/>
        <v>#DIV/0!</v>
      </c>
      <c r="AW28" s="68" t="e">
        <f>IF($I28="NA","NA",ROUND(#REF!*$AS28/$I28,2))</f>
        <v>#REF!</v>
      </c>
      <c r="AX28" s="75" t="e">
        <f t="shared" si="46"/>
        <v>#REF!</v>
      </c>
      <c r="AY28" s="68" t="e">
        <f t="shared" si="47"/>
        <v>#REF!</v>
      </c>
      <c r="AZ28" s="4">
        <f t="shared" si="5"/>
        <v>139023</v>
      </c>
      <c r="BA28" s="4">
        <f t="shared" si="6"/>
        <v>45384</v>
      </c>
      <c r="BB28" s="4">
        <f t="shared" si="7"/>
        <v>41116</v>
      </c>
      <c r="BC28" s="142">
        <f>IF(ISNA(VLOOKUP($A28&amp;$AB28,'Days Exceptions'!$C$3:$I$7,6,FALSE)),ROUND(AZ28/MAX(BB28,(BA28*Min_Occ)),2),ROUND(AZ28/VLOOKUP($A28&amp;$AB28,'Days Exceptions'!$C$3:$I$7,6,FALSE),2))</f>
        <v>3.38</v>
      </c>
      <c r="BD28" s="143" t="e">
        <f t="shared" si="8"/>
        <v>#REF!</v>
      </c>
      <c r="BE28" s="143" t="e">
        <f t="shared" si="9"/>
        <v>#REF!</v>
      </c>
      <c r="BF28" s="143">
        <f t="shared" si="10"/>
        <v>153.62</v>
      </c>
      <c r="BG28" s="37" t="s">
        <v>550</v>
      </c>
      <c r="BH28" s="37" t="s">
        <v>551</v>
      </c>
      <c r="BI28" s="37" t="s">
        <v>1185</v>
      </c>
      <c r="BJ28" s="66" t="e">
        <f>VLOOKUP(A28,'CMI Data'!$A$3:$AZ$209,15,FALSE)</f>
        <v>#DIV/0!</v>
      </c>
      <c r="BK28" s="68">
        <f t="shared" si="11"/>
        <v>190.08</v>
      </c>
      <c r="BL28" s="68" t="e">
        <f t="shared" si="12"/>
        <v>#DIV/0!</v>
      </c>
      <c r="BM28" s="75" t="e">
        <f t="shared" si="13"/>
        <v>#DIV/0!</v>
      </c>
      <c r="BN28" s="68" t="e">
        <f>IF($I28="NA","NA",ROUND(#REF!*$BJ28/$I28,2))</f>
        <v>#REF!</v>
      </c>
      <c r="BO28" s="75" t="e">
        <f t="shared" si="14"/>
        <v>#REF!</v>
      </c>
      <c r="BP28" s="68" t="e">
        <f t="shared" si="48"/>
        <v>#REF!</v>
      </c>
      <c r="BQ28" s="4">
        <f t="shared" si="15"/>
        <v>139023</v>
      </c>
      <c r="BR28" s="4">
        <f t="shared" si="16"/>
        <v>45384</v>
      </c>
      <c r="BS28" s="4">
        <f t="shared" si="17"/>
        <v>41116</v>
      </c>
      <c r="BT28" s="142">
        <f>IF(ISNA(VLOOKUP($A28&amp;$AB28,'Days Exceptions'!$C$3:$I$7,6,FALSE)),ROUND(BQ28/MAX(BS28,(BR28*Min_Occ)),2),ROUND(BQ28/VLOOKUP($A28&amp;$AB28,'Days Exceptions'!$C$3:$I$7,6,FALSE),2))</f>
        <v>3.38</v>
      </c>
      <c r="BU28" s="143" t="e">
        <f t="shared" si="18"/>
        <v>#REF!</v>
      </c>
      <c r="BV28" s="143" t="e">
        <f t="shared" si="19"/>
        <v>#REF!</v>
      </c>
      <c r="BW28" s="143">
        <f t="shared" si="20"/>
        <v>153.62</v>
      </c>
      <c r="BX28" s="37" t="s">
        <v>550</v>
      </c>
      <c r="BY28" s="37" t="s">
        <v>551</v>
      </c>
      <c r="BZ28" s="37" t="s">
        <v>1414</v>
      </c>
      <c r="CA28" s="66" t="e">
        <f>VLOOKUP(A28,'CMI Data'!$A$3:$AZ$209,20,FALSE)</f>
        <v>#DIV/0!</v>
      </c>
      <c r="CB28" s="68">
        <f t="shared" si="21"/>
        <v>190.08</v>
      </c>
      <c r="CC28" s="68" t="e">
        <f t="shared" si="22"/>
        <v>#DIV/0!</v>
      </c>
      <c r="CD28" s="75" t="e">
        <f t="shared" si="49"/>
        <v>#DIV/0!</v>
      </c>
      <c r="CE28" s="68" t="e">
        <f>IF($I28="NA","NA",ROUND(#REF!*$CA28/$I28,2))</f>
        <v>#REF!</v>
      </c>
      <c r="CF28" s="75" t="e">
        <f t="shared" si="23"/>
        <v>#REF!</v>
      </c>
      <c r="CG28" s="68" t="e">
        <f t="shared" si="24"/>
        <v>#REF!</v>
      </c>
      <c r="CH28" s="4">
        <f t="shared" si="25"/>
        <v>139023</v>
      </c>
      <c r="CI28" s="4">
        <f t="shared" si="26"/>
        <v>45384</v>
      </c>
      <c r="CJ28" s="4">
        <f t="shared" si="27"/>
        <v>41116</v>
      </c>
      <c r="CK28" s="142">
        <f>IF(ISNA(VLOOKUP($A28&amp;$AB28,'Days Exceptions'!$C$3:$I$7,6,FALSE)),ROUND(CH28/MAX(CJ28,(CI28*Min_Occ)),2),ROUND(CH28/VLOOKUP($A28&amp;$AB28,'Days Exceptions'!$C$3:$I$7,6,FALSE),2))</f>
        <v>3.38</v>
      </c>
      <c r="CL28" s="143" t="e">
        <f t="shared" si="28"/>
        <v>#REF!</v>
      </c>
      <c r="CM28" s="143" t="e">
        <f t="shared" si="29"/>
        <v>#REF!</v>
      </c>
      <c r="CN28" s="143">
        <f t="shared" si="30"/>
        <v>153.62</v>
      </c>
      <c r="CO28" s="37" t="s">
        <v>550</v>
      </c>
      <c r="CP28" s="37" t="s">
        <v>551</v>
      </c>
      <c r="CQ28" s="37" t="s">
        <v>1415</v>
      </c>
    </row>
    <row r="29" spans="1:95" x14ac:dyDescent="0.15">
      <c r="A29" s="130">
        <v>687</v>
      </c>
      <c r="B29" s="37" t="s">
        <v>621</v>
      </c>
      <c r="C29" s="1" t="s">
        <v>148</v>
      </c>
      <c r="D29" s="1" t="s">
        <v>106</v>
      </c>
      <c r="E29" s="1" t="str">
        <f>VLOOKUP(D29,Documentation!$B$4:$D$27,3,FALSE)</f>
        <v>BALTIMORE METRO</v>
      </c>
      <c r="F29" s="1" t="str">
        <f>VLOOKUP(D29,Documentation!$B$4:$C$27,2,FALSE)</f>
        <v>BALTIMORE METRO</v>
      </c>
      <c r="G29" s="82">
        <f>VLOOKUP(A29,'2022 CR and CMI'!$A$3:$D$207,3,FALSE)</f>
        <v>44713</v>
      </c>
      <c r="H29" s="82">
        <f>VLOOKUP(A29,'2022 CR and CMI'!$A$3:$D$207,4,FALSE)</f>
        <v>44926</v>
      </c>
      <c r="I29" s="72">
        <f>VLOOKUP(A29,'2022 CR and CMI'!$A$2:$T$210,19,FALSE)</f>
        <v>1.4077</v>
      </c>
      <c r="J29" s="139">
        <f>Inflation!$G$24</f>
        <v>1.0309999999999999</v>
      </c>
      <c r="K29" s="192">
        <f>VLOOKUP(E29,Limits!$B$2:$D$5,3,FALSE)</f>
        <v>195.33</v>
      </c>
      <c r="L29" s="192">
        <f t="shared" si="31"/>
        <v>201.39</v>
      </c>
      <c r="M29" s="140">
        <f>VLOOKUP(A29,'CMI Data'!$A$4:$C$208,3,FALSE)</f>
        <v>1.4395</v>
      </c>
      <c r="N29" s="68">
        <f t="shared" si="2"/>
        <v>196.44</v>
      </c>
      <c r="O29" s="68">
        <f t="shared" si="32"/>
        <v>200.88</v>
      </c>
      <c r="P29" s="75">
        <f t="shared" si="33"/>
        <v>190.84</v>
      </c>
      <c r="Q29" s="75">
        <v>154.30000000000001</v>
      </c>
      <c r="R29" s="75">
        <f t="shared" si="34"/>
        <v>159.08000000000001</v>
      </c>
      <c r="S29" s="68">
        <f t="shared" si="35"/>
        <v>162.66999999999999</v>
      </c>
      <c r="T29" s="75">
        <f t="shared" si="36"/>
        <v>-28.17</v>
      </c>
      <c r="U29" s="68">
        <f t="shared" si="37"/>
        <v>172.71</v>
      </c>
      <c r="V29" s="68">
        <f>VLOOKUP($F29,Limits!$J$2:$L$5,3,FALSE)</f>
        <v>20.85</v>
      </c>
      <c r="W29" s="68">
        <f t="shared" si="38"/>
        <v>21.5</v>
      </c>
      <c r="X29" s="68">
        <f>VLOOKUP($F29,Limits!$R$2:$T$5,3,FALSE)</f>
        <v>102.02</v>
      </c>
      <c r="Y29" s="68">
        <f t="shared" si="39"/>
        <v>105.18</v>
      </c>
      <c r="Z29" s="75">
        <f>VLOOKUP(A29,FRV!$A$4:$U$208,21,FALSE)</f>
        <v>32.04</v>
      </c>
      <c r="AA29" s="141">
        <f>VLOOKUP(A29,'RE Tax'!$A$2:$G$206,3,FALSE)</f>
        <v>45292</v>
      </c>
      <c r="AB29" s="141">
        <f>VLOOKUP(A29,'RE Tax'!$A$2:$G$206,4,FALSE)</f>
        <v>45657</v>
      </c>
      <c r="AC29" s="4">
        <f>VLOOKUP(A29,'RE Tax'!$A$2:$G$206,7,FALSE)</f>
        <v>189323</v>
      </c>
      <c r="AD29" s="4">
        <f>VLOOKUP($A29,'RE Tax'!$A$2:$I$206,9,FALSE)</f>
        <v>69540</v>
      </c>
      <c r="AE29" s="4">
        <f>VLOOKUP($A29,'RE Tax'!$A$2:$I$206,8,FALSE)</f>
        <v>63159</v>
      </c>
      <c r="AF29" s="142">
        <f>IF(ISNA(VLOOKUP(A29&amp;AB29,'Days Exceptions'!$C$3:$I$7,6,FALSE)),ROUND(AC29/MAX(AE29,(AD29*Min_Occ)),2),ROUND(AC29/VLOOKUP(A29&amp;AB29,'Days Exceptions'!$C$3:$I$7,6,FALSE),2))</f>
        <v>3</v>
      </c>
      <c r="AG29" s="68">
        <v>0</v>
      </c>
      <c r="AH29" s="68">
        <f t="shared" si="40"/>
        <v>0</v>
      </c>
      <c r="AI29" s="4">
        <v>44737</v>
      </c>
      <c r="AJ29" s="4">
        <v>61699</v>
      </c>
      <c r="AK29" s="68">
        <f>IF(AI29=0,0,IF(ISNA(MATCH(A29,Documentation!$B$66:$B$71,0)),QA_Tax_reg,QA_Tax_5high))</f>
        <v>32.92</v>
      </c>
      <c r="AL29" s="75">
        <f t="shared" si="41"/>
        <v>23.87</v>
      </c>
      <c r="AM29" s="68">
        <f t="shared" si="42"/>
        <v>334.43</v>
      </c>
      <c r="AN29" s="68">
        <f t="shared" si="43"/>
        <v>248.08</v>
      </c>
      <c r="AO29" s="68">
        <f t="shared" si="44"/>
        <v>161.72</v>
      </c>
      <c r="AP29" s="37" t="s">
        <v>627</v>
      </c>
      <c r="AQ29" s="37" t="s">
        <v>621</v>
      </c>
      <c r="AR29" s="37" t="s">
        <v>982</v>
      </c>
      <c r="AS29" s="66" t="e">
        <f>VLOOKUP(A29,'CMI Data'!$A$3:$J$209,10,FALSE)</f>
        <v>#DIV/0!</v>
      </c>
      <c r="AT29" s="68">
        <f t="shared" si="3"/>
        <v>190.53</v>
      </c>
      <c r="AU29" s="68" t="e">
        <f t="shared" si="4"/>
        <v>#DIV/0!</v>
      </c>
      <c r="AV29" s="75" t="e">
        <f t="shared" si="45"/>
        <v>#DIV/0!</v>
      </c>
      <c r="AW29" s="68" t="e">
        <f>IF($I29="NA","NA",ROUND(#REF!*$AS29/$I29,2))</f>
        <v>#REF!</v>
      </c>
      <c r="AX29" s="75" t="e">
        <f t="shared" si="46"/>
        <v>#REF!</v>
      </c>
      <c r="AY29" s="68" t="e">
        <f t="shared" si="47"/>
        <v>#REF!</v>
      </c>
      <c r="AZ29" s="4">
        <f t="shared" si="5"/>
        <v>189323</v>
      </c>
      <c r="BA29" s="4">
        <f t="shared" si="6"/>
        <v>69540</v>
      </c>
      <c r="BB29" s="4">
        <f t="shared" si="7"/>
        <v>63159</v>
      </c>
      <c r="BC29" s="142">
        <f>IF(ISNA(VLOOKUP($A29&amp;$AB29,'Days Exceptions'!$C$3:$I$7,6,FALSE)),ROUND(AZ29/MAX(BB29,(BA29*Min_Occ)),2),ROUND(AZ29/VLOOKUP($A29&amp;$AB29,'Days Exceptions'!$C$3:$I$7,6,FALSE),2))</f>
        <v>3</v>
      </c>
      <c r="BD29" s="143" t="e">
        <f t="shared" si="8"/>
        <v>#REF!</v>
      </c>
      <c r="BE29" s="143" t="e">
        <f t="shared" si="9"/>
        <v>#REF!</v>
      </c>
      <c r="BF29" s="143">
        <f t="shared" si="10"/>
        <v>157.91</v>
      </c>
      <c r="BG29" s="37" t="s">
        <v>627</v>
      </c>
      <c r="BH29" s="37" t="s">
        <v>621</v>
      </c>
      <c r="BI29" s="37" t="s">
        <v>1186</v>
      </c>
      <c r="BJ29" s="66" t="e">
        <f>VLOOKUP(A29,'CMI Data'!$A$3:$AZ$209,15,FALSE)</f>
        <v>#DIV/0!</v>
      </c>
      <c r="BK29" s="68">
        <f t="shared" si="11"/>
        <v>190.53</v>
      </c>
      <c r="BL29" s="68" t="e">
        <f t="shared" si="12"/>
        <v>#DIV/0!</v>
      </c>
      <c r="BM29" s="75" t="e">
        <f t="shared" si="13"/>
        <v>#DIV/0!</v>
      </c>
      <c r="BN29" s="68" t="e">
        <f>IF($I29="NA","NA",ROUND(#REF!*$BJ29/$I29,2))</f>
        <v>#REF!</v>
      </c>
      <c r="BO29" s="75" t="e">
        <f t="shared" si="14"/>
        <v>#REF!</v>
      </c>
      <c r="BP29" s="68" t="e">
        <f t="shared" si="48"/>
        <v>#REF!</v>
      </c>
      <c r="BQ29" s="4">
        <f t="shared" si="15"/>
        <v>189323</v>
      </c>
      <c r="BR29" s="4">
        <f t="shared" si="16"/>
        <v>69540</v>
      </c>
      <c r="BS29" s="4">
        <f t="shared" si="17"/>
        <v>63159</v>
      </c>
      <c r="BT29" s="142">
        <f>IF(ISNA(VLOOKUP($A29&amp;$AB29,'Days Exceptions'!$C$3:$I$7,6,FALSE)),ROUND(BQ29/MAX(BS29,(BR29*Min_Occ)),2),ROUND(BQ29/VLOOKUP($A29&amp;$AB29,'Days Exceptions'!$C$3:$I$7,6,FALSE),2))</f>
        <v>3</v>
      </c>
      <c r="BU29" s="143" t="e">
        <f t="shared" si="18"/>
        <v>#REF!</v>
      </c>
      <c r="BV29" s="143" t="e">
        <f t="shared" si="19"/>
        <v>#REF!</v>
      </c>
      <c r="BW29" s="143">
        <f t="shared" si="20"/>
        <v>157.91</v>
      </c>
      <c r="BX29" s="37" t="s">
        <v>627</v>
      </c>
      <c r="BY29" s="37" t="s">
        <v>621</v>
      </c>
      <c r="BZ29" s="37" t="s">
        <v>1416</v>
      </c>
      <c r="CA29" s="66" t="e">
        <f>VLOOKUP(A29,'CMI Data'!$A$3:$AZ$209,20,FALSE)</f>
        <v>#DIV/0!</v>
      </c>
      <c r="CB29" s="68">
        <f t="shared" si="21"/>
        <v>190.53</v>
      </c>
      <c r="CC29" s="68" t="e">
        <f t="shared" si="22"/>
        <v>#DIV/0!</v>
      </c>
      <c r="CD29" s="75" t="e">
        <f t="shared" si="49"/>
        <v>#DIV/0!</v>
      </c>
      <c r="CE29" s="68" t="e">
        <f>IF($I29="NA","NA",ROUND(#REF!*$CA29/$I29,2))</f>
        <v>#REF!</v>
      </c>
      <c r="CF29" s="75" t="e">
        <f t="shared" si="23"/>
        <v>#REF!</v>
      </c>
      <c r="CG29" s="68" t="e">
        <f t="shared" si="24"/>
        <v>#REF!</v>
      </c>
      <c r="CH29" s="4">
        <f t="shared" si="25"/>
        <v>189323</v>
      </c>
      <c r="CI29" s="4">
        <f t="shared" si="26"/>
        <v>69540</v>
      </c>
      <c r="CJ29" s="4">
        <f t="shared" si="27"/>
        <v>63159</v>
      </c>
      <c r="CK29" s="142">
        <f>IF(ISNA(VLOOKUP($A29&amp;$AB29,'Days Exceptions'!$C$3:$I$7,6,FALSE)),ROUND(CH29/MAX(CJ29,(CI29*Min_Occ)),2),ROUND(CH29/VLOOKUP($A29&amp;$AB29,'Days Exceptions'!$C$3:$I$7,6,FALSE),2))</f>
        <v>3</v>
      </c>
      <c r="CL29" s="143" t="e">
        <f t="shared" si="28"/>
        <v>#REF!</v>
      </c>
      <c r="CM29" s="143" t="e">
        <f t="shared" si="29"/>
        <v>#REF!</v>
      </c>
      <c r="CN29" s="143">
        <f t="shared" si="30"/>
        <v>157.91</v>
      </c>
      <c r="CO29" s="37" t="s">
        <v>627</v>
      </c>
      <c r="CP29" s="37" t="s">
        <v>621</v>
      </c>
      <c r="CQ29" s="37" t="s">
        <v>1417</v>
      </c>
    </row>
    <row r="30" spans="1:95" x14ac:dyDescent="0.15">
      <c r="A30" s="130">
        <v>246</v>
      </c>
      <c r="B30" s="37" t="s">
        <v>553</v>
      </c>
      <c r="C30" s="1" t="s">
        <v>148</v>
      </c>
      <c r="D30" s="1" t="s">
        <v>102</v>
      </c>
      <c r="E30" s="1" t="str">
        <f>VLOOKUP(D30,Documentation!$B$4:$D$27,3,FALSE)</f>
        <v>BALTIMORE METRO</v>
      </c>
      <c r="F30" s="1" t="str">
        <f>VLOOKUP(D30,Documentation!$B$4:$C$27,2,FALSE)</f>
        <v>BALTIMORE CITY</v>
      </c>
      <c r="G30" s="82">
        <f>VLOOKUP(A30,'2022 CR and CMI'!$A$3:$D$207,3,FALSE)</f>
        <v>44562</v>
      </c>
      <c r="H30" s="82">
        <f>VLOOKUP(A30,'2022 CR and CMI'!$A$3:$D$207,4,FALSE)</f>
        <v>44926</v>
      </c>
      <c r="I30" s="72">
        <f>VLOOKUP(A30,'2022 CR and CMI'!$A$2:$T$210,19,FALSE)</f>
        <v>1.4121999999999999</v>
      </c>
      <c r="J30" s="139">
        <f>Inflation!$G$24</f>
        <v>1.0309999999999999</v>
      </c>
      <c r="K30" s="192">
        <f>VLOOKUP(E30,Limits!$B$2:$D$5,3,FALSE)</f>
        <v>195.33</v>
      </c>
      <c r="L30" s="192">
        <f t="shared" si="31"/>
        <v>201.39</v>
      </c>
      <c r="M30" s="140">
        <f>VLOOKUP(A30,'CMI Data'!$A$4:$C$208,3,FALSE)</f>
        <v>1.5365</v>
      </c>
      <c r="N30" s="68">
        <f t="shared" si="2"/>
        <v>197.06</v>
      </c>
      <c r="O30" s="68">
        <f t="shared" si="32"/>
        <v>214.4</v>
      </c>
      <c r="P30" s="75">
        <f t="shared" si="33"/>
        <v>203.68</v>
      </c>
      <c r="Q30" s="75">
        <v>167.38</v>
      </c>
      <c r="R30" s="75">
        <f t="shared" si="34"/>
        <v>172.57</v>
      </c>
      <c r="S30" s="68">
        <f t="shared" si="35"/>
        <v>187.76</v>
      </c>
      <c r="T30" s="75">
        <f t="shared" si="36"/>
        <v>-15.92</v>
      </c>
      <c r="U30" s="68">
        <f t="shared" si="37"/>
        <v>198.48</v>
      </c>
      <c r="V30" s="68">
        <f>VLOOKUP($F30,Limits!$J$2:$L$5,3,FALSE)</f>
        <v>24.89</v>
      </c>
      <c r="W30" s="68">
        <f t="shared" si="38"/>
        <v>25.66</v>
      </c>
      <c r="X30" s="68">
        <f>VLOOKUP($F30,Limits!$R$2:$T$5,3,FALSE)</f>
        <v>114.15</v>
      </c>
      <c r="Y30" s="68">
        <f t="shared" si="39"/>
        <v>117.69</v>
      </c>
      <c r="Z30" s="75">
        <f>VLOOKUP(A30,FRV!$A$4:$U$208,21,FALSE)</f>
        <v>33.31</v>
      </c>
      <c r="AA30" s="141">
        <f>VLOOKUP(A30,'RE Tax'!$A$2:$G$206,3,FALSE)</f>
        <v>45292</v>
      </c>
      <c r="AB30" s="141">
        <f>VLOOKUP(A30,'RE Tax'!$A$2:$G$206,4,FALSE)</f>
        <v>45657</v>
      </c>
      <c r="AC30" s="4">
        <f>VLOOKUP(A30,'RE Tax'!$A$2:$G$206,7,FALSE)</f>
        <v>136334</v>
      </c>
      <c r="AD30" s="4">
        <f>VLOOKUP($A30,'RE Tax'!$A$2:$I$206,9,FALSE)</f>
        <v>40992</v>
      </c>
      <c r="AE30" s="4">
        <f>VLOOKUP($A30,'RE Tax'!$A$2:$I$206,8,FALSE)</f>
        <v>35856</v>
      </c>
      <c r="AF30" s="142">
        <f>IF(ISNA(VLOOKUP(A30&amp;AB30,'Days Exceptions'!$C$3:$I$7,6,FALSE)),ROUND(AC30/MAX(AE30,(AD30*Min_Occ)),2),ROUND(AC30/VLOOKUP(A30&amp;AB30,'Days Exceptions'!$C$3:$I$7,6,FALSE),2))</f>
        <v>3.8</v>
      </c>
      <c r="AG30" s="68">
        <v>0</v>
      </c>
      <c r="AH30" s="68">
        <f t="shared" si="40"/>
        <v>0</v>
      </c>
      <c r="AI30" s="4">
        <v>27663</v>
      </c>
      <c r="AJ30" s="4">
        <v>35258</v>
      </c>
      <c r="AK30" s="68">
        <f>IF(AI30=0,0,IF(ISNA(MATCH(A30,Documentation!$B$66:$B$71,0)),QA_Tax_reg,QA_Tax_5high))</f>
        <v>32.92</v>
      </c>
      <c r="AL30" s="75">
        <f t="shared" si="41"/>
        <v>25.83</v>
      </c>
      <c r="AM30" s="68">
        <f t="shared" si="42"/>
        <v>378.94</v>
      </c>
      <c r="AN30" s="68">
        <f t="shared" si="43"/>
        <v>279.7</v>
      </c>
      <c r="AO30" s="68">
        <f t="shared" si="44"/>
        <v>180.46</v>
      </c>
      <c r="AP30" s="37" t="s">
        <v>552</v>
      </c>
      <c r="AQ30" s="37" t="s">
        <v>553</v>
      </c>
      <c r="AR30" s="37" t="s">
        <v>983</v>
      </c>
      <c r="AS30" s="66" t="e">
        <f>VLOOKUP(A30,'CMI Data'!$A$3:$J$209,10,FALSE)</f>
        <v>#DIV/0!</v>
      </c>
      <c r="AT30" s="68">
        <f t="shared" si="3"/>
        <v>191.13</v>
      </c>
      <c r="AU30" s="68" t="e">
        <f t="shared" si="4"/>
        <v>#DIV/0!</v>
      </c>
      <c r="AV30" s="75" t="e">
        <f t="shared" si="45"/>
        <v>#DIV/0!</v>
      </c>
      <c r="AW30" s="68" t="e">
        <f>IF($I30="NA","NA",ROUND(#REF!*$AS30/$I30,2))</f>
        <v>#REF!</v>
      </c>
      <c r="AX30" s="75" t="e">
        <f t="shared" si="46"/>
        <v>#REF!</v>
      </c>
      <c r="AY30" s="68" t="e">
        <f t="shared" si="47"/>
        <v>#REF!</v>
      </c>
      <c r="AZ30" s="4">
        <f t="shared" si="5"/>
        <v>136334</v>
      </c>
      <c r="BA30" s="4">
        <f t="shared" si="6"/>
        <v>40992</v>
      </c>
      <c r="BB30" s="4">
        <f t="shared" si="7"/>
        <v>35856</v>
      </c>
      <c r="BC30" s="142">
        <f>IF(ISNA(VLOOKUP($A30&amp;$AB30,'Days Exceptions'!$C$3:$I$7,6,FALSE)),ROUND(AZ30/MAX(BB30,(BA30*Min_Occ)),2),ROUND(AZ30/VLOOKUP($A30&amp;$AB30,'Days Exceptions'!$C$3:$I$7,6,FALSE),2))</f>
        <v>3.8</v>
      </c>
      <c r="BD30" s="143" t="e">
        <f t="shared" si="8"/>
        <v>#REF!</v>
      </c>
      <c r="BE30" s="143" t="e">
        <f t="shared" si="9"/>
        <v>#REF!</v>
      </c>
      <c r="BF30" s="143">
        <f t="shared" si="10"/>
        <v>176.15</v>
      </c>
      <c r="BG30" s="37" t="s">
        <v>552</v>
      </c>
      <c r="BH30" s="37" t="s">
        <v>553</v>
      </c>
      <c r="BI30" s="37" t="s">
        <v>1187</v>
      </c>
      <c r="BJ30" s="66" t="e">
        <f>VLOOKUP(A30,'CMI Data'!$A$3:$AZ$209,15,FALSE)</f>
        <v>#DIV/0!</v>
      </c>
      <c r="BK30" s="68">
        <f t="shared" si="11"/>
        <v>191.13</v>
      </c>
      <c r="BL30" s="68" t="e">
        <f t="shared" si="12"/>
        <v>#DIV/0!</v>
      </c>
      <c r="BM30" s="75" t="e">
        <f t="shared" si="13"/>
        <v>#DIV/0!</v>
      </c>
      <c r="BN30" s="68" t="e">
        <f>IF($I30="NA","NA",ROUND(#REF!*$BJ30/$I30,2))</f>
        <v>#REF!</v>
      </c>
      <c r="BO30" s="75" t="e">
        <f t="shared" si="14"/>
        <v>#REF!</v>
      </c>
      <c r="BP30" s="68" t="e">
        <f t="shared" si="48"/>
        <v>#REF!</v>
      </c>
      <c r="BQ30" s="4">
        <f t="shared" si="15"/>
        <v>136334</v>
      </c>
      <c r="BR30" s="4">
        <f t="shared" si="16"/>
        <v>40992</v>
      </c>
      <c r="BS30" s="4">
        <f t="shared" si="17"/>
        <v>35856</v>
      </c>
      <c r="BT30" s="142">
        <f>IF(ISNA(VLOOKUP($A30&amp;$AB30,'Days Exceptions'!$C$3:$I$7,6,FALSE)),ROUND(BQ30/MAX(BS30,(BR30*Min_Occ)),2),ROUND(BQ30/VLOOKUP($A30&amp;$AB30,'Days Exceptions'!$C$3:$I$7,6,FALSE),2))</f>
        <v>3.8</v>
      </c>
      <c r="BU30" s="143" t="e">
        <f t="shared" si="18"/>
        <v>#REF!</v>
      </c>
      <c r="BV30" s="143" t="e">
        <f t="shared" si="19"/>
        <v>#REF!</v>
      </c>
      <c r="BW30" s="143">
        <f t="shared" si="20"/>
        <v>176.15</v>
      </c>
      <c r="BX30" s="37" t="s">
        <v>552</v>
      </c>
      <c r="BY30" s="37" t="s">
        <v>553</v>
      </c>
      <c r="BZ30" s="37" t="s">
        <v>1418</v>
      </c>
      <c r="CA30" s="66" t="e">
        <f>VLOOKUP(A30,'CMI Data'!$A$3:$AZ$209,20,FALSE)</f>
        <v>#DIV/0!</v>
      </c>
      <c r="CB30" s="68">
        <f t="shared" si="21"/>
        <v>191.13</v>
      </c>
      <c r="CC30" s="68" t="e">
        <f t="shared" si="22"/>
        <v>#DIV/0!</v>
      </c>
      <c r="CD30" s="75" t="e">
        <f t="shared" si="49"/>
        <v>#DIV/0!</v>
      </c>
      <c r="CE30" s="68" t="e">
        <f>IF($I30="NA","NA",ROUND(#REF!*$CA30/$I30,2))</f>
        <v>#REF!</v>
      </c>
      <c r="CF30" s="75" t="e">
        <f t="shared" si="23"/>
        <v>#REF!</v>
      </c>
      <c r="CG30" s="68" t="e">
        <f t="shared" si="24"/>
        <v>#REF!</v>
      </c>
      <c r="CH30" s="4">
        <f t="shared" si="25"/>
        <v>136334</v>
      </c>
      <c r="CI30" s="4">
        <f t="shared" si="26"/>
        <v>40992</v>
      </c>
      <c r="CJ30" s="4">
        <f t="shared" si="27"/>
        <v>35856</v>
      </c>
      <c r="CK30" s="142">
        <f>IF(ISNA(VLOOKUP($A30&amp;$AB30,'Days Exceptions'!$C$3:$I$7,6,FALSE)),ROUND(CH30/MAX(CJ30,(CI30*Min_Occ)),2),ROUND(CH30/VLOOKUP($A30&amp;$AB30,'Days Exceptions'!$C$3:$I$7,6,FALSE),2))</f>
        <v>3.8</v>
      </c>
      <c r="CL30" s="143" t="e">
        <f t="shared" si="28"/>
        <v>#REF!</v>
      </c>
      <c r="CM30" s="143" t="e">
        <f t="shared" si="29"/>
        <v>#REF!</v>
      </c>
      <c r="CN30" s="143">
        <f t="shared" si="30"/>
        <v>176.15</v>
      </c>
      <c r="CO30" s="37" t="s">
        <v>552</v>
      </c>
      <c r="CP30" s="37" t="s">
        <v>553</v>
      </c>
      <c r="CQ30" s="37" t="s">
        <v>1419</v>
      </c>
    </row>
    <row r="31" spans="1:95" x14ac:dyDescent="0.15">
      <c r="A31" s="130">
        <v>278</v>
      </c>
      <c r="B31" s="37" t="s">
        <v>583</v>
      </c>
      <c r="C31" s="1" t="s">
        <v>148</v>
      </c>
      <c r="D31" s="1" t="s">
        <v>107</v>
      </c>
      <c r="E31" s="1" t="str">
        <f>VLOOKUP(D31,Documentation!$B$4:$D$27,3,FALSE)</f>
        <v>BALTIMORE METRO</v>
      </c>
      <c r="F31" s="1" t="str">
        <f>VLOOKUP(D31,Documentation!$B$4:$C$27,2,FALSE)</f>
        <v>BALTIMORE METRO</v>
      </c>
      <c r="G31" s="82">
        <f>VLOOKUP(A31,'2022 CR and CMI'!$A$3:$D$207,3,FALSE)</f>
        <v>44562</v>
      </c>
      <c r="H31" s="82">
        <f>VLOOKUP(A31,'2022 CR and CMI'!$A$3:$D$207,4,FALSE)</f>
        <v>44926</v>
      </c>
      <c r="I31" s="72">
        <f>VLOOKUP(A31,'2022 CR and CMI'!$A$2:$T$210,19,FALSE)</f>
        <v>1.5842000000000001</v>
      </c>
      <c r="J31" s="139">
        <f>Inflation!$G$24</f>
        <v>1.0309999999999999</v>
      </c>
      <c r="K31" s="192">
        <f>VLOOKUP(E31,Limits!$B$2:$D$5,3,FALSE)</f>
        <v>195.33</v>
      </c>
      <c r="L31" s="192">
        <f t="shared" si="31"/>
        <v>201.39</v>
      </c>
      <c r="M31" s="140">
        <f>VLOOKUP(A31,'CMI Data'!$A$4:$C$208,3,FALSE)</f>
        <v>1.6368</v>
      </c>
      <c r="N31" s="68">
        <f t="shared" si="2"/>
        <v>221.07</v>
      </c>
      <c r="O31" s="68">
        <f t="shared" si="32"/>
        <v>228.41</v>
      </c>
      <c r="P31" s="75">
        <f t="shared" si="33"/>
        <v>216.99</v>
      </c>
      <c r="Q31" s="75">
        <v>179.95</v>
      </c>
      <c r="R31" s="75">
        <f t="shared" si="34"/>
        <v>185.53</v>
      </c>
      <c r="S31" s="68">
        <f t="shared" si="35"/>
        <v>191.69</v>
      </c>
      <c r="T31" s="75">
        <f t="shared" si="36"/>
        <v>-25.3</v>
      </c>
      <c r="U31" s="68">
        <f t="shared" si="37"/>
        <v>203.11</v>
      </c>
      <c r="V31" s="68">
        <f>VLOOKUP($F31,Limits!$J$2:$L$5,3,FALSE)</f>
        <v>20.85</v>
      </c>
      <c r="W31" s="68">
        <f t="shared" si="38"/>
        <v>21.5</v>
      </c>
      <c r="X31" s="68">
        <f>VLOOKUP($F31,Limits!$R$2:$T$5,3,FALSE)</f>
        <v>102.02</v>
      </c>
      <c r="Y31" s="68">
        <f t="shared" si="39"/>
        <v>105.18</v>
      </c>
      <c r="Z31" s="75">
        <f>VLOOKUP(A31,FRV!$A$4:$U$208,21,FALSE)</f>
        <v>22.4</v>
      </c>
      <c r="AA31" s="141">
        <f>VLOOKUP(A31,'RE Tax'!$A$2:$G$206,3,FALSE)</f>
        <v>45292</v>
      </c>
      <c r="AB31" s="141">
        <f>VLOOKUP(A31,'RE Tax'!$A$2:$G$206,4,FALSE)</f>
        <v>45657</v>
      </c>
      <c r="AC31" s="4">
        <f>VLOOKUP(A31,'RE Tax'!$A$2:$G$206,7,FALSE)</f>
        <v>49523</v>
      </c>
      <c r="AD31" s="4">
        <f>VLOOKUP($A31,'RE Tax'!$A$2:$I$206,9,FALSE)</f>
        <v>41358</v>
      </c>
      <c r="AE31" s="4">
        <f>VLOOKUP($A31,'RE Tax'!$A$2:$I$206,8,FALSE)</f>
        <v>38361</v>
      </c>
      <c r="AF31" s="142">
        <f>IF(ISNA(VLOOKUP(A31&amp;AB31,'Days Exceptions'!$C$3:$I$7,6,FALSE)),ROUND(AC31/MAX(AE31,(AD31*Min_Occ)),2),ROUND(AC31/VLOOKUP(A31&amp;AB31,'Days Exceptions'!$C$3:$I$7,6,FALSE),2))</f>
        <v>1.29</v>
      </c>
      <c r="AG31" s="68">
        <v>0</v>
      </c>
      <c r="AH31" s="68">
        <f t="shared" si="40"/>
        <v>0</v>
      </c>
      <c r="AI31" s="4">
        <v>28985</v>
      </c>
      <c r="AJ31" s="4">
        <v>38290</v>
      </c>
      <c r="AK31" s="68">
        <f>IF(AI31=0,0,IF(ISNA(MATCH(A31,Documentation!$B$66:$B$71,0)),QA_Tax_reg,QA_Tax_5high))</f>
        <v>32.92</v>
      </c>
      <c r="AL31" s="75">
        <f t="shared" si="41"/>
        <v>24.92</v>
      </c>
      <c r="AM31" s="68">
        <f t="shared" si="42"/>
        <v>353.48</v>
      </c>
      <c r="AN31" s="68">
        <f t="shared" si="43"/>
        <v>251.93</v>
      </c>
      <c r="AO31" s="68">
        <f t="shared" si="44"/>
        <v>150.37</v>
      </c>
      <c r="AP31" s="37" t="s">
        <v>582</v>
      </c>
      <c r="AQ31" s="37" t="s">
        <v>583</v>
      </c>
      <c r="AR31" s="37" t="s">
        <v>984</v>
      </c>
      <c r="AS31" s="66" t="e">
        <f>VLOOKUP(A31,'CMI Data'!$A$3:$J$209,10,FALSE)</f>
        <v>#DIV/0!</v>
      </c>
      <c r="AT31" s="68">
        <f t="shared" si="3"/>
        <v>214.41</v>
      </c>
      <c r="AU31" s="68" t="e">
        <f t="shared" si="4"/>
        <v>#DIV/0!</v>
      </c>
      <c r="AV31" s="75" t="e">
        <f t="shared" si="45"/>
        <v>#DIV/0!</v>
      </c>
      <c r="AW31" s="68" t="e">
        <f>IF($I31="NA","NA",ROUND(#REF!*$AS31/$I31,2))</f>
        <v>#REF!</v>
      </c>
      <c r="AX31" s="75" t="e">
        <f t="shared" si="46"/>
        <v>#REF!</v>
      </c>
      <c r="AY31" s="68" t="e">
        <f t="shared" si="47"/>
        <v>#REF!</v>
      </c>
      <c r="AZ31" s="4">
        <f t="shared" si="5"/>
        <v>49523</v>
      </c>
      <c r="BA31" s="4">
        <f t="shared" si="6"/>
        <v>41358</v>
      </c>
      <c r="BB31" s="4">
        <f t="shared" si="7"/>
        <v>38361</v>
      </c>
      <c r="BC31" s="142">
        <f>IF(ISNA(VLOOKUP($A31&amp;$AB31,'Days Exceptions'!$C$3:$I$7,6,FALSE)),ROUND(AZ31/MAX(BB31,(BA31*Min_Occ)),2),ROUND(AZ31/VLOOKUP($A31&amp;$AB31,'Days Exceptions'!$C$3:$I$7,6,FALSE),2))</f>
        <v>1.29</v>
      </c>
      <c r="BD31" s="143" t="e">
        <f t="shared" si="8"/>
        <v>#REF!</v>
      </c>
      <c r="BE31" s="143" t="e">
        <f t="shared" si="9"/>
        <v>#REF!</v>
      </c>
      <c r="BF31" s="143">
        <f t="shared" si="10"/>
        <v>146.56</v>
      </c>
      <c r="BG31" s="37" t="s">
        <v>582</v>
      </c>
      <c r="BH31" s="37" t="s">
        <v>583</v>
      </c>
      <c r="BI31" s="37" t="s">
        <v>1188</v>
      </c>
      <c r="BJ31" s="66" t="e">
        <f>VLOOKUP(A31,'CMI Data'!$A$3:$AZ$209,15,FALSE)</f>
        <v>#DIV/0!</v>
      </c>
      <c r="BK31" s="68">
        <f t="shared" si="11"/>
        <v>214.41</v>
      </c>
      <c r="BL31" s="68" t="e">
        <f t="shared" si="12"/>
        <v>#DIV/0!</v>
      </c>
      <c r="BM31" s="75" t="e">
        <f t="shared" si="13"/>
        <v>#DIV/0!</v>
      </c>
      <c r="BN31" s="68" t="e">
        <f>IF($I31="NA","NA",ROUND(#REF!*$BJ31/$I31,2))</f>
        <v>#REF!</v>
      </c>
      <c r="BO31" s="75" t="e">
        <f t="shared" si="14"/>
        <v>#REF!</v>
      </c>
      <c r="BP31" s="68" t="e">
        <f t="shared" si="48"/>
        <v>#REF!</v>
      </c>
      <c r="BQ31" s="4">
        <f t="shared" si="15"/>
        <v>49523</v>
      </c>
      <c r="BR31" s="4">
        <f t="shared" si="16"/>
        <v>41358</v>
      </c>
      <c r="BS31" s="4">
        <f t="shared" si="17"/>
        <v>38361</v>
      </c>
      <c r="BT31" s="142">
        <f>IF(ISNA(VLOOKUP($A31&amp;$AB31,'Days Exceptions'!$C$3:$I$7,6,FALSE)),ROUND(BQ31/MAX(BS31,(BR31*Min_Occ)),2),ROUND(BQ31/VLOOKUP($A31&amp;$AB31,'Days Exceptions'!$C$3:$I$7,6,FALSE),2))</f>
        <v>1.29</v>
      </c>
      <c r="BU31" s="143" t="e">
        <f t="shared" si="18"/>
        <v>#REF!</v>
      </c>
      <c r="BV31" s="143" t="e">
        <f t="shared" si="19"/>
        <v>#REF!</v>
      </c>
      <c r="BW31" s="143">
        <f t="shared" si="20"/>
        <v>146.56</v>
      </c>
      <c r="BX31" s="37" t="s">
        <v>582</v>
      </c>
      <c r="BY31" s="37" t="s">
        <v>583</v>
      </c>
      <c r="BZ31" s="37" t="s">
        <v>1420</v>
      </c>
      <c r="CA31" s="66" t="e">
        <f>VLOOKUP(A31,'CMI Data'!$A$3:$AZ$209,20,FALSE)</f>
        <v>#DIV/0!</v>
      </c>
      <c r="CB31" s="68">
        <f t="shared" si="21"/>
        <v>214.41</v>
      </c>
      <c r="CC31" s="68" t="e">
        <f t="shared" si="22"/>
        <v>#DIV/0!</v>
      </c>
      <c r="CD31" s="75" t="e">
        <f t="shared" si="49"/>
        <v>#DIV/0!</v>
      </c>
      <c r="CE31" s="68" t="e">
        <f>IF($I31="NA","NA",ROUND(#REF!*$CA31/$I31,2))</f>
        <v>#REF!</v>
      </c>
      <c r="CF31" s="75" t="e">
        <f t="shared" si="23"/>
        <v>#REF!</v>
      </c>
      <c r="CG31" s="68" t="e">
        <f t="shared" si="24"/>
        <v>#REF!</v>
      </c>
      <c r="CH31" s="4">
        <f t="shared" si="25"/>
        <v>49523</v>
      </c>
      <c r="CI31" s="4">
        <f t="shared" si="26"/>
        <v>41358</v>
      </c>
      <c r="CJ31" s="4">
        <f t="shared" si="27"/>
        <v>38361</v>
      </c>
      <c r="CK31" s="142">
        <f>IF(ISNA(VLOOKUP($A31&amp;$AB31,'Days Exceptions'!$C$3:$I$7,6,FALSE)),ROUND(CH31/MAX(CJ31,(CI31*Min_Occ)),2),ROUND(CH31/VLOOKUP($A31&amp;$AB31,'Days Exceptions'!$C$3:$I$7,6,FALSE),2))</f>
        <v>1.29</v>
      </c>
      <c r="CL31" s="143" t="e">
        <f t="shared" si="28"/>
        <v>#REF!</v>
      </c>
      <c r="CM31" s="143" t="e">
        <f t="shared" si="29"/>
        <v>#REF!</v>
      </c>
      <c r="CN31" s="143">
        <f t="shared" si="30"/>
        <v>146.56</v>
      </c>
      <c r="CO31" s="37" t="s">
        <v>582</v>
      </c>
      <c r="CP31" s="37" t="s">
        <v>583</v>
      </c>
      <c r="CQ31" s="37" t="s">
        <v>1421</v>
      </c>
    </row>
    <row r="32" spans="1:95" x14ac:dyDescent="0.15">
      <c r="A32" s="130">
        <v>282</v>
      </c>
      <c r="B32" s="37" t="s">
        <v>555</v>
      </c>
      <c r="C32" s="1" t="s">
        <v>148</v>
      </c>
      <c r="D32" s="1" t="s">
        <v>102</v>
      </c>
      <c r="E32" s="1" t="str">
        <f>VLOOKUP(D32,Documentation!$B$4:$D$27,3,FALSE)</f>
        <v>BALTIMORE METRO</v>
      </c>
      <c r="F32" s="1" t="str">
        <f>VLOOKUP(D32,Documentation!$B$4:$C$27,2,FALSE)</f>
        <v>BALTIMORE CITY</v>
      </c>
      <c r="G32" s="82">
        <f>VLOOKUP(A32,'2022 CR and CMI'!$A$3:$D$207,3,FALSE)</f>
        <v>44562</v>
      </c>
      <c r="H32" s="82">
        <f>VLOOKUP(A32,'2022 CR and CMI'!$A$3:$D$207,4,FALSE)</f>
        <v>44926</v>
      </c>
      <c r="I32" s="72">
        <f>VLOOKUP(A32,'2022 CR and CMI'!$A$2:$T$210,19,FALSE)</f>
        <v>1.5710999999999999</v>
      </c>
      <c r="J32" s="139">
        <f>Inflation!$G$24</f>
        <v>1.0309999999999999</v>
      </c>
      <c r="K32" s="192">
        <f>VLOOKUP(E32,Limits!$B$2:$D$5,3,FALSE)</f>
        <v>195.33</v>
      </c>
      <c r="L32" s="192">
        <f t="shared" si="31"/>
        <v>201.39</v>
      </c>
      <c r="M32" s="140">
        <f>VLOOKUP(A32,'CMI Data'!$A$4:$C$208,3,FALSE)</f>
        <v>1.4883</v>
      </c>
      <c r="N32" s="68">
        <f t="shared" si="2"/>
        <v>219.24</v>
      </c>
      <c r="O32" s="68">
        <f t="shared" si="32"/>
        <v>207.69</v>
      </c>
      <c r="P32" s="75">
        <f t="shared" si="33"/>
        <v>197.31</v>
      </c>
      <c r="Q32" s="75">
        <v>185.3</v>
      </c>
      <c r="R32" s="75">
        <f t="shared" si="34"/>
        <v>191.04</v>
      </c>
      <c r="S32" s="68">
        <f t="shared" si="35"/>
        <v>180.97</v>
      </c>
      <c r="T32" s="75">
        <f t="shared" si="36"/>
        <v>-16.34</v>
      </c>
      <c r="U32" s="68">
        <f t="shared" si="37"/>
        <v>191.35</v>
      </c>
      <c r="V32" s="68">
        <f>VLOOKUP($F32,Limits!$J$2:$L$5,3,FALSE)</f>
        <v>24.89</v>
      </c>
      <c r="W32" s="68">
        <f t="shared" si="38"/>
        <v>25.66</v>
      </c>
      <c r="X32" s="68">
        <f>VLOOKUP($F32,Limits!$R$2:$T$5,3,FALSE)</f>
        <v>114.15</v>
      </c>
      <c r="Y32" s="68">
        <f t="shared" si="39"/>
        <v>117.69</v>
      </c>
      <c r="Z32" s="75">
        <f>VLOOKUP(A32,FRV!$A$4:$U$208,21,FALSE)</f>
        <v>35.619999999999997</v>
      </c>
      <c r="AA32" s="141">
        <f>VLOOKUP(A32,'RE Tax'!$A$2:$G$206,3,FALSE)</f>
        <v>45292</v>
      </c>
      <c r="AB32" s="141">
        <f>VLOOKUP(A32,'RE Tax'!$A$2:$G$206,4,FALSE)</f>
        <v>45657</v>
      </c>
      <c r="AC32" s="4">
        <f>VLOOKUP(A32,'RE Tax'!$A$2:$G$206,7,FALSE)</f>
        <v>301052</v>
      </c>
      <c r="AD32" s="4">
        <f>VLOOKUP($A32,'RE Tax'!$A$2:$I$206,9,FALSE)</f>
        <v>49410</v>
      </c>
      <c r="AE32" s="4">
        <f>VLOOKUP($A32,'RE Tax'!$A$2:$I$206,8,FALSE)</f>
        <v>40760</v>
      </c>
      <c r="AF32" s="142">
        <f>IF(ISNA(VLOOKUP(A32&amp;AB32,'Days Exceptions'!$C$3:$I$7,6,FALSE)),ROUND(AC32/MAX(AE32,(AD32*Min_Occ)),2),ROUND(AC32/VLOOKUP(A32&amp;AB32,'Days Exceptions'!$C$3:$I$7,6,FALSE),2))</f>
        <v>7.39</v>
      </c>
      <c r="AG32" s="68">
        <v>0</v>
      </c>
      <c r="AH32" s="68">
        <f t="shared" si="40"/>
        <v>0</v>
      </c>
      <c r="AI32" s="4">
        <v>34662</v>
      </c>
      <c r="AJ32" s="4">
        <v>40759</v>
      </c>
      <c r="AK32" s="68">
        <f>IF(AI32=0,0,IF(ISNA(MATCH(A32,Documentation!$B$66:$B$71,0)),QA_Tax_reg,QA_Tax_5high))</f>
        <v>32.92</v>
      </c>
      <c r="AL32" s="75">
        <f t="shared" si="41"/>
        <v>28</v>
      </c>
      <c r="AM32" s="68">
        <f t="shared" si="42"/>
        <v>377.71</v>
      </c>
      <c r="AN32" s="68">
        <f t="shared" si="43"/>
        <v>282.04000000000002</v>
      </c>
      <c r="AO32" s="68">
        <f t="shared" si="44"/>
        <v>186.36</v>
      </c>
      <c r="AP32" s="37" t="s">
        <v>554</v>
      </c>
      <c r="AQ32" s="37" t="s">
        <v>555</v>
      </c>
      <c r="AR32" s="37" t="s">
        <v>985</v>
      </c>
      <c r="AS32" s="66" t="e">
        <f>VLOOKUP(A32,'CMI Data'!$A$3:$J$209,10,FALSE)</f>
        <v>#DIV/0!</v>
      </c>
      <c r="AT32" s="68">
        <f t="shared" si="3"/>
        <v>212.64</v>
      </c>
      <c r="AU32" s="68" t="e">
        <f t="shared" si="4"/>
        <v>#DIV/0!</v>
      </c>
      <c r="AV32" s="75" t="e">
        <f t="shared" si="45"/>
        <v>#DIV/0!</v>
      </c>
      <c r="AW32" s="68" t="e">
        <f>IF($I32="NA","NA",ROUND(#REF!*$AS32/$I32,2))</f>
        <v>#REF!</v>
      </c>
      <c r="AX32" s="75" t="e">
        <f t="shared" si="46"/>
        <v>#REF!</v>
      </c>
      <c r="AY32" s="68" t="e">
        <f t="shared" si="47"/>
        <v>#REF!</v>
      </c>
      <c r="AZ32" s="4">
        <f t="shared" si="5"/>
        <v>301052</v>
      </c>
      <c r="BA32" s="4">
        <f t="shared" si="6"/>
        <v>49410</v>
      </c>
      <c r="BB32" s="4">
        <f t="shared" si="7"/>
        <v>40760</v>
      </c>
      <c r="BC32" s="142">
        <f>IF(ISNA(VLOOKUP($A32&amp;$AB32,'Days Exceptions'!$C$3:$I$7,6,FALSE)),ROUND(AZ32/MAX(BB32,(BA32*Min_Occ)),2),ROUND(AZ32/VLOOKUP($A32&amp;$AB32,'Days Exceptions'!$C$3:$I$7,6,FALSE),2))</f>
        <v>7.39</v>
      </c>
      <c r="BD32" s="143" t="e">
        <f t="shared" si="8"/>
        <v>#REF!</v>
      </c>
      <c r="BE32" s="143" t="e">
        <f t="shared" si="9"/>
        <v>#REF!</v>
      </c>
      <c r="BF32" s="143">
        <f t="shared" si="10"/>
        <v>182.05</v>
      </c>
      <c r="BG32" s="37" t="s">
        <v>554</v>
      </c>
      <c r="BH32" s="37" t="s">
        <v>555</v>
      </c>
      <c r="BI32" s="37" t="s">
        <v>1189</v>
      </c>
      <c r="BJ32" s="66" t="e">
        <f>VLOOKUP(A32,'CMI Data'!$A$3:$AZ$209,15,FALSE)</f>
        <v>#DIV/0!</v>
      </c>
      <c r="BK32" s="68">
        <f t="shared" si="11"/>
        <v>212.64</v>
      </c>
      <c r="BL32" s="68" t="e">
        <f t="shared" si="12"/>
        <v>#DIV/0!</v>
      </c>
      <c r="BM32" s="75" t="e">
        <f t="shared" si="13"/>
        <v>#DIV/0!</v>
      </c>
      <c r="BN32" s="68" t="e">
        <f>IF($I32="NA","NA",ROUND(#REF!*$BJ32/$I32,2))</f>
        <v>#REF!</v>
      </c>
      <c r="BO32" s="75" t="e">
        <f t="shared" si="14"/>
        <v>#REF!</v>
      </c>
      <c r="BP32" s="68" t="e">
        <f t="shared" si="48"/>
        <v>#REF!</v>
      </c>
      <c r="BQ32" s="4">
        <f t="shared" si="15"/>
        <v>301052</v>
      </c>
      <c r="BR32" s="4">
        <f t="shared" si="16"/>
        <v>49410</v>
      </c>
      <c r="BS32" s="4">
        <f t="shared" si="17"/>
        <v>40760</v>
      </c>
      <c r="BT32" s="142">
        <f>IF(ISNA(VLOOKUP($A32&amp;$AB32,'Days Exceptions'!$C$3:$I$7,6,FALSE)),ROUND(BQ32/MAX(BS32,(BR32*Min_Occ)),2),ROUND(BQ32/VLOOKUP($A32&amp;$AB32,'Days Exceptions'!$C$3:$I$7,6,FALSE),2))</f>
        <v>7.39</v>
      </c>
      <c r="BU32" s="143" t="e">
        <f t="shared" si="18"/>
        <v>#REF!</v>
      </c>
      <c r="BV32" s="143" t="e">
        <f t="shared" si="19"/>
        <v>#REF!</v>
      </c>
      <c r="BW32" s="143">
        <f t="shared" si="20"/>
        <v>182.05</v>
      </c>
      <c r="BX32" s="37" t="s">
        <v>554</v>
      </c>
      <c r="BY32" s="37" t="s">
        <v>555</v>
      </c>
      <c r="BZ32" s="37" t="s">
        <v>1422</v>
      </c>
      <c r="CA32" s="66" t="e">
        <f>VLOOKUP(A32,'CMI Data'!$A$3:$AZ$209,20,FALSE)</f>
        <v>#DIV/0!</v>
      </c>
      <c r="CB32" s="68">
        <f t="shared" si="21"/>
        <v>212.64</v>
      </c>
      <c r="CC32" s="68" t="e">
        <f t="shared" si="22"/>
        <v>#DIV/0!</v>
      </c>
      <c r="CD32" s="75" t="e">
        <f t="shared" si="49"/>
        <v>#DIV/0!</v>
      </c>
      <c r="CE32" s="68" t="e">
        <f>IF($I32="NA","NA",ROUND(#REF!*$CA32/$I32,2))</f>
        <v>#REF!</v>
      </c>
      <c r="CF32" s="75" t="e">
        <f t="shared" si="23"/>
        <v>#REF!</v>
      </c>
      <c r="CG32" s="68" t="e">
        <f t="shared" si="24"/>
        <v>#REF!</v>
      </c>
      <c r="CH32" s="4">
        <f t="shared" si="25"/>
        <v>301052</v>
      </c>
      <c r="CI32" s="4">
        <f t="shared" si="26"/>
        <v>49410</v>
      </c>
      <c r="CJ32" s="4">
        <f t="shared" si="27"/>
        <v>40760</v>
      </c>
      <c r="CK32" s="142">
        <f>IF(ISNA(VLOOKUP($A32&amp;$AB32,'Days Exceptions'!$C$3:$I$7,6,FALSE)),ROUND(CH32/MAX(CJ32,(CI32*Min_Occ)),2),ROUND(CH32/VLOOKUP($A32&amp;$AB32,'Days Exceptions'!$C$3:$I$7,6,FALSE),2))</f>
        <v>7.39</v>
      </c>
      <c r="CL32" s="143" t="e">
        <f t="shared" si="28"/>
        <v>#REF!</v>
      </c>
      <c r="CM32" s="143" t="e">
        <f t="shared" si="29"/>
        <v>#REF!</v>
      </c>
      <c r="CN32" s="143">
        <f t="shared" si="30"/>
        <v>182.05</v>
      </c>
      <c r="CO32" s="37" t="s">
        <v>554</v>
      </c>
      <c r="CP32" s="37" t="s">
        <v>555</v>
      </c>
      <c r="CQ32" s="37" t="s">
        <v>1423</v>
      </c>
    </row>
    <row r="33" spans="1:95" x14ac:dyDescent="0.15">
      <c r="A33" s="130">
        <v>284</v>
      </c>
      <c r="B33" s="37" t="s">
        <v>639</v>
      </c>
      <c r="C33" s="1" t="s">
        <v>148</v>
      </c>
      <c r="D33" s="1" t="s">
        <v>110</v>
      </c>
      <c r="E33" s="1" t="str">
        <f>VLOOKUP(D33,Documentation!$B$4:$D$27,3,FALSE)</f>
        <v>BALTIMORE METRO</v>
      </c>
      <c r="F33" s="1" t="str">
        <f>VLOOKUP(D33,Documentation!$B$4:$C$27,2,FALSE)</f>
        <v>BALTIMORE METRO</v>
      </c>
      <c r="G33" s="82">
        <f>VLOOKUP(A33,'2022 CR and CMI'!$A$3:$D$207,3,FALSE)</f>
        <v>44774</v>
      </c>
      <c r="H33" s="82">
        <f>VLOOKUP(A33,'2022 CR and CMI'!$A$3:$D$207,4,FALSE)</f>
        <v>44926</v>
      </c>
      <c r="I33" s="72">
        <f>VLOOKUP(A33,'2022 CR and CMI'!$A$2:$T$210,19,FALSE)</f>
        <v>1.4744999999999999</v>
      </c>
      <c r="J33" s="139">
        <f>Inflation!$G$24</f>
        <v>1.0309999999999999</v>
      </c>
      <c r="K33" s="192">
        <f>VLOOKUP(E33,Limits!$B$2:$D$5,3,FALSE)</f>
        <v>195.33</v>
      </c>
      <c r="L33" s="192">
        <f t="shared" si="31"/>
        <v>201.39</v>
      </c>
      <c r="M33" s="140">
        <f>VLOOKUP(A33,'CMI Data'!$A$4:$C$208,3,FALSE)</f>
        <v>1.4741</v>
      </c>
      <c r="N33" s="68">
        <f t="shared" si="2"/>
        <v>205.76</v>
      </c>
      <c r="O33" s="68">
        <f t="shared" si="32"/>
        <v>205.7</v>
      </c>
      <c r="P33" s="75">
        <f t="shared" si="33"/>
        <v>195.42</v>
      </c>
      <c r="Q33" s="75">
        <v>211.68</v>
      </c>
      <c r="R33" s="75">
        <f t="shared" si="34"/>
        <v>218.24</v>
      </c>
      <c r="S33" s="68">
        <f t="shared" si="35"/>
        <v>218.18</v>
      </c>
      <c r="T33" s="75">
        <f t="shared" si="36"/>
        <v>0</v>
      </c>
      <c r="U33" s="68">
        <f t="shared" si="37"/>
        <v>205.7</v>
      </c>
      <c r="V33" s="68">
        <f>VLOOKUP($F33,Limits!$J$2:$L$5,3,FALSE)</f>
        <v>20.85</v>
      </c>
      <c r="W33" s="68">
        <f t="shared" si="38"/>
        <v>21.5</v>
      </c>
      <c r="X33" s="68">
        <f>VLOOKUP($F33,Limits!$R$2:$T$5,3,FALSE)</f>
        <v>102.02</v>
      </c>
      <c r="Y33" s="68">
        <f t="shared" si="39"/>
        <v>105.18</v>
      </c>
      <c r="Z33" s="75">
        <f>VLOOKUP(A33,FRV!$A$4:$U$208,21,FALSE)</f>
        <v>37.03</v>
      </c>
      <c r="AA33" s="141">
        <f>VLOOKUP(A33,'RE Tax'!$A$2:$G$206,3,FALSE)</f>
        <v>45292</v>
      </c>
      <c r="AB33" s="141">
        <f>VLOOKUP(A33,'RE Tax'!$A$2:$G$206,4,FALSE)</f>
        <v>45657</v>
      </c>
      <c r="AC33" s="4">
        <f>VLOOKUP(A33,'RE Tax'!$A$2:$G$206,7,FALSE)</f>
        <v>77427</v>
      </c>
      <c r="AD33" s="4">
        <f>VLOOKUP($A33,'RE Tax'!$A$2:$I$206,9,FALSE)</f>
        <v>39528</v>
      </c>
      <c r="AE33" s="4">
        <f>VLOOKUP($A33,'RE Tax'!$A$2:$I$206,8,FALSE)</f>
        <v>35822</v>
      </c>
      <c r="AF33" s="142">
        <f>IF(ISNA(VLOOKUP(A33&amp;AB33,'Days Exceptions'!$C$3:$I$7,6,FALSE)),ROUND(AC33/MAX(AE33,(AD33*Min_Occ)),2),ROUND(AC33/VLOOKUP(A33&amp;AB33,'Days Exceptions'!$C$3:$I$7,6,FALSE),2))</f>
        <v>2.16</v>
      </c>
      <c r="AG33" s="68">
        <v>0</v>
      </c>
      <c r="AH33" s="68">
        <f t="shared" si="40"/>
        <v>0</v>
      </c>
      <c r="AI33" s="4">
        <v>24606</v>
      </c>
      <c r="AJ33" s="4">
        <v>35160</v>
      </c>
      <c r="AK33" s="68">
        <f>IF(AI33=0,0,IF(ISNA(MATCH(A33,Documentation!$B$66:$B$71,0)),QA_Tax_reg,QA_Tax_5high))</f>
        <v>32.92</v>
      </c>
      <c r="AL33" s="75">
        <f t="shared" si="41"/>
        <v>23.04</v>
      </c>
      <c r="AM33" s="68">
        <f t="shared" si="42"/>
        <v>371.57</v>
      </c>
      <c r="AN33" s="68">
        <f t="shared" si="43"/>
        <v>268.72000000000003</v>
      </c>
      <c r="AO33" s="68">
        <f t="shared" si="44"/>
        <v>165.87</v>
      </c>
      <c r="AP33" s="37" t="s">
        <v>660</v>
      </c>
      <c r="AQ33" s="37" t="s">
        <v>639</v>
      </c>
      <c r="AR33" s="37" t="s">
        <v>986</v>
      </c>
      <c r="AS33" s="66" t="e">
        <f>VLOOKUP(A33,'CMI Data'!$A$3:$J$209,10,FALSE)</f>
        <v>#DIV/0!</v>
      </c>
      <c r="AT33" s="68">
        <f t="shared" si="3"/>
        <v>199.57</v>
      </c>
      <c r="AU33" s="68" t="e">
        <f t="shared" si="4"/>
        <v>#DIV/0!</v>
      </c>
      <c r="AV33" s="75" t="e">
        <f t="shared" si="45"/>
        <v>#DIV/0!</v>
      </c>
      <c r="AW33" s="68" t="e">
        <f>IF($I33="NA","NA",ROUND(#REF!*$AS33/$I33,2))</f>
        <v>#REF!</v>
      </c>
      <c r="AX33" s="75" t="e">
        <f t="shared" si="46"/>
        <v>#REF!</v>
      </c>
      <c r="AY33" s="68" t="e">
        <f t="shared" si="47"/>
        <v>#REF!</v>
      </c>
      <c r="AZ33" s="4">
        <f t="shared" si="5"/>
        <v>77427</v>
      </c>
      <c r="BA33" s="4">
        <f t="shared" si="6"/>
        <v>39528</v>
      </c>
      <c r="BB33" s="4">
        <f t="shared" si="7"/>
        <v>35822</v>
      </c>
      <c r="BC33" s="142">
        <f>IF(ISNA(VLOOKUP($A33&amp;$AB33,'Days Exceptions'!$C$3:$I$7,6,FALSE)),ROUND(AZ33/MAX(BB33,(BA33*Min_Occ)),2),ROUND(AZ33/VLOOKUP($A33&amp;$AB33,'Days Exceptions'!$C$3:$I$7,6,FALSE),2))</f>
        <v>2.16</v>
      </c>
      <c r="BD33" s="143" t="e">
        <f t="shared" si="8"/>
        <v>#REF!</v>
      </c>
      <c r="BE33" s="143" t="e">
        <f t="shared" si="9"/>
        <v>#REF!</v>
      </c>
      <c r="BF33" s="143">
        <f t="shared" si="10"/>
        <v>162.06</v>
      </c>
      <c r="BG33" s="37" t="s">
        <v>660</v>
      </c>
      <c r="BH33" s="37" t="s">
        <v>639</v>
      </c>
      <c r="BI33" s="37" t="s">
        <v>1190</v>
      </c>
      <c r="BJ33" s="66" t="e">
        <f>VLOOKUP(A33,'CMI Data'!$A$3:$AZ$209,15,FALSE)</f>
        <v>#DIV/0!</v>
      </c>
      <c r="BK33" s="68">
        <f t="shared" si="11"/>
        <v>199.57</v>
      </c>
      <c r="BL33" s="68" t="e">
        <f t="shared" si="12"/>
        <v>#DIV/0!</v>
      </c>
      <c r="BM33" s="75" t="e">
        <f t="shared" si="13"/>
        <v>#DIV/0!</v>
      </c>
      <c r="BN33" s="68" t="e">
        <f>IF($I33="NA","NA",ROUND(#REF!*$BJ33/$I33,2))</f>
        <v>#REF!</v>
      </c>
      <c r="BO33" s="75" t="e">
        <f t="shared" si="14"/>
        <v>#REF!</v>
      </c>
      <c r="BP33" s="68" t="e">
        <f t="shared" si="48"/>
        <v>#REF!</v>
      </c>
      <c r="BQ33" s="4">
        <f t="shared" si="15"/>
        <v>77427</v>
      </c>
      <c r="BR33" s="4">
        <f t="shared" si="16"/>
        <v>39528</v>
      </c>
      <c r="BS33" s="4">
        <f t="shared" si="17"/>
        <v>35822</v>
      </c>
      <c r="BT33" s="142">
        <f>IF(ISNA(VLOOKUP($A33&amp;$AB33,'Days Exceptions'!$C$3:$I$7,6,FALSE)),ROUND(BQ33/MAX(BS33,(BR33*Min_Occ)),2),ROUND(BQ33/VLOOKUP($A33&amp;$AB33,'Days Exceptions'!$C$3:$I$7,6,FALSE),2))</f>
        <v>2.16</v>
      </c>
      <c r="BU33" s="143" t="e">
        <f t="shared" si="18"/>
        <v>#REF!</v>
      </c>
      <c r="BV33" s="143" t="e">
        <f t="shared" si="19"/>
        <v>#REF!</v>
      </c>
      <c r="BW33" s="143">
        <f t="shared" si="20"/>
        <v>162.06</v>
      </c>
      <c r="BX33" s="37" t="s">
        <v>660</v>
      </c>
      <c r="BY33" s="37" t="s">
        <v>639</v>
      </c>
      <c r="BZ33" s="37" t="s">
        <v>1424</v>
      </c>
      <c r="CA33" s="66" t="e">
        <f>VLOOKUP(A33,'CMI Data'!$A$3:$AZ$209,20,FALSE)</f>
        <v>#DIV/0!</v>
      </c>
      <c r="CB33" s="68">
        <f t="shared" si="21"/>
        <v>199.57</v>
      </c>
      <c r="CC33" s="68" t="e">
        <f t="shared" si="22"/>
        <v>#DIV/0!</v>
      </c>
      <c r="CD33" s="75" t="e">
        <f t="shared" si="49"/>
        <v>#DIV/0!</v>
      </c>
      <c r="CE33" s="68" t="e">
        <f>IF($I33="NA","NA",ROUND(#REF!*$CA33/$I33,2))</f>
        <v>#REF!</v>
      </c>
      <c r="CF33" s="75" t="e">
        <f t="shared" si="23"/>
        <v>#REF!</v>
      </c>
      <c r="CG33" s="68" t="e">
        <f t="shared" si="24"/>
        <v>#REF!</v>
      </c>
      <c r="CH33" s="4">
        <f t="shared" si="25"/>
        <v>77427</v>
      </c>
      <c r="CI33" s="4">
        <f t="shared" si="26"/>
        <v>39528</v>
      </c>
      <c r="CJ33" s="4">
        <f t="shared" si="27"/>
        <v>35822</v>
      </c>
      <c r="CK33" s="142">
        <f>IF(ISNA(VLOOKUP($A33&amp;$AB33,'Days Exceptions'!$C$3:$I$7,6,FALSE)),ROUND(CH33/MAX(CJ33,(CI33*Min_Occ)),2),ROUND(CH33/VLOOKUP($A33&amp;$AB33,'Days Exceptions'!$C$3:$I$7,6,FALSE),2))</f>
        <v>2.16</v>
      </c>
      <c r="CL33" s="143" t="e">
        <f t="shared" si="28"/>
        <v>#REF!</v>
      </c>
      <c r="CM33" s="143" t="e">
        <f t="shared" si="29"/>
        <v>#REF!</v>
      </c>
      <c r="CN33" s="143">
        <f t="shared" si="30"/>
        <v>162.06</v>
      </c>
      <c r="CO33" s="37" t="s">
        <v>660</v>
      </c>
      <c r="CP33" s="37" t="s">
        <v>639</v>
      </c>
      <c r="CQ33" s="37" t="s">
        <v>1425</v>
      </c>
    </row>
    <row r="34" spans="1:95" x14ac:dyDescent="0.15">
      <c r="A34" s="130">
        <v>240</v>
      </c>
      <c r="B34" s="37" t="s">
        <v>641</v>
      </c>
      <c r="C34" s="1" t="s">
        <v>148</v>
      </c>
      <c r="D34" s="1" t="s">
        <v>119</v>
      </c>
      <c r="E34" s="1" t="str">
        <f>VLOOKUP(D34,Documentation!$B$4:$D$27,3,FALSE)</f>
        <v>WASHINGTON METRO</v>
      </c>
      <c r="F34" s="1" t="str">
        <f>VLOOKUP(D34,Documentation!$B$4:$C$27,2,FALSE)</f>
        <v>WASHINGTON METRO</v>
      </c>
      <c r="G34" s="82">
        <f>VLOOKUP(A34,'2022 CR and CMI'!$A$3:$D$207,3,FALSE)</f>
        <v>44774</v>
      </c>
      <c r="H34" s="82">
        <f>VLOOKUP(A34,'2022 CR and CMI'!$A$3:$D$207,4,FALSE)</f>
        <v>44926</v>
      </c>
      <c r="I34" s="72">
        <f>VLOOKUP(A34,'2022 CR and CMI'!$A$2:$T$210,19,FALSE)</f>
        <v>1.4957</v>
      </c>
      <c r="J34" s="139">
        <f>Inflation!$G$24</f>
        <v>1.0309999999999999</v>
      </c>
      <c r="K34" s="192">
        <f>VLOOKUP(E34,Limits!$B$2:$D$5,3,FALSE)</f>
        <v>176.01</v>
      </c>
      <c r="L34" s="192">
        <f t="shared" si="31"/>
        <v>181.47</v>
      </c>
      <c r="M34" s="140">
        <f>VLOOKUP(A34,'CMI Data'!$A$4:$C$208,3,FALSE)</f>
        <v>1.5972999999999999</v>
      </c>
      <c r="N34" s="68">
        <f t="shared" si="2"/>
        <v>188.07</v>
      </c>
      <c r="O34" s="68">
        <f t="shared" si="32"/>
        <v>200.85</v>
      </c>
      <c r="P34" s="75">
        <f t="shared" si="33"/>
        <v>190.81</v>
      </c>
      <c r="Q34" s="75">
        <v>208.23</v>
      </c>
      <c r="R34" s="75">
        <f t="shared" si="34"/>
        <v>214.69</v>
      </c>
      <c r="S34" s="68">
        <f t="shared" si="35"/>
        <v>229.27</v>
      </c>
      <c r="T34" s="75">
        <f t="shared" si="36"/>
        <v>0</v>
      </c>
      <c r="U34" s="68">
        <f t="shared" si="37"/>
        <v>200.85</v>
      </c>
      <c r="V34" s="68">
        <f>VLOOKUP($F34,Limits!$J$2:$L$5,3,FALSE)</f>
        <v>19.23</v>
      </c>
      <c r="W34" s="68">
        <f t="shared" si="38"/>
        <v>19.829999999999998</v>
      </c>
      <c r="X34" s="68">
        <f>VLOOKUP($F34,Limits!$R$2:$T$5,3,FALSE)</f>
        <v>100.61</v>
      </c>
      <c r="Y34" s="68">
        <f t="shared" si="39"/>
        <v>103.73</v>
      </c>
      <c r="Z34" s="75">
        <f>VLOOKUP(A34,FRV!$A$4:$U$208,21,FALSE)</f>
        <v>41.28</v>
      </c>
      <c r="AA34" s="141">
        <f>VLOOKUP(A34,'RE Tax'!$A$2:$G$206,3,FALSE)</f>
        <v>45292</v>
      </c>
      <c r="AB34" s="141">
        <f>VLOOKUP(A34,'RE Tax'!$A$2:$G$206,4,FALSE)</f>
        <v>45657</v>
      </c>
      <c r="AC34" s="4">
        <f>VLOOKUP(A34,'RE Tax'!$A$2:$G$206,7,FALSE)</f>
        <v>124051</v>
      </c>
      <c r="AD34" s="4">
        <f>VLOOKUP($A34,'RE Tax'!$A$2:$I$206,9,FALSE)</f>
        <v>54900</v>
      </c>
      <c r="AE34" s="4">
        <f>VLOOKUP($A34,'RE Tax'!$A$2:$I$206,8,FALSE)</f>
        <v>47885</v>
      </c>
      <c r="AF34" s="142">
        <f>IF(ISNA(VLOOKUP(A34&amp;AB34,'Days Exceptions'!$C$3:$I$7,6,FALSE)),ROUND(AC34/MAX(AE34,(AD34*Min_Occ)),2),ROUND(AC34/VLOOKUP(A34&amp;AB34,'Days Exceptions'!$C$3:$I$7,6,FALSE),2))</f>
        <v>2.59</v>
      </c>
      <c r="AG34" s="68">
        <v>0</v>
      </c>
      <c r="AH34" s="68">
        <f t="shared" si="40"/>
        <v>0</v>
      </c>
      <c r="AI34" s="4">
        <v>32055</v>
      </c>
      <c r="AJ34" s="4">
        <v>47018</v>
      </c>
      <c r="AK34" s="68">
        <f>IF(AI34=0,0,IF(ISNA(MATCH(A34,Documentation!$B$66:$B$71,0)),QA_Tax_reg,QA_Tax_5high))</f>
        <v>32.92</v>
      </c>
      <c r="AL34" s="75">
        <f t="shared" si="41"/>
        <v>22.44</v>
      </c>
      <c r="AM34" s="68">
        <f t="shared" si="42"/>
        <v>368.28</v>
      </c>
      <c r="AN34" s="68">
        <f t="shared" si="43"/>
        <v>267.86</v>
      </c>
      <c r="AO34" s="68">
        <f t="shared" si="44"/>
        <v>167.43</v>
      </c>
      <c r="AP34" s="37" t="s">
        <v>640</v>
      </c>
      <c r="AQ34" s="37" t="s">
        <v>641</v>
      </c>
      <c r="AR34" s="37" t="s">
        <v>987</v>
      </c>
      <c r="AS34" s="66" t="e">
        <f>VLOOKUP(A34,'CMI Data'!$A$3:$J$209,10,FALSE)</f>
        <v>#DIV/0!</v>
      </c>
      <c r="AT34" s="68">
        <f t="shared" si="3"/>
        <v>182.41</v>
      </c>
      <c r="AU34" s="68" t="e">
        <f t="shared" si="4"/>
        <v>#DIV/0!</v>
      </c>
      <c r="AV34" s="75" t="e">
        <f t="shared" si="45"/>
        <v>#DIV/0!</v>
      </c>
      <c r="AW34" s="68" t="e">
        <f>IF($I34="NA","NA",ROUND(#REF!*$AS34/$I34,2))</f>
        <v>#REF!</v>
      </c>
      <c r="AX34" s="75" t="e">
        <f t="shared" si="46"/>
        <v>#REF!</v>
      </c>
      <c r="AY34" s="68" t="e">
        <f t="shared" si="47"/>
        <v>#REF!</v>
      </c>
      <c r="AZ34" s="4">
        <f t="shared" si="5"/>
        <v>124051</v>
      </c>
      <c r="BA34" s="4">
        <f t="shared" si="6"/>
        <v>54900</v>
      </c>
      <c r="BB34" s="4">
        <f t="shared" si="7"/>
        <v>47885</v>
      </c>
      <c r="BC34" s="142">
        <f>IF(ISNA(VLOOKUP($A34&amp;$AB34,'Days Exceptions'!$C$3:$I$7,6,FALSE)),ROUND(AZ34/MAX(BB34,(BA34*Min_Occ)),2),ROUND(AZ34/VLOOKUP($A34&amp;$AB34,'Days Exceptions'!$C$3:$I$7,6,FALSE),2))</f>
        <v>2.59</v>
      </c>
      <c r="BD34" s="143" t="e">
        <f t="shared" si="8"/>
        <v>#REF!</v>
      </c>
      <c r="BE34" s="143" t="e">
        <f t="shared" si="9"/>
        <v>#REF!</v>
      </c>
      <c r="BF34" s="143">
        <f t="shared" si="10"/>
        <v>163.71</v>
      </c>
      <c r="BG34" s="37" t="s">
        <v>640</v>
      </c>
      <c r="BH34" s="37" t="s">
        <v>641</v>
      </c>
      <c r="BI34" s="37" t="s">
        <v>1191</v>
      </c>
      <c r="BJ34" s="66" t="e">
        <f>VLOOKUP(A34,'CMI Data'!$A$3:$AZ$209,15,FALSE)</f>
        <v>#DIV/0!</v>
      </c>
      <c r="BK34" s="68">
        <f t="shared" si="11"/>
        <v>182.41</v>
      </c>
      <c r="BL34" s="68" t="e">
        <f t="shared" si="12"/>
        <v>#DIV/0!</v>
      </c>
      <c r="BM34" s="75" t="e">
        <f t="shared" si="13"/>
        <v>#DIV/0!</v>
      </c>
      <c r="BN34" s="68" t="e">
        <f>IF($I34="NA","NA",ROUND(#REF!*$BJ34/$I34,2))</f>
        <v>#REF!</v>
      </c>
      <c r="BO34" s="75" t="e">
        <f t="shared" si="14"/>
        <v>#REF!</v>
      </c>
      <c r="BP34" s="68" t="e">
        <f t="shared" si="48"/>
        <v>#REF!</v>
      </c>
      <c r="BQ34" s="4">
        <f t="shared" si="15"/>
        <v>124051</v>
      </c>
      <c r="BR34" s="4">
        <f t="shared" si="16"/>
        <v>54900</v>
      </c>
      <c r="BS34" s="4">
        <f t="shared" si="17"/>
        <v>47885</v>
      </c>
      <c r="BT34" s="142">
        <f>IF(ISNA(VLOOKUP($A34&amp;$AB34,'Days Exceptions'!$C$3:$I$7,6,FALSE)),ROUND(BQ34/MAX(BS34,(BR34*Min_Occ)),2),ROUND(BQ34/VLOOKUP($A34&amp;$AB34,'Days Exceptions'!$C$3:$I$7,6,FALSE),2))</f>
        <v>2.59</v>
      </c>
      <c r="BU34" s="143" t="e">
        <f t="shared" si="18"/>
        <v>#REF!</v>
      </c>
      <c r="BV34" s="143" t="e">
        <f t="shared" si="19"/>
        <v>#REF!</v>
      </c>
      <c r="BW34" s="143">
        <f t="shared" si="20"/>
        <v>163.71</v>
      </c>
      <c r="BX34" s="37" t="s">
        <v>640</v>
      </c>
      <c r="BY34" s="37" t="s">
        <v>641</v>
      </c>
      <c r="BZ34" s="37" t="s">
        <v>1426</v>
      </c>
      <c r="CA34" s="66" t="e">
        <f>VLOOKUP(A34,'CMI Data'!$A$3:$AZ$209,20,FALSE)</f>
        <v>#DIV/0!</v>
      </c>
      <c r="CB34" s="68">
        <f t="shared" si="21"/>
        <v>182.41</v>
      </c>
      <c r="CC34" s="68" t="e">
        <f t="shared" si="22"/>
        <v>#DIV/0!</v>
      </c>
      <c r="CD34" s="75" t="e">
        <f t="shared" si="49"/>
        <v>#DIV/0!</v>
      </c>
      <c r="CE34" s="68" t="e">
        <f>IF($I34="NA","NA",ROUND(#REF!*$CA34/$I34,2))</f>
        <v>#REF!</v>
      </c>
      <c r="CF34" s="75" t="e">
        <f t="shared" si="23"/>
        <v>#REF!</v>
      </c>
      <c r="CG34" s="68" t="e">
        <f t="shared" si="24"/>
        <v>#REF!</v>
      </c>
      <c r="CH34" s="4">
        <f t="shared" si="25"/>
        <v>124051</v>
      </c>
      <c r="CI34" s="4">
        <f t="shared" si="26"/>
        <v>54900</v>
      </c>
      <c r="CJ34" s="4">
        <f t="shared" si="27"/>
        <v>47885</v>
      </c>
      <c r="CK34" s="142">
        <f>IF(ISNA(VLOOKUP($A34&amp;$AB34,'Days Exceptions'!$C$3:$I$7,6,FALSE)),ROUND(CH34/MAX(CJ34,(CI34*Min_Occ)),2),ROUND(CH34/VLOOKUP($A34&amp;$AB34,'Days Exceptions'!$C$3:$I$7,6,FALSE),2))</f>
        <v>2.59</v>
      </c>
      <c r="CL34" s="143" t="e">
        <f t="shared" si="28"/>
        <v>#REF!</v>
      </c>
      <c r="CM34" s="143" t="e">
        <f t="shared" si="29"/>
        <v>#REF!</v>
      </c>
      <c r="CN34" s="143">
        <f t="shared" si="30"/>
        <v>163.71</v>
      </c>
      <c r="CO34" s="37" t="s">
        <v>640</v>
      </c>
      <c r="CP34" s="37" t="s">
        <v>641</v>
      </c>
      <c r="CQ34" s="37" t="s">
        <v>1427</v>
      </c>
    </row>
    <row r="35" spans="1:95" x14ac:dyDescent="0.15">
      <c r="A35" s="130">
        <v>154</v>
      </c>
      <c r="B35" s="37" t="s">
        <v>491</v>
      </c>
      <c r="C35" s="1" t="s">
        <v>148</v>
      </c>
      <c r="D35" s="1" t="s">
        <v>119</v>
      </c>
      <c r="E35" s="1" t="str">
        <f>VLOOKUP(D35,Documentation!$B$4:$D$27,3,FALSE)</f>
        <v>WASHINGTON METRO</v>
      </c>
      <c r="F35" s="1" t="str">
        <f>VLOOKUP(D35,Documentation!$B$4:$C$27,2,FALSE)</f>
        <v>WASHINGTON METRO</v>
      </c>
      <c r="G35" s="82">
        <f>VLOOKUP(A35,'2022 CR and CMI'!$A$3:$D$207,3,FALSE)</f>
        <v>44562</v>
      </c>
      <c r="H35" s="82">
        <f>VLOOKUP(A35,'2022 CR and CMI'!$A$3:$D$207,4,FALSE)</f>
        <v>44926</v>
      </c>
      <c r="I35" s="72">
        <f>VLOOKUP(A35,'2022 CR and CMI'!$A$2:$T$210,19,FALSE)</f>
        <v>1.4923</v>
      </c>
      <c r="J35" s="139">
        <f>Inflation!$G$24</f>
        <v>1.0309999999999999</v>
      </c>
      <c r="K35" s="192">
        <f>VLOOKUP(E35,Limits!$B$2:$D$5,3,FALSE)</f>
        <v>176.01</v>
      </c>
      <c r="L35" s="192">
        <f t="shared" si="31"/>
        <v>181.47</v>
      </c>
      <c r="M35" s="140">
        <f>VLOOKUP(A35,'CMI Data'!$A$4:$C$208,3,FALSE)</f>
        <v>1.3884000000000001</v>
      </c>
      <c r="N35" s="68">
        <f t="shared" si="2"/>
        <v>187.64</v>
      </c>
      <c r="O35" s="68">
        <f t="shared" si="32"/>
        <v>174.58</v>
      </c>
      <c r="P35" s="75">
        <f t="shared" si="33"/>
        <v>165.85</v>
      </c>
      <c r="Q35" s="75">
        <v>153.72</v>
      </c>
      <c r="R35" s="75">
        <f t="shared" si="34"/>
        <v>158.49</v>
      </c>
      <c r="S35" s="68">
        <f t="shared" si="35"/>
        <v>147.46</v>
      </c>
      <c r="T35" s="75">
        <f t="shared" si="36"/>
        <v>-18.39</v>
      </c>
      <c r="U35" s="68">
        <f t="shared" si="37"/>
        <v>156.19</v>
      </c>
      <c r="V35" s="68">
        <f>VLOOKUP($F35,Limits!$J$2:$L$5,3,FALSE)</f>
        <v>19.23</v>
      </c>
      <c r="W35" s="68">
        <f t="shared" si="38"/>
        <v>19.829999999999998</v>
      </c>
      <c r="X35" s="68">
        <f>VLOOKUP($F35,Limits!$R$2:$T$5,3,FALSE)</f>
        <v>100.61</v>
      </c>
      <c r="Y35" s="68">
        <f t="shared" si="39"/>
        <v>103.73</v>
      </c>
      <c r="Z35" s="75">
        <f>VLOOKUP(A35,FRV!$A$4:$U$208,21,FALSE)</f>
        <v>29.5</v>
      </c>
      <c r="AA35" s="141">
        <f>VLOOKUP(A35,'RE Tax'!$A$2:$G$206,3,FALSE)</f>
        <v>45292</v>
      </c>
      <c r="AB35" s="141">
        <f>VLOOKUP(A35,'RE Tax'!$A$2:$G$206,4,FALSE)</f>
        <v>45657</v>
      </c>
      <c r="AC35" s="4">
        <f>VLOOKUP(A35,'RE Tax'!$A$2:$G$206,7,FALSE)</f>
        <v>120816</v>
      </c>
      <c r="AD35" s="4">
        <f>VLOOKUP($A35,'RE Tax'!$A$2:$I$206,9,FALSE)</f>
        <v>50508</v>
      </c>
      <c r="AE35" s="4">
        <f>VLOOKUP($A35,'RE Tax'!$A$2:$I$206,8,FALSE)</f>
        <v>42962</v>
      </c>
      <c r="AF35" s="142">
        <f>IF(ISNA(VLOOKUP(A35&amp;AB35,'Days Exceptions'!$C$3:$I$7,6,FALSE)),ROUND(AC35/MAX(AE35,(AD35*Min_Occ)),2),ROUND(AC35/VLOOKUP(A35&amp;AB35,'Days Exceptions'!$C$3:$I$7,6,FALSE),2))</f>
        <v>2.81</v>
      </c>
      <c r="AG35" s="68">
        <v>0</v>
      </c>
      <c r="AH35" s="68">
        <f t="shared" si="40"/>
        <v>0</v>
      </c>
      <c r="AI35" s="4">
        <v>27917</v>
      </c>
      <c r="AJ35" s="4">
        <v>33727</v>
      </c>
      <c r="AK35" s="68">
        <f>IF(AI35=0,0,IF(ISNA(MATCH(A35,Documentation!$B$66:$B$71,0)),QA_Tax_reg,QA_Tax_5high))</f>
        <v>32.92</v>
      </c>
      <c r="AL35" s="75">
        <f t="shared" si="41"/>
        <v>27.25</v>
      </c>
      <c r="AM35" s="68">
        <f t="shared" si="42"/>
        <v>312.06</v>
      </c>
      <c r="AN35" s="68">
        <f t="shared" si="43"/>
        <v>233.97</v>
      </c>
      <c r="AO35" s="68">
        <f t="shared" si="44"/>
        <v>155.87</v>
      </c>
      <c r="AP35" s="37" t="s">
        <v>490</v>
      </c>
      <c r="AQ35" s="37" t="s">
        <v>491</v>
      </c>
      <c r="AR35" s="37" t="s">
        <v>988</v>
      </c>
      <c r="AS35" s="66" t="e">
        <f>VLOOKUP(A35,'CMI Data'!$A$3:$J$209,10,FALSE)</f>
        <v>#DIV/0!</v>
      </c>
      <c r="AT35" s="68">
        <f t="shared" si="3"/>
        <v>182</v>
      </c>
      <c r="AU35" s="68" t="e">
        <f t="shared" si="4"/>
        <v>#DIV/0!</v>
      </c>
      <c r="AV35" s="75" t="e">
        <f t="shared" si="45"/>
        <v>#DIV/0!</v>
      </c>
      <c r="AW35" s="68" t="e">
        <f>IF($I35="NA","NA",ROUND(#REF!*$AS35/$I35,2))</f>
        <v>#REF!</v>
      </c>
      <c r="AX35" s="75" t="e">
        <f t="shared" si="46"/>
        <v>#REF!</v>
      </c>
      <c r="AY35" s="68" t="e">
        <f t="shared" si="47"/>
        <v>#REF!</v>
      </c>
      <c r="AZ35" s="4">
        <f t="shared" si="5"/>
        <v>120816</v>
      </c>
      <c r="BA35" s="4">
        <f t="shared" si="6"/>
        <v>50508</v>
      </c>
      <c r="BB35" s="4">
        <f t="shared" si="7"/>
        <v>42962</v>
      </c>
      <c r="BC35" s="142">
        <f>IF(ISNA(VLOOKUP($A35&amp;$AB35,'Days Exceptions'!$C$3:$I$7,6,FALSE)),ROUND(AZ35/MAX(BB35,(BA35*Min_Occ)),2),ROUND(AZ35/VLOOKUP($A35&amp;$AB35,'Days Exceptions'!$C$3:$I$7,6,FALSE),2))</f>
        <v>2.81</v>
      </c>
      <c r="BD35" s="143" t="e">
        <f t="shared" si="8"/>
        <v>#REF!</v>
      </c>
      <c r="BE35" s="143" t="e">
        <f t="shared" si="9"/>
        <v>#REF!</v>
      </c>
      <c r="BF35" s="143">
        <f t="shared" si="10"/>
        <v>152.15</v>
      </c>
      <c r="BG35" s="37" t="s">
        <v>490</v>
      </c>
      <c r="BH35" s="37" t="s">
        <v>491</v>
      </c>
      <c r="BI35" s="37" t="s">
        <v>1192</v>
      </c>
      <c r="BJ35" s="66" t="e">
        <f>VLOOKUP(A35,'CMI Data'!$A$3:$AZ$209,15,FALSE)</f>
        <v>#DIV/0!</v>
      </c>
      <c r="BK35" s="68">
        <f t="shared" si="11"/>
        <v>182</v>
      </c>
      <c r="BL35" s="68" t="e">
        <f t="shared" si="12"/>
        <v>#DIV/0!</v>
      </c>
      <c r="BM35" s="75" t="e">
        <f t="shared" si="13"/>
        <v>#DIV/0!</v>
      </c>
      <c r="BN35" s="68" t="e">
        <f>IF($I35="NA","NA",ROUND(#REF!*$BJ35/$I35,2))</f>
        <v>#REF!</v>
      </c>
      <c r="BO35" s="75" t="e">
        <f t="shared" si="14"/>
        <v>#REF!</v>
      </c>
      <c r="BP35" s="68" t="e">
        <f t="shared" si="48"/>
        <v>#REF!</v>
      </c>
      <c r="BQ35" s="4">
        <f t="shared" si="15"/>
        <v>120816</v>
      </c>
      <c r="BR35" s="4">
        <f t="shared" si="16"/>
        <v>50508</v>
      </c>
      <c r="BS35" s="4">
        <f t="shared" si="17"/>
        <v>42962</v>
      </c>
      <c r="BT35" s="142">
        <f>IF(ISNA(VLOOKUP($A35&amp;$AB35,'Days Exceptions'!$C$3:$I$7,6,FALSE)),ROUND(BQ35/MAX(BS35,(BR35*Min_Occ)),2),ROUND(BQ35/VLOOKUP($A35&amp;$AB35,'Days Exceptions'!$C$3:$I$7,6,FALSE),2))</f>
        <v>2.81</v>
      </c>
      <c r="BU35" s="143" t="e">
        <f t="shared" si="18"/>
        <v>#REF!</v>
      </c>
      <c r="BV35" s="143" t="e">
        <f t="shared" si="19"/>
        <v>#REF!</v>
      </c>
      <c r="BW35" s="143">
        <f t="shared" si="20"/>
        <v>152.15</v>
      </c>
      <c r="BX35" s="37" t="s">
        <v>490</v>
      </c>
      <c r="BY35" s="37" t="s">
        <v>491</v>
      </c>
      <c r="BZ35" s="37" t="s">
        <v>1428</v>
      </c>
      <c r="CA35" s="66" t="e">
        <f>VLOOKUP(A35,'CMI Data'!$A$3:$AZ$209,20,FALSE)</f>
        <v>#DIV/0!</v>
      </c>
      <c r="CB35" s="68">
        <f t="shared" si="21"/>
        <v>182</v>
      </c>
      <c r="CC35" s="68" t="e">
        <f t="shared" si="22"/>
        <v>#DIV/0!</v>
      </c>
      <c r="CD35" s="75" t="e">
        <f t="shared" si="49"/>
        <v>#DIV/0!</v>
      </c>
      <c r="CE35" s="68" t="e">
        <f>IF($I35="NA","NA",ROUND(#REF!*$CA35/$I35,2))</f>
        <v>#REF!</v>
      </c>
      <c r="CF35" s="75" t="e">
        <f t="shared" si="23"/>
        <v>#REF!</v>
      </c>
      <c r="CG35" s="68" t="e">
        <f t="shared" si="24"/>
        <v>#REF!</v>
      </c>
      <c r="CH35" s="4">
        <f t="shared" si="25"/>
        <v>120816</v>
      </c>
      <c r="CI35" s="4">
        <f t="shared" si="26"/>
        <v>50508</v>
      </c>
      <c r="CJ35" s="4">
        <f t="shared" si="27"/>
        <v>42962</v>
      </c>
      <c r="CK35" s="142">
        <f>IF(ISNA(VLOOKUP($A35&amp;$AB35,'Days Exceptions'!$C$3:$I$7,6,FALSE)),ROUND(CH35/MAX(CJ35,(CI35*Min_Occ)),2),ROUND(CH35/VLOOKUP($A35&amp;$AB35,'Days Exceptions'!$C$3:$I$7,6,FALSE),2))</f>
        <v>2.81</v>
      </c>
      <c r="CL35" s="143" t="e">
        <f t="shared" si="28"/>
        <v>#REF!</v>
      </c>
      <c r="CM35" s="143" t="e">
        <f t="shared" si="29"/>
        <v>#REF!</v>
      </c>
      <c r="CN35" s="143">
        <f t="shared" si="30"/>
        <v>152.15</v>
      </c>
      <c r="CO35" s="37" t="s">
        <v>490</v>
      </c>
      <c r="CP35" s="37" t="s">
        <v>491</v>
      </c>
      <c r="CQ35" s="37" t="s">
        <v>1429</v>
      </c>
    </row>
    <row r="36" spans="1:95" x14ac:dyDescent="0.15">
      <c r="A36" s="130">
        <v>358</v>
      </c>
      <c r="B36" s="37" t="s">
        <v>619</v>
      </c>
      <c r="C36" s="1" t="s">
        <v>148</v>
      </c>
      <c r="D36" s="1" t="s">
        <v>102</v>
      </c>
      <c r="E36" s="1" t="str">
        <f>VLOOKUP(D36,Documentation!$B$4:$D$27,3,FALSE)</f>
        <v>BALTIMORE METRO</v>
      </c>
      <c r="F36" s="1" t="str">
        <f>VLOOKUP(D36,Documentation!$B$4:$C$27,2,FALSE)</f>
        <v>BALTIMORE CITY</v>
      </c>
      <c r="G36" s="82">
        <f>VLOOKUP(A36,'2022 CR and CMI'!$A$3:$D$207,3,FALSE)</f>
        <v>44713</v>
      </c>
      <c r="H36" s="82">
        <f>VLOOKUP(A36,'2022 CR and CMI'!$A$3:$D$207,4,FALSE)</f>
        <v>44926</v>
      </c>
      <c r="I36" s="72">
        <f>VLOOKUP(A36,'2022 CR and CMI'!$A$2:$T$210,19,FALSE)</f>
        <v>1.5266999999999999</v>
      </c>
      <c r="J36" s="139">
        <f>Inflation!$G$24</f>
        <v>1.0309999999999999</v>
      </c>
      <c r="K36" s="192">
        <f>VLOOKUP(E36,Limits!$B$2:$D$5,3,FALSE)</f>
        <v>195.33</v>
      </c>
      <c r="L36" s="192">
        <f t="shared" si="31"/>
        <v>201.39</v>
      </c>
      <c r="M36" s="140">
        <f>VLOOKUP(A36,'CMI Data'!$A$4:$C$208,3,FALSE)</f>
        <v>1.5245</v>
      </c>
      <c r="N36" s="68">
        <f t="shared" si="2"/>
        <v>213.04</v>
      </c>
      <c r="O36" s="68">
        <f t="shared" si="32"/>
        <v>212.73</v>
      </c>
      <c r="P36" s="75">
        <f t="shared" si="33"/>
        <v>202.09</v>
      </c>
      <c r="Q36" s="75">
        <v>180.48</v>
      </c>
      <c r="R36" s="75">
        <f t="shared" si="34"/>
        <v>186.07</v>
      </c>
      <c r="S36" s="68">
        <f t="shared" si="35"/>
        <v>185.8</v>
      </c>
      <c r="T36" s="75">
        <f t="shared" si="36"/>
        <v>-16.29</v>
      </c>
      <c r="U36" s="68">
        <f t="shared" si="37"/>
        <v>196.44</v>
      </c>
      <c r="V36" s="68">
        <f>VLOOKUP($F36,Limits!$J$2:$L$5,3,FALSE)</f>
        <v>24.89</v>
      </c>
      <c r="W36" s="68">
        <f t="shared" si="38"/>
        <v>25.66</v>
      </c>
      <c r="X36" s="68">
        <f>VLOOKUP($F36,Limits!$R$2:$T$5,3,FALSE)</f>
        <v>114.15</v>
      </c>
      <c r="Y36" s="68">
        <f t="shared" si="39"/>
        <v>117.69</v>
      </c>
      <c r="Z36" s="75">
        <f>VLOOKUP(A36,FRV!$A$4:$U$208,21,FALSE)</f>
        <v>34.6</v>
      </c>
      <c r="AA36" s="141">
        <f>VLOOKUP(A36,'RE Tax'!$A$2:$G$206,3,FALSE)</f>
        <v>45292</v>
      </c>
      <c r="AB36" s="141">
        <f>VLOOKUP(A36,'RE Tax'!$A$2:$G$206,4,FALSE)</f>
        <v>45657</v>
      </c>
      <c r="AC36" s="4">
        <f>VLOOKUP(A36,'RE Tax'!$A$2:$G$206,7,FALSE)</f>
        <v>262546</v>
      </c>
      <c r="AD36" s="4">
        <f>VLOOKUP($A36,'RE Tax'!$A$2:$I$206,9,FALSE)</f>
        <v>54900</v>
      </c>
      <c r="AE36" s="4">
        <f>VLOOKUP($A36,'RE Tax'!$A$2:$I$206,8,FALSE)</f>
        <v>49585</v>
      </c>
      <c r="AF36" s="142">
        <f>IF(ISNA(VLOOKUP(A36&amp;AB36,'Days Exceptions'!$C$3:$I$7,6,FALSE)),ROUND(AC36/MAX(AE36,(AD36*Min_Occ)),2),ROUND(AC36/VLOOKUP(A36&amp;AB36,'Days Exceptions'!$C$3:$I$7,6,FALSE),2))</f>
        <v>5.29</v>
      </c>
      <c r="AG36" s="68">
        <v>0</v>
      </c>
      <c r="AH36" s="68">
        <f t="shared" si="40"/>
        <v>0</v>
      </c>
      <c r="AI36" s="4">
        <v>39634</v>
      </c>
      <c r="AJ36" s="4">
        <v>48956</v>
      </c>
      <c r="AK36" s="68">
        <f>IF(AI36=0,0,IF(ISNA(MATCH(A36,Documentation!$B$66:$B$71,0)),QA_Tax_reg,QA_Tax_5high))</f>
        <v>32.92</v>
      </c>
      <c r="AL36" s="75">
        <f t="shared" si="41"/>
        <v>26.65</v>
      </c>
      <c r="AM36" s="68">
        <f t="shared" si="42"/>
        <v>379.68</v>
      </c>
      <c r="AN36" s="68">
        <f t="shared" si="43"/>
        <v>281.45999999999998</v>
      </c>
      <c r="AO36" s="68">
        <f t="shared" si="44"/>
        <v>183.24</v>
      </c>
      <c r="AP36" s="37" t="s">
        <v>628</v>
      </c>
      <c r="AQ36" s="37" t="s">
        <v>619</v>
      </c>
      <c r="AR36" s="37" t="s">
        <v>989</v>
      </c>
      <c r="AS36" s="66" t="e">
        <f>VLOOKUP(A36,'CMI Data'!$A$3:$J$209,10,FALSE)</f>
        <v>#DIV/0!</v>
      </c>
      <c r="AT36" s="68">
        <f t="shared" si="3"/>
        <v>206.63</v>
      </c>
      <c r="AU36" s="68" t="e">
        <f t="shared" si="4"/>
        <v>#DIV/0!</v>
      </c>
      <c r="AV36" s="75" t="e">
        <f t="shared" si="45"/>
        <v>#DIV/0!</v>
      </c>
      <c r="AW36" s="68" t="e">
        <f>IF($I36="NA","NA",ROUND(#REF!*$AS36/$I36,2))</f>
        <v>#REF!</v>
      </c>
      <c r="AX36" s="75" t="e">
        <f t="shared" si="46"/>
        <v>#REF!</v>
      </c>
      <c r="AY36" s="68" t="e">
        <f t="shared" si="47"/>
        <v>#REF!</v>
      </c>
      <c r="AZ36" s="4">
        <f t="shared" si="5"/>
        <v>262546</v>
      </c>
      <c r="BA36" s="4">
        <f t="shared" si="6"/>
        <v>54900</v>
      </c>
      <c r="BB36" s="4">
        <f t="shared" si="7"/>
        <v>49585</v>
      </c>
      <c r="BC36" s="142">
        <f>IF(ISNA(VLOOKUP($A36&amp;$AB36,'Days Exceptions'!$C$3:$I$7,6,FALSE)),ROUND(AZ36/MAX(BB36,(BA36*Min_Occ)),2),ROUND(AZ36/VLOOKUP($A36&amp;$AB36,'Days Exceptions'!$C$3:$I$7,6,FALSE),2))</f>
        <v>5.29</v>
      </c>
      <c r="BD36" s="143" t="e">
        <f t="shared" si="8"/>
        <v>#REF!</v>
      </c>
      <c r="BE36" s="143" t="e">
        <f t="shared" si="9"/>
        <v>#REF!</v>
      </c>
      <c r="BF36" s="143">
        <f t="shared" si="10"/>
        <v>178.93</v>
      </c>
      <c r="BG36" s="37" t="s">
        <v>628</v>
      </c>
      <c r="BH36" s="37" t="s">
        <v>619</v>
      </c>
      <c r="BI36" s="37" t="s">
        <v>1193</v>
      </c>
      <c r="BJ36" s="66" t="e">
        <f>VLOOKUP(A36,'CMI Data'!$A$3:$AZ$209,15,FALSE)</f>
        <v>#DIV/0!</v>
      </c>
      <c r="BK36" s="68">
        <f t="shared" si="11"/>
        <v>206.63</v>
      </c>
      <c r="BL36" s="68" t="e">
        <f t="shared" si="12"/>
        <v>#DIV/0!</v>
      </c>
      <c r="BM36" s="75" t="e">
        <f t="shared" si="13"/>
        <v>#DIV/0!</v>
      </c>
      <c r="BN36" s="68" t="e">
        <f>IF($I36="NA","NA",ROUND(#REF!*$BJ36/$I36,2))</f>
        <v>#REF!</v>
      </c>
      <c r="BO36" s="75" t="e">
        <f t="shared" si="14"/>
        <v>#REF!</v>
      </c>
      <c r="BP36" s="68" t="e">
        <f t="shared" si="48"/>
        <v>#REF!</v>
      </c>
      <c r="BQ36" s="4">
        <f t="shared" si="15"/>
        <v>262546</v>
      </c>
      <c r="BR36" s="4">
        <f t="shared" si="16"/>
        <v>54900</v>
      </c>
      <c r="BS36" s="4">
        <f t="shared" si="17"/>
        <v>49585</v>
      </c>
      <c r="BT36" s="142">
        <f>IF(ISNA(VLOOKUP($A36&amp;$AB36,'Days Exceptions'!$C$3:$I$7,6,FALSE)),ROUND(BQ36/MAX(BS36,(BR36*Min_Occ)),2),ROUND(BQ36/VLOOKUP($A36&amp;$AB36,'Days Exceptions'!$C$3:$I$7,6,FALSE),2))</f>
        <v>5.29</v>
      </c>
      <c r="BU36" s="143" t="e">
        <f t="shared" si="18"/>
        <v>#REF!</v>
      </c>
      <c r="BV36" s="143" t="e">
        <f t="shared" si="19"/>
        <v>#REF!</v>
      </c>
      <c r="BW36" s="143">
        <f t="shared" si="20"/>
        <v>178.93</v>
      </c>
      <c r="BX36" s="37" t="s">
        <v>628</v>
      </c>
      <c r="BY36" s="37" t="s">
        <v>619</v>
      </c>
      <c r="BZ36" s="37" t="s">
        <v>1430</v>
      </c>
      <c r="CA36" s="66" t="e">
        <f>VLOOKUP(A36,'CMI Data'!$A$3:$AZ$209,20,FALSE)</f>
        <v>#DIV/0!</v>
      </c>
      <c r="CB36" s="68">
        <f t="shared" si="21"/>
        <v>206.63</v>
      </c>
      <c r="CC36" s="68" t="e">
        <f t="shared" si="22"/>
        <v>#DIV/0!</v>
      </c>
      <c r="CD36" s="75" t="e">
        <f t="shared" si="49"/>
        <v>#DIV/0!</v>
      </c>
      <c r="CE36" s="68" t="e">
        <f>IF($I36="NA","NA",ROUND(#REF!*$CA36/$I36,2))</f>
        <v>#REF!</v>
      </c>
      <c r="CF36" s="75" t="e">
        <f t="shared" si="23"/>
        <v>#REF!</v>
      </c>
      <c r="CG36" s="68" t="e">
        <f t="shared" si="24"/>
        <v>#REF!</v>
      </c>
      <c r="CH36" s="4">
        <f t="shared" si="25"/>
        <v>262546</v>
      </c>
      <c r="CI36" s="4">
        <f t="shared" si="26"/>
        <v>54900</v>
      </c>
      <c r="CJ36" s="4">
        <f t="shared" si="27"/>
        <v>49585</v>
      </c>
      <c r="CK36" s="142">
        <f>IF(ISNA(VLOOKUP($A36&amp;$AB36,'Days Exceptions'!$C$3:$I$7,6,FALSE)),ROUND(CH36/MAX(CJ36,(CI36*Min_Occ)),2),ROUND(CH36/VLOOKUP($A36&amp;$AB36,'Days Exceptions'!$C$3:$I$7,6,FALSE),2))</f>
        <v>5.29</v>
      </c>
      <c r="CL36" s="143" t="e">
        <f t="shared" si="28"/>
        <v>#REF!</v>
      </c>
      <c r="CM36" s="143" t="e">
        <f t="shared" si="29"/>
        <v>#REF!</v>
      </c>
      <c r="CN36" s="143">
        <f t="shared" si="30"/>
        <v>178.93</v>
      </c>
      <c r="CO36" s="37" t="s">
        <v>628</v>
      </c>
      <c r="CP36" s="37" t="s">
        <v>619</v>
      </c>
      <c r="CQ36" s="37" t="s">
        <v>1431</v>
      </c>
    </row>
    <row r="37" spans="1:95" x14ac:dyDescent="0.15">
      <c r="A37" s="130">
        <v>134</v>
      </c>
      <c r="B37" s="37" t="s">
        <v>581</v>
      </c>
      <c r="C37" s="1" t="s">
        <v>148</v>
      </c>
      <c r="D37" s="1" t="s">
        <v>107</v>
      </c>
      <c r="E37" s="1" t="str">
        <f>VLOOKUP(D37,Documentation!$B$4:$D$27,3,FALSE)</f>
        <v>BALTIMORE METRO</v>
      </c>
      <c r="F37" s="1" t="str">
        <f>VLOOKUP(D37,Documentation!$B$4:$C$27,2,FALSE)</f>
        <v>BALTIMORE METRO</v>
      </c>
      <c r="G37" s="82">
        <f>VLOOKUP(A37,'2022 CR and CMI'!$A$3:$D$207,3,FALSE)</f>
        <v>44562</v>
      </c>
      <c r="H37" s="82">
        <f>VLOOKUP(A37,'2022 CR and CMI'!$A$3:$D$207,4,FALSE)</f>
        <v>44926</v>
      </c>
      <c r="I37" s="72">
        <f>VLOOKUP(A37,'2022 CR and CMI'!$A$2:$T$210,19,FALSE)</f>
        <v>1.4180999999999999</v>
      </c>
      <c r="J37" s="139">
        <f>Inflation!$G$24</f>
        <v>1.0309999999999999</v>
      </c>
      <c r="K37" s="192">
        <f>VLOOKUP(E37,Limits!$B$2:$D$5,3,FALSE)</f>
        <v>195.33</v>
      </c>
      <c r="L37" s="192">
        <f t="shared" si="31"/>
        <v>201.39</v>
      </c>
      <c r="M37" s="140">
        <f>VLOOKUP(A37,'CMI Data'!$A$4:$C$208,3,FALSE)</f>
        <v>1.35</v>
      </c>
      <c r="N37" s="68">
        <f t="shared" si="2"/>
        <v>197.89</v>
      </c>
      <c r="O37" s="68">
        <f t="shared" si="32"/>
        <v>188.39</v>
      </c>
      <c r="P37" s="75">
        <f t="shared" si="33"/>
        <v>178.97</v>
      </c>
      <c r="Q37" s="75">
        <v>186.7</v>
      </c>
      <c r="R37" s="75">
        <f t="shared" si="34"/>
        <v>192.49</v>
      </c>
      <c r="S37" s="68">
        <f t="shared" si="35"/>
        <v>183.25</v>
      </c>
      <c r="T37" s="75">
        <f t="shared" si="36"/>
        <v>0</v>
      </c>
      <c r="U37" s="68">
        <f t="shared" si="37"/>
        <v>188.39</v>
      </c>
      <c r="V37" s="68">
        <f>VLOOKUP($F37,Limits!$J$2:$L$5,3,FALSE)</f>
        <v>20.85</v>
      </c>
      <c r="W37" s="68">
        <f t="shared" si="38"/>
        <v>21.5</v>
      </c>
      <c r="X37" s="68">
        <f>VLOOKUP($F37,Limits!$R$2:$T$5,3,FALSE)</f>
        <v>102.02</v>
      </c>
      <c r="Y37" s="68">
        <f t="shared" si="39"/>
        <v>105.18</v>
      </c>
      <c r="Z37" s="75">
        <f>VLOOKUP(A37,FRV!$A$4:$U$208,21,FALSE)</f>
        <v>32.42</v>
      </c>
      <c r="AA37" s="141">
        <f>VLOOKUP(A37,'RE Tax'!$A$2:$G$206,3,FALSE)</f>
        <v>45292</v>
      </c>
      <c r="AB37" s="141">
        <f>VLOOKUP(A37,'RE Tax'!$A$2:$G$206,4,FALSE)</f>
        <v>45657</v>
      </c>
      <c r="AC37" s="4">
        <f>VLOOKUP(A37,'RE Tax'!$A$2:$G$206,7,FALSE)</f>
        <v>88796</v>
      </c>
      <c r="AD37" s="4">
        <f>VLOOKUP($A37,'RE Tax'!$A$2:$I$206,9,FALSE)</f>
        <v>49410</v>
      </c>
      <c r="AE37" s="4">
        <f>VLOOKUP($A37,'RE Tax'!$A$2:$I$206,8,FALSE)</f>
        <v>44381</v>
      </c>
      <c r="AF37" s="142">
        <f>IF(ISNA(VLOOKUP(A37&amp;AB37,'Days Exceptions'!$C$3:$I$7,6,FALSE)),ROUND(AC37/MAX(AE37,(AD37*Min_Occ)),2),ROUND(AC37/VLOOKUP(A37&amp;AB37,'Days Exceptions'!$C$3:$I$7,6,FALSE),2))</f>
        <v>2</v>
      </c>
      <c r="AG37" s="68">
        <v>0</v>
      </c>
      <c r="AH37" s="68">
        <f t="shared" si="40"/>
        <v>0</v>
      </c>
      <c r="AI37" s="4">
        <v>33815</v>
      </c>
      <c r="AJ37" s="4">
        <v>44381</v>
      </c>
      <c r="AK37" s="68">
        <f>IF(AI37=0,0,IF(ISNA(MATCH(A37,Documentation!$B$66:$B$71,0)),QA_Tax_reg,QA_Tax_5high))</f>
        <v>32.92</v>
      </c>
      <c r="AL37" s="75">
        <f t="shared" si="41"/>
        <v>25.08</v>
      </c>
      <c r="AM37" s="68">
        <f t="shared" si="42"/>
        <v>349.49</v>
      </c>
      <c r="AN37" s="68">
        <f t="shared" si="43"/>
        <v>255.3</v>
      </c>
      <c r="AO37" s="68">
        <f t="shared" si="44"/>
        <v>161.1</v>
      </c>
      <c r="AP37" s="37" t="s">
        <v>580</v>
      </c>
      <c r="AQ37" s="37" t="s">
        <v>581</v>
      </c>
      <c r="AR37" s="37" t="s">
        <v>990</v>
      </c>
      <c r="AS37" s="66" t="e">
        <f>VLOOKUP(A37,'CMI Data'!$A$3:$J$209,10,FALSE)</f>
        <v>#DIV/0!</v>
      </c>
      <c r="AT37" s="68">
        <f t="shared" si="3"/>
        <v>191.93</v>
      </c>
      <c r="AU37" s="68" t="e">
        <f t="shared" si="4"/>
        <v>#DIV/0!</v>
      </c>
      <c r="AV37" s="75" t="e">
        <f t="shared" si="45"/>
        <v>#DIV/0!</v>
      </c>
      <c r="AW37" s="68" t="e">
        <f>IF($I37="NA","NA",ROUND(#REF!*$AS37/$I37,2))</f>
        <v>#REF!</v>
      </c>
      <c r="AX37" s="75" t="e">
        <f t="shared" si="46"/>
        <v>#REF!</v>
      </c>
      <c r="AY37" s="68" t="e">
        <f t="shared" si="47"/>
        <v>#REF!</v>
      </c>
      <c r="AZ37" s="4">
        <f t="shared" si="5"/>
        <v>88796</v>
      </c>
      <c r="BA37" s="4">
        <f t="shared" si="6"/>
        <v>49410</v>
      </c>
      <c r="BB37" s="4">
        <f t="shared" si="7"/>
        <v>44381</v>
      </c>
      <c r="BC37" s="142">
        <f>IF(ISNA(VLOOKUP($A37&amp;$AB37,'Days Exceptions'!$C$3:$I$7,6,FALSE)),ROUND(AZ37/MAX(BB37,(BA37*Min_Occ)),2),ROUND(AZ37/VLOOKUP($A37&amp;$AB37,'Days Exceptions'!$C$3:$I$7,6,FALSE),2))</f>
        <v>2</v>
      </c>
      <c r="BD37" s="143" t="e">
        <f t="shared" si="8"/>
        <v>#REF!</v>
      </c>
      <c r="BE37" s="143" t="e">
        <f t="shared" si="9"/>
        <v>#REF!</v>
      </c>
      <c r="BF37" s="143">
        <f t="shared" si="10"/>
        <v>157.29</v>
      </c>
      <c r="BG37" s="37" t="s">
        <v>580</v>
      </c>
      <c r="BH37" s="37" t="s">
        <v>581</v>
      </c>
      <c r="BI37" s="37" t="s">
        <v>1194</v>
      </c>
      <c r="BJ37" s="66" t="e">
        <f>VLOOKUP(A37,'CMI Data'!$A$3:$AZ$209,15,FALSE)</f>
        <v>#DIV/0!</v>
      </c>
      <c r="BK37" s="68">
        <f t="shared" si="11"/>
        <v>191.93</v>
      </c>
      <c r="BL37" s="68" t="e">
        <f t="shared" si="12"/>
        <v>#DIV/0!</v>
      </c>
      <c r="BM37" s="75" t="e">
        <f t="shared" si="13"/>
        <v>#DIV/0!</v>
      </c>
      <c r="BN37" s="68" t="e">
        <f>IF($I37="NA","NA",ROUND(#REF!*$BJ37/$I37,2))</f>
        <v>#REF!</v>
      </c>
      <c r="BO37" s="75" t="e">
        <f t="shared" si="14"/>
        <v>#REF!</v>
      </c>
      <c r="BP37" s="68" t="e">
        <f t="shared" si="48"/>
        <v>#REF!</v>
      </c>
      <c r="BQ37" s="4">
        <f t="shared" si="15"/>
        <v>88796</v>
      </c>
      <c r="BR37" s="4">
        <f t="shared" si="16"/>
        <v>49410</v>
      </c>
      <c r="BS37" s="4">
        <f t="shared" si="17"/>
        <v>44381</v>
      </c>
      <c r="BT37" s="142">
        <f>IF(ISNA(VLOOKUP($A37&amp;$AB37,'Days Exceptions'!$C$3:$I$7,6,FALSE)),ROUND(BQ37/MAX(BS37,(BR37*Min_Occ)),2),ROUND(BQ37/VLOOKUP($A37&amp;$AB37,'Days Exceptions'!$C$3:$I$7,6,FALSE),2))</f>
        <v>2</v>
      </c>
      <c r="BU37" s="143" t="e">
        <f t="shared" si="18"/>
        <v>#REF!</v>
      </c>
      <c r="BV37" s="143" t="e">
        <f t="shared" si="19"/>
        <v>#REF!</v>
      </c>
      <c r="BW37" s="143">
        <f t="shared" si="20"/>
        <v>157.29</v>
      </c>
      <c r="BX37" s="37" t="s">
        <v>580</v>
      </c>
      <c r="BY37" s="37" t="s">
        <v>581</v>
      </c>
      <c r="BZ37" s="37" t="s">
        <v>1432</v>
      </c>
      <c r="CA37" s="66" t="e">
        <f>VLOOKUP(A37,'CMI Data'!$A$3:$AZ$209,20,FALSE)</f>
        <v>#DIV/0!</v>
      </c>
      <c r="CB37" s="68">
        <f t="shared" si="21"/>
        <v>191.93</v>
      </c>
      <c r="CC37" s="68" t="e">
        <f t="shared" si="22"/>
        <v>#DIV/0!</v>
      </c>
      <c r="CD37" s="75" t="e">
        <f t="shared" si="49"/>
        <v>#DIV/0!</v>
      </c>
      <c r="CE37" s="68" t="e">
        <f>IF($I37="NA","NA",ROUND(#REF!*$CA37/$I37,2))</f>
        <v>#REF!</v>
      </c>
      <c r="CF37" s="75" t="e">
        <f t="shared" si="23"/>
        <v>#REF!</v>
      </c>
      <c r="CG37" s="68" t="e">
        <f t="shared" si="24"/>
        <v>#REF!</v>
      </c>
      <c r="CH37" s="4">
        <f t="shared" si="25"/>
        <v>88796</v>
      </c>
      <c r="CI37" s="4">
        <f t="shared" si="26"/>
        <v>49410</v>
      </c>
      <c r="CJ37" s="4">
        <f t="shared" si="27"/>
        <v>44381</v>
      </c>
      <c r="CK37" s="142">
        <f>IF(ISNA(VLOOKUP($A37&amp;$AB37,'Days Exceptions'!$C$3:$I$7,6,FALSE)),ROUND(CH37/MAX(CJ37,(CI37*Min_Occ)),2),ROUND(CH37/VLOOKUP($A37&amp;$AB37,'Days Exceptions'!$C$3:$I$7,6,FALSE),2))</f>
        <v>2</v>
      </c>
      <c r="CL37" s="143" t="e">
        <f t="shared" si="28"/>
        <v>#REF!</v>
      </c>
      <c r="CM37" s="143" t="e">
        <f t="shared" si="29"/>
        <v>#REF!</v>
      </c>
      <c r="CN37" s="143">
        <f t="shared" si="30"/>
        <v>157.29</v>
      </c>
      <c r="CO37" s="37" t="s">
        <v>580</v>
      </c>
      <c r="CP37" s="37" t="s">
        <v>581</v>
      </c>
      <c r="CQ37" s="37" t="s">
        <v>1433</v>
      </c>
    </row>
    <row r="38" spans="1:95" x14ac:dyDescent="0.15">
      <c r="A38" s="130">
        <v>695</v>
      </c>
      <c r="B38" s="37" t="s">
        <v>623</v>
      </c>
      <c r="C38" s="1" t="s">
        <v>148</v>
      </c>
      <c r="D38" s="1" t="s">
        <v>120</v>
      </c>
      <c r="E38" s="1" t="str">
        <f>VLOOKUP(D38,Documentation!$B$4:$D$27,3,FALSE)</f>
        <v>WASHINGTON METRO</v>
      </c>
      <c r="F38" s="1" t="str">
        <f>VLOOKUP(D38,Documentation!$B$4:$C$27,2,FALSE)</f>
        <v>WASHINGTON METRO</v>
      </c>
      <c r="G38" s="82">
        <f>VLOOKUP(A38,'2022 CR and CMI'!$A$3:$D$207,3,FALSE)</f>
        <v>44713</v>
      </c>
      <c r="H38" s="82">
        <f>VLOOKUP(A38,'2022 CR and CMI'!$A$3:$D$207,4,FALSE)</f>
        <v>44926</v>
      </c>
      <c r="I38" s="72">
        <f>VLOOKUP(A38,'2022 CR and CMI'!$A$2:$T$210,19,FALSE)</f>
        <v>1.6317999999999999</v>
      </c>
      <c r="J38" s="139">
        <f>Inflation!$G$24</f>
        <v>1.0309999999999999</v>
      </c>
      <c r="K38" s="192">
        <f>VLOOKUP(E38,Limits!$B$2:$D$5,3,FALSE)</f>
        <v>176.01</v>
      </c>
      <c r="L38" s="192">
        <f t="shared" si="31"/>
        <v>181.47</v>
      </c>
      <c r="M38" s="140">
        <f>VLOOKUP(A38,'CMI Data'!$A$4:$C$208,3,FALSE)</f>
        <v>1.5396000000000001</v>
      </c>
      <c r="N38" s="68">
        <f t="shared" si="2"/>
        <v>205.18</v>
      </c>
      <c r="O38" s="68">
        <f t="shared" si="32"/>
        <v>193.59</v>
      </c>
      <c r="P38" s="75">
        <f t="shared" si="33"/>
        <v>183.91</v>
      </c>
      <c r="Q38" s="75">
        <v>176.09</v>
      </c>
      <c r="R38" s="75">
        <f t="shared" si="34"/>
        <v>181.55</v>
      </c>
      <c r="S38" s="68">
        <f t="shared" si="35"/>
        <v>171.29</v>
      </c>
      <c r="T38" s="75">
        <f t="shared" si="36"/>
        <v>-12.62</v>
      </c>
      <c r="U38" s="68">
        <f t="shared" si="37"/>
        <v>180.97</v>
      </c>
      <c r="V38" s="68">
        <f>VLOOKUP($F38,Limits!$J$2:$L$5,3,FALSE)</f>
        <v>19.23</v>
      </c>
      <c r="W38" s="68">
        <f t="shared" si="38"/>
        <v>19.829999999999998</v>
      </c>
      <c r="X38" s="68">
        <f>VLOOKUP($F38,Limits!$R$2:$T$5,3,FALSE)</f>
        <v>100.61</v>
      </c>
      <c r="Y38" s="68">
        <f t="shared" si="39"/>
        <v>103.73</v>
      </c>
      <c r="Z38" s="75">
        <f>VLOOKUP(A38,FRV!$A$4:$U$208,21,FALSE)</f>
        <v>34.369999999999997</v>
      </c>
      <c r="AA38" s="141">
        <f>VLOOKUP(A38,'RE Tax'!$A$2:$G$206,3,FALSE)</f>
        <v>45292</v>
      </c>
      <c r="AB38" s="141">
        <f>VLOOKUP(A38,'RE Tax'!$A$2:$G$206,4,FALSE)</f>
        <v>45657</v>
      </c>
      <c r="AC38" s="4">
        <f>VLOOKUP(A38,'RE Tax'!$A$2:$G$206,7,FALSE)</f>
        <v>368512</v>
      </c>
      <c r="AD38" s="4">
        <f>VLOOKUP($A38,'RE Tax'!$A$2:$I$206,9,FALSE)</f>
        <v>55998</v>
      </c>
      <c r="AE38" s="4">
        <f>VLOOKUP($A38,'RE Tax'!$A$2:$I$206,8,FALSE)</f>
        <v>48813</v>
      </c>
      <c r="AF38" s="142">
        <f>IF(ISNA(VLOOKUP(A38&amp;AB38,'Days Exceptions'!$C$3:$I$7,6,FALSE)),ROUND(AC38/MAX(AE38,(AD38*Min_Occ)),2),ROUND(AC38/VLOOKUP(A38&amp;AB38,'Days Exceptions'!$C$3:$I$7,6,FALSE),2))</f>
        <v>7.55</v>
      </c>
      <c r="AG38" s="68">
        <v>0</v>
      </c>
      <c r="AH38" s="68">
        <f t="shared" si="40"/>
        <v>0</v>
      </c>
      <c r="AI38" s="4">
        <v>37544</v>
      </c>
      <c r="AJ38" s="4">
        <v>47873</v>
      </c>
      <c r="AK38" s="68">
        <f>IF(AI38=0,0,IF(ISNA(MATCH(A38,Documentation!$B$66:$B$71,0)),QA_Tax_reg,QA_Tax_5high))</f>
        <v>32.92</v>
      </c>
      <c r="AL38" s="75">
        <f t="shared" si="41"/>
        <v>25.82</v>
      </c>
      <c r="AM38" s="68">
        <f t="shared" si="42"/>
        <v>346.45</v>
      </c>
      <c r="AN38" s="68">
        <f t="shared" si="43"/>
        <v>255.97</v>
      </c>
      <c r="AO38" s="68">
        <f t="shared" si="44"/>
        <v>165.48</v>
      </c>
      <c r="AP38" s="37" t="s">
        <v>629</v>
      </c>
      <c r="AQ38" s="37" t="s">
        <v>623</v>
      </c>
      <c r="AR38" s="37" t="s">
        <v>991</v>
      </c>
      <c r="AS38" s="66" t="e">
        <f>VLOOKUP(A38,'CMI Data'!$A$3:$J$209,10,FALSE)</f>
        <v>#DIV/0!</v>
      </c>
      <c r="AT38" s="68">
        <f t="shared" si="3"/>
        <v>199.01</v>
      </c>
      <c r="AU38" s="68" t="e">
        <f t="shared" si="4"/>
        <v>#DIV/0!</v>
      </c>
      <c r="AV38" s="75" t="e">
        <f t="shared" si="45"/>
        <v>#DIV/0!</v>
      </c>
      <c r="AW38" s="68" t="e">
        <f>IF($I38="NA","NA",ROUND(#REF!*$AS38/$I38,2))</f>
        <v>#REF!</v>
      </c>
      <c r="AX38" s="75" t="e">
        <f t="shared" si="46"/>
        <v>#REF!</v>
      </c>
      <c r="AY38" s="68" t="e">
        <f t="shared" si="47"/>
        <v>#REF!</v>
      </c>
      <c r="AZ38" s="4">
        <f t="shared" si="5"/>
        <v>368512</v>
      </c>
      <c r="BA38" s="4">
        <f t="shared" si="6"/>
        <v>55998</v>
      </c>
      <c r="BB38" s="4">
        <f t="shared" si="7"/>
        <v>48813</v>
      </c>
      <c r="BC38" s="142">
        <f>IF(ISNA(VLOOKUP($A38&amp;$AB38,'Days Exceptions'!$C$3:$I$7,6,FALSE)),ROUND(AZ38/MAX(BB38,(BA38*Min_Occ)),2),ROUND(AZ38/VLOOKUP($A38&amp;$AB38,'Days Exceptions'!$C$3:$I$7,6,FALSE),2))</f>
        <v>7.55</v>
      </c>
      <c r="BD38" s="143" t="e">
        <f t="shared" si="8"/>
        <v>#REF!</v>
      </c>
      <c r="BE38" s="143" t="e">
        <f t="shared" si="9"/>
        <v>#REF!</v>
      </c>
      <c r="BF38" s="143">
        <f t="shared" si="10"/>
        <v>161.76</v>
      </c>
      <c r="BG38" s="37" t="s">
        <v>629</v>
      </c>
      <c r="BH38" s="37" t="s">
        <v>623</v>
      </c>
      <c r="BI38" s="37" t="s">
        <v>1195</v>
      </c>
      <c r="BJ38" s="66" t="e">
        <f>VLOOKUP(A38,'CMI Data'!$A$3:$AZ$209,15,FALSE)</f>
        <v>#DIV/0!</v>
      </c>
      <c r="BK38" s="68">
        <f t="shared" si="11"/>
        <v>199.01</v>
      </c>
      <c r="BL38" s="68" t="e">
        <f t="shared" si="12"/>
        <v>#DIV/0!</v>
      </c>
      <c r="BM38" s="75" t="e">
        <f t="shared" si="13"/>
        <v>#DIV/0!</v>
      </c>
      <c r="BN38" s="68" t="e">
        <f>IF($I38="NA","NA",ROUND(#REF!*$BJ38/$I38,2))</f>
        <v>#REF!</v>
      </c>
      <c r="BO38" s="75" t="e">
        <f t="shared" si="14"/>
        <v>#REF!</v>
      </c>
      <c r="BP38" s="68" t="e">
        <f t="shared" si="48"/>
        <v>#REF!</v>
      </c>
      <c r="BQ38" s="4">
        <f t="shared" si="15"/>
        <v>368512</v>
      </c>
      <c r="BR38" s="4">
        <f t="shared" si="16"/>
        <v>55998</v>
      </c>
      <c r="BS38" s="4">
        <f t="shared" si="17"/>
        <v>48813</v>
      </c>
      <c r="BT38" s="142">
        <f>IF(ISNA(VLOOKUP($A38&amp;$AB38,'Days Exceptions'!$C$3:$I$7,6,FALSE)),ROUND(BQ38/MAX(BS38,(BR38*Min_Occ)),2),ROUND(BQ38/VLOOKUP($A38&amp;$AB38,'Days Exceptions'!$C$3:$I$7,6,FALSE),2))</f>
        <v>7.55</v>
      </c>
      <c r="BU38" s="143" t="e">
        <f t="shared" si="18"/>
        <v>#REF!</v>
      </c>
      <c r="BV38" s="143" t="e">
        <f t="shared" si="19"/>
        <v>#REF!</v>
      </c>
      <c r="BW38" s="143">
        <f t="shared" si="20"/>
        <v>161.76</v>
      </c>
      <c r="BX38" s="37" t="s">
        <v>629</v>
      </c>
      <c r="BY38" s="37" t="s">
        <v>623</v>
      </c>
      <c r="BZ38" s="37" t="s">
        <v>1434</v>
      </c>
      <c r="CA38" s="66" t="e">
        <f>VLOOKUP(A38,'CMI Data'!$A$3:$AZ$209,20,FALSE)</f>
        <v>#DIV/0!</v>
      </c>
      <c r="CB38" s="68">
        <f t="shared" si="21"/>
        <v>199.01</v>
      </c>
      <c r="CC38" s="68" t="e">
        <f t="shared" si="22"/>
        <v>#DIV/0!</v>
      </c>
      <c r="CD38" s="75" t="e">
        <f t="shared" si="49"/>
        <v>#DIV/0!</v>
      </c>
      <c r="CE38" s="68" t="e">
        <f>IF($I38="NA","NA",ROUND(#REF!*$CA38/$I38,2))</f>
        <v>#REF!</v>
      </c>
      <c r="CF38" s="75" t="e">
        <f t="shared" si="23"/>
        <v>#REF!</v>
      </c>
      <c r="CG38" s="68" t="e">
        <f t="shared" si="24"/>
        <v>#REF!</v>
      </c>
      <c r="CH38" s="4">
        <f t="shared" si="25"/>
        <v>368512</v>
      </c>
      <c r="CI38" s="4">
        <f t="shared" si="26"/>
        <v>55998</v>
      </c>
      <c r="CJ38" s="4">
        <f t="shared" si="27"/>
        <v>48813</v>
      </c>
      <c r="CK38" s="142">
        <f>IF(ISNA(VLOOKUP($A38&amp;$AB38,'Days Exceptions'!$C$3:$I$7,6,FALSE)),ROUND(CH38/MAX(CJ38,(CI38*Min_Occ)),2),ROUND(CH38/VLOOKUP($A38&amp;$AB38,'Days Exceptions'!$C$3:$I$7,6,FALSE),2))</f>
        <v>7.55</v>
      </c>
      <c r="CL38" s="143" t="e">
        <f t="shared" si="28"/>
        <v>#REF!</v>
      </c>
      <c r="CM38" s="143" t="e">
        <f t="shared" si="29"/>
        <v>#REF!</v>
      </c>
      <c r="CN38" s="143">
        <f t="shared" si="30"/>
        <v>161.76</v>
      </c>
      <c r="CO38" s="37" t="s">
        <v>629</v>
      </c>
      <c r="CP38" s="37" t="s">
        <v>623</v>
      </c>
      <c r="CQ38" s="37" t="s">
        <v>1435</v>
      </c>
    </row>
    <row r="39" spans="1:95" x14ac:dyDescent="0.15">
      <c r="A39" s="130">
        <v>362</v>
      </c>
      <c r="B39" s="37" t="s">
        <v>558</v>
      </c>
      <c r="C39" s="1" t="s">
        <v>148</v>
      </c>
      <c r="D39" s="1" t="s">
        <v>107</v>
      </c>
      <c r="E39" s="1" t="str">
        <f>VLOOKUP(D39,Documentation!$B$4:$D$27,3,FALSE)</f>
        <v>BALTIMORE METRO</v>
      </c>
      <c r="F39" s="1" t="str">
        <f>VLOOKUP(D39,Documentation!$B$4:$C$27,2,FALSE)</f>
        <v>BALTIMORE METRO</v>
      </c>
      <c r="G39" s="82">
        <f>VLOOKUP(A39,'2022 CR and CMI'!$A$3:$D$207,3,FALSE)</f>
        <v>44562</v>
      </c>
      <c r="H39" s="82">
        <f>VLOOKUP(A39,'2022 CR and CMI'!$A$3:$D$207,4,FALSE)</f>
        <v>44926</v>
      </c>
      <c r="I39" s="72">
        <f>VLOOKUP(A39,'2022 CR and CMI'!$A$2:$T$210,19,FALSE)</f>
        <v>1.5527</v>
      </c>
      <c r="J39" s="139">
        <f>Inflation!$G$24</f>
        <v>1.0309999999999999</v>
      </c>
      <c r="K39" s="192">
        <f>VLOOKUP(E39,Limits!$B$2:$D$5,3,FALSE)</f>
        <v>195.33</v>
      </c>
      <c r="L39" s="192">
        <f t="shared" si="31"/>
        <v>201.39</v>
      </c>
      <c r="M39" s="140">
        <f>VLOOKUP(A39,'CMI Data'!$A$4:$C$208,3,FALSE)</f>
        <v>1.4796</v>
      </c>
      <c r="N39" s="68">
        <f t="shared" si="2"/>
        <v>216.67</v>
      </c>
      <c r="O39" s="68">
        <f t="shared" si="32"/>
        <v>206.47</v>
      </c>
      <c r="P39" s="75">
        <f t="shared" si="33"/>
        <v>196.15</v>
      </c>
      <c r="Q39" s="75">
        <v>175.13</v>
      </c>
      <c r="R39" s="75">
        <f t="shared" si="34"/>
        <v>180.56</v>
      </c>
      <c r="S39" s="68">
        <f t="shared" si="35"/>
        <v>172.06</v>
      </c>
      <c r="T39" s="75">
        <f t="shared" si="36"/>
        <v>-24.09</v>
      </c>
      <c r="U39" s="68">
        <f t="shared" si="37"/>
        <v>182.38</v>
      </c>
      <c r="V39" s="68">
        <f>VLOOKUP($F39,Limits!$J$2:$L$5,3,FALSE)</f>
        <v>20.85</v>
      </c>
      <c r="W39" s="68">
        <f t="shared" si="38"/>
        <v>21.5</v>
      </c>
      <c r="X39" s="68">
        <f>VLOOKUP($F39,Limits!$R$2:$T$5,3,FALSE)</f>
        <v>102.02</v>
      </c>
      <c r="Y39" s="68">
        <f t="shared" si="39"/>
        <v>105.18</v>
      </c>
      <c r="Z39" s="75">
        <f>VLOOKUP(A39,FRV!$A$4:$U$208,21,FALSE)</f>
        <v>26.66</v>
      </c>
      <c r="AA39" s="141">
        <f>VLOOKUP(A39,'RE Tax'!$A$2:$G$206,3,FALSE)</f>
        <v>45292</v>
      </c>
      <c r="AB39" s="141">
        <f>VLOOKUP(A39,'RE Tax'!$A$2:$G$206,4,FALSE)</f>
        <v>45657</v>
      </c>
      <c r="AC39" s="4">
        <f>VLOOKUP(A39,'RE Tax'!$A$2:$G$206,7,FALSE)</f>
        <v>48944</v>
      </c>
      <c r="AD39" s="4">
        <f>VLOOKUP($A39,'RE Tax'!$A$2:$I$206,9,FALSE)</f>
        <v>40260</v>
      </c>
      <c r="AE39" s="4">
        <f>VLOOKUP($A39,'RE Tax'!$A$2:$I$206,8,FALSE)</f>
        <v>33246</v>
      </c>
      <c r="AF39" s="142">
        <f>IF(ISNA(VLOOKUP(A39&amp;AB39,'Days Exceptions'!$C$3:$I$7,6,FALSE)),ROUND(AC39/MAX(AE39,(AD39*Min_Occ)),2),ROUND(AC39/VLOOKUP(A39&amp;AB39,'Days Exceptions'!$C$3:$I$7,6,FALSE),2))</f>
        <v>1.47</v>
      </c>
      <c r="AG39" s="68">
        <v>0</v>
      </c>
      <c r="AH39" s="68">
        <f t="shared" si="40"/>
        <v>0</v>
      </c>
      <c r="AI39" s="4">
        <v>26352</v>
      </c>
      <c r="AJ39" s="4">
        <v>32861</v>
      </c>
      <c r="AK39" s="68">
        <f>IF(AI39=0,0,IF(ISNA(MATCH(A39,Documentation!$B$66:$B$71,0)),QA_Tax_reg,QA_Tax_5high))</f>
        <v>32.92</v>
      </c>
      <c r="AL39" s="75">
        <f t="shared" si="41"/>
        <v>26.4</v>
      </c>
      <c r="AM39" s="68">
        <f t="shared" si="42"/>
        <v>337.19</v>
      </c>
      <c r="AN39" s="68">
        <f t="shared" si="43"/>
        <v>246</v>
      </c>
      <c r="AO39" s="68">
        <f t="shared" si="44"/>
        <v>154.81</v>
      </c>
      <c r="AP39" s="37" t="s">
        <v>557</v>
      </c>
      <c r="AQ39" s="37" t="s">
        <v>558</v>
      </c>
      <c r="AR39" s="37" t="s">
        <v>992</v>
      </c>
      <c r="AS39" s="66" t="e">
        <f>VLOOKUP(A39,'CMI Data'!$A$3:$J$209,10,FALSE)</f>
        <v>#DIV/0!</v>
      </c>
      <c r="AT39" s="68">
        <f t="shared" si="3"/>
        <v>210.15</v>
      </c>
      <c r="AU39" s="68" t="e">
        <f t="shared" si="4"/>
        <v>#DIV/0!</v>
      </c>
      <c r="AV39" s="75" t="e">
        <f t="shared" si="45"/>
        <v>#DIV/0!</v>
      </c>
      <c r="AW39" s="68" t="e">
        <f>IF($I39="NA","NA",ROUND(#REF!*$AS39/$I39,2))</f>
        <v>#REF!</v>
      </c>
      <c r="AX39" s="75" t="e">
        <f t="shared" si="46"/>
        <v>#REF!</v>
      </c>
      <c r="AY39" s="68" t="e">
        <f t="shared" si="47"/>
        <v>#REF!</v>
      </c>
      <c r="AZ39" s="4">
        <f t="shared" si="5"/>
        <v>48944</v>
      </c>
      <c r="BA39" s="4">
        <f t="shared" si="6"/>
        <v>40260</v>
      </c>
      <c r="BB39" s="4">
        <f t="shared" si="7"/>
        <v>33246</v>
      </c>
      <c r="BC39" s="142">
        <f>IF(ISNA(VLOOKUP($A39&amp;$AB39,'Days Exceptions'!$C$3:$I$7,6,FALSE)),ROUND(AZ39/MAX(BB39,(BA39*Min_Occ)),2),ROUND(AZ39/VLOOKUP($A39&amp;$AB39,'Days Exceptions'!$C$3:$I$7,6,FALSE),2))</f>
        <v>1.47</v>
      </c>
      <c r="BD39" s="143" t="e">
        <f t="shared" si="8"/>
        <v>#REF!</v>
      </c>
      <c r="BE39" s="143" t="e">
        <f t="shared" si="9"/>
        <v>#REF!</v>
      </c>
      <c r="BF39" s="143">
        <f t="shared" si="10"/>
        <v>151</v>
      </c>
      <c r="BG39" s="37" t="s">
        <v>557</v>
      </c>
      <c r="BH39" s="37" t="s">
        <v>558</v>
      </c>
      <c r="BI39" s="37" t="s">
        <v>1196</v>
      </c>
      <c r="BJ39" s="66" t="e">
        <f>VLOOKUP(A39,'CMI Data'!$A$3:$AZ$209,15,FALSE)</f>
        <v>#DIV/0!</v>
      </c>
      <c r="BK39" s="68">
        <f t="shared" si="11"/>
        <v>210.15</v>
      </c>
      <c r="BL39" s="68" t="e">
        <f t="shared" si="12"/>
        <v>#DIV/0!</v>
      </c>
      <c r="BM39" s="75" t="e">
        <f t="shared" si="13"/>
        <v>#DIV/0!</v>
      </c>
      <c r="BN39" s="68" t="e">
        <f>IF($I39="NA","NA",ROUND(#REF!*$BJ39/$I39,2))</f>
        <v>#REF!</v>
      </c>
      <c r="BO39" s="75" t="e">
        <f t="shared" si="14"/>
        <v>#REF!</v>
      </c>
      <c r="BP39" s="68" t="e">
        <f t="shared" si="48"/>
        <v>#REF!</v>
      </c>
      <c r="BQ39" s="4">
        <f t="shared" si="15"/>
        <v>48944</v>
      </c>
      <c r="BR39" s="4">
        <f t="shared" si="16"/>
        <v>40260</v>
      </c>
      <c r="BS39" s="4">
        <f t="shared" si="17"/>
        <v>33246</v>
      </c>
      <c r="BT39" s="142">
        <f>IF(ISNA(VLOOKUP($A39&amp;$AB39,'Days Exceptions'!$C$3:$I$7,6,FALSE)),ROUND(BQ39/MAX(BS39,(BR39*Min_Occ)),2),ROUND(BQ39/VLOOKUP($A39&amp;$AB39,'Days Exceptions'!$C$3:$I$7,6,FALSE),2))</f>
        <v>1.47</v>
      </c>
      <c r="BU39" s="143" t="e">
        <f t="shared" si="18"/>
        <v>#REF!</v>
      </c>
      <c r="BV39" s="143" t="e">
        <f t="shared" si="19"/>
        <v>#REF!</v>
      </c>
      <c r="BW39" s="143">
        <f t="shared" si="20"/>
        <v>151</v>
      </c>
      <c r="BX39" s="37" t="s">
        <v>557</v>
      </c>
      <c r="BY39" s="37" t="s">
        <v>558</v>
      </c>
      <c r="BZ39" s="37" t="s">
        <v>1436</v>
      </c>
      <c r="CA39" s="66" t="e">
        <f>VLOOKUP(A39,'CMI Data'!$A$3:$AZ$209,20,FALSE)</f>
        <v>#DIV/0!</v>
      </c>
      <c r="CB39" s="68">
        <f t="shared" si="21"/>
        <v>210.15</v>
      </c>
      <c r="CC39" s="68" t="e">
        <f t="shared" si="22"/>
        <v>#DIV/0!</v>
      </c>
      <c r="CD39" s="75" t="e">
        <f t="shared" si="49"/>
        <v>#DIV/0!</v>
      </c>
      <c r="CE39" s="68" t="e">
        <f>IF($I39="NA","NA",ROUND(#REF!*$CA39/$I39,2))</f>
        <v>#REF!</v>
      </c>
      <c r="CF39" s="75" t="e">
        <f t="shared" si="23"/>
        <v>#REF!</v>
      </c>
      <c r="CG39" s="68" t="e">
        <f t="shared" si="24"/>
        <v>#REF!</v>
      </c>
      <c r="CH39" s="4">
        <f t="shared" si="25"/>
        <v>48944</v>
      </c>
      <c r="CI39" s="4">
        <f t="shared" si="26"/>
        <v>40260</v>
      </c>
      <c r="CJ39" s="4">
        <f t="shared" si="27"/>
        <v>33246</v>
      </c>
      <c r="CK39" s="142">
        <f>IF(ISNA(VLOOKUP($A39&amp;$AB39,'Days Exceptions'!$C$3:$I$7,6,FALSE)),ROUND(CH39/MAX(CJ39,(CI39*Min_Occ)),2),ROUND(CH39/VLOOKUP($A39&amp;$AB39,'Days Exceptions'!$C$3:$I$7,6,FALSE),2))</f>
        <v>1.47</v>
      </c>
      <c r="CL39" s="143" t="e">
        <f t="shared" si="28"/>
        <v>#REF!</v>
      </c>
      <c r="CM39" s="143" t="e">
        <f t="shared" si="29"/>
        <v>#REF!</v>
      </c>
      <c r="CN39" s="143">
        <f t="shared" si="30"/>
        <v>151</v>
      </c>
      <c r="CO39" s="37" t="s">
        <v>557</v>
      </c>
      <c r="CP39" s="37" t="s">
        <v>558</v>
      </c>
      <c r="CQ39" s="37" t="s">
        <v>1437</v>
      </c>
    </row>
    <row r="40" spans="1:95" x14ac:dyDescent="0.15">
      <c r="A40" s="130">
        <v>390</v>
      </c>
      <c r="B40" s="37" t="s">
        <v>450</v>
      </c>
      <c r="C40" s="1" t="s">
        <v>148</v>
      </c>
      <c r="D40" s="1" t="s">
        <v>107</v>
      </c>
      <c r="E40" s="1" t="str">
        <f>VLOOKUP(D40,Documentation!$B$4:$D$27,3,FALSE)</f>
        <v>BALTIMORE METRO</v>
      </c>
      <c r="F40" s="1" t="str">
        <f>VLOOKUP(D40,Documentation!$B$4:$C$27,2,FALSE)</f>
        <v>BALTIMORE METRO</v>
      </c>
      <c r="G40" s="82">
        <f>VLOOKUP(A40,'2022 CR and CMI'!$A$3:$D$207,3,FALSE)</f>
        <v>44562</v>
      </c>
      <c r="H40" s="82">
        <f>VLOOKUP(A40,'2022 CR and CMI'!$A$3:$D$207,4,FALSE)</f>
        <v>44926</v>
      </c>
      <c r="I40" s="72">
        <f>VLOOKUP(A40,'2022 CR and CMI'!$A$2:$T$210,19,FALSE)</f>
        <v>1.4777</v>
      </c>
      <c r="J40" s="139">
        <f>Inflation!$G$24</f>
        <v>1.0309999999999999</v>
      </c>
      <c r="K40" s="192">
        <f>VLOOKUP(E40,Limits!$B$2:$D$5,3,FALSE)</f>
        <v>195.33</v>
      </c>
      <c r="L40" s="192">
        <f t="shared" si="31"/>
        <v>201.39</v>
      </c>
      <c r="M40" s="140">
        <f>VLOOKUP(A40,'CMI Data'!$A$4:$C$208,3,FALSE)</f>
        <v>1.5104</v>
      </c>
      <c r="N40" s="68">
        <f t="shared" si="2"/>
        <v>206.2</v>
      </c>
      <c r="O40" s="68">
        <f t="shared" si="32"/>
        <v>210.76</v>
      </c>
      <c r="P40" s="75">
        <f t="shared" si="33"/>
        <v>200.22</v>
      </c>
      <c r="Q40" s="75">
        <v>198.46</v>
      </c>
      <c r="R40" s="75">
        <f t="shared" si="34"/>
        <v>204.61</v>
      </c>
      <c r="S40" s="68">
        <f t="shared" si="35"/>
        <v>209.14</v>
      </c>
      <c r="T40" s="75">
        <f t="shared" si="36"/>
        <v>0</v>
      </c>
      <c r="U40" s="68">
        <f t="shared" si="37"/>
        <v>210.76</v>
      </c>
      <c r="V40" s="68">
        <f>VLOOKUP($F40,Limits!$J$2:$L$5,3,FALSE)</f>
        <v>20.85</v>
      </c>
      <c r="W40" s="68">
        <f t="shared" si="38"/>
        <v>21.5</v>
      </c>
      <c r="X40" s="68">
        <f>VLOOKUP($F40,Limits!$R$2:$T$5,3,FALSE)</f>
        <v>102.02</v>
      </c>
      <c r="Y40" s="68">
        <f t="shared" si="39"/>
        <v>105.18</v>
      </c>
      <c r="Z40" s="75">
        <f>VLOOKUP(A40,FRV!$A$4:$U$208,21,FALSE)</f>
        <v>28.84</v>
      </c>
      <c r="AA40" s="141">
        <f>VLOOKUP(A40,'RE Tax'!$A$2:$G$206,3,FALSE)</f>
        <v>45292</v>
      </c>
      <c r="AB40" s="141">
        <f>VLOOKUP(A40,'RE Tax'!$A$2:$G$206,4,FALSE)</f>
        <v>45657</v>
      </c>
      <c r="AC40" s="4">
        <f>VLOOKUP(A40,'RE Tax'!$A$2:$G$206,7,FALSE)</f>
        <v>107893</v>
      </c>
      <c r="AD40" s="4">
        <f>VLOOKUP($A40,'RE Tax'!$A$2:$I$206,9,FALSE)</f>
        <v>51240</v>
      </c>
      <c r="AE40" s="4">
        <f>VLOOKUP($A40,'RE Tax'!$A$2:$I$206,8,FALSE)</f>
        <v>42051</v>
      </c>
      <c r="AF40" s="142">
        <f>IF(ISNA(VLOOKUP(A40&amp;AB40,'Days Exceptions'!$C$3:$I$7,6,FALSE)),ROUND(AC40/MAX(AE40,(AD40*Min_Occ)),2),ROUND(AC40/VLOOKUP(A40&amp;AB40,'Days Exceptions'!$C$3:$I$7,6,FALSE),2))</f>
        <v>2.57</v>
      </c>
      <c r="AG40" s="68">
        <v>0</v>
      </c>
      <c r="AH40" s="68">
        <f t="shared" si="40"/>
        <v>0</v>
      </c>
      <c r="AI40" s="4">
        <v>31534</v>
      </c>
      <c r="AJ40" s="4">
        <v>40151</v>
      </c>
      <c r="AK40" s="68">
        <f>IF(AI40=0,0,IF(ISNA(MATCH(A40,Documentation!$B$66:$B$71,0)),QA_Tax_reg,QA_Tax_5high))</f>
        <v>32.92</v>
      </c>
      <c r="AL40" s="75">
        <f t="shared" si="41"/>
        <v>25.85</v>
      </c>
      <c r="AM40" s="68">
        <f t="shared" si="42"/>
        <v>368.85</v>
      </c>
      <c r="AN40" s="68">
        <f t="shared" si="43"/>
        <v>263.47000000000003</v>
      </c>
      <c r="AO40" s="68">
        <f t="shared" si="44"/>
        <v>158.09</v>
      </c>
      <c r="AP40" s="37" t="s">
        <v>449</v>
      </c>
      <c r="AQ40" s="37" t="s">
        <v>450</v>
      </c>
      <c r="AR40" s="37" t="s">
        <v>993</v>
      </c>
      <c r="AS40" s="66" t="e">
        <f>VLOOKUP(A40,'CMI Data'!$A$3:$J$209,10,FALSE)</f>
        <v>#DIV/0!</v>
      </c>
      <c r="AT40" s="68">
        <f t="shared" si="3"/>
        <v>200</v>
      </c>
      <c r="AU40" s="68" t="e">
        <f t="shared" si="4"/>
        <v>#DIV/0!</v>
      </c>
      <c r="AV40" s="75" t="e">
        <f t="shared" si="45"/>
        <v>#DIV/0!</v>
      </c>
      <c r="AW40" s="68" t="e">
        <f>IF($I40="NA","NA",ROUND(#REF!*$AS40/$I40,2))</f>
        <v>#REF!</v>
      </c>
      <c r="AX40" s="75" t="e">
        <f t="shared" si="46"/>
        <v>#REF!</v>
      </c>
      <c r="AY40" s="68" t="e">
        <f t="shared" si="47"/>
        <v>#REF!</v>
      </c>
      <c r="AZ40" s="4">
        <f t="shared" si="5"/>
        <v>107893</v>
      </c>
      <c r="BA40" s="4">
        <f t="shared" si="6"/>
        <v>51240</v>
      </c>
      <c r="BB40" s="4">
        <f t="shared" si="7"/>
        <v>42051</v>
      </c>
      <c r="BC40" s="142">
        <f>IF(ISNA(VLOOKUP($A40&amp;$AB40,'Days Exceptions'!$C$3:$I$7,6,FALSE)),ROUND(AZ40/MAX(BB40,(BA40*Min_Occ)),2),ROUND(AZ40/VLOOKUP($A40&amp;$AB40,'Days Exceptions'!$C$3:$I$7,6,FALSE),2))</f>
        <v>2.57</v>
      </c>
      <c r="BD40" s="143" t="e">
        <f t="shared" si="8"/>
        <v>#REF!</v>
      </c>
      <c r="BE40" s="143" t="e">
        <f t="shared" si="9"/>
        <v>#REF!</v>
      </c>
      <c r="BF40" s="143">
        <f t="shared" si="10"/>
        <v>154.28</v>
      </c>
      <c r="BG40" s="37" t="s">
        <v>449</v>
      </c>
      <c r="BH40" s="37" t="s">
        <v>450</v>
      </c>
      <c r="BI40" s="37" t="s">
        <v>1197</v>
      </c>
      <c r="BJ40" s="66" t="e">
        <f>VLOOKUP(A40,'CMI Data'!$A$3:$AZ$209,15,FALSE)</f>
        <v>#DIV/0!</v>
      </c>
      <c r="BK40" s="68">
        <f t="shared" si="11"/>
        <v>200</v>
      </c>
      <c r="BL40" s="68" t="e">
        <f t="shared" si="12"/>
        <v>#DIV/0!</v>
      </c>
      <c r="BM40" s="75" t="e">
        <f t="shared" si="13"/>
        <v>#DIV/0!</v>
      </c>
      <c r="BN40" s="68" t="e">
        <f>IF($I40="NA","NA",ROUND(#REF!*$BJ40/$I40,2))</f>
        <v>#REF!</v>
      </c>
      <c r="BO40" s="75" t="e">
        <f t="shared" si="14"/>
        <v>#REF!</v>
      </c>
      <c r="BP40" s="68" t="e">
        <f t="shared" si="48"/>
        <v>#REF!</v>
      </c>
      <c r="BQ40" s="4">
        <f t="shared" si="15"/>
        <v>107893</v>
      </c>
      <c r="BR40" s="4">
        <f t="shared" si="16"/>
        <v>51240</v>
      </c>
      <c r="BS40" s="4">
        <f t="shared" si="17"/>
        <v>42051</v>
      </c>
      <c r="BT40" s="142">
        <f>IF(ISNA(VLOOKUP($A40&amp;$AB40,'Days Exceptions'!$C$3:$I$7,6,FALSE)),ROUND(BQ40/MAX(BS40,(BR40*Min_Occ)),2),ROUND(BQ40/VLOOKUP($A40&amp;$AB40,'Days Exceptions'!$C$3:$I$7,6,FALSE),2))</f>
        <v>2.57</v>
      </c>
      <c r="BU40" s="143" t="e">
        <f t="shared" si="18"/>
        <v>#REF!</v>
      </c>
      <c r="BV40" s="143" t="e">
        <f t="shared" si="19"/>
        <v>#REF!</v>
      </c>
      <c r="BW40" s="143">
        <f t="shared" si="20"/>
        <v>154.28</v>
      </c>
      <c r="BX40" s="37" t="s">
        <v>449</v>
      </c>
      <c r="BY40" s="37" t="s">
        <v>450</v>
      </c>
      <c r="BZ40" s="37" t="s">
        <v>1438</v>
      </c>
      <c r="CA40" s="66" t="e">
        <f>VLOOKUP(A40,'CMI Data'!$A$3:$AZ$209,20,FALSE)</f>
        <v>#DIV/0!</v>
      </c>
      <c r="CB40" s="68">
        <f t="shared" si="21"/>
        <v>200</v>
      </c>
      <c r="CC40" s="68" t="e">
        <f t="shared" si="22"/>
        <v>#DIV/0!</v>
      </c>
      <c r="CD40" s="75" t="e">
        <f t="shared" si="49"/>
        <v>#DIV/0!</v>
      </c>
      <c r="CE40" s="68" t="e">
        <f>IF($I40="NA","NA",ROUND(#REF!*$CA40/$I40,2))</f>
        <v>#REF!</v>
      </c>
      <c r="CF40" s="75" t="e">
        <f t="shared" si="23"/>
        <v>#REF!</v>
      </c>
      <c r="CG40" s="68" t="e">
        <f t="shared" si="24"/>
        <v>#REF!</v>
      </c>
      <c r="CH40" s="4">
        <f t="shared" si="25"/>
        <v>107893</v>
      </c>
      <c r="CI40" s="4">
        <f t="shared" si="26"/>
        <v>51240</v>
      </c>
      <c r="CJ40" s="4">
        <f t="shared" si="27"/>
        <v>42051</v>
      </c>
      <c r="CK40" s="142">
        <f>IF(ISNA(VLOOKUP($A40&amp;$AB40,'Days Exceptions'!$C$3:$I$7,6,FALSE)),ROUND(CH40/MAX(CJ40,(CI40*Min_Occ)),2),ROUND(CH40/VLOOKUP($A40&amp;$AB40,'Days Exceptions'!$C$3:$I$7,6,FALSE),2))</f>
        <v>2.57</v>
      </c>
      <c r="CL40" s="143" t="e">
        <f t="shared" si="28"/>
        <v>#REF!</v>
      </c>
      <c r="CM40" s="143" t="e">
        <f t="shared" si="29"/>
        <v>#REF!</v>
      </c>
      <c r="CN40" s="143">
        <f t="shared" si="30"/>
        <v>154.28</v>
      </c>
      <c r="CO40" s="37" t="s">
        <v>449</v>
      </c>
      <c r="CP40" s="37" t="s">
        <v>450</v>
      </c>
      <c r="CQ40" s="37" t="s">
        <v>1439</v>
      </c>
    </row>
    <row r="41" spans="1:95" x14ac:dyDescent="0.15">
      <c r="A41" s="130">
        <v>384</v>
      </c>
      <c r="B41" s="37" t="s">
        <v>493</v>
      </c>
      <c r="C41" s="1" t="s">
        <v>148</v>
      </c>
      <c r="D41" s="1" t="s">
        <v>107</v>
      </c>
      <c r="E41" s="1" t="str">
        <f>VLOOKUP(D41,Documentation!$B$4:$D$27,3,FALSE)</f>
        <v>BALTIMORE METRO</v>
      </c>
      <c r="F41" s="1" t="str">
        <f>VLOOKUP(D41,Documentation!$B$4:$C$27,2,FALSE)</f>
        <v>BALTIMORE METRO</v>
      </c>
      <c r="G41" s="82">
        <f>VLOOKUP(A41,'2022 CR and CMI'!$A$3:$D$207,3,FALSE)</f>
        <v>44562</v>
      </c>
      <c r="H41" s="82">
        <f>VLOOKUP(A41,'2022 CR and CMI'!$A$3:$D$207,4,FALSE)</f>
        <v>44926</v>
      </c>
      <c r="I41" s="72">
        <f>VLOOKUP(A41,'2022 CR and CMI'!$A$2:$T$210,19,FALSE)</f>
        <v>1.5094000000000001</v>
      </c>
      <c r="J41" s="139">
        <f>Inflation!$G$24</f>
        <v>1.0309999999999999</v>
      </c>
      <c r="K41" s="192">
        <f>VLOOKUP(E41,Limits!$B$2:$D$5,3,FALSE)</f>
        <v>195.33</v>
      </c>
      <c r="L41" s="192">
        <f t="shared" si="31"/>
        <v>201.39</v>
      </c>
      <c r="M41" s="140">
        <f>VLOOKUP(A41,'CMI Data'!$A$4:$C$208,3,FALSE)</f>
        <v>1.4460999999999999</v>
      </c>
      <c r="N41" s="68">
        <f t="shared" si="2"/>
        <v>210.63</v>
      </c>
      <c r="O41" s="68">
        <f t="shared" si="32"/>
        <v>201.8</v>
      </c>
      <c r="P41" s="75">
        <f t="shared" si="33"/>
        <v>191.71</v>
      </c>
      <c r="Q41" s="75">
        <v>168.54</v>
      </c>
      <c r="R41" s="75">
        <f t="shared" si="34"/>
        <v>173.76</v>
      </c>
      <c r="S41" s="68">
        <f t="shared" si="35"/>
        <v>166.47</v>
      </c>
      <c r="T41" s="75">
        <f t="shared" si="36"/>
        <v>-25.24</v>
      </c>
      <c r="U41" s="68">
        <f t="shared" si="37"/>
        <v>176.56</v>
      </c>
      <c r="V41" s="68">
        <f>VLOOKUP($F41,Limits!$J$2:$L$5,3,FALSE)</f>
        <v>20.85</v>
      </c>
      <c r="W41" s="68">
        <f t="shared" si="38"/>
        <v>21.5</v>
      </c>
      <c r="X41" s="68">
        <f>VLOOKUP($F41,Limits!$R$2:$T$5,3,FALSE)</f>
        <v>102.02</v>
      </c>
      <c r="Y41" s="68">
        <f t="shared" si="39"/>
        <v>105.18</v>
      </c>
      <c r="Z41" s="75">
        <f>VLOOKUP(A41,FRV!$A$4:$U$208,21,FALSE)</f>
        <v>29.35</v>
      </c>
      <c r="AA41" s="141">
        <f>VLOOKUP(A41,'RE Tax'!$A$2:$G$206,3,FALSE)</f>
        <v>45292</v>
      </c>
      <c r="AB41" s="141">
        <f>VLOOKUP(A41,'RE Tax'!$A$2:$G$206,4,FALSE)</f>
        <v>45657</v>
      </c>
      <c r="AC41" s="4">
        <f>VLOOKUP(A41,'RE Tax'!$A$2:$G$206,7,FALSE)</f>
        <v>110837</v>
      </c>
      <c r="AD41" s="4">
        <f>VLOOKUP($A41,'RE Tax'!$A$2:$I$206,9,FALSE)</f>
        <v>87108</v>
      </c>
      <c r="AE41" s="4">
        <f>VLOOKUP($A41,'RE Tax'!$A$2:$I$206,8,FALSE)</f>
        <v>78711</v>
      </c>
      <c r="AF41" s="142">
        <f>IF(ISNA(VLOOKUP(A41&amp;AB41,'Days Exceptions'!$C$3:$I$7,6,FALSE)),ROUND(AC41/MAX(AE41,(AD41*Min_Occ)),2),ROUND(AC41/VLOOKUP(A41&amp;AB41,'Days Exceptions'!$C$3:$I$7,6,FALSE),2))</f>
        <v>1.41</v>
      </c>
      <c r="AG41" s="68">
        <v>0</v>
      </c>
      <c r="AH41" s="68">
        <f t="shared" si="40"/>
        <v>0</v>
      </c>
      <c r="AI41" s="4">
        <v>57913</v>
      </c>
      <c r="AJ41" s="4">
        <v>77404</v>
      </c>
      <c r="AK41" s="68">
        <f>IF(AI41=0,0,IF(ISNA(MATCH(A41,Documentation!$B$66:$B$71,0)),QA_Tax_reg,QA_Tax_5high))</f>
        <v>3.04</v>
      </c>
      <c r="AL41" s="75">
        <f t="shared" si="41"/>
        <v>2.27</v>
      </c>
      <c r="AM41" s="68">
        <f t="shared" si="42"/>
        <v>334</v>
      </c>
      <c r="AN41" s="68">
        <f t="shared" si="43"/>
        <v>245.72</v>
      </c>
      <c r="AO41" s="68">
        <f t="shared" si="44"/>
        <v>157.44</v>
      </c>
      <c r="AP41" s="37" t="s">
        <v>492</v>
      </c>
      <c r="AQ41" s="37" t="s">
        <v>493</v>
      </c>
      <c r="AR41" s="37" t="s">
        <v>994</v>
      </c>
      <c r="AS41" s="66" t="e">
        <f>VLOOKUP(A41,'CMI Data'!$A$3:$J$209,10,FALSE)</f>
        <v>#DIV/0!</v>
      </c>
      <c r="AT41" s="68">
        <f t="shared" si="3"/>
        <v>204.29</v>
      </c>
      <c r="AU41" s="68" t="e">
        <f t="shared" si="4"/>
        <v>#DIV/0!</v>
      </c>
      <c r="AV41" s="75" t="e">
        <f t="shared" si="45"/>
        <v>#DIV/0!</v>
      </c>
      <c r="AW41" s="68" t="e">
        <f>IF($I41="NA","NA",ROUND(#REF!*$AS41/$I41,2))</f>
        <v>#REF!</v>
      </c>
      <c r="AX41" s="75" t="e">
        <f t="shared" si="46"/>
        <v>#REF!</v>
      </c>
      <c r="AY41" s="68" t="e">
        <f t="shared" si="47"/>
        <v>#REF!</v>
      </c>
      <c r="AZ41" s="4">
        <f t="shared" si="5"/>
        <v>110837</v>
      </c>
      <c r="BA41" s="4">
        <f t="shared" si="6"/>
        <v>87108</v>
      </c>
      <c r="BB41" s="4">
        <f t="shared" si="7"/>
        <v>78711</v>
      </c>
      <c r="BC41" s="142">
        <f>IF(ISNA(VLOOKUP($A41&amp;$AB41,'Days Exceptions'!$C$3:$I$7,6,FALSE)),ROUND(AZ41/MAX(BB41,(BA41*Min_Occ)),2),ROUND(AZ41/VLOOKUP($A41&amp;$AB41,'Days Exceptions'!$C$3:$I$7,6,FALSE),2))</f>
        <v>1.41</v>
      </c>
      <c r="BD41" s="143" t="e">
        <f t="shared" si="8"/>
        <v>#REF!</v>
      </c>
      <c r="BE41" s="143" t="e">
        <f t="shared" si="9"/>
        <v>#REF!</v>
      </c>
      <c r="BF41" s="143">
        <f t="shared" si="10"/>
        <v>153.63</v>
      </c>
      <c r="BG41" s="37" t="s">
        <v>492</v>
      </c>
      <c r="BH41" s="37" t="s">
        <v>493</v>
      </c>
      <c r="BI41" s="37" t="s">
        <v>1198</v>
      </c>
      <c r="BJ41" s="66" t="e">
        <f>VLOOKUP(A41,'CMI Data'!$A$3:$AZ$209,15,FALSE)</f>
        <v>#DIV/0!</v>
      </c>
      <c r="BK41" s="68">
        <f t="shared" si="11"/>
        <v>204.29</v>
      </c>
      <c r="BL41" s="68" t="e">
        <f t="shared" si="12"/>
        <v>#DIV/0!</v>
      </c>
      <c r="BM41" s="75" t="e">
        <f t="shared" si="13"/>
        <v>#DIV/0!</v>
      </c>
      <c r="BN41" s="68" t="e">
        <f>IF($I41="NA","NA",ROUND(#REF!*$BJ41/$I41,2))</f>
        <v>#REF!</v>
      </c>
      <c r="BO41" s="75" t="e">
        <f t="shared" si="14"/>
        <v>#REF!</v>
      </c>
      <c r="BP41" s="68" t="e">
        <f t="shared" si="48"/>
        <v>#REF!</v>
      </c>
      <c r="BQ41" s="4">
        <f t="shared" si="15"/>
        <v>110837</v>
      </c>
      <c r="BR41" s="4">
        <f t="shared" si="16"/>
        <v>87108</v>
      </c>
      <c r="BS41" s="4">
        <f t="shared" si="17"/>
        <v>78711</v>
      </c>
      <c r="BT41" s="142">
        <f>IF(ISNA(VLOOKUP($A41&amp;$AB41,'Days Exceptions'!$C$3:$I$7,6,FALSE)),ROUND(BQ41/MAX(BS41,(BR41*Min_Occ)),2),ROUND(BQ41/VLOOKUP($A41&amp;$AB41,'Days Exceptions'!$C$3:$I$7,6,FALSE),2))</f>
        <v>1.41</v>
      </c>
      <c r="BU41" s="143" t="e">
        <f t="shared" si="18"/>
        <v>#REF!</v>
      </c>
      <c r="BV41" s="143" t="e">
        <f t="shared" si="19"/>
        <v>#REF!</v>
      </c>
      <c r="BW41" s="143">
        <f t="shared" si="20"/>
        <v>153.63</v>
      </c>
      <c r="BX41" s="37" t="s">
        <v>492</v>
      </c>
      <c r="BY41" s="37" t="s">
        <v>493</v>
      </c>
      <c r="BZ41" s="37" t="s">
        <v>1440</v>
      </c>
      <c r="CA41" s="66" t="e">
        <f>VLOOKUP(A41,'CMI Data'!$A$3:$AZ$209,20,FALSE)</f>
        <v>#DIV/0!</v>
      </c>
      <c r="CB41" s="68">
        <f t="shared" si="21"/>
        <v>204.29</v>
      </c>
      <c r="CC41" s="68" t="e">
        <f t="shared" si="22"/>
        <v>#DIV/0!</v>
      </c>
      <c r="CD41" s="75" t="e">
        <f t="shared" si="49"/>
        <v>#DIV/0!</v>
      </c>
      <c r="CE41" s="68" t="e">
        <f>IF($I41="NA","NA",ROUND(#REF!*$CA41/$I41,2))</f>
        <v>#REF!</v>
      </c>
      <c r="CF41" s="75" t="e">
        <f t="shared" si="23"/>
        <v>#REF!</v>
      </c>
      <c r="CG41" s="68" t="e">
        <f t="shared" si="24"/>
        <v>#REF!</v>
      </c>
      <c r="CH41" s="4">
        <f t="shared" si="25"/>
        <v>110837</v>
      </c>
      <c r="CI41" s="4">
        <f t="shared" si="26"/>
        <v>87108</v>
      </c>
      <c r="CJ41" s="4">
        <f t="shared" si="27"/>
        <v>78711</v>
      </c>
      <c r="CK41" s="142">
        <f>IF(ISNA(VLOOKUP($A41&amp;$AB41,'Days Exceptions'!$C$3:$I$7,6,FALSE)),ROUND(CH41/MAX(CJ41,(CI41*Min_Occ)),2),ROUND(CH41/VLOOKUP($A41&amp;$AB41,'Days Exceptions'!$C$3:$I$7,6,FALSE),2))</f>
        <v>1.41</v>
      </c>
      <c r="CL41" s="143" t="e">
        <f t="shared" si="28"/>
        <v>#REF!</v>
      </c>
      <c r="CM41" s="143" t="e">
        <f t="shared" si="29"/>
        <v>#REF!</v>
      </c>
      <c r="CN41" s="143">
        <f t="shared" si="30"/>
        <v>153.63</v>
      </c>
      <c r="CO41" s="37" t="s">
        <v>492</v>
      </c>
      <c r="CP41" s="37" t="s">
        <v>493</v>
      </c>
      <c r="CQ41" s="37" t="s">
        <v>1441</v>
      </c>
    </row>
    <row r="42" spans="1:95" x14ac:dyDescent="0.15">
      <c r="A42" s="130">
        <v>314</v>
      </c>
      <c r="B42" s="37" t="s">
        <v>691</v>
      </c>
      <c r="C42" s="1" t="s">
        <v>148</v>
      </c>
      <c r="D42" s="1" t="s">
        <v>107</v>
      </c>
      <c r="E42" s="1" t="str">
        <f>VLOOKUP(D42,Documentation!$B$4:$D$27,3,FALSE)</f>
        <v>BALTIMORE METRO</v>
      </c>
      <c r="F42" s="1" t="str">
        <f>VLOOKUP(D42,Documentation!$B$4:$C$27,2,FALSE)</f>
        <v>BALTIMORE METRO</v>
      </c>
      <c r="G42" s="82">
        <f>VLOOKUP(A42,'2022 CR and CMI'!$A$3:$D$207,3,FALSE)</f>
        <v>44348</v>
      </c>
      <c r="H42" s="82">
        <f>VLOOKUP(A42,'2022 CR and CMI'!$A$3:$D$207,4,FALSE)</f>
        <v>44712</v>
      </c>
      <c r="I42" s="72">
        <f>VLOOKUP(A42,'2022 CR and CMI'!$A$2:$T$210,19,FALSE)</f>
        <v>1.3602000000000001</v>
      </c>
      <c r="J42" s="139">
        <f>Inflation!$G$24</f>
        <v>1.0309999999999999</v>
      </c>
      <c r="K42" s="192">
        <f>VLOOKUP(E42,Limits!$B$2:$D$5,3,FALSE)</f>
        <v>195.33</v>
      </c>
      <c r="L42" s="192">
        <f t="shared" si="31"/>
        <v>201.39</v>
      </c>
      <c r="M42" s="140">
        <f>VLOOKUP(A42,'CMI Data'!$A$4:$C$208,3,FALSE)</f>
        <v>1.4701</v>
      </c>
      <c r="N42" s="68">
        <f t="shared" si="2"/>
        <v>189.81</v>
      </c>
      <c r="O42" s="68">
        <f t="shared" si="32"/>
        <v>205.15</v>
      </c>
      <c r="P42" s="75">
        <f t="shared" si="33"/>
        <v>194.89</v>
      </c>
      <c r="Q42" s="75">
        <v>196.53</v>
      </c>
      <c r="R42" s="75">
        <f t="shared" si="34"/>
        <v>202.62</v>
      </c>
      <c r="S42" s="68">
        <f t="shared" si="35"/>
        <v>218.99</v>
      </c>
      <c r="T42" s="75">
        <f t="shared" si="36"/>
        <v>0</v>
      </c>
      <c r="U42" s="68">
        <f t="shared" si="37"/>
        <v>205.15</v>
      </c>
      <c r="V42" s="68">
        <f>VLOOKUP($F42,Limits!$J$2:$L$5,3,FALSE)</f>
        <v>20.85</v>
      </c>
      <c r="W42" s="68">
        <f t="shared" si="38"/>
        <v>21.5</v>
      </c>
      <c r="X42" s="68">
        <f>VLOOKUP($F42,Limits!$R$2:$T$5,3,FALSE)</f>
        <v>102.02</v>
      </c>
      <c r="Y42" s="68">
        <f t="shared" si="39"/>
        <v>105.18</v>
      </c>
      <c r="Z42" s="75">
        <f>VLOOKUP(A42,FRV!$A$4:$U$208,21,FALSE)</f>
        <v>39.159999999999997</v>
      </c>
      <c r="AA42" s="141">
        <f>VLOOKUP(A42,'RE Tax'!$A$2:$G$206,3,FALSE)</f>
        <v>45292</v>
      </c>
      <c r="AB42" s="141">
        <f>VLOOKUP(A42,'RE Tax'!$A$2:$G$206,4,FALSE)</f>
        <v>45657</v>
      </c>
      <c r="AC42" s="4">
        <f>VLOOKUP(A42,'RE Tax'!$A$2:$G$206,7,FALSE)</f>
        <v>85630</v>
      </c>
      <c r="AD42" s="4">
        <f>VLOOKUP($A42,'RE Tax'!$A$2:$I$206,9,FALSE)</f>
        <v>65514</v>
      </c>
      <c r="AE42" s="4">
        <f>VLOOKUP($A42,'RE Tax'!$A$2:$I$206,8,FALSE)</f>
        <v>57474</v>
      </c>
      <c r="AF42" s="142">
        <f>IF(ISNA(VLOOKUP(A42&amp;AB42,'Days Exceptions'!$C$3:$I$7,6,FALSE)),ROUND(AC42/MAX(AE42,(AD42*Min_Occ)),2),ROUND(AC42/VLOOKUP(A42&amp;AB42,'Days Exceptions'!$C$3:$I$7,6,FALSE),2))</f>
        <v>1.49</v>
      </c>
      <c r="AG42" s="68">
        <v>0</v>
      </c>
      <c r="AH42" s="68">
        <f t="shared" si="40"/>
        <v>0</v>
      </c>
      <c r="AI42" s="4">
        <v>45806</v>
      </c>
      <c r="AJ42" s="4">
        <v>58133</v>
      </c>
      <c r="AK42" s="68">
        <f>IF(AI42=0,0,IF(ISNA(MATCH(A42,Documentation!$B$66:$B$71,0)),QA_Tax_reg,QA_Tax_5high))</f>
        <v>32.92</v>
      </c>
      <c r="AL42" s="75">
        <f t="shared" si="41"/>
        <v>25.94</v>
      </c>
      <c r="AM42" s="68">
        <f t="shared" si="42"/>
        <v>372.48</v>
      </c>
      <c r="AN42" s="68">
        <f t="shared" si="43"/>
        <v>269.91000000000003</v>
      </c>
      <c r="AO42" s="68">
        <f t="shared" si="44"/>
        <v>167.33</v>
      </c>
      <c r="AP42" s="37" t="s">
        <v>690</v>
      </c>
      <c r="AQ42" s="37" t="s">
        <v>691</v>
      </c>
      <c r="AR42" s="37" t="s">
        <v>995</v>
      </c>
      <c r="AS42" s="66" t="e">
        <f>VLOOKUP(A42,'CMI Data'!$A$3:$J$209,10,FALSE)</f>
        <v>#DIV/0!</v>
      </c>
      <c r="AT42" s="68">
        <f t="shared" si="3"/>
        <v>184.1</v>
      </c>
      <c r="AU42" s="68" t="e">
        <f t="shared" si="4"/>
        <v>#DIV/0!</v>
      </c>
      <c r="AV42" s="75" t="e">
        <f t="shared" si="45"/>
        <v>#DIV/0!</v>
      </c>
      <c r="AW42" s="68" t="e">
        <f>IF($I42="NA","NA",ROUND(#REF!*$AS42/$I42,2))</f>
        <v>#REF!</v>
      </c>
      <c r="AX42" s="75" t="e">
        <f t="shared" si="46"/>
        <v>#REF!</v>
      </c>
      <c r="AY42" s="68" t="e">
        <f t="shared" si="47"/>
        <v>#REF!</v>
      </c>
      <c r="AZ42" s="4">
        <f t="shared" si="5"/>
        <v>85630</v>
      </c>
      <c r="BA42" s="4">
        <f t="shared" si="6"/>
        <v>65514</v>
      </c>
      <c r="BB42" s="4">
        <f t="shared" si="7"/>
        <v>57474</v>
      </c>
      <c r="BC42" s="142">
        <f>IF(ISNA(VLOOKUP($A42&amp;$AB42,'Days Exceptions'!$C$3:$I$7,6,FALSE)),ROUND(AZ42/MAX(BB42,(BA42*Min_Occ)),2),ROUND(AZ42/VLOOKUP($A42&amp;$AB42,'Days Exceptions'!$C$3:$I$7,6,FALSE),2))</f>
        <v>1.49</v>
      </c>
      <c r="BD42" s="143" t="e">
        <f t="shared" si="8"/>
        <v>#REF!</v>
      </c>
      <c r="BE42" s="143" t="e">
        <f t="shared" si="9"/>
        <v>#REF!</v>
      </c>
      <c r="BF42" s="143">
        <f t="shared" si="10"/>
        <v>163.52000000000001</v>
      </c>
      <c r="BG42" s="37" t="s">
        <v>690</v>
      </c>
      <c r="BH42" s="37" t="s">
        <v>691</v>
      </c>
      <c r="BI42" s="37" t="s">
        <v>1199</v>
      </c>
      <c r="BJ42" s="66" t="e">
        <f>VLOOKUP(A42,'CMI Data'!$A$3:$AZ$209,15,FALSE)</f>
        <v>#DIV/0!</v>
      </c>
      <c r="BK42" s="68">
        <f t="shared" si="11"/>
        <v>184.1</v>
      </c>
      <c r="BL42" s="68" t="e">
        <f t="shared" si="12"/>
        <v>#DIV/0!</v>
      </c>
      <c r="BM42" s="75" t="e">
        <f t="shared" si="13"/>
        <v>#DIV/0!</v>
      </c>
      <c r="BN42" s="68" t="e">
        <f>IF($I42="NA","NA",ROUND(#REF!*$BJ42/$I42,2))</f>
        <v>#REF!</v>
      </c>
      <c r="BO42" s="75" t="e">
        <f t="shared" si="14"/>
        <v>#REF!</v>
      </c>
      <c r="BP42" s="68" t="e">
        <f t="shared" si="48"/>
        <v>#REF!</v>
      </c>
      <c r="BQ42" s="4">
        <f t="shared" si="15"/>
        <v>85630</v>
      </c>
      <c r="BR42" s="4">
        <f t="shared" si="16"/>
        <v>65514</v>
      </c>
      <c r="BS42" s="4">
        <f t="shared" si="17"/>
        <v>57474</v>
      </c>
      <c r="BT42" s="142">
        <f>IF(ISNA(VLOOKUP($A42&amp;$AB42,'Days Exceptions'!$C$3:$I$7,6,FALSE)),ROUND(BQ42/MAX(BS42,(BR42*Min_Occ)),2),ROUND(BQ42/VLOOKUP($A42&amp;$AB42,'Days Exceptions'!$C$3:$I$7,6,FALSE),2))</f>
        <v>1.49</v>
      </c>
      <c r="BU42" s="143" t="e">
        <f t="shared" si="18"/>
        <v>#REF!</v>
      </c>
      <c r="BV42" s="143" t="e">
        <f t="shared" si="19"/>
        <v>#REF!</v>
      </c>
      <c r="BW42" s="143">
        <f t="shared" si="20"/>
        <v>163.52000000000001</v>
      </c>
      <c r="BX42" s="37" t="s">
        <v>690</v>
      </c>
      <c r="BY42" s="37" t="s">
        <v>691</v>
      </c>
      <c r="BZ42" s="37" t="s">
        <v>1442</v>
      </c>
      <c r="CA42" s="66" t="e">
        <f>VLOOKUP(A42,'CMI Data'!$A$3:$AZ$209,20,FALSE)</f>
        <v>#DIV/0!</v>
      </c>
      <c r="CB42" s="68">
        <f t="shared" si="21"/>
        <v>184.1</v>
      </c>
      <c r="CC42" s="68" t="e">
        <f t="shared" si="22"/>
        <v>#DIV/0!</v>
      </c>
      <c r="CD42" s="75" t="e">
        <f t="shared" si="49"/>
        <v>#DIV/0!</v>
      </c>
      <c r="CE42" s="68" t="e">
        <f>IF($I42="NA","NA",ROUND(#REF!*$CA42/$I42,2))</f>
        <v>#REF!</v>
      </c>
      <c r="CF42" s="75" t="e">
        <f t="shared" si="23"/>
        <v>#REF!</v>
      </c>
      <c r="CG42" s="68" t="e">
        <f t="shared" si="24"/>
        <v>#REF!</v>
      </c>
      <c r="CH42" s="4">
        <f t="shared" si="25"/>
        <v>85630</v>
      </c>
      <c r="CI42" s="4">
        <f t="shared" si="26"/>
        <v>65514</v>
      </c>
      <c r="CJ42" s="4">
        <f t="shared" si="27"/>
        <v>57474</v>
      </c>
      <c r="CK42" s="142">
        <f>IF(ISNA(VLOOKUP($A42&amp;$AB42,'Days Exceptions'!$C$3:$I$7,6,FALSE)),ROUND(CH42/MAX(CJ42,(CI42*Min_Occ)),2),ROUND(CH42/VLOOKUP($A42&amp;$AB42,'Days Exceptions'!$C$3:$I$7,6,FALSE),2))</f>
        <v>1.49</v>
      </c>
      <c r="CL42" s="143" t="e">
        <f t="shared" si="28"/>
        <v>#REF!</v>
      </c>
      <c r="CM42" s="143" t="e">
        <f t="shared" si="29"/>
        <v>#REF!</v>
      </c>
      <c r="CN42" s="143">
        <f t="shared" si="30"/>
        <v>163.52000000000001</v>
      </c>
      <c r="CO42" s="37" t="s">
        <v>690</v>
      </c>
      <c r="CP42" s="37" t="s">
        <v>691</v>
      </c>
      <c r="CQ42" s="37" t="s">
        <v>1443</v>
      </c>
    </row>
    <row r="43" spans="1:95" x14ac:dyDescent="0.15">
      <c r="A43" s="130">
        <v>324</v>
      </c>
      <c r="B43" s="37" t="s">
        <v>695</v>
      </c>
      <c r="C43" s="1" t="s">
        <v>148</v>
      </c>
      <c r="D43" s="1" t="s">
        <v>119</v>
      </c>
      <c r="E43" s="1" t="str">
        <f>VLOOKUP(D43,Documentation!$B$4:$D$27,3,FALSE)</f>
        <v>WASHINGTON METRO</v>
      </c>
      <c r="F43" s="1" t="str">
        <f>VLOOKUP(D43,Documentation!$B$4:$C$27,2,FALSE)</f>
        <v>WASHINGTON METRO</v>
      </c>
      <c r="G43" s="82">
        <f>VLOOKUP(A43,'2022 CR and CMI'!$A$3:$D$207,3,FALSE)</f>
        <v>44348</v>
      </c>
      <c r="H43" s="82">
        <f>VLOOKUP(A43,'2022 CR and CMI'!$A$3:$D$207,4,FALSE)</f>
        <v>44712</v>
      </c>
      <c r="I43" s="72">
        <f>VLOOKUP(A43,'2022 CR and CMI'!$A$2:$T$210,19,FALSE)</f>
        <v>1.2835000000000001</v>
      </c>
      <c r="J43" s="139">
        <f>Inflation!$G$24</f>
        <v>1.0309999999999999</v>
      </c>
      <c r="K43" s="192">
        <f>VLOOKUP(E43,Limits!$B$2:$D$5,3,FALSE)</f>
        <v>176.01</v>
      </c>
      <c r="L43" s="192">
        <f t="shared" si="31"/>
        <v>181.47</v>
      </c>
      <c r="M43" s="140">
        <f>VLOOKUP(A43,'CMI Data'!$A$4:$C$208,3,FALSE)</f>
        <v>1.4412</v>
      </c>
      <c r="N43" s="68">
        <f t="shared" si="2"/>
        <v>161.38999999999999</v>
      </c>
      <c r="O43" s="68">
        <f t="shared" si="32"/>
        <v>181.22</v>
      </c>
      <c r="P43" s="75">
        <f t="shared" si="33"/>
        <v>172.16</v>
      </c>
      <c r="Q43" s="75">
        <v>161.76</v>
      </c>
      <c r="R43" s="75">
        <f t="shared" si="34"/>
        <v>166.77</v>
      </c>
      <c r="S43" s="68">
        <f t="shared" si="35"/>
        <v>187.26</v>
      </c>
      <c r="T43" s="75">
        <f t="shared" si="36"/>
        <v>0</v>
      </c>
      <c r="U43" s="68">
        <f t="shared" si="37"/>
        <v>181.22</v>
      </c>
      <c r="V43" s="68">
        <f>VLOOKUP($F43,Limits!$J$2:$L$5,3,FALSE)</f>
        <v>19.23</v>
      </c>
      <c r="W43" s="68">
        <f t="shared" si="38"/>
        <v>19.829999999999998</v>
      </c>
      <c r="X43" s="68">
        <f>VLOOKUP($F43,Limits!$R$2:$T$5,3,FALSE)</f>
        <v>100.61</v>
      </c>
      <c r="Y43" s="68">
        <f t="shared" si="39"/>
        <v>103.73</v>
      </c>
      <c r="Z43" s="75">
        <f>VLOOKUP(A43,FRV!$A$4:$U$208,21,FALSE)</f>
        <v>34.700000000000003</v>
      </c>
      <c r="AA43" s="141">
        <f>VLOOKUP(A43,'RE Tax'!$A$2:$G$206,3,FALSE)</f>
        <v>45292</v>
      </c>
      <c r="AB43" s="141">
        <f>VLOOKUP(A43,'RE Tax'!$A$2:$G$206,4,FALSE)</f>
        <v>45657</v>
      </c>
      <c r="AC43" s="4">
        <f>VLOOKUP(A43,'RE Tax'!$A$2:$G$206,7,FALSE)</f>
        <v>187961</v>
      </c>
      <c r="AD43" s="4">
        <f>VLOOKUP($A43,'RE Tax'!$A$2:$I$206,9,FALSE)</f>
        <v>54168</v>
      </c>
      <c r="AE43" s="4">
        <f>VLOOKUP($A43,'RE Tax'!$A$2:$I$206,8,FALSE)</f>
        <v>49611</v>
      </c>
      <c r="AF43" s="142">
        <f>IF(ISNA(VLOOKUP(A43&amp;AB43,'Days Exceptions'!$C$3:$I$7,6,FALSE)),ROUND(AC43/MAX(AE43,(AD43*Min_Occ)),2),ROUND(AC43/VLOOKUP(A43&amp;AB43,'Days Exceptions'!$C$3:$I$7,6,FALSE),2))</f>
        <v>3.79</v>
      </c>
      <c r="AG43" s="68">
        <v>0</v>
      </c>
      <c r="AH43" s="68">
        <f t="shared" si="40"/>
        <v>0</v>
      </c>
      <c r="AI43" s="4">
        <v>38226</v>
      </c>
      <c r="AJ43" s="4">
        <v>49255</v>
      </c>
      <c r="AK43" s="68">
        <f>IF(AI43=0,0,IF(ISNA(MATCH(A43,Documentation!$B$66:$B$71,0)),QA_Tax_reg,QA_Tax_5high))</f>
        <v>32.92</v>
      </c>
      <c r="AL43" s="75">
        <f t="shared" si="41"/>
        <v>25.55</v>
      </c>
      <c r="AM43" s="68">
        <f t="shared" si="42"/>
        <v>343.27</v>
      </c>
      <c r="AN43" s="68">
        <f t="shared" si="43"/>
        <v>252.66</v>
      </c>
      <c r="AO43" s="68">
        <f t="shared" si="44"/>
        <v>162.05000000000001</v>
      </c>
      <c r="AP43" s="37" t="s">
        <v>694</v>
      </c>
      <c r="AQ43" s="37" t="s">
        <v>695</v>
      </c>
      <c r="AR43" s="37" t="s">
        <v>996</v>
      </c>
      <c r="AS43" s="66" t="e">
        <f>VLOOKUP(A43,'CMI Data'!$A$3:$J$209,10,FALSE)</f>
        <v>#DIV/0!</v>
      </c>
      <c r="AT43" s="68">
        <f t="shared" si="3"/>
        <v>156.53</v>
      </c>
      <c r="AU43" s="68" t="e">
        <f t="shared" si="4"/>
        <v>#DIV/0!</v>
      </c>
      <c r="AV43" s="75" t="e">
        <f t="shared" si="45"/>
        <v>#DIV/0!</v>
      </c>
      <c r="AW43" s="68" t="e">
        <f>IF($I43="NA","NA",ROUND(#REF!*$AS43/$I43,2))</f>
        <v>#REF!</v>
      </c>
      <c r="AX43" s="75" t="e">
        <f t="shared" si="46"/>
        <v>#REF!</v>
      </c>
      <c r="AY43" s="68" t="e">
        <f t="shared" si="47"/>
        <v>#REF!</v>
      </c>
      <c r="AZ43" s="4">
        <f t="shared" si="5"/>
        <v>187961</v>
      </c>
      <c r="BA43" s="4">
        <f t="shared" si="6"/>
        <v>54168</v>
      </c>
      <c r="BB43" s="4">
        <f t="shared" si="7"/>
        <v>49611</v>
      </c>
      <c r="BC43" s="142">
        <f>IF(ISNA(VLOOKUP($A43&amp;$AB43,'Days Exceptions'!$C$3:$I$7,6,FALSE)),ROUND(AZ43/MAX(BB43,(BA43*Min_Occ)),2),ROUND(AZ43/VLOOKUP($A43&amp;$AB43,'Days Exceptions'!$C$3:$I$7,6,FALSE),2))</f>
        <v>3.79</v>
      </c>
      <c r="BD43" s="143" t="e">
        <f t="shared" si="8"/>
        <v>#REF!</v>
      </c>
      <c r="BE43" s="143" t="e">
        <f t="shared" si="9"/>
        <v>#REF!</v>
      </c>
      <c r="BF43" s="143">
        <f t="shared" si="10"/>
        <v>158.33000000000001</v>
      </c>
      <c r="BG43" s="37" t="s">
        <v>694</v>
      </c>
      <c r="BH43" s="37" t="s">
        <v>695</v>
      </c>
      <c r="BI43" s="37" t="s">
        <v>1200</v>
      </c>
      <c r="BJ43" s="66" t="e">
        <f>VLOOKUP(A43,'CMI Data'!$A$3:$AZ$209,15,FALSE)</f>
        <v>#DIV/0!</v>
      </c>
      <c r="BK43" s="68">
        <f t="shared" si="11"/>
        <v>156.53</v>
      </c>
      <c r="BL43" s="68" t="e">
        <f t="shared" si="12"/>
        <v>#DIV/0!</v>
      </c>
      <c r="BM43" s="75" t="e">
        <f t="shared" si="13"/>
        <v>#DIV/0!</v>
      </c>
      <c r="BN43" s="68" t="e">
        <f>IF($I43="NA","NA",ROUND(#REF!*$BJ43/$I43,2))</f>
        <v>#REF!</v>
      </c>
      <c r="BO43" s="75" t="e">
        <f t="shared" si="14"/>
        <v>#REF!</v>
      </c>
      <c r="BP43" s="68" t="e">
        <f t="shared" si="48"/>
        <v>#REF!</v>
      </c>
      <c r="BQ43" s="4">
        <f t="shared" si="15"/>
        <v>187961</v>
      </c>
      <c r="BR43" s="4">
        <f t="shared" si="16"/>
        <v>54168</v>
      </c>
      <c r="BS43" s="4">
        <f t="shared" si="17"/>
        <v>49611</v>
      </c>
      <c r="BT43" s="142">
        <f>IF(ISNA(VLOOKUP($A43&amp;$AB43,'Days Exceptions'!$C$3:$I$7,6,FALSE)),ROUND(BQ43/MAX(BS43,(BR43*Min_Occ)),2),ROUND(BQ43/VLOOKUP($A43&amp;$AB43,'Days Exceptions'!$C$3:$I$7,6,FALSE),2))</f>
        <v>3.79</v>
      </c>
      <c r="BU43" s="143" t="e">
        <f t="shared" si="18"/>
        <v>#REF!</v>
      </c>
      <c r="BV43" s="143" t="e">
        <f t="shared" si="19"/>
        <v>#REF!</v>
      </c>
      <c r="BW43" s="143">
        <f t="shared" si="20"/>
        <v>158.33000000000001</v>
      </c>
      <c r="BX43" s="37" t="s">
        <v>694</v>
      </c>
      <c r="BY43" s="37" t="s">
        <v>695</v>
      </c>
      <c r="BZ43" s="37" t="s">
        <v>1444</v>
      </c>
      <c r="CA43" s="66" t="e">
        <f>VLOOKUP(A43,'CMI Data'!$A$3:$AZ$209,20,FALSE)</f>
        <v>#DIV/0!</v>
      </c>
      <c r="CB43" s="68">
        <f t="shared" si="21"/>
        <v>156.53</v>
      </c>
      <c r="CC43" s="68" t="e">
        <f t="shared" si="22"/>
        <v>#DIV/0!</v>
      </c>
      <c r="CD43" s="75" t="e">
        <f t="shared" si="49"/>
        <v>#DIV/0!</v>
      </c>
      <c r="CE43" s="68" t="e">
        <f>IF($I43="NA","NA",ROUND(#REF!*$CA43/$I43,2))</f>
        <v>#REF!</v>
      </c>
      <c r="CF43" s="75" t="e">
        <f t="shared" si="23"/>
        <v>#REF!</v>
      </c>
      <c r="CG43" s="68" t="e">
        <f t="shared" si="24"/>
        <v>#REF!</v>
      </c>
      <c r="CH43" s="4">
        <f t="shared" si="25"/>
        <v>187961</v>
      </c>
      <c r="CI43" s="4">
        <f t="shared" si="26"/>
        <v>54168</v>
      </c>
      <c r="CJ43" s="4">
        <f t="shared" si="27"/>
        <v>49611</v>
      </c>
      <c r="CK43" s="142">
        <f>IF(ISNA(VLOOKUP($A43&amp;$AB43,'Days Exceptions'!$C$3:$I$7,6,FALSE)),ROUND(CH43/MAX(CJ43,(CI43*Min_Occ)),2),ROUND(CH43/VLOOKUP($A43&amp;$AB43,'Days Exceptions'!$C$3:$I$7,6,FALSE),2))</f>
        <v>3.79</v>
      </c>
      <c r="CL43" s="143" t="e">
        <f t="shared" si="28"/>
        <v>#REF!</v>
      </c>
      <c r="CM43" s="143" t="e">
        <f t="shared" si="29"/>
        <v>#REF!</v>
      </c>
      <c r="CN43" s="143">
        <f t="shared" si="30"/>
        <v>158.33000000000001</v>
      </c>
      <c r="CO43" s="37" t="s">
        <v>694</v>
      </c>
      <c r="CP43" s="37" t="s">
        <v>695</v>
      </c>
      <c r="CQ43" s="37" t="s">
        <v>1445</v>
      </c>
    </row>
    <row r="44" spans="1:95" x14ac:dyDescent="0.15">
      <c r="A44" s="130">
        <v>410</v>
      </c>
      <c r="B44" s="37" t="s">
        <v>560</v>
      </c>
      <c r="C44" s="1" t="s">
        <v>148</v>
      </c>
      <c r="D44" s="1" t="s">
        <v>106</v>
      </c>
      <c r="E44" s="1" t="str">
        <f>VLOOKUP(D44,Documentation!$B$4:$D$27,3,FALSE)</f>
        <v>BALTIMORE METRO</v>
      </c>
      <c r="F44" s="1" t="str">
        <f>VLOOKUP(D44,Documentation!$B$4:$C$27,2,FALSE)</f>
        <v>BALTIMORE METRO</v>
      </c>
      <c r="G44" s="82">
        <f>VLOOKUP(A44,'2022 CR and CMI'!$A$3:$D$207,3,FALSE)</f>
        <v>44562</v>
      </c>
      <c r="H44" s="82">
        <f>VLOOKUP(A44,'2022 CR and CMI'!$A$3:$D$207,4,FALSE)</f>
        <v>44926</v>
      </c>
      <c r="I44" s="72">
        <f>VLOOKUP(A44,'2022 CR and CMI'!$A$2:$T$210,19,FALSE)</f>
        <v>1.6052999999999999</v>
      </c>
      <c r="J44" s="139">
        <f>Inflation!$G$24</f>
        <v>1.0309999999999999</v>
      </c>
      <c r="K44" s="192">
        <f>VLOOKUP(E44,Limits!$B$2:$D$5,3,FALSE)</f>
        <v>195.33</v>
      </c>
      <c r="L44" s="192">
        <f t="shared" si="31"/>
        <v>201.39</v>
      </c>
      <c r="M44" s="140">
        <f>VLOOKUP(A44,'CMI Data'!$A$4:$C$208,3,FALSE)</f>
        <v>1.4749000000000001</v>
      </c>
      <c r="N44" s="68">
        <f t="shared" si="2"/>
        <v>224.01</v>
      </c>
      <c r="O44" s="68">
        <f t="shared" si="32"/>
        <v>205.81</v>
      </c>
      <c r="P44" s="75">
        <f t="shared" si="33"/>
        <v>195.52</v>
      </c>
      <c r="Q44" s="75">
        <v>217.79</v>
      </c>
      <c r="R44" s="75">
        <f t="shared" si="34"/>
        <v>224.54</v>
      </c>
      <c r="S44" s="68">
        <f t="shared" si="35"/>
        <v>206.3</v>
      </c>
      <c r="T44" s="75">
        <f t="shared" si="36"/>
        <v>0</v>
      </c>
      <c r="U44" s="68">
        <f t="shared" si="37"/>
        <v>205.81</v>
      </c>
      <c r="V44" s="68">
        <f>VLOOKUP($F44,Limits!$J$2:$L$5,3,FALSE)</f>
        <v>20.85</v>
      </c>
      <c r="W44" s="68">
        <f t="shared" si="38"/>
        <v>21.5</v>
      </c>
      <c r="X44" s="68">
        <f>VLOOKUP($F44,Limits!$R$2:$T$5,3,FALSE)</f>
        <v>102.02</v>
      </c>
      <c r="Y44" s="68">
        <f t="shared" si="39"/>
        <v>105.18</v>
      </c>
      <c r="Z44" s="75">
        <f>VLOOKUP(A44,FRV!$A$4:$U$208,21,FALSE)</f>
        <v>39.700000000000003</v>
      </c>
      <c r="AA44" s="141">
        <f>VLOOKUP(A44,'RE Tax'!$A$2:$G$206,3,FALSE)</f>
        <v>45292</v>
      </c>
      <c r="AB44" s="141">
        <f>VLOOKUP(A44,'RE Tax'!$A$2:$G$206,4,FALSE)</f>
        <v>45657</v>
      </c>
      <c r="AC44" s="4">
        <f>VLOOKUP(A44,'RE Tax'!$A$2:$G$206,7,FALSE)</f>
        <v>172380</v>
      </c>
      <c r="AD44" s="4">
        <f>VLOOKUP($A44,'RE Tax'!$A$2:$I$206,9,FALSE)</f>
        <v>47580</v>
      </c>
      <c r="AE44" s="4">
        <f>VLOOKUP($A44,'RE Tax'!$A$2:$I$206,8,FALSE)</f>
        <v>43888</v>
      </c>
      <c r="AF44" s="142">
        <f>IF(ISNA(VLOOKUP(A44&amp;AB44,'Days Exceptions'!$C$3:$I$7,6,FALSE)),ROUND(AC44/MAX(AE44,(AD44*Min_Occ)),2),ROUND(AC44/VLOOKUP(A44&amp;AB44,'Days Exceptions'!$C$3:$I$7,6,FALSE),2))</f>
        <v>3.93</v>
      </c>
      <c r="AG44" s="68">
        <v>0</v>
      </c>
      <c r="AH44" s="68">
        <f t="shared" si="40"/>
        <v>0</v>
      </c>
      <c r="AI44" s="4">
        <v>26273</v>
      </c>
      <c r="AJ44" s="4">
        <v>43439</v>
      </c>
      <c r="AK44" s="68">
        <f>IF(AI44=0,0,IF(ISNA(MATCH(A44,Documentation!$B$66:$B$71,0)),QA_Tax_reg,QA_Tax_5high))</f>
        <v>32.92</v>
      </c>
      <c r="AL44" s="75">
        <f t="shared" si="41"/>
        <v>19.91</v>
      </c>
      <c r="AM44" s="68">
        <f t="shared" si="42"/>
        <v>376.12</v>
      </c>
      <c r="AN44" s="68">
        <f t="shared" si="43"/>
        <v>273.22000000000003</v>
      </c>
      <c r="AO44" s="68">
        <f t="shared" si="44"/>
        <v>170.31</v>
      </c>
      <c r="AP44" s="37" t="s">
        <v>559</v>
      </c>
      <c r="AQ44" s="37" t="s">
        <v>560</v>
      </c>
      <c r="AR44" s="37" t="s">
        <v>997</v>
      </c>
      <c r="AS44" s="66" t="e">
        <f>VLOOKUP(A44,'CMI Data'!$A$3:$J$209,10,FALSE)</f>
        <v>#DIV/0!</v>
      </c>
      <c r="AT44" s="68">
        <f t="shared" si="3"/>
        <v>217.27</v>
      </c>
      <c r="AU44" s="68" t="e">
        <f t="shared" si="4"/>
        <v>#DIV/0!</v>
      </c>
      <c r="AV44" s="75" t="e">
        <f t="shared" si="45"/>
        <v>#DIV/0!</v>
      </c>
      <c r="AW44" s="68" t="e">
        <f>IF($I44="NA","NA",ROUND(#REF!*$AS44/$I44,2))</f>
        <v>#REF!</v>
      </c>
      <c r="AX44" s="75" t="e">
        <f t="shared" si="46"/>
        <v>#REF!</v>
      </c>
      <c r="AY44" s="68" t="e">
        <f t="shared" si="47"/>
        <v>#REF!</v>
      </c>
      <c r="AZ44" s="4">
        <f t="shared" si="5"/>
        <v>172380</v>
      </c>
      <c r="BA44" s="4">
        <f t="shared" si="6"/>
        <v>47580</v>
      </c>
      <c r="BB44" s="4">
        <f t="shared" si="7"/>
        <v>43888</v>
      </c>
      <c r="BC44" s="142">
        <f>IF(ISNA(VLOOKUP($A44&amp;$AB44,'Days Exceptions'!$C$3:$I$7,6,FALSE)),ROUND(AZ44/MAX(BB44,(BA44*Min_Occ)),2),ROUND(AZ44/VLOOKUP($A44&amp;$AB44,'Days Exceptions'!$C$3:$I$7,6,FALSE),2))</f>
        <v>3.93</v>
      </c>
      <c r="BD44" s="143" t="e">
        <f t="shared" si="8"/>
        <v>#REF!</v>
      </c>
      <c r="BE44" s="143" t="e">
        <f t="shared" si="9"/>
        <v>#REF!</v>
      </c>
      <c r="BF44" s="143">
        <f t="shared" si="10"/>
        <v>166.5</v>
      </c>
      <c r="BG44" s="37" t="s">
        <v>559</v>
      </c>
      <c r="BH44" s="37" t="s">
        <v>560</v>
      </c>
      <c r="BI44" s="37" t="s">
        <v>1201</v>
      </c>
      <c r="BJ44" s="66" t="e">
        <f>VLOOKUP(A44,'CMI Data'!$A$3:$AZ$209,15,FALSE)</f>
        <v>#DIV/0!</v>
      </c>
      <c r="BK44" s="68">
        <f t="shared" si="11"/>
        <v>217.27</v>
      </c>
      <c r="BL44" s="68" t="e">
        <f t="shared" si="12"/>
        <v>#DIV/0!</v>
      </c>
      <c r="BM44" s="75" t="e">
        <f t="shared" si="13"/>
        <v>#DIV/0!</v>
      </c>
      <c r="BN44" s="68" t="e">
        <f>IF($I44="NA","NA",ROUND(#REF!*$BJ44/$I44,2))</f>
        <v>#REF!</v>
      </c>
      <c r="BO44" s="75" t="e">
        <f t="shared" si="14"/>
        <v>#REF!</v>
      </c>
      <c r="BP44" s="68" t="e">
        <f t="shared" si="48"/>
        <v>#REF!</v>
      </c>
      <c r="BQ44" s="4">
        <f t="shared" si="15"/>
        <v>172380</v>
      </c>
      <c r="BR44" s="4">
        <f t="shared" si="16"/>
        <v>47580</v>
      </c>
      <c r="BS44" s="4">
        <f t="shared" si="17"/>
        <v>43888</v>
      </c>
      <c r="BT44" s="142">
        <f>IF(ISNA(VLOOKUP($A44&amp;$AB44,'Days Exceptions'!$C$3:$I$7,6,FALSE)),ROUND(BQ44/MAX(BS44,(BR44*Min_Occ)),2),ROUND(BQ44/VLOOKUP($A44&amp;$AB44,'Days Exceptions'!$C$3:$I$7,6,FALSE),2))</f>
        <v>3.93</v>
      </c>
      <c r="BU44" s="143" t="e">
        <f t="shared" si="18"/>
        <v>#REF!</v>
      </c>
      <c r="BV44" s="143" t="e">
        <f t="shared" si="19"/>
        <v>#REF!</v>
      </c>
      <c r="BW44" s="143">
        <f t="shared" si="20"/>
        <v>166.5</v>
      </c>
      <c r="BX44" s="37" t="s">
        <v>559</v>
      </c>
      <c r="BY44" s="37" t="s">
        <v>560</v>
      </c>
      <c r="BZ44" s="37" t="s">
        <v>1446</v>
      </c>
      <c r="CA44" s="66" t="e">
        <f>VLOOKUP(A44,'CMI Data'!$A$3:$AZ$209,20,FALSE)</f>
        <v>#DIV/0!</v>
      </c>
      <c r="CB44" s="68">
        <f t="shared" si="21"/>
        <v>217.27</v>
      </c>
      <c r="CC44" s="68" t="e">
        <f t="shared" si="22"/>
        <v>#DIV/0!</v>
      </c>
      <c r="CD44" s="75" t="e">
        <f t="shared" si="49"/>
        <v>#DIV/0!</v>
      </c>
      <c r="CE44" s="68" t="e">
        <f>IF($I44="NA","NA",ROUND(#REF!*$CA44/$I44,2))</f>
        <v>#REF!</v>
      </c>
      <c r="CF44" s="75" t="e">
        <f t="shared" si="23"/>
        <v>#REF!</v>
      </c>
      <c r="CG44" s="68" t="e">
        <f t="shared" si="24"/>
        <v>#REF!</v>
      </c>
      <c r="CH44" s="4">
        <f t="shared" si="25"/>
        <v>172380</v>
      </c>
      <c r="CI44" s="4">
        <f t="shared" si="26"/>
        <v>47580</v>
      </c>
      <c r="CJ44" s="4">
        <f t="shared" si="27"/>
        <v>43888</v>
      </c>
      <c r="CK44" s="142">
        <f>IF(ISNA(VLOOKUP($A44&amp;$AB44,'Days Exceptions'!$C$3:$I$7,6,FALSE)),ROUND(CH44/MAX(CJ44,(CI44*Min_Occ)),2),ROUND(CH44/VLOOKUP($A44&amp;$AB44,'Days Exceptions'!$C$3:$I$7,6,FALSE),2))</f>
        <v>3.93</v>
      </c>
      <c r="CL44" s="143" t="e">
        <f t="shared" si="28"/>
        <v>#REF!</v>
      </c>
      <c r="CM44" s="143" t="e">
        <f t="shared" si="29"/>
        <v>#REF!</v>
      </c>
      <c r="CN44" s="143">
        <f t="shared" si="30"/>
        <v>166.5</v>
      </c>
      <c r="CO44" s="37" t="s">
        <v>559</v>
      </c>
      <c r="CP44" s="37" t="s">
        <v>560</v>
      </c>
      <c r="CQ44" s="37" t="s">
        <v>1447</v>
      </c>
    </row>
    <row r="45" spans="1:95" x14ac:dyDescent="0.15">
      <c r="A45" s="130">
        <v>679</v>
      </c>
      <c r="B45" s="37" t="s">
        <v>620</v>
      </c>
      <c r="C45" s="1" t="s">
        <v>148</v>
      </c>
      <c r="D45" s="1" t="s">
        <v>107</v>
      </c>
      <c r="E45" s="1" t="str">
        <f>VLOOKUP(D45,Documentation!$B$4:$D$27,3,FALSE)</f>
        <v>BALTIMORE METRO</v>
      </c>
      <c r="F45" s="1" t="str">
        <f>VLOOKUP(D45,Documentation!$B$4:$C$27,2,FALSE)</f>
        <v>BALTIMORE METRO</v>
      </c>
      <c r="G45" s="82">
        <f>VLOOKUP(A45,'2022 CR and CMI'!$A$3:$D$207,3,FALSE)</f>
        <v>44713</v>
      </c>
      <c r="H45" s="82">
        <f>VLOOKUP(A45,'2022 CR and CMI'!$A$3:$D$207,4,FALSE)</f>
        <v>44926</v>
      </c>
      <c r="I45" s="72">
        <f>VLOOKUP(A45,'2022 CR and CMI'!$A$2:$T$210,19,FALSE)</f>
        <v>1.3823000000000001</v>
      </c>
      <c r="J45" s="139">
        <f>Inflation!$G$24</f>
        <v>1.0309999999999999</v>
      </c>
      <c r="K45" s="192">
        <f>VLOOKUP(E45,Limits!$B$2:$D$5,3,FALSE)</f>
        <v>195.33</v>
      </c>
      <c r="L45" s="192">
        <f t="shared" si="31"/>
        <v>201.39</v>
      </c>
      <c r="M45" s="140">
        <f>VLOOKUP(A45,'CMI Data'!$A$4:$C$208,3,FALSE)</f>
        <v>1.3976999999999999</v>
      </c>
      <c r="N45" s="68">
        <f t="shared" si="2"/>
        <v>192.89</v>
      </c>
      <c r="O45" s="68">
        <f t="shared" si="32"/>
        <v>195.04</v>
      </c>
      <c r="P45" s="75">
        <f t="shared" si="33"/>
        <v>185.29</v>
      </c>
      <c r="Q45" s="75">
        <v>173.35</v>
      </c>
      <c r="R45" s="75">
        <f t="shared" si="34"/>
        <v>178.72</v>
      </c>
      <c r="S45" s="68">
        <f t="shared" si="35"/>
        <v>180.71</v>
      </c>
      <c r="T45" s="75">
        <f t="shared" si="36"/>
        <v>-4.58</v>
      </c>
      <c r="U45" s="68">
        <f t="shared" si="37"/>
        <v>190.46</v>
      </c>
      <c r="V45" s="68">
        <f>VLOOKUP($F45,Limits!$J$2:$L$5,3,FALSE)</f>
        <v>20.85</v>
      </c>
      <c r="W45" s="68">
        <f t="shared" si="38"/>
        <v>21.5</v>
      </c>
      <c r="X45" s="68">
        <f>VLOOKUP($F45,Limits!$R$2:$T$5,3,FALSE)</f>
        <v>102.02</v>
      </c>
      <c r="Y45" s="68">
        <f t="shared" si="39"/>
        <v>105.18</v>
      </c>
      <c r="Z45" s="75">
        <f>VLOOKUP(A45,FRV!$A$4:$U$208,21,FALSE)</f>
        <v>30.08</v>
      </c>
      <c r="AA45" s="141">
        <f>VLOOKUP(A45,'RE Tax'!$A$2:$G$206,3,FALSE)</f>
        <v>45292</v>
      </c>
      <c r="AB45" s="141">
        <f>VLOOKUP(A45,'RE Tax'!$A$2:$G$206,4,FALSE)</f>
        <v>45657</v>
      </c>
      <c r="AC45" s="4">
        <f>VLOOKUP(A45,'RE Tax'!$A$2:$G$206,7,FALSE)</f>
        <v>74410</v>
      </c>
      <c r="AD45" s="4">
        <f>VLOOKUP($A45,'RE Tax'!$A$2:$I$206,9,FALSE)</f>
        <v>49044</v>
      </c>
      <c r="AE45" s="4">
        <f>VLOOKUP($A45,'RE Tax'!$A$2:$I$206,8,FALSE)</f>
        <v>44698</v>
      </c>
      <c r="AF45" s="142">
        <f>IF(ISNA(VLOOKUP(A45&amp;AB45,'Days Exceptions'!$C$3:$I$7,6,FALSE)),ROUND(AC45/MAX(AE45,(AD45*Min_Occ)),2),ROUND(AC45/VLOOKUP(A45&amp;AB45,'Days Exceptions'!$C$3:$I$7,6,FALSE),2))</f>
        <v>1.66</v>
      </c>
      <c r="AG45" s="68">
        <v>0</v>
      </c>
      <c r="AH45" s="68">
        <f t="shared" si="40"/>
        <v>0</v>
      </c>
      <c r="AI45" s="4">
        <v>36964</v>
      </c>
      <c r="AJ45" s="4">
        <v>44219</v>
      </c>
      <c r="AK45" s="68">
        <f>IF(AI45=0,0,IF(ISNA(MATCH(A45,Documentation!$B$66:$B$71,0)),QA_Tax_reg,QA_Tax_5high))</f>
        <v>32.92</v>
      </c>
      <c r="AL45" s="75">
        <f t="shared" si="41"/>
        <v>27.52</v>
      </c>
      <c r="AM45" s="68">
        <f t="shared" si="42"/>
        <v>348.88</v>
      </c>
      <c r="AN45" s="68">
        <f t="shared" si="43"/>
        <v>253.65</v>
      </c>
      <c r="AO45" s="68">
        <f t="shared" si="44"/>
        <v>158.41999999999999</v>
      </c>
      <c r="AP45" s="37" t="s">
        <v>630</v>
      </c>
      <c r="AQ45" s="37" t="s">
        <v>620</v>
      </c>
      <c r="AR45" s="37" t="s">
        <v>998</v>
      </c>
      <c r="AS45" s="66" t="e">
        <f>VLOOKUP(A45,'CMI Data'!$A$3:$J$209,10,FALSE)</f>
        <v>#DIV/0!</v>
      </c>
      <c r="AT45" s="68">
        <f t="shared" si="3"/>
        <v>187.09</v>
      </c>
      <c r="AU45" s="68" t="e">
        <f t="shared" si="4"/>
        <v>#DIV/0!</v>
      </c>
      <c r="AV45" s="75" t="e">
        <f t="shared" si="45"/>
        <v>#DIV/0!</v>
      </c>
      <c r="AW45" s="68" t="e">
        <f>IF($I45="NA","NA",ROUND(#REF!*$AS45/$I45,2))</f>
        <v>#REF!</v>
      </c>
      <c r="AX45" s="75" t="e">
        <f t="shared" si="46"/>
        <v>#REF!</v>
      </c>
      <c r="AY45" s="68" t="e">
        <f t="shared" si="47"/>
        <v>#REF!</v>
      </c>
      <c r="AZ45" s="4">
        <f t="shared" si="5"/>
        <v>74410</v>
      </c>
      <c r="BA45" s="4">
        <f t="shared" si="6"/>
        <v>49044</v>
      </c>
      <c r="BB45" s="4">
        <f t="shared" si="7"/>
        <v>44698</v>
      </c>
      <c r="BC45" s="142">
        <f>IF(ISNA(VLOOKUP($A45&amp;$AB45,'Days Exceptions'!$C$3:$I$7,6,FALSE)),ROUND(AZ45/MAX(BB45,(BA45*Min_Occ)),2),ROUND(AZ45/VLOOKUP($A45&amp;$AB45,'Days Exceptions'!$C$3:$I$7,6,FALSE),2))</f>
        <v>1.66</v>
      </c>
      <c r="BD45" s="143" t="e">
        <f t="shared" si="8"/>
        <v>#REF!</v>
      </c>
      <c r="BE45" s="143" t="e">
        <f t="shared" si="9"/>
        <v>#REF!</v>
      </c>
      <c r="BF45" s="143">
        <f t="shared" si="10"/>
        <v>154.61000000000001</v>
      </c>
      <c r="BG45" s="37" t="s">
        <v>630</v>
      </c>
      <c r="BH45" s="37" t="s">
        <v>620</v>
      </c>
      <c r="BI45" s="37" t="s">
        <v>1202</v>
      </c>
      <c r="BJ45" s="66" t="e">
        <f>VLOOKUP(A45,'CMI Data'!$A$3:$AZ$209,15,FALSE)</f>
        <v>#DIV/0!</v>
      </c>
      <c r="BK45" s="68">
        <f t="shared" si="11"/>
        <v>187.09</v>
      </c>
      <c r="BL45" s="68" t="e">
        <f t="shared" si="12"/>
        <v>#DIV/0!</v>
      </c>
      <c r="BM45" s="75" t="e">
        <f t="shared" si="13"/>
        <v>#DIV/0!</v>
      </c>
      <c r="BN45" s="68" t="e">
        <f>IF($I45="NA","NA",ROUND(#REF!*$BJ45/$I45,2))</f>
        <v>#REF!</v>
      </c>
      <c r="BO45" s="75" t="e">
        <f t="shared" si="14"/>
        <v>#REF!</v>
      </c>
      <c r="BP45" s="68" t="e">
        <f t="shared" si="48"/>
        <v>#REF!</v>
      </c>
      <c r="BQ45" s="4">
        <f t="shared" si="15"/>
        <v>74410</v>
      </c>
      <c r="BR45" s="4">
        <f t="shared" si="16"/>
        <v>49044</v>
      </c>
      <c r="BS45" s="4">
        <f t="shared" si="17"/>
        <v>44698</v>
      </c>
      <c r="BT45" s="142">
        <f>IF(ISNA(VLOOKUP($A45&amp;$AB45,'Days Exceptions'!$C$3:$I$7,6,FALSE)),ROUND(BQ45/MAX(BS45,(BR45*Min_Occ)),2),ROUND(BQ45/VLOOKUP($A45&amp;$AB45,'Days Exceptions'!$C$3:$I$7,6,FALSE),2))</f>
        <v>1.66</v>
      </c>
      <c r="BU45" s="143" t="e">
        <f t="shared" si="18"/>
        <v>#REF!</v>
      </c>
      <c r="BV45" s="143" t="e">
        <f t="shared" si="19"/>
        <v>#REF!</v>
      </c>
      <c r="BW45" s="143">
        <f t="shared" si="20"/>
        <v>154.61000000000001</v>
      </c>
      <c r="BX45" s="37" t="s">
        <v>630</v>
      </c>
      <c r="BY45" s="37" t="s">
        <v>620</v>
      </c>
      <c r="BZ45" s="37" t="s">
        <v>1448</v>
      </c>
      <c r="CA45" s="66" t="e">
        <f>VLOOKUP(A45,'CMI Data'!$A$3:$AZ$209,20,FALSE)</f>
        <v>#DIV/0!</v>
      </c>
      <c r="CB45" s="68">
        <f t="shared" si="21"/>
        <v>187.09</v>
      </c>
      <c r="CC45" s="68" t="e">
        <f t="shared" si="22"/>
        <v>#DIV/0!</v>
      </c>
      <c r="CD45" s="75" t="e">
        <f t="shared" si="49"/>
        <v>#DIV/0!</v>
      </c>
      <c r="CE45" s="68" t="e">
        <f>IF($I45="NA","NA",ROUND(#REF!*$CA45/$I45,2))</f>
        <v>#REF!</v>
      </c>
      <c r="CF45" s="75" t="e">
        <f t="shared" si="23"/>
        <v>#REF!</v>
      </c>
      <c r="CG45" s="68" t="e">
        <f t="shared" si="24"/>
        <v>#REF!</v>
      </c>
      <c r="CH45" s="4">
        <f t="shared" si="25"/>
        <v>74410</v>
      </c>
      <c r="CI45" s="4">
        <f t="shared" si="26"/>
        <v>49044</v>
      </c>
      <c r="CJ45" s="4">
        <f t="shared" si="27"/>
        <v>44698</v>
      </c>
      <c r="CK45" s="142">
        <f>IF(ISNA(VLOOKUP($A45&amp;$AB45,'Days Exceptions'!$C$3:$I$7,6,FALSE)),ROUND(CH45/MAX(CJ45,(CI45*Min_Occ)),2),ROUND(CH45/VLOOKUP($A45&amp;$AB45,'Days Exceptions'!$C$3:$I$7,6,FALSE),2))</f>
        <v>1.66</v>
      </c>
      <c r="CL45" s="143" t="e">
        <f t="shared" si="28"/>
        <v>#REF!</v>
      </c>
      <c r="CM45" s="143" t="e">
        <f t="shared" si="29"/>
        <v>#REF!</v>
      </c>
      <c r="CN45" s="143">
        <f t="shared" si="30"/>
        <v>154.61000000000001</v>
      </c>
      <c r="CO45" s="37" t="s">
        <v>630</v>
      </c>
      <c r="CP45" s="37" t="s">
        <v>620</v>
      </c>
      <c r="CQ45" s="37" t="s">
        <v>1449</v>
      </c>
    </row>
    <row r="46" spans="1:95" x14ac:dyDescent="0.15">
      <c r="A46" s="130">
        <v>260</v>
      </c>
      <c r="B46" s="37" t="s">
        <v>562</v>
      </c>
      <c r="C46" s="1" t="s">
        <v>148</v>
      </c>
      <c r="D46" s="1" t="s">
        <v>106</v>
      </c>
      <c r="E46" s="1" t="str">
        <f>VLOOKUP(D46,Documentation!$B$4:$D$27,3,FALSE)</f>
        <v>BALTIMORE METRO</v>
      </c>
      <c r="F46" s="1" t="str">
        <f>VLOOKUP(D46,Documentation!$B$4:$C$27,2,FALSE)</f>
        <v>BALTIMORE METRO</v>
      </c>
      <c r="G46" s="82">
        <f>VLOOKUP(A46,'2022 CR and CMI'!$A$3:$D$207,3,FALSE)</f>
        <v>44562</v>
      </c>
      <c r="H46" s="82">
        <f>VLOOKUP(A46,'2022 CR and CMI'!$A$3:$D$207,4,FALSE)</f>
        <v>44926</v>
      </c>
      <c r="I46" s="72">
        <f>VLOOKUP(A46,'2022 CR and CMI'!$A$2:$T$210,19,FALSE)</f>
        <v>1.7748999999999999</v>
      </c>
      <c r="J46" s="139">
        <f>Inflation!$G$24</f>
        <v>1.0309999999999999</v>
      </c>
      <c r="K46" s="192">
        <f>VLOOKUP(E46,Limits!$B$2:$D$5,3,FALSE)</f>
        <v>195.33</v>
      </c>
      <c r="L46" s="192">
        <f t="shared" si="31"/>
        <v>201.39</v>
      </c>
      <c r="M46" s="140">
        <f>VLOOKUP(A46,'CMI Data'!$A$4:$C$208,3,FALSE)</f>
        <v>1.5429999999999999</v>
      </c>
      <c r="N46" s="68">
        <f t="shared" si="2"/>
        <v>247.68</v>
      </c>
      <c r="O46" s="68">
        <f t="shared" si="32"/>
        <v>215.32</v>
      </c>
      <c r="P46" s="75">
        <f t="shared" si="33"/>
        <v>204.55</v>
      </c>
      <c r="Q46" s="75">
        <v>245.84</v>
      </c>
      <c r="R46" s="75">
        <f t="shared" si="34"/>
        <v>253.46</v>
      </c>
      <c r="S46" s="68">
        <f t="shared" si="35"/>
        <v>220.34</v>
      </c>
      <c r="T46" s="75">
        <f t="shared" si="36"/>
        <v>0</v>
      </c>
      <c r="U46" s="68">
        <f t="shared" si="37"/>
        <v>215.32</v>
      </c>
      <c r="V46" s="68">
        <f>VLOOKUP($F46,Limits!$J$2:$L$5,3,FALSE)</f>
        <v>20.85</v>
      </c>
      <c r="W46" s="68">
        <f t="shared" si="38"/>
        <v>21.5</v>
      </c>
      <c r="X46" s="68">
        <f>VLOOKUP($F46,Limits!$R$2:$T$5,3,FALSE)</f>
        <v>102.02</v>
      </c>
      <c r="Y46" s="68">
        <f t="shared" si="39"/>
        <v>105.18</v>
      </c>
      <c r="Z46" s="75">
        <f>VLOOKUP(A46,FRV!$A$4:$U$208,21,FALSE)</f>
        <v>39.08</v>
      </c>
      <c r="AA46" s="141">
        <f>VLOOKUP(A46,'RE Tax'!$A$2:$G$206,3,FALSE)</f>
        <v>45292</v>
      </c>
      <c r="AB46" s="141">
        <f>VLOOKUP(A46,'RE Tax'!$A$2:$G$206,4,FALSE)</f>
        <v>45657</v>
      </c>
      <c r="AC46" s="4">
        <f>VLOOKUP(A46,'RE Tax'!$A$2:$G$206,7,FALSE)</f>
        <v>207160</v>
      </c>
      <c r="AD46" s="4">
        <f>VLOOKUP($A46,'RE Tax'!$A$2:$I$206,9,FALSE)</f>
        <v>40260</v>
      </c>
      <c r="AE46" s="4">
        <f>VLOOKUP($A46,'RE Tax'!$A$2:$I$206,8,FALSE)</f>
        <v>37092</v>
      </c>
      <c r="AF46" s="142">
        <f>IF(ISNA(VLOOKUP(A46&amp;AB46,'Days Exceptions'!$C$3:$I$7,6,FALSE)),ROUND(AC46/MAX(AE46,(AD46*Min_Occ)),2),ROUND(AC46/VLOOKUP(A46&amp;AB46,'Days Exceptions'!$C$3:$I$7,6,FALSE),2))</f>
        <v>5.59</v>
      </c>
      <c r="AG46" s="68">
        <v>0</v>
      </c>
      <c r="AH46" s="68">
        <f t="shared" si="40"/>
        <v>0</v>
      </c>
      <c r="AI46" s="4">
        <v>11375</v>
      </c>
      <c r="AJ46" s="4">
        <v>36987</v>
      </c>
      <c r="AK46" s="68">
        <f>IF(AI46=0,0,IF(ISNA(MATCH(A46,Documentation!$B$66:$B$71,0)),QA_Tax_reg,QA_Tax_5high))</f>
        <v>32.92</v>
      </c>
      <c r="AL46" s="75">
        <f t="shared" si="41"/>
        <v>10.119999999999999</v>
      </c>
      <c r="AM46" s="68">
        <f t="shared" si="42"/>
        <v>386.67</v>
      </c>
      <c r="AN46" s="68">
        <f t="shared" si="43"/>
        <v>279.01</v>
      </c>
      <c r="AO46" s="68">
        <f t="shared" si="44"/>
        <v>171.35</v>
      </c>
      <c r="AP46" s="37" t="s">
        <v>561</v>
      </c>
      <c r="AQ46" s="37" t="s">
        <v>562</v>
      </c>
      <c r="AR46" s="37" t="s">
        <v>999</v>
      </c>
      <c r="AS46" s="66" t="e">
        <f>VLOOKUP(A46,'CMI Data'!$A$3:$J$209,10,FALSE)</f>
        <v>#DIV/0!</v>
      </c>
      <c r="AT46" s="68">
        <f t="shared" si="3"/>
        <v>240.22</v>
      </c>
      <c r="AU46" s="68" t="e">
        <f t="shared" si="4"/>
        <v>#DIV/0!</v>
      </c>
      <c r="AV46" s="75" t="e">
        <f t="shared" si="45"/>
        <v>#DIV/0!</v>
      </c>
      <c r="AW46" s="68" t="e">
        <f>IF($I46="NA","NA",ROUND(#REF!*$AS46/$I46,2))</f>
        <v>#REF!</v>
      </c>
      <c r="AX46" s="75" t="e">
        <f t="shared" si="46"/>
        <v>#REF!</v>
      </c>
      <c r="AY46" s="68" t="e">
        <f t="shared" si="47"/>
        <v>#REF!</v>
      </c>
      <c r="AZ46" s="4">
        <f t="shared" si="5"/>
        <v>207160</v>
      </c>
      <c r="BA46" s="4">
        <f t="shared" si="6"/>
        <v>40260</v>
      </c>
      <c r="BB46" s="4">
        <f t="shared" si="7"/>
        <v>37092</v>
      </c>
      <c r="BC46" s="142">
        <f>IF(ISNA(VLOOKUP($A46&amp;$AB46,'Days Exceptions'!$C$3:$I$7,6,FALSE)),ROUND(AZ46/MAX(BB46,(BA46*Min_Occ)),2),ROUND(AZ46/VLOOKUP($A46&amp;$AB46,'Days Exceptions'!$C$3:$I$7,6,FALSE),2))</f>
        <v>5.59</v>
      </c>
      <c r="BD46" s="143" t="e">
        <f t="shared" si="8"/>
        <v>#REF!</v>
      </c>
      <c r="BE46" s="143" t="e">
        <f t="shared" si="9"/>
        <v>#REF!</v>
      </c>
      <c r="BF46" s="143">
        <f t="shared" si="10"/>
        <v>167.54</v>
      </c>
      <c r="BG46" s="37" t="s">
        <v>561</v>
      </c>
      <c r="BH46" s="37" t="s">
        <v>562</v>
      </c>
      <c r="BI46" s="37" t="s">
        <v>1203</v>
      </c>
      <c r="BJ46" s="66" t="e">
        <f>VLOOKUP(A46,'CMI Data'!$A$3:$AZ$209,15,FALSE)</f>
        <v>#DIV/0!</v>
      </c>
      <c r="BK46" s="68">
        <f t="shared" si="11"/>
        <v>240.22</v>
      </c>
      <c r="BL46" s="68" t="e">
        <f t="shared" si="12"/>
        <v>#DIV/0!</v>
      </c>
      <c r="BM46" s="75" t="e">
        <f t="shared" si="13"/>
        <v>#DIV/0!</v>
      </c>
      <c r="BN46" s="68" t="e">
        <f>IF($I46="NA","NA",ROUND(#REF!*$BJ46/$I46,2))</f>
        <v>#REF!</v>
      </c>
      <c r="BO46" s="75" t="e">
        <f t="shared" si="14"/>
        <v>#REF!</v>
      </c>
      <c r="BP46" s="68" t="e">
        <f t="shared" si="48"/>
        <v>#REF!</v>
      </c>
      <c r="BQ46" s="4">
        <f t="shared" si="15"/>
        <v>207160</v>
      </c>
      <c r="BR46" s="4">
        <f t="shared" si="16"/>
        <v>40260</v>
      </c>
      <c r="BS46" s="4">
        <f t="shared" si="17"/>
        <v>37092</v>
      </c>
      <c r="BT46" s="142">
        <f>IF(ISNA(VLOOKUP($A46&amp;$AB46,'Days Exceptions'!$C$3:$I$7,6,FALSE)),ROUND(BQ46/MAX(BS46,(BR46*Min_Occ)),2),ROUND(BQ46/VLOOKUP($A46&amp;$AB46,'Days Exceptions'!$C$3:$I$7,6,FALSE),2))</f>
        <v>5.59</v>
      </c>
      <c r="BU46" s="143" t="e">
        <f t="shared" si="18"/>
        <v>#REF!</v>
      </c>
      <c r="BV46" s="143" t="e">
        <f t="shared" si="19"/>
        <v>#REF!</v>
      </c>
      <c r="BW46" s="143">
        <f t="shared" si="20"/>
        <v>167.54</v>
      </c>
      <c r="BX46" s="37" t="s">
        <v>561</v>
      </c>
      <c r="BY46" s="37" t="s">
        <v>562</v>
      </c>
      <c r="BZ46" s="37" t="s">
        <v>1450</v>
      </c>
      <c r="CA46" s="66" t="e">
        <f>VLOOKUP(A46,'CMI Data'!$A$3:$AZ$209,20,FALSE)</f>
        <v>#DIV/0!</v>
      </c>
      <c r="CB46" s="68">
        <f t="shared" si="21"/>
        <v>240.22</v>
      </c>
      <c r="CC46" s="68" t="e">
        <f t="shared" si="22"/>
        <v>#DIV/0!</v>
      </c>
      <c r="CD46" s="75" t="e">
        <f t="shared" si="49"/>
        <v>#DIV/0!</v>
      </c>
      <c r="CE46" s="68" t="e">
        <f>IF($I46="NA","NA",ROUND(#REF!*$CA46/$I46,2))</f>
        <v>#REF!</v>
      </c>
      <c r="CF46" s="75" t="e">
        <f t="shared" si="23"/>
        <v>#REF!</v>
      </c>
      <c r="CG46" s="68" t="e">
        <f t="shared" si="24"/>
        <v>#REF!</v>
      </c>
      <c r="CH46" s="4">
        <f t="shared" si="25"/>
        <v>207160</v>
      </c>
      <c r="CI46" s="4">
        <f t="shared" si="26"/>
        <v>40260</v>
      </c>
      <c r="CJ46" s="4">
        <f t="shared" si="27"/>
        <v>37092</v>
      </c>
      <c r="CK46" s="142">
        <f>IF(ISNA(VLOOKUP($A46&amp;$AB46,'Days Exceptions'!$C$3:$I$7,6,FALSE)),ROUND(CH46/MAX(CJ46,(CI46*Min_Occ)),2),ROUND(CH46/VLOOKUP($A46&amp;$AB46,'Days Exceptions'!$C$3:$I$7,6,FALSE),2))</f>
        <v>5.59</v>
      </c>
      <c r="CL46" s="143" t="e">
        <f t="shared" si="28"/>
        <v>#REF!</v>
      </c>
      <c r="CM46" s="143" t="e">
        <f t="shared" si="29"/>
        <v>#REF!</v>
      </c>
      <c r="CN46" s="143">
        <f t="shared" si="30"/>
        <v>167.54</v>
      </c>
      <c r="CO46" s="37" t="s">
        <v>561</v>
      </c>
      <c r="CP46" s="37" t="s">
        <v>562</v>
      </c>
      <c r="CQ46" s="37" t="s">
        <v>1451</v>
      </c>
    </row>
    <row r="47" spans="1:95" x14ac:dyDescent="0.15">
      <c r="A47" s="130">
        <v>701</v>
      </c>
      <c r="B47" s="37" t="s">
        <v>506</v>
      </c>
      <c r="C47" s="1" t="s">
        <v>148</v>
      </c>
      <c r="D47" s="1" t="s">
        <v>124</v>
      </c>
      <c r="E47" s="1" t="str">
        <f>VLOOKUP(D47,Documentation!$B$4:$D$27,3,FALSE)</f>
        <v>EASTERN REGION</v>
      </c>
      <c r="F47" s="1" t="str">
        <f>VLOOKUP(D47,Documentation!$B$4:$C$27,2,FALSE)</f>
        <v>NON METRO</v>
      </c>
      <c r="G47" s="82">
        <f>VLOOKUP(A47,'2022 CR and CMI'!$A$3:$D$207,3,FALSE)</f>
        <v>44562</v>
      </c>
      <c r="H47" s="82">
        <f>VLOOKUP(A47,'2022 CR and CMI'!$A$3:$D$207,4,FALSE)</f>
        <v>44926</v>
      </c>
      <c r="I47" s="72">
        <f>VLOOKUP(A47,'2022 CR and CMI'!$A$2:$T$210,19,FALSE)</f>
        <v>1.3495999999999999</v>
      </c>
      <c r="J47" s="139">
        <f>Inflation!$G$24</f>
        <v>1.0309999999999999</v>
      </c>
      <c r="K47" s="192">
        <f>VLOOKUP(E47,Limits!$B$2:$D$5,3,FALSE)</f>
        <v>186.31</v>
      </c>
      <c r="L47" s="192">
        <f t="shared" si="31"/>
        <v>192.09</v>
      </c>
      <c r="M47" s="140">
        <f>VLOOKUP(A47,'CMI Data'!$A$4:$C$208,3,FALSE)</f>
        <v>1.2648999999999999</v>
      </c>
      <c r="N47" s="68">
        <f t="shared" si="2"/>
        <v>179.63</v>
      </c>
      <c r="O47" s="68">
        <f t="shared" si="32"/>
        <v>168.36</v>
      </c>
      <c r="P47" s="75">
        <f t="shared" si="33"/>
        <v>159.94</v>
      </c>
      <c r="Q47" s="75">
        <v>208.75</v>
      </c>
      <c r="R47" s="75">
        <f t="shared" si="34"/>
        <v>215.22</v>
      </c>
      <c r="S47" s="68">
        <f t="shared" si="35"/>
        <v>201.71</v>
      </c>
      <c r="T47" s="75">
        <f t="shared" si="36"/>
        <v>0</v>
      </c>
      <c r="U47" s="68">
        <f t="shared" si="37"/>
        <v>168.36</v>
      </c>
      <c r="V47" s="68">
        <f>VLOOKUP($F47,Limits!$J$2:$L$5,3,FALSE)</f>
        <v>20.239999999999998</v>
      </c>
      <c r="W47" s="68">
        <f t="shared" si="38"/>
        <v>20.87</v>
      </c>
      <c r="X47" s="68">
        <f>VLOOKUP($F47,Limits!$R$2:$T$5,3,FALSE)</f>
        <v>89.55</v>
      </c>
      <c r="Y47" s="68">
        <f t="shared" si="39"/>
        <v>92.33</v>
      </c>
      <c r="Z47" s="75">
        <f>VLOOKUP(A47,FRV!$A$4:$U$208,21,FALSE)</f>
        <v>37.409999999999997</v>
      </c>
      <c r="AA47" s="141">
        <f>VLOOKUP(A47,'RE Tax'!$A$2:$G$206,3,FALSE)</f>
        <v>45292</v>
      </c>
      <c r="AB47" s="141">
        <f>VLOOKUP(A47,'RE Tax'!$A$2:$G$206,4,FALSE)</f>
        <v>45657</v>
      </c>
      <c r="AC47" s="4">
        <f>VLOOKUP(A47,'RE Tax'!$A$2:$G$206,7,FALSE)</f>
        <v>26557</v>
      </c>
      <c r="AD47" s="4">
        <f>VLOOKUP($A47,'RE Tax'!$A$2:$I$206,9,FALSE)</f>
        <v>36234</v>
      </c>
      <c r="AE47" s="4">
        <f>VLOOKUP($A47,'RE Tax'!$A$2:$I$206,8,FALSE)</f>
        <v>21596</v>
      </c>
      <c r="AF47" s="142">
        <f>IF(ISNA(VLOOKUP(A47&amp;AB47,'Days Exceptions'!$C$3:$I$7,6,FALSE)),ROUND(AC47/MAX(AE47,(AD47*Min_Occ)),2),ROUND(AC47/VLOOKUP(A47&amp;AB47,'Days Exceptions'!$C$3:$I$7,6,FALSE),2))</f>
        <v>0.9</v>
      </c>
      <c r="AG47" s="68">
        <v>0</v>
      </c>
      <c r="AH47" s="68">
        <f t="shared" si="40"/>
        <v>0</v>
      </c>
      <c r="AI47" s="4">
        <v>0</v>
      </c>
      <c r="AJ47" s="4">
        <v>0</v>
      </c>
      <c r="AK47" s="68">
        <f>IF(AI47=0,0,IF(ISNA(MATCH(A47,Documentation!$B$66:$B$71,0)),QA_Tax_reg,QA_Tax_5high))</f>
        <v>0</v>
      </c>
      <c r="AL47" s="75">
        <f t="shared" si="41"/>
        <v>0</v>
      </c>
      <c r="AM47" s="68">
        <f t="shared" si="42"/>
        <v>319.87</v>
      </c>
      <c r="AN47" s="68">
        <f t="shared" si="43"/>
        <v>235.69</v>
      </c>
      <c r="AO47" s="68">
        <f t="shared" si="44"/>
        <v>151.51</v>
      </c>
      <c r="AP47" s="37" t="s">
        <v>513</v>
      </c>
      <c r="AQ47" s="37" t="s">
        <v>506</v>
      </c>
      <c r="AR47" s="37" t="s">
        <v>1000</v>
      </c>
      <c r="AS47" s="66" t="e">
        <f>VLOOKUP(A47,'CMI Data'!$A$3:$J$209,10,FALSE)</f>
        <v>#DIV/0!</v>
      </c>
      <c r="AT47" s="68">
        <f t="shared" si="3"/>
        <v>174.23</v>
      </c>
      <c r="AU47" s="68" t="e">
        <f t="shared" si="4"/>
        <v>#DIV/0!</v>
      </c>
      <c r="AV47" s="75" t="e">
        <f t="shared" si="45"/>
        <v>#DIV/0!</v>
      </c>
      <c r="AW47" s="68" t="e">
        <f>IF($I47="NA","NA",ROUND(#REF!*$AS47/$I47,2))</f>
        <v>#REF!</v>
      </c>
      <c r="AX47" s="75" t="e">
        <f t="shared" si="46"/>
        <v>#REF!</v>
      </c>
      <c r="AY47" s="68" t="e">
        <f t="shared" si="47"/>
        <v>#REF!</v>
      </c>
      <c r="AZ47" s="4">
        <f t="shared" si="5"/>
        <v>26557</v>
      </c>
      <c r="BA47" s="4">
        <f t="shared" si="6"/>
        <v>36234</v>
      </c>
      <c r="BB47" s="4">
        <f t="shared" si="7"/>
        <v>21596</v>
      </c>
      <c r="BC47" s="142">
        <f>IF(ISNA(VLOOKUP($A47&amp;$AB47,'Days Exceptions'!$C$3:$I$7,6,FALSE)),ROUND(AZ47/MAX(BB47,(BA47*Min_Occ)),2),ROUND(AZ47/VLOOKUP($A47&amp;$AB47,'Days Exceptions'!$C$3:$I$7,6,FALSE),2))</f>
        <v>0.9</v>
      </c>
      <c r="BD47" s="143" t="e">
        <f t="shared" si="8"/>
        <v>#REF!</v>
      </c>
      <c r="BE47" s="143" t="e">
        <f t="shared" si="9"/>
        <v>#REF!</v>
      </c>
      <c r="BF47" s="143">
        <f t="shared" si="10"/>
        <v>148.1</v>
      </c>
      <c r="BG47" s="37" t="s">
        <v>513</v>
      </c>
      <c r="BH47" s="37" t="s">
        <v>506</v>
      </c>
      <c r="BI47" s="37" t="s">
        <v>1204</v>
      </c>
      <c r="BJ47" s="66" t="e">
        <f>VLOOKUP(A47,'CMI Data'!$A$3:$AZ$209,15,FALSE)</f>
        <v>#DIV/0!</v>
      </c>
      <c r="BK47" s="68">
        <f t="shared" si="11"/>
        <v>174.23</v>
      </c>
      <c r="BL47" s="68" t="e">
        <f t="shared" si="12"/>
        <v>#DIV/0!</v>
      </c>
      <c r="BM47" s="75" t="e">
        <f t="shared" si="13"/>
        <v>#DIV/0!</v>
      </c>
      <c r="BN47" s="68" t="e">
        <f>IF($I47="NA","NA",ROUND(#REF!*$BJ47/$I47,2))</f>
        <v>#REF!</v>
      </c>
      <c r="BO47" s="75" t="e">
        <f t="shared" si="14"/>
        <v>#REF!</v>
      </c>
      <c r="BP47" s="68" t="e">
        <f t="shared" si="48"/>
        <v>#REF!</v>
      </c>
      <c r="BQ47" s="4">
        <f t="shared" si="15"/>
        <v>26557</v>
      </c>
      <c r="BR47" s="4">
        <f t="shared" si="16"/>
        <v>36234</v>
      </c>
      <c r="BS47" s="4">
        <f t="shared" si="17"/>
        <v>21596</v>
      </c>
      <c r="BT47" s="142">
        <f>IF(ISNA(VLOOKUP($A47&amp;$AB47,'Days Exceptions'!$C$3:$I$7,6,FALSE)),ROUND(BQ47/MAX(BS47,(BR47*Min_Occ)),2),ROUND(BQ47/VLOOKUP($A47&amp;$AB47,'Days Exceptions'!$C$3:$I$7,6,FALSE),2))</f>
        <v>0.9</v>
      </c>
      <c r="BU47" s="143" t="e">
        <f t="shared" si="18"/>
        <v>#REF!</v>
      </c>
      <c r="BV47" s="143" t="e">
        <f t="shared" si="19"/>
        <v>#REF!</v>
      </c>
      <c r="BW47" s="143">
        <f t="shared" si="20"/>
        <v>148.1</v>
      </c>
      <c r="BX47" s="37" t="s">
        <v>513</v>
      </c>
      <c r="BY47" s="37" t="s">
        <v>506</v>
      </c>
      <c r="BZ47" s="37" t="s">
        <v>1452</v>
      </c>
      <c r="CA47" s="66" t="e">
        <f>VLOOKUP(A47,'CMI Data'!$A$3:$AZ$209,20,FALSE)</f>
        <v>#DIV/0!</v>
      </c>
      <c r="CB47" s="68">
        <f t="shared" si="21"/>
        <v>174.23</v>
      </c>
      <c r="CC47" s="68" t="e">
        <f t="shared" si="22"/>
        <v>#DIV/0!</v>
      </c>
      <c r="CD47" s="75" t="e">
        <f t="shared" si="49"/>
        <v>#DIV/0!</v>
      </c>
      <c r="CE47" s="68" t="e">
        <f>IF($I47="NA","NA",ROUND(#REF!*$CA47/$I47,2))</f>
        <v>#REF!</v>
      </c>
      <c r="CF47" s="75" t="e">
        <f t="shared" si="23"/>
        <v>#REF!</v>
      </c>
      <c r="CG47" s="68" t="e">
        <f t="shared" si="24"/>
        <v>#REF!</v>
      </c>
      <c r="CH47" s="4">
        <f t="shared" si="25"/>
        <v>26557</v>
      </c>
      <c r="CI47" s="4">
        <f t="shared" si="26"/>
        <v>36234</v>
      </c>
      <c r="CJ47" s="4">
        <f t="shared" si="27"/>
        <v>21596</v>
      </c>
      <c r="CK47" s="142">
        <f>IF(ISNA(VLOOKUP($A47&amp;$AB47,'Days Exceptions'!$C$3:$I$7,6,FALSE)),ROUND(CH47/MAX(CJ47,(CI47*Min_Occ)),2),ROUND(CH47/VLOOKUP($A47&amp;$AB47,'Days Exceptions'!$C$3:$I$7,6,FALSE),2))</f>
        <v>0.9</v>
      </c>
      <c r="CL47" s="143" t="e">
        <f t="shared" si="28"/>
        <v>#REF!</v>
      </c>
      <c r="CM47" s="143" t="e">
        <f t="shared" si="29"/>
        <v>#REF!</v>
      </c>
      <c r="CN47" s="143">
        <f t="shared" si="30"/>
        <v>148.1</v>
      </c>
      <c r="CO47" s="37" t="s">
        <v>513</v>
      </c>
      <c r="CP47" s="37" t="s">
        <v>506</v>
      </c>
      <c r="CQ47" s="37" t="s">
        <v>1453</v>
      </c>
    </row>
    <row r="48" spans="1:95" x14ac:dyDescent="0.15">
      <c r="A48" s="130">
        <v>52</v>
      </c>
      <c r="B48" s="37" t="s">
        <v>447</v>
      </c>
      <c r="C48" s="1" t="s">
        <v>148</v>
      </c>
      <c r="D48" s="1" t="s">
        <v>119</v>
      </c>
      <c r="E48" s="1" t="str">
        <f>VLOOKUP(D48,Documentation!$B$4:$D$27,3,FALSE)</f>
        <v>WASHINGTON METRO</v>
      </c>
      <c r="F48" s="1" t="str">
        <f>VLOOKUP(D48,Documentation!$B$4:$C$27,2,FALSE)</f>
        <v>WASHINGTON METRO</v>
      </c>
      <c r="G48" s="82">
        <f>VLOOKUP(A48,'2022 CR and CMI'!$A$3:$D$207,3,FALSE)</f>
        <v>44562</v>
      </c>
      <c r="H48" s="82">
        <f>VLOOKUP(A48,'2022 CR and CMI'!$A$3:$D$207,4,FALSE)</f>
        <v>44926</v>
      </c>
      <c r="I48" s="72">
        <f>VLOOKUP(A48,'2022 CR and CMI'!$A$2:$T$210,19,FALSE)</f>
        <v>1.4401999999999999</v>
      </c>
      <c r="J48" s="139">
        <f>Inflation!$G$24</f>
        <v>1.0309999999999999</v>
      </c>
      <c r="K48" s="192">
        <f>VLOOKUP(E48,Limits!$B$2:$D$5,3,FALSE)</f>
        <v>176.01</v>
      </c>
      <c r="L48" s="192">
        <f t="shared" si="31"/>
        <v>181.47</v>
      </c>
      <c r="M48" s="140">
        <f>VLOOKUP(A48,'CMI Data'!$A$4:$C$208,3,FALSE)</f>
        <v>1.2289000000000001</v>
      </c>
      <c r="N48" s="68">
        <f t="shared" si="2"/>
        <v>181.09</v>
      </c>
      <c r="O48" s="68">
        <f t="shared" si="32"/>
        <v>154.52000000000001</v>
      </c>
      <c r="P48" s="75">
        <f t="shared" si="33"/>
        <v>146.79</v>
      </c>
      <c r="Q48" s="75">
        <v>220.04</v>
      </c>
      <c r="R48" s="75">
        <f t="shared" si="34"/>
        <v>226.86</v>
      </c>
      <c r="S48" s="68">
        <f t="shared" si="35"/>
        <v>193.58</v>
      </c>
      <c r="T48" s="75">
        <f t="shared" si="36"/>
        <v>0</v>
      </c>
      <c r="U48" s="68">
        <f t="shared" si="37"/>
        <v>154.52000000000001</v>
      </c>
      <c r="V48" s="68">
        <f>VLOOKUP($F48,Limits!$J$2:$L$5,3,FALSE)</f>
        <v>19.23</v>
      </c>
      <c r="W48" s="68">
        <f t="shared" si="38"/>
        <v>19.829999999999998</v>
      </c>
      <c r="X48" s="68">
        <f>VLOOKUP($F48,Limits!$R$2:$T$5,3,FALSE)</f>
        <v>100.61</v>
      </c>
      <c r="Y48" s="68">
        <f t="shared" si="39"/>
        <v>103.73</v>
      </c>
      <c r="Z48" s="75">
        <f>VLOOKUP(A48,FRV!$A$4:$U$208,21,FALSE)</f>
        <v>44.29</v>
      </c>
      <c r="AA48" s="141">
        <f>VLOOKUP(A48,'RE Tax'!$A$2:$G$206,3,FALSE)</f>
        <v>45292</v>
      </c>
      <c r="AB48" s="141">
        <f>VLOOKUP(A48,'RE Tax'!$A$2:$G$206,4,FALSE)</f>
        <v>45657</v>
      </c>
      <c r="AC48" s="4">
        <f>VLOOKUP(A48,'RE Tax'!$A$2:$G$206,7,FALSE)</f>
        <v>55023</v>
      </c>
      <c r="AD48" s="4">
        <f>VLOOKUP($A48,'RE Tax'!$A$2:$I$206,9,FALSE)</f>
        <v>21960</v>
      </c>
      <c r="AE48" s="4">
        <f>VLOOKUP($A48,'RE Tax'!$A$2:$I$206,8,FALSE)</f>
        <v>16084</v>
      </c>
      <c r="AF48" s="142">
        <f>IF(ISNA(VLOOKUP(A48&amp;AB48,'Days Exceptions'!$C$3:$I$7,6,FALSE)),ROUND(AC48/MAX(AE48,(AD48*Min_Occ)),2),ROUND(AC48/VLOOKUP(A48&amp;AB48,'Days Exceptions'!$C$3:$I$7,6,FALSE),2))</f>
        <v>3.07</v>
      </c>
      <c r="AG48" s="68">
        <v>0</v>
      </c>
      <c r="AH48" s="68">
        <f t="shared" si="40"/>
        <v>0</v>
      </c>
      <c r="AI48" s="4">
        <v>0</v>
      </c>
      <c r="AJ48" s="4">
        <v>0</v>
      </c>
      <c r="AK48" s="68">
        <f>IF(AI48=0,0,IF(ISNA(MATCH(A48,Documentation!$B$66:$B$71,0)),QA_Tax_reg,QA_Tax_5high))</f>
        <v>0</v>
      </c>
      <c r="AL48" s="75">
        <f t="shared" si="41"/>
        <v>0</v>
      </c>
      <c r="AM48" s="68">
        <f t="shared" si="42"/>
        <v>325.44</v>
      </c>
      <c r="AN48" s="68">
        <f t="shared" si="43"/>
        <v>248.18</v>
      </c>
      <c r="AO48" s="68">
        <f t="shared" si="44"/>
        <v>170.92</v>
      </c>
      <c r="AP48" s="37" t="s">
        <v>460</v>
      </c>
      <c r="AQ48" s="37" t="s">
        <v>447</v>
      </c>
      <c r="AR48" s="37" t="s">
        <v>1001</v>
      </c>
      <c r="AS48" s="66" t="e">
        <f>VLOOKUP(A48,'CMI Data'!$A$3:$J$209,10,FALSE)</f>
        <v>#DIV/0!</v>
      </c>
      <c r="AT48" s="68">
        <f t="shared" si="3"/>
        <v>175.64</v>
      </c>
      <c r="AU48" s="68" t="e">
        <f t="shared" si="4"/>
        <v>#DIV/0!</v>
      </c>
      <c r="AV48" s="75" t="e">
        <f t="shared" si="45"/>
        <v>#DIV/0!</v>
      </c>
      <c r="AW48" s="68" t="e">
        <f>IF($I48="NA","NA",ROUND(#REF!*$AS48/$I48,2))</f>
        <v>#REF!</v>
      </c>
      <c r="AX48" s="75" t="e">
        <f t="shared" si="46"/>
        <v>#REF!</v>
      </c>
      <c r="AY48" s="68" t="e">
        <f t="shared" si="47"/>
        <v>#REF!</v>
      </c>
      <c r="AZ48" s="4">
        <f t="shared" si="5"/>
        <v>55023</v>
      </c>
      <c r="BA48" s="4">
        <f t="shared" si="6"/>
        <v>21960</v>
      </c>
      <c r="BB48" s="4">
        <f t="shared" si="7"/>
        <v>16084</v>
      </c>
      <c r="BC48" s="142">
        <f>IF(ISNA(VLOOKUP($A48&amp;$AB48,'Days Exceptions'!$C$3:$I$7,6,FALSE)),ROUND(AZ48/MAX(BB48,(BA48*Min_Occ)),2),ROUND(AZ48/VLOOKUP($A48&amp;$AB48,'Days Exceptions'!$C$3:$I$7,6,FALSE),2))</f>
        <v>3.07</v>
      </c>
      <c r="BD48" s="143" t="e">
        <f t="shared" si="8"/>
        <v>#REF!</v>
      </c>
      <c r="BE48" s="143" t="e">
        <f t="shared" si="9"/>
        <v>#REF!</v>
      </c>
      <c r="BF48" s="143">
        <f t="shared" si="10"/>
        <v>167.2</v>
      </c>
      <c r="BG48" s="37" t="s">
        <v>460</v>
      </c>
      <c r="BH48" s="37" t="s">
        <v>447</v>
      </c>
      <c r="BI48" s="37" t="s">
        <v>1205</v>
      </c>
      <c r="BJ48" s="66" t="e">
        <f>VLOOKUP(A48,'CMI Data'!$A$3:$AZ$209,15,FALSE)</f>
        <v>#DIV/0!</v>
      </c>
      <c r="BK48" s="68">
        <f t="shared" si="11"/>
        <v>175.64</v>
      </c>
      <c r="BL48" s="68" t="e">
        <f t="shared" si="12"/>
        <v>#DIV/0!</v>
      </c>
      <c r="BM48" s="75" t="e">
        <f t="shared" si="13"/>
        <v>#DIV/0!</v>
      </c>
      <c r="BN48" s="68" t="e">
        <f>IF($I48="NA","NA",ROUND(#REF!*$BJ48/$I48,2))</f>
        <v>#REF!</v>
      </c>
      <c r="BO48" s="75" t="e">
        <f t="shared" si="14"/>
        <v>#REF!</v>
      </c>
      <c r="BP48" s="68" t="e">
        <f t="shared" si="48"/>
        <v>#REF!</v>
      </c>
      <c r="BQ48" s="4">
        <f t="shared" si="15"/>
        <v>55023</v>
      </c>
      <c r="BR48" s="4">
        <f t="shared" si="16"/>
        <v>21960</v>
      </c>
      <c r="BS48" s="4">
        <f t="shared" si="17"/>
        <v>16084</v>
      </c>
      <c r="BT48" s="142">
        <f>IF(ISNA(VLOOKUP($A48&amp;$AB48,'Days Exceptions'!$C$3:$I$7,6,FALSE)),ROUND(BQ48/MAX(BS48,(BR48*Min_Occ)),2),ROUND(BQ48/VLOOKUP($A48&amp;$AB48,'Days Exceptions'!$C$3:$I$7,6,FALSE),2))</f>
        <v>3.07</v>
      </c>
      <c r="BU48" s="143" t="e">
        <f t="shared" si="18"/>
        <v>#REF!</v>
      </c>
      <c r="BV48" s="143" t="e">
        <f t="shared" si="19"/>
        <v>#REF!</v>
      </c>
      <c r="BW48" s="143">
        <f t="shared" si="20"/>
        <v>167.2</v>
      </c>
      <c r="BX48" s="37" t="s">
        <v>460</v>
      </c>
      <c r="BY48" s="37" t="s">
        <v>447</v>
      </c>
      <c r="BZ48" s="37" t="s">
        <v>1454</v>
      </c>
      <c r="CA48" s="66" t="e">
        <f>VLOOKUP(A48,'CMI Data'!$A$3:$AZ$209,20,FALSE)</f>
        <v>#DIV/0!</v>
      </c>
      <c r="CB48" s="68">
        <f t="shared" si="21"/>
        <v>175.64</v>
      </c>
      <c r="CC48" s="68" t="e">
        <f t="shared" si="22"/>
        <v>#DIV/0!</v>
      </c>
      <c r="CD48" s="75" t="e">
        <f t="shared" si="49"/>
        <v>#DIV/0!</v>
      </c>
      <c r="CE48" s="68" t="e">
        <f>IF($I48="NA","NA",ROUND(#REF!*$CA48/$I48,2))</f>
        <v>#REF!</v>
      </c>
      <c r="CF48" s="75" t="e">
        <f t="shared" si="23"/>
        <v>#REF!</v>
      </c>
      <c r="CG48" s="68" t="e">
        <f t="shared" si="24"/>
        <v>#REF!</v>
      </c>
      <c r="CH48" s="4">
        <f t="shared" si="25"/>
        <v>55023</v>
      </c>
      <c r="CI48" s="4">
        <f t="shared" si="26"/>
        <v>21960</v>
      </c>
      <c r="CJ48" s="4">
        <f t="shared" si="27"/>
        <v>16084</v>
      </c>
      <c r="CK48" s="142">
        <f>IF(ISNA(VLOOKUP($A48&amp;$AB48,'Days Exceptions'!$C$3:$I$7,6,FALSE)),ROUND(CH48/MAX(CJ48,(CI48*Min_Occ)),2),ROUND(CH48/VLOOKUP($A48&amp;$AB48,'Days Exceptions'!$C$3:$I$7,6,FALSE),2))</f>
        <v>3.07</v>
      </c>
      <c r="CL48" s="143" t="e">
        <f t="shared" si="28"/>
        <v>#REF!</v>
      </c>
      <c r="CM48" s="143" t="e">
        <f t="shared" si="29"/>
        <v>#REF!</v>
      </c>
      <c r="CN48" s="143">
        <f t="shared" si="30"/>
        <v>167.2</v>
      </c>
      <c r="CO48" s="37" t="s">
        <v>460</v>
      </c>
      <c r="CP48" s="37" t="s">
        <v>447</v>
      </c>
      <c r="CQ48" s="37" t="s">
        <v>1455</v>
      </c>
    </row>
    <row r="49" spans="1:95" x14ac:dyDescent="0.15">
      <c r="A49" s="130">
        <v>743</v>
      </c>
      <c r="B49" s="37" t="s">
        <v>213</v>
      </c>
      <c r="C49" s="1" t="s">
        <v>148</v>
      </c>
      <c r="D49" s="1" t="s">
        <v>119</v>
      </c>
      <c r="E49" s="1" t="str">
        <f>VLOOKUP(D49,Documentation!$B$4:$D$27,3,FALSE)</f>
        <v>WASHINGTON METRO</v>
      </c>
      <c r="F49" s="1" t="str">
        <f>VLOOKUP(D49,Documentation!$B$4:$C$27,2,FALSE)</f>
        <v>WASHINGTON METRO</v>
      </c>
      <c r="G49" s="82">
        <f>VLOOKUP(A49,'2022 CR and CMI'!$A$3:$D$207,3,FALSE)</f>
        <v>44378</v>
      </c>
      <c r="H49" s="82">
        <f>VLOOKUP(A49,'2022 CR and CMI'!$A$3:$D$207,4,FALSE)</f>
        <v>44742</v>
      </c>
      <c r="I49" s="72">
        <f>VLOOKUP(A49,'2022 CR and CMI'!$A$2:$T$210,19,FALSE)</f>
        <v>1.4721</v>
      </c>
      <c r="J49" s="139">
        <f>Inflation!$G$24</f>
        <v>1.0309999999999999</v>
      </c>
      <c r="K49" s="192">
        <f>VLOOKUP(E49,Limits!$B$2:$D$5,3,FALSE)</f>
        <v>176.01</v>
      </c>
      <c r="L49" s="192">
        <f t="shared" si="31"/>
        <v>181.47</v>
      </c>
      <c r="M49" s="140">
        <f>VLOOKUP(A49,'CMI Data'!$A$4:$C$208,3,FALSE)</f>
        <v>1.2645</v>
      </c>
      <c r="N49" s="68">
        <f t="shared" si="2"/>
        <v>185.1</v>
      </c>
      <c r="O49" s="68">
        <f t="shared" si="32"/>
        <v>159</v>
      </c>
      <c r="P49" s="75">
        <f t="shared" si="33"/>
        <v>151.05000000000001</v>
      </c>
      <c r="Q49" s="75">
        <v>133</v>
      </c>
      <c r="R49" s="75">
        <f t="shared" si="34"/>
        <v>137.12</v>
      </c>
      <c r="S49" s="68">
        <f t="shared" si="35"/>
        <v>117.78</v>
      </c>
      <c r="T49" s="75">
        <f t="shared" si="36"/>
        <v>-33.270000000000003</v>
      </c>
      <c r="U49" s="68">
        <f t="shared" si="37"/>
        <v>125.73</v>
      </c>
      <c r="V49" s="68">
        <f>VLOOKUP($F49,Limits!$J$2:$L$5,3,FALSE)</f>
        <v>19.23</v>
      </c>
      <c r="W49" s="68">
        <f t="shared" si="38"/>
        <v>19.829999999999998</v>
      </c>
      <c r="X49" s="68">
        <f>VLOOKUP($F49,Limits!$R$2:$T$5,3,FALSE)</f>
        <v>100.61</v>
      </c>
      <c r="Y49" s="68">
        <f t="shared" si="39"/>
        <v>103.73</v>
      </c>
      <c r="Z49" s="75">
        <f>VLOOKUP(A49,FRV!$A$4:$U$208,21,FALSE)</f>
        <v>47.51</v>
      </c>
      <c r="AA49" s="141">
        <f>VLOOKUP(A49,'RE Tax'!$A$2:$G$206,3,FALSE)</f>
        <v>45108</v>
      </c>
      <c r="AB49" s="141">
        <f>VLOOKUP(A49,'RE Tax'!$A$2:$G$206,4,FALSE)</f>
        <v>45473</v>
      </c>
      <c r="AC49" s="4">
        <f>VLOOKUP(A49,'RE Tax'!$A$2:$G$206,7,FALSE)</f>
        <v>336752</v>
      </c>
      <c r="AD49" s="4">
        <f>VLOOKUP($A49,'RE Tax'!$A$2:$I$206,9,FALSE)</f>
        <v>33672</v>
      </c>
      <c r="AE49" s="4">
        <f>VLOOKUP($A49,'RE Tax'!$A$2:$I$206,8,FALSE)</f>
        <v>31564</v>
      </c>
      <c r="AF49" s="142">
        <f>IF(ISNA(VLOOKUP(A49&amp;AB49,'Days Exceptions'!$C$3:$I$7,6,FALSE)),ROUND(AC49/MAX(AE49,(AD49*Min_Occ)),2),ROUND(AC49/VLOOKUP(A49&amp;AB49,'Days Exceptions'!$C$3:$I$7,6,FALSE),2))</f>
        <v>13.2</v>
      </c>
      <c r="AG49" s="68">
        <v>0</v>
      </c>
      <c r="AH49" s="68">
        <f t="shared" si="40"/>
        <v>0</v>
      </c>
      <c r="AI49" s="4">
        <v>31474</v>
      </c>
      <c r="AJ49" s="4">
        <v>32046</v>
      </c>
      <c r="AK49" s="68">
        <f>IF(AI49=0,0,IF(ISNA(MATCH(A49,Documentation!$B$66:$B$71,0)),QA_Tax_reg,QA_Tax_5high))</f>
        <v>32.92</v>
      </c>
      <c r="AL49" s="75">
        <f t="shared" si="41"/>
        <v>32.33</v>
      </c>
      <c r="AM49" s="68">
        <f t="shared" si="42"/>
        <v>310</v>
      </c>
      <c r="AN49" s="68">
        <f t="shared" si="43"/>
        <v>247.14</v>
      </c>
      <c r="AO49" s="68">
        <f t="shared" si="44"/>
        <v>184.27</v>
      </c>
      <c r="AP49" s="37" t="s">
        <v>13</v>
      </c>
      <c r="AQ49" s="37" t="s">
        <v>213</v>
      </c>
      <c r="AR49" s="37" t="s">
        <v>1002</v>
      </c>
      <c r="AS49" s="66" t="e">
        <f>VLOOKUP(A49,'CMI Data'!$A$3:$J$209,10,FALSE)</f>
        <v>#DIV/0!</v>
      </c>
      <c r="AT49" s="68">
        <f t="shared" si="3"/>
        <v>179.53</v>
      </c>
      <c r="AU49" s="68" t="e">
        <f t="shared" si="4"/>
        <v>#DIV/0!</v>
      </c>
      <c r="AV49" s="75" t="e">
        <f t="shared" si="45"/>
        <v>#DIV/0!</v>
      </c>
      <c r="AW49" s="68" t="e">
        <f>IF($I49="NA","NA",ROUND(#REF!*$AS49/$I49,2))</f>
        <v>#REF!</v>
      </c>
      <c r="AX49" s="75" t="e">
        <f t="shared" si="46"/>
        <v>#REF!</v>
      </c>
      <c r="AY49" s="68" t="e">
        <f t="shared" si="47"/>
        <v>#REF!</v>
      </c>
      <c r="AZ49" s="4">
        <f t="shared" si="5"/>
        <v>336752</v>
      </c>
      <c r="BA49" s="4">
        <f t="shared" si="6"/>
        <v>33672</v>
      </c>
      <c r="BB49" s="4">
        <f t="shared" si="7"/>
        <v>31564</v>
      </c>
      <c r="BC49" s="142">
        <f>IF(ISNA(VLOOKUP($A49&amp;$AB49,'Days Exceptions'!$C$3:$I$7,6,FALSE)),ROUND(AZ49/MAX(BB49,(BA49*Min_Occ)),2),ROUND(AZ49/VLOOKUP($A49&amp;$AB49,'Days Exceptions'!$C$3:$I$7,6,FALSE),2))</f>
        <v>13.2</v>
      </c>
      <c r="BD49" s="143" t="e">
        <f t="shared" si="8"/>
        <v>#REF!</v>
      </c>
      <c r="BE49" s="143" t="e">
        <f t="shared" si="9"/>
        <v>#REF!</v>
      </c>
      <c r="BF49" s="143">
        <f t="shared" si="10"/>
        <v>180.55</v>
      </c>
      <c r="BG49" s="37" t="s">
        <v>13</v>
      </c>
      <c r="BH49" s="37" t="s">
        <v>213</v>
      </c>
      <c r="BI49" s="37" t="s">
        <v>1206</v>
      </c>
      <c r="BJ49" s="66" t="e">
        <f>VLOOKUP(A49,'CMI Data'!$A$3:$AZ$209,15,FALSE)</f>
        <v>#DIV/0!</v>
      </c>
      <c r="BK49" s="68">
        <f t="shared" si="11"/>
        <v>179.53</v>
      </c>
      <c r="BL49" s="68" t="e">
        <f t="shared" si="12"/>
        <v>#DIV/0!</v>
      </c>
      <c r="BM49" s="75" t="e">
        <f t="shared" si="13"/>
        <v>#DIV/0!</v>
      </c>
      <c r="BN49" s="68" t="e">
        <f>IF($I49="NA","NA",ROUND(#REF!*$BJ49/$I49,2))</f>
        <v>#REF!</v>
      </c>
      <c r="BO49" s="75" t="e">
        <f t="shared" si="14"/>
        <v>#REF!</v>
      </c>
      <c r="BP49" s="68" t="e">
        <f t="shared" si="48"/>
        <v>#REF!</v>
      </c>
      <c r="BQ49" s="4">
        <f t="shared" si="15"/>
        <v>336752</v>
      </c>
      <c r="BR49" s="4">
        <f t="shared" si="16"/>
        <v>33672</v>
      </c>
      <c r="BS49" s="4">
        <f t="shared" si="17"/>
        <v>31564</v>
      </c>
      <c r="BT49" s="142">
        <f>IF(ISNA(VLOOKUP($A49&amp;$AB49,'Days Exceptions'!$C$3:$I$7,6,FALSE)),ROUND(BQ49/MAX(BS49,(BR49*Min_Occ)),2),ROUND(BQ49/VLOOKUP($A49&amp;$AB49,'Days Exceptions'!$C$3:$I$7,6,FALSE),2))</f>
        <v>13.2</v>
      </c>
      <c r="BU49" s="143" t="e">
        <f t="shared" si="18"/>
        <v>#REF!</v>
      </c>
      <c r="BV49" s="143" t="e">
        <f t="shared" si="19"/>
        <v>#REF!</v>
      </c>
      <c r="BW49" s="143">
        <f t="shared" si="20"/>
        <v>180.55</v>
      </c>
      <c r="BX49" s="37" t="s">
        <v>13</v>
      </c>
      <c r="BY49" s="37" t="s">
        <v>213</v>
      </c>
      <c r="BZ49" s="37" t="s">
        <v>1456</v>
      </c>
      <c r="CA49" s="66" t="e">
        <f>VLOOKUP(A49,'CMI Data'!$A$3:$AZ$209,20,FALSE)</f>
        <v>#DIV/0!</v>
      </c>
      <c r="CB49" s="68">
        <f t="shared" si="21"/>
        <v>179.53</v>
      </c>
      <c r="CC49" s="68" t="e">
        <f t="shared" si="22"/>
        <v>#DIV/0!</v>
      </c>
      <c r="CD49" s="75" t="e">
        <f t="shared" si="49"/>
        <v>#DIV/0!</v>
      </c>
      <c r="CE49" s="68" t="e">
        <f>IF($I49="NA","NA",ROUND(#REF!*$CA49/$I49,2))</f>
        <v>#REF!</v>
      </c>
      <c r="CF49" s="75" t="e">
        <f t="shared" si="23"/>
        <v>#REF!</v>
      </c>
      <c r="CG49" s="68" t="e">
        <f t="shared" si="24"/>
        <v>#REF!</v>
      </c>
      <c r="CH49" s="4">
        <v>336752</v>
      </c>
      <c r="CI49" s="4">
        <f t="shared" si="26"/>
        <v>33672</v>
      </c>
      <c r="CJ49" s="4">
        <f t="shared" si="27"/>
        <v>31564</v>
      </c>
      <c r="CK49" s="142">
        <f>IF(ISNA(VLOOKUP($A49&amp;$AB49,'Days Exceptions'!$C$3:$I$7,6,FALSE)),ROUND(CH49/MAX(CJ49,(CI49*Min_Occ)),2),ROUND(CH49/VLOOKUP($A49&amp;$AB49,'Days Exceptions'!$C$3:$I$7,6,FALSE),2))</f>
        <v>13.2</v>
      </c>
      <c r="CL49" s="143" t="e">
        <f t="shared" si="28"/>
        <v>#REF!</v>
      </c>
      <c r="CM49" s="143" t="e">
        <f t="shared" si="29"/>
        <v>#REF!</v>
      </c>
      <c r="CN49" s="143">
        <f t="shared" si="30"/>
        <v>180.55</v>
      </c>
      <c r="CO49" s="37" t="s">
        <v>13</v>
      </c>
      <c r="CP49" s="37" t="s">
        <v>213</v>
      </c>
      <c r="CQ49" s="37" t="s">
        <v>1457</v>
      </c>
    </row>
    <row r="50" spans="1:95" x14ac:dyDescent="0.15">
      <c r="A50" s="130">
        <v>58</v>
      </c>
      <c r="B50" s="37" t="s">
        <v>42</v>
      </c>
      <c r="C50" s="1" t="s">
        <v>148</v>
      </c>
      <c r="D50" s="1" t="s">
        <v>127</v>
      </c>
      <c r="E50" s="1" t="str">
        <f>VLOOKUP(D50,Documentation!$B$4:$D$27,3,FALSE)</f>
        <v>EASTERN REGION</v>
      </c>
      <c r="F50" s="1" t="str">
        <f>VLOOKUP(D50,Documentation!$B$4:$C$27,2,FALSE)</f>
        <v>NON METRO</v>
      </c>
      <c r="G50" s="82">
        <f>VLOOKUP(A50,'2022 CR and CMI'!$A$3:$D$207,3,FALSE)</f>
        <v>44562</v>
      </c>
      <c r="H50" s="82">
        <f>VLOOKUP(A50,'2022 CR and CMI'!$A$3:$D$207,4,FALSE)</f>
        <v>44926</v>
      </c>
      <c r="I50" s="72">
        <f>VLOOKUP(A50,'2022 CR and CMI'!$A$2:$T$210,19,FALSE)</f>
        <v>1.6071</v>
      </c>
      <c r="J50" s="139">
        <f>Inflation!$G$24</f>
        <v>1.0309999999999999</v>
      </c>
      <c r="K50" s="192">
        <f>VLOOKUP(E50,Limits!$B$2:$D$5,3,FALSE)</f>
        <v>186.31</v>
      </c>
      <c r="L50" s="192">
        <f t="shared" si="31"/>
        <v>192.09</v>
      </c>
      <c r="M50" s="140">
        <f>VLOOKUP(A50,'CMI Data'!$A$4:$C$208,3,FALSE)</f>
        <v>1.3250999999999999</v>
      </c>
      <c r="N50" s="68">
        <f t="shared" si="2"/>
        <v>213.91</v>
      </c>
      <c r="O50" s="68">
        <f t="shared" si="32"/>
        <v>176.37</v>
      </c>
      <c r="P50" s="75">
        <f t="shared" si="33"/>
        <v>167.55</v>
      </c>
      <c r="Q50" s="75">
        <v>150.38</v>
      </c>
      <c r="R50" s="75">
        <f t="shared" si="34"/>
        <v>155.04</v>
      </c>
      <c r="S50" s="68">
        <f t="shared" si="35"/>
        <v>127.83</v>
      </c>
      <c r="T50" s="75">
        <f t="shared" si="36"/>
        <v>-39.72</v>
      </c>
      <c r="U50" s="68">
        <f t="shared" si="37"/>
        <v>136.65</v>
      </c>
      <c r="V50" s="68">
        <f>VLOOKUP($F50,Limits!$J$2:$L$5,3,FALSE)</f>
        <v>20.239999999999998</v>
      </c>
      <c r="W50" s="68">
        <f t="shared" si="38"/>
        <v>20.87</v>
      </c>
      <c r="X50" s="68">
        <f>VLOOKUP($F50,Limits!$R$2:$T$5,3,FALSE)</f>
        <v>89.55</v>
      </c>
      <c r="Y50" s="68">
        <f t="shared" si="39"/>
        <v>92.33</v>
      </c>
      <c r="Z50" s="75">
        <f>VLOOKUP(A50,FRV!$A$4:$U$208,21,FALSE)</f>
        <v>44.29</v>
      </c>
      <c r="AA50" s="141">
        <f>VLOOKUP(A50,'RE Tax'!$A$2:$G$206,3,FALSE)</f>
        <v>45292</v>
      </c>
      <c r="AB50" s="141">
        <f>VLOOKUP(A50,'RE Tax'!$A$2:$G$206,4,FALSE)</f>
        <v>45657</v>
      </c>
      <c r="AC50" s="4">
        <f>VLOOKUP(A50,'RE Tax'!$A$2:$G$206,7,FALSE)</f>
        <v>214114</v>
      </c>
      <c r="AD50" s="4">
        <f>VLOOKUP($A50,'RE Tax'!$A$2:$I$206,9,FALSE)</f>
        <v>57462</v>
      </c>
      <c r="AE50" s="4">
        <f>VLOOKUP($A50,'RE Tax'!$A$2:$I$206,8,FALSE)</f>
        <v>32276</v>
      </c>
      <c r="AF50" s="142">
        <f>IF(ISNA(VLOOKUP(A50&amp;AB50,'Days Exceptions'!$C$3:$I$7,6,FALSE)),ROUND(AC50/MAX(AE50,(AD50*Min_Occ)),2),ROUND(AC50/VLOOKUP(A50&amp;AB50,'Days Exceptions'!$C$3:$I$7,6,FALSE),2))</f>
        <v>4.57</v>
      </c>
      <c r="AG50" s="68">
        <v>0</v>
      </c>
      <c r="AH50" s="68">
        <f t="shared" si="40"/>
        <v>0</v>
      </c>
      <c r="AI50" s="4">
        <v>26034</v>
      </c>
      <c r="AJ50" s="4">
        <v>32276</v>
      </c>
      <c r="AK50" s="68">
        <f>IF(AI50=0,0,IF(ISNA(MATCH(A50,Documentation!$B$66:$B$71,0)),QA_Tax_reg,QA_Tax_5high))</f>
        <v>32.92</v>
      </c>
      <c r="AL50" s="75">
        <f t="shared" si="41"/>
        <v>26.55</v>
      </c>
      <c r="AM50" s="68">
        <f t="shared" si="42"/>
        <v>298.70999999999998</v>
      </c>
      <c r="AN50" s="68">
        <f t="shared" si="43"/>
        <v>230.39</v>
      </c>
      <c r="AO50" s="68">
        <f t="shared" si="44"/>
        <v>162.06</v>
      </c>
      <c r="AP50" s="37" t="s">
        <v>372</v>
      </c>
      <c r="AQ50" s="37" t="s">
        <v>42</v>
      </c>
      <c r="AR50" s="37" t="s">
        <v>1003</v>
      </c>
      <c r="AS50" s="66" t="e">
        <f>VLOOKUP(A50,'CMI Data'!$A$3:$J$209,10,FALSE)</f>
        <v>#DIV/0!</v>
      </c>
      <c r="AT50" s="68">
        <f t="shared" si="3"/>
        <v>207.47</v>
      </c>
      <c r="AU50" s="68" t="e">
        <f t="shared" si="4"/>
        <v>#DIV/0!</v>
      </c>
      <c r="AV50" s="75" t="e">
        <f t="shared" si="45"/>
        <v>#DIV/0!</v>
      </c>
      <c r="AW50" s="68" t="e">
        <f>IF($I50="NA","NA",ROUND(#REF!*$AS50/$I50,2))</f>
        <v>#REF!</v>
      </c>
      <c r="AX50" s="75" t="e">
        <f t="shared" si="46"/>
        <v>#REF!</v>
      </c>
      <c r="AY50" s="68" t="e">
        <f t="shared" si="47"/>
        <v>#REF!</v>
      </c>
      <c r="AZ50" s="4">
        <f t="shared" si="5"/>
        <v>214114</v>
      </c>
      <c r="BA50" s="4">
        <f t="shared" si="6"/>
        <v>57462</v>
      </c>
      <c r="BB50" s="4">
        <f t="shared" si="7"/>
        <v>32276</v>
      </c>
      <c r="BC50" s="142">
        <f>IF(ISNA(VLOOKUP($A50&amp;$AB50,'Days Exceptions'!$C$3:$I$7,6,FALSE)),ROUND(AZ50/MAX(BB50,(BA50*Min_Occ)),2),ROUND(AZ50/VLOOKUP($A50&amp;$AB50,'Days Exceptions'!$C$3:$I$7,6,FALSE),2))</f>
        <v>4.57</v>
      </c>
      <c r="BD50" s="143" t="e">
        <f t="shared" si="8"/>
        <v>#REF!</v>
      </c>
      <c r="BE50" s="143" t="e">
        <f t="shared" si="9"/>
        <v>#REF!</v>
      </c>
      <c r="BF50" s="143">
        <f t="shared" si="10"/>
        <v>158.65</v>
      </c>
      <c r="BG50" s="37" t="s">
        <v>372</v>
      </c>
      <c r="BH50" s="37" t="s">
        <v>42</v>
      </c>
      <c r="BI50" s="37" t="s">
        <v>1207</v>
      </c>
      <c r="BJ50" s="66" t="e">
        <f>VLOOKUP(A50,'CMI Data'!$A$3:$AZ$209,15,FALSE)</f>
        <v>#DIV/0!</v>
      </c>
      <c r="BK50" s="68">
        <f t="shared" si="11"/>
        <v>207.47</v>
      </c>
      <c r="BL50" s="68" t="e">
        <f t="shared" si="12"/>
        <v>#DIV/0!</v>
      </c>
      <c r="BM50" s="75" t="e">
        <f t="shared" si="13"/>
        <v>#DIV/0!</v>
      </c>
      <c r="BN50" s="68" t="e">
        <f>IF($I50="NA","NA",ROUND(#REF!*$BJ50/$I50,2))</f>
        <v>#REF!</v>
      </c>
      <c r="BO50" s="75" t="e">
        <f t="shared" si="14"/>
        <v>#REF!</v>
      </c>
      <c r="BP50" s="68" t="e">
        <f t="shared" si="48"/>
        <v>#REF!</v>
      </c>
      <c r="BQ50" s="4">
        <f t="shared" si="15"/>
        <v>214114</v>
      </c>
      <c r="BR50" s="4">
        <f t="shared" si="16"/>
        <v>57462</v>
      </c>
      <c r="BS50" s="4">
        <f t="shared" si="17"/>
        <v>32276</v>
      </c>
      <c r="BT50" s="142">
        <f>IF(ISNA(VLOOKUP($A50&amp;$AB50,'Days Exceptions'!$C$3:$I$7,6,FALSE)),ROUND(BQ50/MAX(BS50,(BR50*Min_Occ)),2),ROUND(BQ50/VLOOKUP($A50&amp;$AB50,'Days Exceptions'!$C$3:$I$7,6,FALSE),2))</f>
        <v>4.57</v>
      </c>
      <c r="BU50" s="143" t="e">
        <f t="shared" si="18"/>
        <v>#REF!</v>
      </c>
      <c r="BV50" s="143" t="e">
        <f t="shared" si="19"/>
        <v>#REF!</v>
      </c>
      <c r="BW50" s="143">
        <f t="shared" si="20"/>
        <v>158.65</v>
      </c>
      <c r="BX50" s="37" t="s">
        <v>372</v>
      </c>
      <c r="BY50" s="37" t="s">
        <v>42</v>
      </c>
      <c r="BZ50" s="37" t="s">
        <v>1458</v>
      </c>
      <c r="CA50" s="66" t="e">
        <f>VLOOKUP(A50,'CMI Data'!$A$3:$AZ$209,20,FALSE)</f>
        <v>#DIV/0!</v>
      </c>
      <c r="CB50" s="68">
        <f t="shared" si="21"/>
        <v>207.47</v>
      </c>
      <c r="CC50" s="68" t="e">
        <f t="shared" si="22"/>
        <v>#DIV/0!</v>
      </c>
      <c r="CD50" s="75" t="e">
        <f t="shared" si="49"/>
        <v>#DIV/0!</v>
      </c>
      <c r="CE50" s="68" t="e">
        <f>IF($I50="NA","NA",ROUND(#REF!*$CA50/$I50,2))</f>
        <v>#REF!</v>
      </c>
      <c r="CF50" s="75" t="e">
        <f t="shared" si="23"/>
        <v>#REF!</v>
      </c>
      <c r="CG50" s="68" t="e">
        <f t="shared" si="24"/>
        <v>#REF!</v>
      </c>
      <c r="CH50" s="4">
        <f t="shared" si="25"/>
        <v>214114</v>
      </c>
      <c r="CI50" s="4">
        <f t="shared" si="26"/>
        <v>57462</v>
      </c>
      <c r="CJ50" s="4">
        <f t="shared" si="27"/>
        <v>32276</v>
      </c>
      <c r="CK50" s="142">
        <f>IF(ISNA(VLOOKUP($A50&amp;$AB50,'Days Exceptions'!$C$3:$I$7,6,FALSE)),ROUND(CH50/MAX(CJ50,(CI50*Min_Occ)),2),ROUND(CH50/VLOOKUP($A50&amp;$AB50,'Days Exceptions'!$C$3:$I$7,6,FALSE),2))</f>
        <v>4.57</v>
      </c>
      <c r="CL50" s="143" t="e">
        <f t="shared" si="28"/>
        <v>#REF!</v>
      </c>
      <c r="CM50" s="143" t="e">
        <f t="shared" si="29"/>
        <v>#REF!</v>
      </c>
      <c r="CN50" s="143">
        <f t="shared" si="30"/>
        <v>158.65</v>
      </c>
      <c r="CO50" s="37" t="s">
        <v>372</v>
      </c>
      <c r="CP50" s="37" t="s">
        <v>42</v>
      </c>
      <c r="CQ50" s="37" t="s">
        <v>1459</v>
      </c>
    </row>
    <row r="51" spans="1:95" x14ac:dyDescent="0.15">
      <c r="A51" s="130">
        <v>699</v>
      </c>
      <c r="B51" s="37" t="s">
        <v>239</v>
      </c>
      <c r="C51" s="1" t="s">
        <v>148</v>
      </c>
      <c r="D51" s="1" t="s">
        <v>102</v>
      </c>
      <c r="E51" s="1" t="str">
        <f>VLOOKUP(D51,Documentation!$B$4:$D$27,3,FALSE)</f>
        <v>BALTIMORE METRO</v>
      </c>
      <c r="F51" s="1" t="str">
        <f>VLOOKUP(D51,Documentation!$B$4:$C$27,2,FALSE)</f>
        <v>BALTIMORE CITY</v>
      </c>
      <c r="G51" s="82">
        <f>VLOOKUP(A51,'2022 CR and CMI'!$A$3:$D$207,3,FALSE)</f>
        <v>44378</v>
      </c>
      <c r="H51" s="82">
        <f>VLOOKUP(A51,'2022 CR and CMI'!$A$3:$D$207,4,FALSE)</f>
        <v>44742</v>
      </c>
      <c r="I51" s="72">
        <f>VLOOKUP(A51,'2022 CR and CMI'!$A$2:$T$210,19,FALSE)</f>
        <v>1.2271000000000001</v>
      </c>
      <c r="J51" s="139">
        <f>Inflation!$G$24</f>
        <v>1.0309999999999999</v>
      </c>
      <c r="K51" s="192">
        <f>VLOOKUP(E51,Limits!$B$2:$D$5,3,FALSE)</f>
        <v>195.33</v>
      </c>
      <c r="L51" s="192">
        <f t="shared" si="31"/>
        <v>201.39</v>
      </c>
      <c r="M51" s="140">
        <f>VLOOKUP(A51,'CMI Data'!$A$4:$C$208,3,FALSE)</f>
        <v>1.3071999999999999</v>
      </c>
      <c r="N51" s="68">
        <f t="shared" si="2"/>
        <v>171.23</v>
      </c>
      <c r="O51" s="68">
        <f t="shared" si="32"/>
        <v>182.41</v>
      </c>
      <c r="P51" s="75">
        <f t="shared" si="33"/>
        <v>173.29</v>
      </c>
      <c r="Q51" s="75">
        <v>142.25</v>
      </c>
      <c r="R51" s="75">
        <f t="shared" si="34"/>
        <v>146.66</v>
      </c>
      <c r="S51" s="68">
        <f t="shared" si="35"/>
        <v>156.22999999999999</v>
      </c>
      <c r="T51" s="75">
        <f t="shared" si="36"/>
        <v>-17.059999999999999</v>
      </c>
      <c r="U51" s="68">
        <f t="shared" si="37"/>
        <v>165.35</v>
      </c>
      <c r="V51" s="68">
        <f>VLOOKUP($F51,Limits!$J$2:$L$5,3,FALSE)</f>
        <v>24.89</v>
      </c>
      <c r="W51" s="68">
        <f t="shared" si="38"/>
        <v>25.66</v>
      </c>
      <c r="X51" s="68">
        <f>VLOOKUP($F51,Limits!$R$2:$T$5,3,FALSE)</f>
        <v>114.15</v>
      </c>
      <c r="Y51" s="68">
        <f t="shared" si="39"/>
        <v>117.69</v>
      </c>
      <c r="Z51" s="75">
        <f>VLOOKUP(A51,FRV!$A$4:$U$208,21,FALSE)</f>
        <v>27.91</v>
      </c>
      <c r="AA51" s="141">
        <f>VLOOKUP(A51,'RE Tax'!$A$2:$G$206,3,FALSE)</f>
        <v>45108</v>
      </c>
      <c r="AB51" s="141">
        <f>VLOOKUP(A51,'RE Tax'!$A$2:$G$206,4,FALSE)</f>
        <v>45473</v>
      </c>
      <c r="AC51" s="4">
        <f>VLOOKUP(A51,'RE Tax'!$A$2:$G$206,7,FALSE)</f>
        <v>266009</v>
      </c>
      <c r="AD51" s="4">
        <f>VLOOKUP($A51,'RE Tax'!$A$2:$I$206,9,FALSE)</f>
        <v>49410</v>
      </c>
      <c r="AE51" s="4">
        <f>VLOOKUP($A51,'RE Tax'!$A$2:$I$206,8,FALSE)</f>
        <v>44588</v>
      </c>
      <c r="AF51" s="142">
        <f>IF(ISNA(VLOOKUP(A51&amp;AB51,'Days Exceptions'!$C$3:$I$7,6,FALSE)),ROUND(AC51/MAX(AE51,(AD51*Min_Occ)),2),ROUND(AC51/VLOOKUP(A51&amp;AB51,'Days Exceptions'!$C$3:$I$7,6,FALSE),2))</f>
        <v>5.97</v>
      </c>
      <c r="AG51" s="68">
        <v>0</v>
      </c>
      <c r="AH51" s="68">
        <f t="shared" si="40"/>
        <v>0</v>
      </c>
      <c r="AI51" s="4">
        <v>44247</v>
      </c>
      <c r="AJ51" s="4">
        <v>45410</v>
      </c>
      <c r="AK51" s="68">
        <f>IF(AI51=0,0,IF(ISNA(MATCH(A51,Documentation!$B$66:$B$71,0)),QA_Tax_reg,QA_Tax_5high))</f>
        <v>32.92</v>
      </c>
      <c r="AL51" s="75">
        <f t="shared" si="41"/>
        <v>32.08</v>
      </c>
      <c r="AM51" s="68">
        <f t="shared" si="42"/>
        <v>342.58</v>
      </c>
      <c r="AN51" s="68">
        <f t="shared" si="43"/>
        <v>259.91000000000003</v>
      </c>
      <c r="AO51" s="68">
        <f t="shared" si="44"/>
        <v>177.23</v>
      </c>
      <c r="AP51" s="37" t="s">
        <v>135</v>
      </c>
      <c r="AQ51" s="37" t="s">
        <v>239</v>
      </c>
      <c r="AR51" s="37" t="s">
        <v>1004</v>
      </c>
      <c r="AS51" s="66" t="e">
        <f>VLOOKUP(A51,'CMI Data'!$A$3:$J$209,10,FALSE)</f>
        <v>#DIV/0!</v>
      </c>
      <c r="AT51" s="68">
        <f t="shared" si="3"/>
        <v>166.08</v>
      </c>
      <c r="AU51" s="68" t="e">
        <f t="shared" si="4"/>
        <v>#DIV/0!</v>
      </c>
      <c r="AV51" s="75" t="e">
        <f t="shared" si="45"/>
        <v>#DIV/0!</v>
      </c>
      <c r="AW51" s="68" t="e">
        <f>IF($I51="NA","NA",ROUND(#REF!*$AS51/$I51,2))</f>
        <v>#REF!</v>
      </c>
      <c r="AX51" s="75" t="e">
        <f t="shared" si="46"/>
        <v>#REF!</v>
      </c>
      <c r="AY51" s="68" t="e">
        <f t="shared" si="47"/>
        <v>#REF!</v>
      </c>
      <c r="AZ51" s="4">
        <f t="shared" si="5"/>
        <v>266009</v>
      </c>
      <c r="BA51" s="4">
        <f t="shared" si="6"/>
        <v>49410</v>
      </c>
      <c r="BB51" s="4">
        <f t="shared" si="7"/>
        <v>44588</v>
      </c>
      <c r="BC51" s="142">
        <f>IF(ISNA(VLOOKUP($A51&amp;$AB51,'Days Exceptions'!$C$3:$I$7,6,FALSE)),ROUND(AZ51/MAX(BB51,(BA51*Min_Occ)),2),ROUND(AZ51/VLOOKUP($A51&amp;$AB51,'Days Exceptions'!$C$3:$I$7,6,FALSE),2))</f>
        <v>5.97</v>
      </c>
      <c r="BD51" s="143" t="e">
        <f t="shared" si="8"/>
        <v>#REF!</v>
      </c>
      <c r="BE51" s="143" t="e">
        <f t="shared" si="9"/>
        <v>#REF!</v>
      </c>
      <c r="BF51" s="143">
        <f t="shared" si="10"/>
        <v>172.92</v>
      </c>
      <c r="BG51" s="37" t="s">
        <v>135</v>
      </c>
      <c r="BH51" s="37" t="s">
        <v>239</v>
      </c>
      <c r="BI51" s="37" t="s">
        <v>1208</v>
      </c>
      <c r="BJ51" s="66" t="e">
        <f>VLOOKUP(A51,'CMI Data'!$A$3:$AZ$209,15,FALSE)</f>
        <v>#DIV/0!</v>
      </c>
      <c r="BK51" s="68">
        <f t="shared" si="11"/>
        <v>166.08</v>
      </c>
      <c r="BL51" s="68" t="e">
        <f t="shared" si="12"/>
        <v>#DIV/0!</v>
      </c>
      <c r="BM51" s="75" t="e">
        <f t="shared" si="13"/>
        <v>#DIV/0!</v>
      </c>
      <c r="BN51" s="68" t="e">
        <f>IF($I51="NA","NA",ROUND(#REF!*$BJ51/$I51,2))</f>
        <v>#REF!</v>
      </c>
      <c r="BO51" s="75" t="e">
        <f t="shared" si="14"/>
        <v>#REF!</v>
      </c>
      <c r="BP51" s="68" t="e">
        <f t="shared" si="48"/>
        <v>#REF!</v>
      </c>
      <c r="BQ51" s="4">
        <f t="shared" si="15"/>
        <v>266009</v>
      </c>
      <c r="BR51" s="4">
        <f t="shared" si="16"/>
        <v>49410</v>
      </c>
      <c r="BS51" s="4">
        <f t="shared" si="17"/>
        <v>44588</v>
      </c>
      <c r="BT51" s="142">
        <f>IF(ISNA(VLOOKUP($A51&amp;$AB51,'Days Exceptions'!$C$3:$I$7,6,FALSE)),ROUND(BQ51/MAX(BS51,(BR51*Min_Occ)),2),ROUND(BQ51/VLOOKUP($A51&amp;$AB51,'Days Exceptions'!$C$3:$I$7,6,FALSE),2))</f>
        <v>5.97</v>
      </c>
      <c r="BU51" s="143" t="e">
        <f t="shared" si="18"/>
        <v>#REF!</v>
      </c>
      <c r="BV51" s="143" t="e">
        <f t="shared" si="19"/>
        <v>#REF!</v>
      </c>
      <c r="BW51" s="143">
        <f t="shared" si="20"/>
        <v>172.92</v>
      </c>
      <c r="BX51" s="37" t="s">
        <v>135</v>
      </c>
      <c r="BY51" s="37" t="s">
        <v>239</v>
      </c>
      <c r="BZ51" s="37" t="s">
        <v>1460</v>
      </c>
      <c r="CA51" s="66" t="e">
        <f>VLOOKUP(A51,'CMI Data'!$A$3:$AZ$209,20,FALSE)</f>
        <v>#DIV/0!</v>
      </c>
      <c r="CB51" s="68">
        <f t="shared" si="21"/>
        <v>166.08</v>
      </c>
      <c r="CC51" s="68" t="e">
        <f t="shared" si="22"/>
        <v>#DIV/0!</v>
      </c>
      <c r="CD51" s="75" t="e">
        <f t="shared" si="49"/>
        <v>#DIV/0!</v>
      </c>
      <c r="CE51" s="68" t="e">
        <f>IF($I51="NA","NA",ROUND(#REF!*$CA51/$I51,2))</f>
        <v>#REF!</v>
      </c>
      <c r="CF51" s="75" t="e">
        <f t="shared" si="23"/>
        <v>#REF!</v>
      </c>
      <c r="CG51" s="68" t="e">
        <f t="shared" si="24"/>
        <v>#REF!</v>
      </c>
      <c r="CH51" s="4">
        <f t="shared" si="25"/>
        <v>266009</v>
      </c>
      <c r="CI51" s="4">
        <f t="shared" si="26"/>
        <v>49410</v>
      </c>
      <c r="CJ51" s="4">
        <f t="shared" si="27"/>
        <v>44588</v>
      </c>
      <c r="CK51" s="142">
        <f>IF(ISNA(VLOOKUP($A51&amp;$AB51,'Days Exceptions'!$C$3:$I$7,6,FALSE)),ROUND(CH51/MAX(CJ51,(CI51*Min_Occ)),2),ROUND(CH51/VLOOKUP($A51&amp;$AB51,'Days Exceptions'!$C$3:$I$7,6,FALSE),2))</f>
        <v>5.97</v>
      </c>
      <c r="CL51" s="143" t="e">
        <f t="shared" si="28"/>
        <v>#REF!</v>
      </c>
      <c r="CM51" s="143" t="e">
        <f t="shared" si="29"/>
        <v>#REF!</v>
      </c>
      <c r="CN51" s="143">
        <f t="shared" si="30"/>
        <v>172.92</v>
      </c>
      <c r="CO51" s="37" t="s">
        <v>135</v>
      </c>
      <c r="CP51" s="37" t="s">
        <v>239</v>
      </c>
      <c r="CQ51" s="37" t="s">
        <v>1461</v>
      </c>
    </row>
    <row r="52" spans="1:95" x14ac:dyDescent="0.15">
      <c r="A52" s="130">
        <v>74</v>
      </c>
      <c r="B52" s="37" t="s">
        <v>205</v>
      </c>
      <c r="C52" s="1" t="s">
        <v>148</v>
      </c>
      <c r="D52" s="1" t="s">
        <v>119</v>
      </c>
      <c r="E52" s="1" t="str">
        <f>VLOOKUP(D52,Documentation!$B$4:$D$27,3,FALSE)</f>
        <v>WASHINGTON METRO</v>
      </c>
      <c r="F52" s="1" t="str">
        <f>VLOOKUP(D52,Documentation!$B$4:$C$27,2,FALSE)</f>
        <v>WASHINGTON METRO</v>
      </c>
      <c r="G52" s="82">
        <f>VLOOKUP(A52,'2022 CR and CMI'!$A$3:$D$207,3,FALSE)</f>
        <v>44378</v>
      </c>
      <c r="H52" s="82">
        <f>VLOOKUP(A52,'2022 CR and CMI'!$A$3:$D$207,4,FALSE)</f>
        <v>44742</v>
      </c>
      <c r="I52" s="72">
        <f>VLOOKUP(A52,'2022 CR and CMI'!$A$2:$T$210,19,FALSE)</f>
        <v>1.4796</v>
      </c>
      <c r="J52" s="139">
        <f>Inflation!$G$24</f>
        <v>1.0309999999999999</v>
      </c>
      <c r="K52" s="192">
        <f>VLOOKUP(E52,Limits!$B$2:$D$5,3,FALSE)</f>
        <v>176.01</v>
      </c>
      <c r="L52" s="192">
        <f t="shared" si="31"/>
        <v>181.47</v>
      </c>
      <c r="M52" s="140">
        <f>VLOOKUP(A52,'CMI Data'!$A$4:$C$208,3,FALSE)</f>
        <v>1.5579000000000001</v>
      </c>
      <c r="N52" s="68">
        <f t="shared" si="2"/>
        <v>186.05</v>
      </c>
      <c r="O52" s="68">
        <f t="shared" si="32"/>
        <v>195.9</v>
      </c>
      <c r="P52" s="75">
        <f t="shared" si="33"/>
        <v>186.11</v>
      </c>
      <c r="Q52" s="75">
        <v>207.93</v>
      </c>
      <c r="R52" s="75">
        <f t="shared" si="34"/>
        <v>214.38</v>
      </c>
      <c r="S52" s="68">
        <f t="shared" si="35"/>
        <v>225.72</v>
      </c>
      <c r="T52" s="75">
        <f t="shared" si="36"/>
        <v>0</v>
      </c>
      <c r="U52" s="68">
        <f t="shared" si="37"/>
        <v>195.9</v>
      </c>
      <c r="V52" s="68">
        <f>VLOOKUP($F52,Limits!$J$2:$L$5,3,FALSE)</f>
        <v>19.23</v>
      </c>
      <c r="W52" s="68">
        <f t="shared" si="38"/>
        <v>19.829999999999998</v>
      </c>
      <c r="X52" s="68">
        <f>VLOOKUP($F52,Limits!$R$2:$T$5,3,FALSE)</f>
        <v>100.61</v>
      </c>
      <c r="Y52" s="68">
        <f t="shared" si="39"/>
        <v>103.73</v>
      </c>
      <c r="Z52" s="75">
        <f>VLOOKUP(A52,FRV!$A$4:$U$208,21,FALSE)</f>
        <v>42.03</v>
      </c>
      <c r="AA52" s="141">
        <f>VLOOKUP(A52,'RE Tax'!$A$2:$G$206,3,FALSE)</f>
        <v>45108</v>
      </c>
      <c r="AB52" s="141">
        <f>VLOOKUP(A52,'RE Tax'!$A$2:$G$206,4,FALSE)</f>
        <v>45473</v>
      </c>
      <c r="AC52" s="4">
        <f>VLOOKUP(A52,'RE Tax'!$A$2:$G$206,7,FALSE)</f>
        <v>13378</v>
      </c>
      <c r="AD52" s="4">
        <f>VLOOKUP($A52,'RE Tax'!$A$2:$I$206,9,FALSE)</f>
        <v>69540</v>
      </c>
      <c r="AE52" s="4">
        <f>VLOOKUP($A52,'RE Tax'!$A$2:$I$206,8,FALSE)</f>
        <v>60578</v>
      </c>
      <c r="AF52" s="142">
        <f>IF(ISNA(VLOOKUP(A52&amp;AB52,'Days Exceptions'!$C$3:$I$7,6,FALSE)),ROUND(AC52/MAX(AE52,(AD52*Min_Occ)),2),ROUND(AC52/VLOOKUP(A52&amp;AB52,'Days Exceptions'!$C$3:$I$7,6,FALSE),2))</f>
        <v>0.22</v>
      </c>
      <c r="AG52" s="68">
        <v>0</v>
      </c>
      <c r="AH52" s="68">
        <f t="shared" si="40"/>
        <v>0</v>
      </c>
      <c r="AI52" s="4">
        <v>0</v>
      </c>
      <c r="AJ52" s="4">
        <v>0</v>
      </c>
      <c r="AK52" s="68">
        <f>IF(AI52=0,0,IF(ISNA(MATCH(A52,Documentation!$B$66:$B$71,0)),QA_Tax_reg,QA_Tax_5high))</f>
        <v>0</v>
      </c>
      <c r="AL52" s="75">
        <f t="shared" si="41"/>
        <v>0</v>
      </c>
      <c r="AM52" s="68">
        <f t="shared" si="42"/>
        <v>361.71</v>
      </c>
      <c r="AN52" s="68">
        <f t="shared" si="43"/>
        <v>263.76</v>
      </c>
      <c r="AO52" s="68">
        <f t="shared" si="44"/>
        <v>165.81</v>
      </c>
      <c r="AP52" s="37" t="s">
        <v>81</v>
      </c>
      <c r="AQ52" s="37" t="s">
        <v>205</v>
      </c>
      <c r="AR52" s="37" t="s">
        <v>1005</v>
      </c>
      <c r="AS52" s="66" t="e">
        <f>VLOOKUP(A52,'CMI Data'!$A$3:$J$209,10,FALSE)</f>
        <v>#DIV/0!</v>
      </c>
      <c r="AT52" s="68">
        <f t="shared" si="3"/>
        <v>180.45</v>
      </c>
      <c r="AU52" s="68" t="e">
        <f t="shared" si="4"/>
        <v>#DIV/0!</v>
      </c>
      <c r="AV52" s="75" t="e">
        <f t="shared" si="45"/>
        <v>#DIV/0!</v>
      </c>
      <c r="AW52" s="68" t="e">
        <f>IF($I52="NA","NA",ROUND(#REF!*$AS52/$I52,2))</f>
        <v>#REF!</v>
      </c>
      <c r="AX52" s="75" t="e">
        <f t="shared" si="46"/>
        <v>#REF!</v>
      </c>
      <c r="AY52" s="68" t="e">
        <f t="shared" si="47"/>
        <v>#REF!</v>
      </c>
      <c r="AZ52" s="4">
        <f t="shared" si="5"/>
        <v>13378</v>
      </c>
      <c r="BA52" s="4">
        <f t="shared" si="6"/>
        <v>69540</v>
      </c>
      <c r="BB52" s="4">
        <f t="shared" si="7"/>
        <v>60578</v>
      </c>
      <c r="BC52" s="142">
        <f>IF(ISNA(VLOOKUP($A52&amp;$AB52,'Days Exceptions'!$C$3:$I$7,6,FALSE)),ROUND(AZ52/MAX(BB52,(BA52*Min_Occ)),2),ROUND(AZ52/VLOOKUP($A52&amp;$AB52,'Days Exceptions'!$C$3:$I$7,6,FALSE),2))</f>
        <v>0.22</v>
      </c>
      <c r="BD52" s="143" t="e">
        <f t="shared" si="8"/>
        <v>#REF!</v>
      </c>
      <c r="BE52" s="143" t="e">
        <f t="shared" si="9"/>
        <v>#REF!</v>
      </c>
      <c r="BF52" s="143">
        <f t="shared" si="10"/>
        <v>162.09</v>
      </c>
      <c r="BG52" s="37" t="s">
        <v>81</v>
      </c>
      <c r="BH52" s="37" t="s">
        <v>205</v>
      </c>
      <c r="BI52" s="37" t="s">
        <v>1209</v>
      </c>
      <c r="BJ52" s="66" t="e">
        <f>VLOOKUP(A52,'CMI Data'!$A$3:$AZ$209,15,FALSE)</f>
        <v>#DIV/0!</v>
      </c>
      <c r="BK52" s="68">
        <f t="shared" si="11"/>
        <v>180.45</v>
      </c>
      <c r="BL52" s="68" t="e">
        <f t="shared" si="12"/>
        <v>#DIV/0!</v>
      </c>
      <c r="BM52" s="75" t="e">
        <f t="shared" si="13"/>
        <v>#DIV/0!</v>
      </c>
      <c r="BN52" s="68" t="e">
        <f>IF($I52="NA","NA",ROUND(#REF!*$BJ52/$I52,2))</f>
        <v>#REF!</v>
      </c>
      <c r="BO52" s="75" t="e">
        <f t="shared" si="14"/>
        <v>#REF!</v>
      </c>
      <c r="BP52" s="68" t="e">
        <f t="shared" si="48"/>
        <v>#REF!</v>
      </c>
      <c r="BQ52" s="4">
        <f t="shared" si="15"/>
        <v>13378</v>
      </c>
      <c r="BR52" s="4">
        <f t="shared" si="16"/>
        <v>69540</v>
      </c>
      <c r="BS52" s="4">
        <f t="shared" si="17"/>
        <v>60578</v>
      </c>
      <c r="BT52" s="142">
        <f>IF(ISNA(VLOOKUP($A52&amp;$AB52,'Days Exceptions'!$C$3:$I$7,6,FALSE)),ROUND(BQ52/MAX(BS52,(BR52*Min_Occ)),2),ROUND(BQ52/VLOOKUP($A52&amp;$AB52,'Days Exceptions'!$C$3:$I$7,6,FALSE),2))</f>
        <v>0.22</v>
      </c>
      <c r="BU52" s="143" t="e">
        <f t="shared" si="18"/>
        <v>#REF!</v>
      </c>
      <c r="BV52" s="143" t="e">
        <f t="shared" si="19"/>
        <v>#REF!</v>
      </c>
      <c r="BW52" s="143">
        <f t="shared" si="20"/>
        <v>162.09</v>
      </c>
      <c r="BX52" s="37" t="s">
        <v>81</v>
      </c>
      <c r="BY52" s="37" t="s">
        <v>205</v>
      </c>
      <c r="BZ52" s="37" t="s">
        <v>1462</v>
      </c>
      <c r="CA52" s="66" t="e">
        <f>VLOOKUP(A52,'CMI Data'!$A$3:$AZ$209,20,FALSE)</f>
        <v>#DIV/0!</v>
      </c>
      <c r="CB52" s="68">
        <f t="shared" si="21"/>
        <v>180.45</v>
      </c>
      <c r="CC52" s="68" t="e">
        <f t="shared" si="22"/>
        <v>#DIV/0!</v>
      </c>
      <c r="CD52" s="75" t="e">
        <f t="shared" si="49"/>
        <v>#DIV/0!</v>
      </c>
      <c r="CE52" s="68" t="e">
        <f>IF($I52="NA","NA",ROUND(#REF!*$CA52/$I52,2))</f>
        <v>#REF!</v>
      </c>
      <c r="CF52" s="75" t="e">
        <f t="shared" si="23"/>
        <v>#REF!</v>
      </c>
      <c r="CG52" s="68" t="e">
        <f t="shared" si="24"/>
        <v>#REF!</v>
      </c>
      <c r="CH52" s="4">
        <f t="shared" si="25"/>
        <v>13378</v>
      </c>
      <c r="CI52" s="4">
        <f t="shared" si="26"/>
        <v>69540</v>
      </c>
      <c r="CJ52" s="4">
        <f t="shared" si="27"/>
        <v>60578</v>
      </c>
      <c r="CK52" s="142">
        <f>IF(ISNA(VLOOKUP($A52&amp;$AB52,'Days Exceptions'!$C$3:$I$7,6,FALSE)),ROUND(CH52/MAX(CJ52,(CI52*Min_Occ)),2),ROUND(CH52/VLOOKUP($A52&amp;$AB52,'Days Exceptions'!$C$3:$I$7,6,FALSE),2))</f>
        <v>0.22</v>
      </c>
      <c r="CL52" s="143" t="e">
        <f t="shared" si="28"/>
        <v>#REF!</v>
      </c>
      <c r="CM52" s="143" t="e">
        <f t="shared" si="29"/>
        <v>#REF!</v>
      </c>
      <c r="CN52" s="143">
        <f t="shared" si="30"/>
        <v>162.09</v>
      </c>
      <c r="CO52" s="37" t="s">
        <v>81</v>
      </c>
      <c r="CP52" s="37" t="s">
        <v>205</v>
      </c>
      <c r="CQ52" s="37" t="s">
        <v>1463</v>
      </c>
    </row>
    <row r="53" spans="1:95" x14ac:dyDescent="0.15">
      <c r="A53" s="130">
        <v>785</v>
      </c>
      <c r="B53" s="37" t="s">
        <v>504</v>
      </c>
      <c r="C53" s="1" t="s">
        <v>148</v>
      </c>
      <c r="D53" s="1" t="s">
        <v>114</v>
      </c>
      <c r="E53" s="1" t="str">
        <f>VLOOKUP(D53,Documentation!$B$4:$D$27,3,FALSE)</f>
        <v>WASHINGTON METRO</v>
      </c>
      <c r="F53" s="1" t="str">
        <f>VLOOKUP(D53,Documentation!$B$4:$C$27,2,FALSE)</f>
        <v>NON METRO</v>
      </c>
      <c r="G53" s="82">
        <f>VLOOKUP(A53,'2022 CR and CMI'!$A$3:$D$207,3,FALSE)</f>
        <v>44562</v>
      </c>
      <c r="H53" s="82">
        <f>VLOOKUP(A53,'2022 CR and CMI'!$A$3:$D$207,4,FALSE)</f>
        <v>44926</v>
      </c>
      <c r="I53" s="72">
        <f>VLOOKUP(A53,'2022 CR and CMI'!$A$2:$T$210,19,FALSE)</f>
        <v>1.3492</v>
      </c>
      <c r="J53" s="139">
        <f>Inflation!$G$24</f>
        <v>1.0309999999999999</v>
      </c>
      <c r="K53" s="192">
        <f>VLOOKUP(E53,Limits!$B$2:$D$5,3,FALSE)</f>
        <v>176.01</v>
      </c>
      <c r="L53" s="192">
        <f t="shared" si="31"/>
        <v>181.47</v>
      </c>
      <c r="M53" s="140">
        <f>VLOOKUP(A53,'CMI Data'!$A$4:$C$208,3,FALSE)</f>
        <v>1.4061999999999999</v>
      </c>
      <c r="N53" s="68">
        <f t="shared" si="2"/>
        <v>169.65</v>
      </c>
      <c r="O53" s="68">
        <f t="shared" si="32"/>
        <v>176.82</v>
      </c>
      <c r="P53" s="75">
        <f t="shared" si="33"/>
        <v>167.98</v>
      </c>
      <c r="Q53" s="75">
        <v>306.7</v>
      </c>
      <c r="R53" s="75">
        <f t="shared" si="34"/>
        <v>316.20999999999998</v>
      </c>
      <c r="S53" s="68">
        <f t="shared" si="35"/>
        <v>329.57</v>
      </c>
      <c r="T53" s="75">
        <f t="shared" si="36"/>
        <v>0</v>
      </c>
      <c r="U53" s="68">
        <f t="shared" si="37"/>
        <v>176.82</v>
      </c>
      <c r="V53" s="68">
        <f>VLOOKUP($F53,Limits!$J$2:$L$5,3,FALSE)</f>
        <v>20.239999999999998</v>
      </c>
      <c r="W53" s="68">
        <f t="shared" si="38"/>
        <v>20.87</v>
      </c>
      <c r="X53" s="68">
        <f>VLOOKUP($F53,Limits!$R$2:$T$5,3,FALSE)</f>
        <v>89.55</v>
      </c>
      <c r="Y53" s="68">
        <f t="shared" si="39"/>
        <v>92.33</v>
      </c>
      <c r="Z53" s="75">
        <f>VLOOKUP(A53,FRV!$A$4:$U$208,21,FALSE)</f>
        <v>44.28</v>
      </c>
      <c r="AA53" s="141">
        <f>VLOOKUP(A53,'RE Tax'!$A$2:$G$206,3,FALSE)</f>
        <v>45292</v>
      </c>
      <c r="AB53" s="141">
        <f>VLOOKUP(A53,'RE Tax'!$A$2:$G$206,4,FALSE)</f>
        <v>45657</v>
      </c>
      <c r="AC53" s="4">
        <f>VLOOKUP(A53,'RE Tax'!$A$2:$G$206,7,FALSE)</f>
        <v>24974</v>
      </c>
      <c r="AD53" s="4">
        <f>VLOOKUP($A53,'RE Tax'!$A$2:$I$206,9,FALSE)</f>
        <v>15372</v>
      </c>
      <c r="AE53" s="4">
        <f>VLOOKUP($A53,'RE Tax'!$A$2:$I$206,8,FALSE)</f>
        <v>8632</v>
      </c>
      <c r="AF53" s="142">
        <f>IF(ISNA(VLOOKUP(A53&amp;AB53,'Days Exceptions'!$C$3:$I$7,6,FALSE)),ROUND(AC53/MAX(AE53,(AD53*Min_Occ)),2),ROUND(AC53/VLOOKUP(A53&amp;AB53,'Days Exceptions'!$C$3:$I$7,6,FALSE),2))</f>
        <v>1.99</v>
      </c>
      <c r="AG53" s="68">
        <v>0</v>
      </c>
      <c r="AH53" s="68">
        <f t="shared" si="40"/>
        <v>0</v>
      </c>
      <c r="AI53" s="4">
        <v>0</v>
      </c>
      <c r="AJ53" s="4">
        <v>0</v>
      </c>
      <c r="AK53" s="68">
        <f>IF(AI53=0,0,IF(ISNA(MATCH(A53,Documentation!$B$66:$B$71,0)),QA_Tax_reg,QA_Tax_5high))</f>
        <v>0</v>
      </c>
      <c r="AL53" s="75">
        <f t="shared" si="41"/>
        <v>0</v>
      </c>
      <c r="AM53" s="68">
        <f t="shared" si="42"/>
        <v>336.29</v>
      </c>
      <c r="AN53" s="68">
        <f t="shared" si="43"/>
        <v>247.88</v>
      </c>
      <c r="AO53" s="68">
        <f t="shared" si="44"/>
        <v>159.47</v>
      </c>
      <c r="AP53" s="37" t="s">
        <v>514</v>
      </c>
      <c r="AQ53" s="37" t="s">
        <v>504</v>
      </c>
      <c r="AR53" s="37" t="s">
        <v>1006</v>
      </c>
      <c r="AS53" s="66" t="e">
        <f>VLOOKUP(A53,'CMI Data'!$A$3:$J$209,10,FALSE)</f>
        <v>#DIV/0!</v>
      </c>
      <c r="AT53" s="68">
        <f t="shared" si="3"/>
        <v>164.55</v>
      </c>
      <c r="AU53" s="68" t="e">
        <f t="shared" si="4"/>
        <v>#DIV/0!</v>
      </c>
      <c r="AV53" s="75" t="e">
        <f t="shared" si="45"/>
        <v>#DIV/0!</v>
      </c>
      <c r="AW53" s="68" t="e">
        <f>IF($I53="NA","NA",ROUND(#REF!*$AS53/$I53,2))</f>
        <v>#REF!</v>
      </c>
      <c r="AX53" s="75" t="e">
        <f t="shared" si="46"/>
        <v>#REF!</v>
      </c>
      <c r="AY53" s="68" t="e">
        <f t="shared" si="47"/>
        <v>#REF!</v>
      </c>
      <c r="AZ53" s="4">
        <f t="shared" si="5"/>
        <v>24974</v>
      </c>
      <c r="BA53" s="4">
        <f t="shared" si="6"/>
        <v>15372</v>
      </c>
      <c r="BB53" s="4">
        <f t="shared" si="7"/>
        <v>8632</v>
      </c>
      <c r="BC53" s="142">
        <f>IF(ISNA(VLOOKUP($A53&amp;$AB53,'Days Exceptions'!$C$3:$I$7,6,FALSE)),ROUND(AZ53/MAX(BB53,(BA53*Min_Occ)),2),ROUND(AZ53/VLOOKUP($A53&amp;$AB53,'Days Exceptions'!$C$3:$I$7,6,FALSE),2))</f>
        <v>1.99</v>
      </c>
      <c r="BD53" s="143" t="e">
        <f t="shared" si="8"/>
        <v>#REF!</v>
      </c>
      <c r="BE53" s="143" t="e">
        <f t="shared" si="9"/>
        <v>#REF!</v>
      </c>
      <c r="BF53" s="143">
        <f t="shared" si="10"/>
        <v>156.06</v>
      </c>
      <c r="BG53" s="37" t="s">
        <v>514</v>
      </c>
      <c r="BH53" s="37" t="s">
        <v>504</v>
      </c>
      <c r="BI53" s="37" t="s">
        <v>1210</v>
      </c>
      <c r="BJ53" s="66" t="e">
        <f>VLOOKUP(A53,'CMI Data'!$A$3:$AZ$209,15,FALSE)</f>
        <v>#DIV/0!</v>
      </c>
      <c r="BK53" s="68">
        <f t="shared" si="11"/>
        <v>164.55</v>
      </c>
      <c r="BL53" s="68" t="e">
        <f t="shared" si="12"/>
        <v>#DIV/0!</v>
      </c>
      <c r="BM53" s="75" t="e">
        <f t="shared" si="13"/>
        <v>#DIV/0!</v>
      </c>
      <c r="BN53" s="68" t="e">
        <f>IF($I53="NA","NA",ROUND(#REF!*$BJ53/$I53,2))</f>
        <v>#REF!</v>
      </c>
      <c r="BO53" s="75" t="e">
        <f t="shared" si="14"/>
        <v>#REF!</v>
      </c>
      <c r="BP53" s="68" t="e">
        <f t="shared" si="48"/>
        <v>#REF!</v>
      </c>
      <c r="BQ53" s="4">
        <f t="shared" si="15"/>
        <v>24974</v>
      </c>
      <c r="BR53" s="4">
        <f t="shared" si="16"/>
        <v>15372</v>
      </c>
      <c r="BS53" s="4">
        <f t="shared" si="17"/>
        <v>8632</v>
      </c>
      <c r="BT53" s="142">
        <f>IF(ISNA(VLOOKUP($A53&amp;$AB53,'Days Exceptions'!$C$3:$I$7,6,FALSE)),ROUND(BQ53/MAX(BS53,(BR53*Min_Occ)),2),ROUND(BQ53/VLOOKUP($A53&amp;$AB53,'Days Exceptions'!$C$3:$I$7,6,FALSE),2))</f>
        <v>1.99</v>
      </c>
      <c r="BU53" s="143" t="e">
        <f t="shared" si="18"/>
        <v>#REF!</v>
      </c>
      <c r="BV53" s="143" t="e">
        <f t="shared" si="19"/>
        <v>#REF!</v>
      </c>
      <c r="BW53" s="143">
        <f t="shared" si="20"/>
        <v>156.06</v>
      </c>
      <c r="BX53" s="37" t="s">
        <v>514</v>
      </c>
      <c r="BY53" s="37" t="s">
        <v>504</v>
      </c>
      <c r="BZ53" s="37" t="s">
        <v>1464</v>
      </c>
      <c r="CA53" s="66" t="e">
        <f>VLOOKUP(A53,'CMI Data'!$A$3:$AZ$209,20,FALSE)</f>
        <v>#DIV/0!</v>
      </c>
      <c r="CB53" s="68">
        <f t="shared" si="21"/>
        <v>164.55</v>
      </c>
      <c r="CC53" s="68" t="e">
        <f t="shared" si="22"/>
        <v>#DIV/0!</v>
      </c>
      <c r="CD53" s="75" t="e">
        <f t="shared" si="49"/>
        <v>#DIV/0!</v>
      </c>
      <c r="CE53" s="68" t="e">
        <f>IF($I53="NA","NA",ROUND(#REF!*$CA53/$I53,2))</f>
        <v>#REF!</v>
      </c>
      <c r="CF53" s="75" t="e">
        <f t="shared" si="23"/>
        <v>#REF!</v>
      </c>
      <c r="CG53" s="68" t="e">
        <f t="shared" si="24"/>
        <v>#REF!</v>
      </c>
      <c r="CH53" s="4">
        <f t="shared" si="25"/>
        <v>24974</v>
      </c>
      <c r="CI53" s="4">
        <f t="shared" si="26"/>
        <v>15372</v>
      </c>
      <c r="CJ53" s="4">
        <f t="shared" si="27"/>
        <v>8632</v>
      </c>
      <c r="CK53" s="142">
        <f>IF(ISNA(VLOOKUP($A53&amp;$AB53,'Days Exceptions'!$C$3:$I$7,6,FALSE)),ROUND(CH53/MAX(CJ53,(CI53*Min_Occ)),2),ROUND(CH53/VLOOKUP($A53&amp;$AB53,'Days Exceptions'!$C$3:$I$7,6,FALSE),2))</f>
        <v>1.99</v>
      </c>
      <c r="CL53" s="143" t="e">
        <f t="shared" si="28"/>
        <v>#REF!</v>
      </c>
      <c r="CM53" s="143" t="e">
        <f t="shared" si="29"/>
        <v>#REF!</v>
      </c>
      <c r="CN53" s="143">
        <f t="shared" si="30"/>
        <v>156.06</v>
      </c>
      <c r="CO53" s="37" t="s">
        <v>514</v>
      </c>
      <c r="CP53" s="37" t="s">
        <v>504</v>
      </c>
      <c r="CQ53" s="37" t="s">
        <v>1465</v>
      </c>
    </row>
    <row r="54" spans="1:95" x14ac:dyDescent="0.15">
      <c r="A54" s="130">
        <v>76</v>
      </c>
      <c r="B54" s="37" t="s">
        <v>462</v>
      </c>
      <c r="C54" s="1" t="s">
        <v>148</v>
      </c>
      <c r="D54" s="1" t="s">
        <v>108</v>
      </c>
      <c r="E54" s="1" t="str">
        <f>VLOOKUP(D54,Documentation!$B$4:$D$27,3,FALSE)</f>
        <v>WASHINGTON METRO</v>
      </c>
      <c r="F54" s="1" t="str">
        <f>VLOOKUP(D54,Documentation!$B$4:$C$27,2,FALSE)</f>
        <v>NON METRO</v>
      </c>
      <c r="G54" s="82">
        <f>VLOOKUP(A54,'2022 CR and CMI'!$A$3:$D$207,3,FALSE)</f>
        <v>44562</v>
      </c>
      <c r="H54" s="82">
        <f>VLOOKUP(A54,'2022 CR and CMI'!$A$3:$D$207,4,FALSE)</f>
        <v>44926</v>
      </c>
      <c r="I54" s="72">
        <f>VLOOKUP(A54,'2022 CR and CMI'!$A$2:$T$210,19,FALSE)</f>
        <v>1.3140000000000001</v>
      </c>
      <c r="J54" s="139">
        <f>Inflation!$G$24</f>
        <v>1.0309999999999999</v>
      </c>
      <c r="K54" s="192">
        <f>VLOOKUP(E54,Limits!$B$2:$D$5,3,FALSE)</f>
        <v>176.01</v>
      </c>
      <c r="L54" s="192">
        <f t="shared" si="31"/>
        <v>181.47</v>
      </c>
      <c r="M54" s="140">
        <f>VLOOKUP(A54,'CMI Data'!$A$4:$C$208,3,FALSE)</f>
        <v>1.3544</v>
      </c>
      <c r="N54" s="68">
        <f t="shared" si="2"/>
        <v>165.22</v>
      </c>
      <c r="O54" s="68">
        <f t="shared" si="32"/>
        <v>170.3</v>
      </c>
      <c r="P54" s="75">
        <f t="shared" si="33"/>
        <v>161.79</v>
      </c>
      <c r="Q54" s="75">
        <v>177.73</v>
      </c>
      <c r="R54" s="75">
        <f t="shared" si="34"/>
        <v>183.24</v>
      </c>
      <c r="S54" s="68">
        <f t="shared" si="35"/>
        <v>188.87</v>
      </c>
      <c r="T54" s="75">
        <f t="shared" si="36"/>
        <v>0</v>
      </c>
      <c r="U54" s="68">
        <f t="shared" si="37"/>
        <v>170.3</v>
      </c>
      <c r="V54" s="68">
        <f>VLOOKUP($F54,Limits!$J$2:$L$5,3,FALSE)</f>
        <v>20.239999999999998</v>
      </c>
      <c r="W54" s="68">
        <f t="shared" si="38"/>
        <v>20.87</v>
      </c>
      <c r="X54" s="68">
        <f>VLOOKUP($F54,Limits!$R$2:$T$5,3,FALSE)</f>
        <v>89.55</v>
      </c>
      <c r="Y54" s="68">
        <f t="shared" si="39"/>
        <v>92.33</v>
      </c>
      <c r="Z54" s="75">
        <f>VLOOKUP(A54,FRV!$A$4:$U$208,21,FALSE)</f>
        <v>38.21</v>
      </c>
      <c r="AA54" s="141">
        <f>VLOOKUP(A54,'RE Tax'!$A$2:$G$206,3,FALSE)</f>
        <v>45292</v>
      </c>
      <c r="AB54" s="141">
        <f>VLOOKUP(A54,'RE Tax'!$A$2:$G$206,4,FALSE)</f>
        <v>45657</v>
      </c>
      <c r="AC54" s="4">
        <f>VLOOKUP(A54,'RE Tax'!$A$2:$G$206,7,FALSE)</f>
        <v>0</v>
      </c>
      <c r="AD54" s="4">
        <f>VLOOKUP($A54,'RE Tax'!$A$2:$I$206,9,FALSE)</f>
        <v>54534</v>
      </c>
      <c r="AE54" s="4">
        <f>VLOOKUP($A54,'RE Tax'!$A$2:$I$206,8,FALSE)</f>
        <v>40161</v>
      </c>
      <c r="AF54" s="142">
        <f>IF(ISNA(VLOOKUP(A54&amp;AB54,'Days Exceptions'!$C$3:$I$7,6,FALSE)),ROUND(AC54/MAX(AE54,(AD54*Min_Occ)),2),ROUND(AC54/VLOOKUP(A54&amp;AB54,'Days Exceptions'!$C$3:$I$7,6,FALSE),2))</f>
        <v>0</v>
      </c>
      <c r="AG54" s="68">
        <v>0</v>
      </c>
      <c r="AH54" s="68">
        <f t="shared" si="40"/>
        <v>0</v>
      </c>
      <c r="AI54" s="4">
        <v>33519</v>
      </c>
      <c r="AJ54" s="4">
        <v>40162</v>
      </c>
      <c r="AK54" s="68">
        <f>IF(AI54=0,0,IF(ISNA(MATCH(A54,Documentation!$B$66:$B$71,0)),QA_Tax_reg,QA_Tax_5high))</f>
        <v>32.92</v>
      </c>
      <c r="AL54" s="75">
        <f t="shared" si="41"/>
        <v>27.47</v>
      </c>
      <c r="AM54" s="68">
        <f t="shared" si="42"/>
        <v>321.70999999999998</v>
      </c>
      <c r="AN54" s="68">
        <f t="shared" si="43"/>
        <v>236.56</v>
      </c>
      <c r="AO54" s="68">
        <f t="shared" si="44"/>
        <v>151.41</v>
      </c>
      <c r="AP54" s="37" t="s">
        <v>461</v>
      </c>
      <c r="AQ54" s="37" t="s">
        <v>462</v>
      </c>
      <c r="AR54" s="37" t="s">
        <v>1007</v>
      </c>
      <c r="AS54" s="66" t="e">
        <f>VLOOKUP(A54,'CMI Data'!$A$3:$J$209,10,FALSE)</f>
        <v>#DIV/0!</v>
      </c>
      <c r="AT54" s="68">
        <f t="shared" si="3"/>
        <v>160.25</v>
      </c>
      <c r="AU54" s="68" t="e">
        <f t="shared" si="4"/>
        <v>#DIV/0!</v>
      </c>
      <c r="AV54" s="75" t="e">
        <f t="shared" si="45"/>
        <v>#DIV/0!</v>
      </c>
      <c r="AW54" s="68" t="e">
        <f>IF($I54="NA","NA",ROUND(#REF!*$AS54/$I54,2))</f>
        <v>#REF!</v>
      </c>
      <c r="AX54" s="75" t="e">
        <f t="shared" si="46"/>
        <v>#REF!</v>
      </c>
      <c r="AY54" s="68" t="e">
        <f t="shared" si="47"/>
        <v>#REF!</v>
      </c>
      <c r="AZ54" s="4">
        <f t="shared" si="5"/>
        <v>0</v>
      </c>
      <c r="BA54" s="4">
        <f t="shared" si="6"/>
        <v>54534</v>
      </c>
      <c r="BB54" s="4">
        <f t="shared" si="7"/>
        <v>40161</v>
      </c>
      <c r="BC54" s="142">
        <f>IF(ISNA(VLOOKUP($A54&amp;$AB54,'Days Exceptions'!$C$3:$I$7,6,FALSE)),ROUND(AZ54/MAX(BB54,(BA54*Min_Occ)),2),ROUND(AZ54/VLOOKUP($A54&amp;$AB54,'Days Exceptions'!$C$3:$I$7,6,FALSE),2))</f>
        <v>0</v>
      </c>
      <c r="BD54" s="143" t="e">
        <f t="shared" si="8"/>
        <v>#REF!</v>
      </c>
      <c r="BE54" s="143" t="e">
        <f t="shared" si="9"/>
        <v>#REF!</v>
      </c>
      <c r="BF54" s="143">
        <f t="shared" si="10"/>
        <v>148</v>
      </c>
      <c r="BG54" s="37" t="s">
        <v>461</v>
      </c>
      <c r="BH54" s="37" t="s">
        <v>462</v>
      </c>
      <c r="BI54" s="37" t="s">
        <v>1211</v>
      </c>
      <c r="BJ54" s="66" t="e">
        <f>VLOOKUP(A54,'CMI Data'!$A$3:$AZ$209,15,FALSE)</f>
        <v>#DIV/0!</v>
      </c>
      <c r="BK54" s="68">
        <f t="shared" si="11"/>
        <v>160.25</v>
      </c>
      <c r="BL54" s="68" t="e">
        <f t="shared" si="12"/>
        <v>#DIV/0!</v>
      </c>
      <c r="BM54" s="75" t="e">
        <f t="shared" si="13"/>
        <v>#DIV/0!</v>
      </c>
      <c r="BN54" s="68" t="e">
        <f>IF($I54="NA","NA",ROUND(#REF!*$BJ54/$I54,2))</f>
        <v>#REF!</v>
      </c>
      <c r="BO54" s="75" t="e">
        <f t="shared" si="14"/>
        <v>#REF!</v>
      </c>
      <c r="BP54" s="68" t="e">
        <f t="shared" si="48"/>
        <v>#REF!</v>
      </c>
      <c r="BQ54" s="4">
        <f t="shared" si="15"/>
        <v>0</v>
      </c>
      <c r="BR54" s="4">
        <f t="shared" si="16"/>
        <v>54534</v>
      </c>
      <c r="BS54" s="4">
        <f t="shared" si="17"/>
        <v>40161</v>
      </c>
      <c r="BT54" s="142">
        <f>IF(ISNA(VLOOKUP($A54&amp;$AB54,'Days Exceptions'!$C$3:$I$7,6,FALSE)),ROUND(BQ54/MAX(BS54,(BR54*Min_Occ)),2),ROUND(BQ54/VLOOKUP($A54&amp;$AB54,'Days Exceptions'!$C$3:$I$7,6,FALSE),2))</f>
        <v>0</v>
      </c>
      <c r="BU54" s="143" t="e">
        <f t="shared" si="18"/>
        <v>#REF!</v>
      </c>
      <c r="BV54" s="143" t="e">
        <f t="shared" si="19"/>
        <v>#REF!</v>
      </c>
      <c r="BW54" s="143">
        <f t="shared" si="20"/>
        <v>148</v>
      </c>
      <c r="BX54" s="37" t="s">
        <v>461</v>
      </c>
      <c r="BY54" s="37" t="s">
        <v>462</v>
      </c>
      <c r="BZ54" s="37" t="s">
        <v>1466</v>
      </c>
      <c r="CA54" s="66" t="e">
        <f>VLOOKUP(A54,'CMI Data'!$A$3:$AZ$209,20,FALSE)</f>
        <v>#DIV/0!</v>
      </c>
      <c r="CB54" s="68">
        <f t="shared" si="21"/>
        <v>160.25</v>
      </c>
      <c r="CC54" s="68" t="e">
        <f t="shared" si="22"/>
        <v>#DIV/0!</v>
      </c>
      <c r="CD54" s="75" t="e">
        <f t="shared" si="49"/>
        <v>#DIV/0!</v>
      </c>
      <c r="CE54" s="68" t="e">
        <f>IF($I54="NA","NA",ROUND(#REF!*$CA54/$I54,2))</f>
        <v>#REF!</v>
      </c>
      <c r="CF54" s="75" t="e">
        <f t="shared" si="23"/>
        <v>#REF!</v>
      </c>
      <c r="CG54" s="68" t="e">
        <f t="shared" si="24"/>
        <v>#REF!</v>
      </c>
      <c r="CH54" s="4">
        <f t="shared" si="25"/>
        <v>0</v>
      </c>
      <c r="CI54" s="4">
        <f t="shared" si="26"/>
        <v>54534</v>
      </c>
      <c r="CJ54" s="4">
        <f t="shared" si="27"/>
        <v>40161</v>
      </c>
      <c r="CK54" s="142">
        <f>IF(ISNA(VLOOKUP($A54&amp;$AB54,'Days Exceptions'!$C$3:$I$7,6,FALSE)),ROUND(CH54/MAX(CJ54,(CI54*Min_Occ)),2),ROUND(CH54/VLOOKUP($A54&amp;$AB54,'Days Exceptions'!$C$3:$I$7,6,FALSE),2))</f>
        <v>0</v>
      </c>
      <c r="CL54" s="143" t="e">
        <f t="shared" si="28"/>
        <v>#REF!</v>
      </c>
      <c r="CM54" s="143" t="e">
        <f t="shared" si="29"/>
        <v>#REF!</v>
      </c>
      <c r="CN54" s="143">
        <f t="shared" si="30"/>
        <v>148</v>
      </c>
      <c r="CO54" s="37" t="s">
        <v>461</v>
      </c>
      <c r="CP54" s="37" t="s">
        <v>462</v>
      </c>
      <c r="CQ54" s="37" t="s">
        <v>1467</v>
      </c>
    </row>
    <row r="55" spans="1:95" x14ac:dyDescent="0.15">
      <c r="A55" s="130">
        <v>82</v>
      </c>
      <c r="B55" s="37" t="s">
        <v>638</v>
      </c>
      <c r="C55" s="1" t="s">
        <v>148</v>
      </c>
      <c r="D55" s="1" t="s">
        <v>109</v>
      </c>
      <c r="E55" s="1" t="str">
        <f>VLOOKUP(D55,Documentation!$B$4:$D$27,3,FALSE)</f>
        <v>EASTERN REGION</v>
      </c>
      <c r="F55" s="1" t="str">
        <f>VLOOKUP(D55,Documentation!$B$4:$C$27,2,FALSE)</f>
        <v>NON METRO</v>
      </c>
      <c r="G55" s="82">
        <f>VLOOKUP(A55,'2022 CR and CMI'!$A$3:$D$207,3,FALSE)</f>
        <v>44774</v>
      </c>
      <c r="H55" s="82">
        <f>VLOOKUP(A55,'2022 CR and CMI'!$A$3:$D$207,4,FALSE)</f>
        <v>44926</v>
      </c>
      <c r="I55" s="72">
        <f>VLOOKUP(A55,'2022 CR and CMI'!$A$2:$T$210,19,FALSE)</f>
        <v>1.4047000000000001</v>
      </c>
      <c r="J55" s="139">
        <f>Inflation!$G$24</f>
        <v>1.0309999999999999</v>
      </c>
      <c r="K55" s="192">
        <f>VLOOKUP(E55,Limits!$B$2:$D$5,3,FALSE)</f>
        <v>186.31</v>
      </c>
      <c r="L55" s="192">
        <f t="shared" si="31"/>
        <v>192.09</v>
      </c>
      <c r="M55" s="140">
        <f>VLOOKUP(A55,'CMI Data'!$A$4:$C$208,3,FALSE)</f>
        <v>1.5448</v>
      </c>
      <c r="N55" s="68">
        <f t="shared" si="2"/>
        <v>186.97</v>
      </c>
      <c r="O55" s="68">
        <f t="shared" si="32"/>
        <v>205.62</v>
      </c>
      <c r="P55" s="75">
        <f t="shared" si="33"/>
        <v>195.34</v>
      </c>
      <c r="Q55" s="75">
        <v>160.28</v>
      </c>
      <c r="R55" s="75">
        <f t="shared" si="34"/>
        <v>165.25</v>
      </c>
      <c r="S55" s="68">
        <f t="shared" si="35"/>
        <v>181.73</v>
      </c>
      <c r="T55" s="75">
        <f t="shared" si="36"/>
        <v>-13.61</v>
      </c>
      <c r="U55" s="68">
        <f t="shared" si="37"/>
        <v>192.01</v>
      </c>
      <c r="V55" s="68">
        <f>VLOOKUP($F55,Limits!$J$2:$L$5,3,FALSE)</f>
        <v>20.239999999999998</v>
      </c>
      <c r="W55" s="68">
        <f t="shared" si="38"/>
        <v>20.87</v>
      </c>
      <c r="X55" s="68">
        <f>VLOOKUP($F55,Limits!$R$2:$T$5,3,FALSE)</f>
        <v>89.55</v>
      </c>
      <c r="Y55" s="68">
        <f t="shared" si="39"/>
        <v>92.33</v>
      </c>
      <c r="Z55" s="75">
        <f>VLOOKUP(A55,FRV!$A$4:$U$208,21,FALSE)</f>
        <v>30.81</v>
      </c>
      <c r="AA55" s="141">
        <f>VLOOKUP(A55,'RE Tax'!$A$2:$G$206,3,FALSE)</f>
        <v>45292</v>
      </c>
      <c r="AB55" s="141">
        <f>VLOOKUP(A55,'RE Tax'!$A$2:$G$206,4,FALSE)</f>
        <v>45657</v>
      </c>
      <c r="AC55" s="4">
        <f>VLOOKUP(A55,'RE Tax'!$A$2:$G$206,7,FALSE)</f>
        <v>109620</v>
      </c>
      <c r="AD55" s="4">
        <f>VLOOKUP($A55,'RE Tax'!$A$2:$I$206,9,FALSE)</f>
        <v>34038</v>
      </c>
      <c r="AE55" s="4">
        <f>VLOOKUP($A55,'RE Tax'!$A$2:$I$206,8,FALSE)</f>
        <v>27025</v>
      </c>
      <c r="AF55" s="142">
        <f>IF(ISNA(VLOOKUP(A55&amp;AB55,'Days Exceptions'!$C$3:$I$7,6,FALSE)),ROUND(AC55/MAX(AE55,(AD55*Min_Occ)),2),ROUND(AC55/VLOOKUP(A55&amp;AB55,'Days Exceptions'!$C$3:$I$7,6,FALSE),2))</f>
        <v>3.95</v>
      </c>
      <c r="AG55" s="68">
        <v>0</v>
      </c>
      <c r="AH55" s="68">
        <f t="shared" si="40"/>
        <v>0</v>
      </c>
      <c r="AI55" s="4">
        <v>26218</v>
      </c>
      <c r="AJ55" s="4">
        <v>29503</v>
      </c>
      <c r="AK55" s="68">
        <f>IF(AI55=0,0,IF(ISNA(MATCH(A55,Documentation!$B$66:$B$71,0)),QA_Tax_reg,QA_Tax_5high))</f>
        <v>32.92</v>
      </c>
      <c r="AL55" s="75">
        <f t="shared" si="41"/>
        <v>29.25</v>
      </c>
      <c r="AM55" s="68">
        <f t="shared" si="42"/>
        <v>339.97</v>
      </c>
      <c r="AN55" s="68">
        <f t="shared" si="43"/>
        <v>243.97</v>
      </c>
      <c r="AO55" s="68">
        <f t="shared" si="44"/>
        <v>147.96</v>
      </c>
      <c r="AP55" s="37" t="s">
        <v>637</v>
      </c>
      <c r="AQ55" s="37" t="s">
        <v>638</v>
      </c>
      <c r="AR55" s="37" t="s">
        <v>1008</v>
      </c>
      <c r="AS55" s="66" t="e">
        <f>VLOOKUP(A55,'CMI Data'!$A$3:$J$209,10,FALSE)</f>
        <v>#DIV/0!</v>
      </c>
      <c r="AT55" s="68">
        <f t="shared" si="3"/>
        <v>181.34</v>
      </c>
      <c r="AU55" s="68" t="e">
        <f t="shared" si="4"/>
        <v>#DIV/0!</v>
      </c>
      <c r="AV55" s="75" t="e">
        <f t="shared" si="45"/>
        <v>#DIV/0!</v>
      </c>
      <c r="AW55" s="68" t="e">
        <f>IF($I55="NA","NA",ROUND(#REF!*$AS55/$I55,2))</f>
        <v>#REF!</v>
      </c>
      <c r="AX55" s="75" t="e">
        <f>IF(AW55="NA","NA",MIN(AW55-AV55,0))</f>
        <v>#REF!</v>
      </c>
      <c r="AY55" s="68" t="e">
        <f t="shared" si="47"/>
        <v>#REF!</v>
      </c>
      <c r="AZ55" s="4">
        <f t="shared" si="5"/>
        <v>109620</v>
      </c>
      <c r="BA55" s="4">
        <f t="shared" si="6"/>
        <v>34038</v>
      </c>
      <c r="BB55" s="4">
        <f t="shared" si="7"/>
        <v>27025</v>
      </c>
      <c r="BC55" s="142">
        <f>IF(ISNA(VLOOKUP($A55&amp;$AB55,'Days Exceptions'!$C$3:$I$7,6,FALSE)),ROUND(AZ55/MAX(BB55,(BA55*Min_Occ)),2),ROUND(AZ55/VLOOKUP($A55&amp;$AB55,'Days Exceptions'!$C$3:$I$7,6,FALSE),2))</f>
        <v>3.95</v>
      </c>
      <c r="BD55" s="143" t="e">
        <f t="shared" si="8"/>
        <v>#REF!</v>
      </c>
      <c r="BE55" s="143" t="e">
        <f t="shared" si="9"/>
        <v>#REF!</v>
      </c>
      <c r="BF55" s="143">
        <f t="shared" si="10"/>
        <v>144.55000000000001</v>
      </c>
      <c r="BG55" s="37" t="s">
        <v>637</v>
      </c>
      <c r="BH55" s="37" t="s">
        <v>638</v>
      </c>
      <c r="BI55" s="37" t="s">
        <v>1212</v>
      </c>
      <c r="BJ55" s="66" t="e">
        <f>VLOOKUP(A55,'CMI Data'!$A$3:$AZ$209,15,FALSE)</f>
        <v>#DIV/0!</v>
      </c>
      <c r="BK55" s="68">
        <f t="shared" si="11"/>
        <v>181.34</v>
      </c>
      <c r="BL55" s="68" t="e">
        <f t="shared" si="12"/>
        <v>#DIV/0!</v>
      </c>
      <c r="BM55" s="75" t="e">
        <f t="shared" si="13"/>
        <v>#DIV/0!</v>
      </c>
      <c r="BN55" s="68" t="e">
        <f>IF($I55="NA","NA",ROUND(#REF!*$BJ55/$I55,2))</f>
        <v>#REF!</v>
      </c>
      <c r="BO55" s="75" t="e">
        <f t="shared" si="14"/>
        <v>#REF!</v>
      </c>
      <c r="BP55" s="68" t="e">
        <f t="shared" si="48"/>
        <v>#REF!</v>
      </c>
      <c r="BQ55" s="4">
        <f t="shared" si="15"/>
        <v>109620</v>
      </c>
      <c r="BR55" s="4">
        <f t="shared" si="16"/>
        <v>34038</v>
      </c>
      <c r="BS55" s="4">
        <f t="shared" si="17"/>
        <v>27025</v>
      </c>
      <c r="BT55" s="142">
        <f>IF(ISNA(VLOOKUP($A55&amp;$AB55,'Days Exceptions'!$C$3:$I$7,6,FALSE)),ROUND(BQ55/MAX(BS55,(BR55*Min_Occ)),2),ROUND(BQ55/VLOOKUP($A55&amp;$AB55,'Days Exceptions'!$C$3:$I$7,6,FALSE),2))</f>
        <v>3.95</v>
      </c>
      <c r="BU55" s="143" t="e">
        <f t="shared" si="18"/>
        <v>#REF!</v>
      </c>
      <c r="BV55" s="143" t="e">
        <f t="shared" si="19"/>
        <v>#REF!</v>
      </c>
      <c r="BW55" s="143">
        <f t="shared" si="20"/>
        <v>144.55000000000001</v>
      </c>
      <c r="BX55" s="37" t="s">
        <v>637</v>
      </c>
      <c r="BY55" s="37" t="s">
        <v>638</v>
      </c>
      <c r="BZ55" s="37" t="s">
        <v>1468</v>
      </c>
      <c r="CA55" s="66" t="e">
        <f>VLOOKUP(A55,'CMI Data'!$A$3:$AZ$209,20,FALSE)</f>
        <v>#DIV/0!</v>
      </c>
      <c r="CB55" s="68">
        <f t="shared" si="21"/>
        <v>181.34</v>
      </c>
      <c r="CC55" s="68" t="e">
        <f t="shared" si="22"/>
        <v>#DIV/0!</v>
      </c>
      <c r="CD55" s="75" t="e">
        <f t="shared" si="49"/>
        <v>#DIV/0!</v>
      </c>
      <c r="CE55" s="68" t="e">
        <f>IF($I55="NA","NA",ROUND(#REF!*$CA55/$I55,2))</f>
        <v>#REF!</v>
      </c>
      <c r="CF55" s="75" t="e">
        <f t="shared" si="23"/>
        <v>#REF!</v>
      </c>
      <c r="CG55" s="68" t="e">
        <f t="shared" si="24"/>
        <v>#REF!</v>
      </c>
      <c r="CH55" s="4">
        <f t="shared" si="25"/>
        <v>109620</v>
      </c>
      <c r="CI55" s="4">
        <f t="shared" si="26"/>
        <v>34038</v>
      </c>
      <c r="CJ55" s="4">
        <f t="shared" si="27"/>
        <v>27025</v>
      </c>
      <c r="CK55" s="142">
        <f>IF(ISNA(VLOOKUP($A55&amp;$AB55,'Days Exceptions'!$C$3:$I$7,6,FALSE)),ROUND(CH55/MAX(CJ55,(CI55*Min_Occ)),2),ROUND(CH55/VLOOKUP($A55&amp;$AB55,'Days Exceptions'!$C$3:$I$7,6,FALSE),2))</f>
        <v>3.95</v>
      </c>
      <c r="CL55" s="143" t="e">
        <f t="shared" si="28"/>
        <v>#REF!</v>
      </c>
      <c r="CM55" s="143" t="e">
        <f t="shared" si="29"/>
        <v>#REF!</v>
      </c>
      <c r="CN55" s="143">
        <f t="shared" si="30"/>
        <v>144.55000000000001</v>
      </c>
      <c r="CO55" s="37" t="s">
        <v>637</v>
      </c>
      <c r="CP55" s="37" t="s">
        <v>638</v>
      </c>
      <c r="CQ55" s="37" t="s">
        <v>1469</v>
      </c>
    </row>
    <row r="56" spans="1:95" x14ac:dyDescent="0.15">
      <c r="A56" s="130">
        <v>1421</v>
      </c>
      <c r="B56" s="37" t="s">
        <v>713</v>
      </c>
      <c r="C56" s="1" t="s">
        <v>148</v>
      </c>
      <c r="D56" s="1" t="s">
        <v>119</v>
      </c>
      <c r="E56" s="1" t="str">
        <f>VLOOKUP(D56,Documentation!$B$4:$D$27,3,FALSE)</f>
        <v>WASHINGTON METRO</v>
      </c>
      <c r="F56" s="1" t="str">
        <f>VLOOKUP(D56,Documentation!$B$4:$C$27,2,FALSE)</f>
        <v>WASHINGTON METRO</v>
      </c>
      <c r="G56" s="82">
        <f>VLOOKUP(A56,'2022 CR and CMI'!$A$3:$D$207,3,FALSE)</f>
        <v>44713</v>
      </c>
      <c r="H56" s="82">
        <f>VLOOKUP(A56,'2022 CR and CMI'!$A$3:$D$207,4,FALSE)</f>
        <v>44926</v>
      </c>
      <c r="I56" s="72">
        <f>VLOOKUP(A56,'2022 CR and CMI'!$A$2:$T$210,19,FALSE)</f>
        <v>1.5506</v>
      </c>
      <c r="J56" s="139">
        <f>Inflation!$G$24</f>
        <v>1.0309999999999999</v>
      </c>
      <c r="K56" s="192">
        <f>VLOOKUP(E56,Limits!$B$2:$D$5,3,FALSE)</f>
        <v>176.01</v>
      </c>
      <c r="L56" s="192">
        <f t="shared" si="31"/>
        <v>181.47</v>
      </c>
      <c r="M56" s="140">
        <f>VLOOKUP(A56,'CMI Data'!$A$4:$C$208,3,FALSE)</f>
        <v>1.3228</v>
      </c>
      <c r="N56" s="68">
        <f t="shared" si="2"/>
        <v>194.97</v>
      </c>
      <c r="O56" s="68">
        <f t="shared" si="32"/>
        <v>166.33</v>
      </c>
      <c r="P56" s="75">
        <f t="shared" ref="P56" si="50">IF($I56="NA","NA",ROUND(O56*0.95,2))</f>
        <v>158.01</v>
      </c>
      <c r="Q56" s="75">
        <v>178.34</v>
      </c>
      <c r="R56" s="75">
        <f t="shared" si="34"/>
        <v>183.87</v>
      </c>
      <c r="S56" s="68">
        <f t="shared" si="35"/>
        <v>156.86000000000001</v>
      </c>
      <c r="T56" s="75">
        <f t="shared" ref="T56" si="51">IF(S56="NA","NA",MIN(S56-P56,0))</f>
        <v>-1.1499999999999999</v>
      </c>
      <c r="U56" s="68">
        <f t="shared" ref="U56" si="52">IF(T56="NA",O56,O56+T56)</f>
        <v>165.18</v>
      </c>
      <c r="V56" s="68">
        <f>VLOOKUP($F56,Limits!$J$2:$L$5,3,FALSE)</f>
        <v>19.23</v>
      </c>
      <c r="W56" s="68">
        <f t="shared" si="38"/>
        <v>19.829999999999998</v>
      </c>
      <c r="X56" s="68">
        <f>VLOOKUP($F56,Limits!$R$2:$T$5,3,FALSE)</f>
        <v>100.61</v>
      </c>
      <c r="Y56" s="68">
        <f t="shared" si="39"/>
        <v>103.73</v>
      </c>
      <c r="Z56" s="75">
        <f>VLOOKUP(A56,FRV!$A$4:$U$208,21,FALSE)</f>
        <v>35.93</v>
      </c>
      <c r="AA56" s="141">
        <f>VLOOKUP(A56,'RE Tax'!$A$2:$G$206,3,FALSE)</f>
        <v>45292</v>
      </c>
      <c r="AB56" s="141">
        <f>VLOOKUP(A56,'RE Tax'!$A$2:$G$206,4,FALSE)</f>
        <v>45657</v>
      </c>
      <c r="AC56" s="4">
        <f>VLOOKUP(A56,'RE Tax'!$A$2:$G$206,7,FALSE)</f>
        <v>124249</v>
      </c>
      <c r="AD56" s="4">
        <f>VLOOKUP($A56,'RE Tax'!$A$2:$I$206,9,FALSE)</f>
        <v>39528</v>
      </c>
      <c r="AE56" s="4">
        <f>VLOOKUP($A56,'RE Tax'!$A$2:$I$206,8,FALSE)</f>
        <v>34883</v>
      </c>
      <c r="AF56" s="142">
        <f>IF(ISNA(VLOOKUP(A56&amp;AB56,'Days Exceptions'!$C$3:$I$7,6,FALSE)),ROUND(AC56/MAX(AE56,(AD56*Min_Occ)),2),ROUND(AC56/VLOOKUP(A56&amp;AB56,'Days Exceptions'!$C$3:$I$7,6,FALSE),2))</f>
        <v>3.56</v>
      </c>
      <c r="AG56" s="68">
        <v>0</v>
      </c>
      <c r="AH56" s="68">
        <f t="shared" si="40"/>
        <v>0</v>
      </c>
      <c r="AI56" s="4">
        <v>25749</v>
      </c>
      <c r="AJ56" s="4">
        <v>34887</v>
      </c>
      <c r="AK56" s="68">
        <f>IF(AI56=0,0,IF(ISNA(MATCH(A56,Documentation!$B$66:$B$71,0)),QA_Tax_reg,QA_Tax_5high))</f>
        <v>32.92</v>
      </c>
      <c r="AL56" s="75">
        <f t="shared" si="41"/>
        <v>24.3</v>
      </c>
      <c r="AM56" s="68">
        <f t="shared" si="42"/>
        <v>328.23</v>
      </c>
      <c r="AN56" s="68">
        <f t="shared" si="43"/>
        <v>245.64</v>
      </c>
      <c r="AO56" s="68">
        <f t="shared" si="44"/>
        <v>163.05000000000001</v>
      </c>
      <c r="AP56" s="37" t="s">
        <v>715</v>
      </c>
      <c r="AQ56" s="37" t="s">
        <v>713</v>
      </c>
      <c r="AR56" s="1" t="s">
        <v>1009</v>
      </c>
      <c r="AS56" s="66" t="e">
        <f>VLOOKUP(A56,'CMI Data'!$A$3:$J$209,10,FALSE)</f>
        <v>#DIV/0!</v>
      </c>
      <c r="AT56" s="68">
        <f t="shared" si="3"/>
        <v>189.11</v>
      </c>
      <c r="AU56" s="68" t="e">
        <f t="shared" si="4"/>
        <v>#DIV/0!</v>
      </c>
      <c r="AV56" s="75" t="e">
        <f t="shared" si="45"/>
        <v>#DIV/0!</v>
      </c>
      <c r="AW56" s="68" t="e">
        <f>IF($I56="NA","NA",ROUND(#REF!*$AS56/$I56,2))</f>
        <v>#REF!</v>
      </c>
      <c r="AX56" s="75" t="e">
        <f>IF(AW56="NA","NA",MIN(AW56-AV56,0))</f>
        <v>#REF!</v>
      </c>
      <c r="AY56" s="68" t="e">
        <f t="shared" ref="AY56" si="53">IF(AX56="NA",AU56,AU56+AX56)</f>
        <v>#REF!</v>
      </c>
      <c r="AZ56" s="4">
        <f t="shared" si="5"/>
        <v>124249</v>
      </c>
      <c r="BA56" s="4">
        <f t="shared" si="6"/>
        <v>39528</v>
      </c>
      <c r="BB56" s="4">
        <f t="shared" si="7"/>
        <v>34883</v>
      </c>
      <c r="BC56" s="142">
        <f>IF(ISNA(VLOOKUP($A56&amp;$AB56,'Days Exceptions'!$C$3:$I$7,6,FALSE)),ROUND(AZ56/MAX(BB56,(BA56*Min_Occ)),2),ROUND(AZ56/VLOOKUP($A56&amp;$AB56,'Days Exceptions'!$C$3:$I$7,6,FALSE),2))</f>
        <v>3.56</v>
      </c>
      <c r="BD56" s="143" t="e">
        <f t="shared" si="8"/>
        <v>#REF!</v>
      </c>
      <c r="BE56" s="143" t="e">
        <f t="shared" si="9"/>
        <v>#REF!</v>
      </c>
      <c r="BF56" s="143">
        <f t="shared" si="10"/>
        <v>159.33000000000001</v>
      </c>
      <c r="BG56" s="37" t="s">
        <v>715</v>
      </c>
      <c r="BH56" s="37" t="s">
        <v>713</v>
      </c>
      <c r="BI56" s="1" t="s">
        <v>1213</v>
      </c>
      <c r="BJ56" s="66" t="e">
        <f>VLOOKUP(A56,'CMI Data'!$A$3:$AZ$209,15,FALSE)</f>
        <v>#DIV/0!</v>
      </c>
      <c r="BK56" s="68">
        <f t="shared" si="11"/>
        <v>189.11</v>
      </c>
      <c r="BL56" s="68" t="e">
        <f t="shared" si="12"/>
        <v>#DIV/0!</v>
      </c>
      <c r="BM56" s="75" t="e">
        <f t="shared" ref="BM56" si="54">IF($I56="NA","NA",ROUND(BL56*0.95,2))</f>
        <v>#DIV/0!</v>
      </c>
      <c r="BN56" s="68" t="e">
        <f>IF($I56="NA","NA",ROUND(#REF!*$BJ56/$I56,2))</f>
        <v>#REF!</v>
      </c>
      <c r="BO56" s="75" t="e">
        <f t="shared" ref="BO56" si="55">IF(BN56="NA","NA",MIN(BN56-BM56,0))</f>
        <v>#REF!</v>
      </c>
      <c r="BP56" s="68" t="e">
        <f t="shared" ref="BP56" si="56">IF(BO56="NA",BL56,BL56+BO56)</f>
        <v>#REF!</v>
      </c>
      <c r="BQ56" s="4">
        <f t="shared" si="15"/>
        <v>124249</v>
      </c>
      <c r="BR56" s="4">
        <f t="shared" si="16"/>
        <v>39528</v>
      </c>
      <c r="BS56" s="4">
        <f t="shared" si="17"/>
        <v>34883</v>
      </c>
      <c r="BT56" s="142">
        <f>IF(ISNA(VLOOKUP($A56&amp;$AB56,'Days Exceptions'!$C$3:$I$7,6,FALSE)),ROUND(BQ56/MAX(BS56,(BR56*Min_Occ)),2),ROUND(BQ56/VLOOKUP($A56&amp;$AB56,'Days Exceptions'!$C$3:$I$7,6,FALSE),2))</f>
        <v>3.56</v>
      </c>
      <c r="BU56" s="143" t="e">
        <f t="shared" si="18"/>
        <v>#REF!</v>
      </c>
      <c r="BV56" s="143" t="e">
        <f t="shared" si="19"/>
        <v>#REF!</v>
      </c>
      <c r="BW56" s="143">
        <f t="shared" si="20"/>
        <v>159.33000000000001</v>
      </c>
      <c r="BX56" s="37" t="s">
        <v>715</v>
      </c>
      <c r="BY56" s="37" t="s">
        <v>713</v>
      </c>
      <c r="BZ56" s="1" t="s">
        <v>1470</v>
      </c>
      <c r="CA56" s="66" t="e">
        <f>VLOOKUP(A56,'CMI Data'!$A$3:$AZ$209,20,FALSE)</f>
        <v>#DIV/0!</v>
      </c>
      <c r="CB56" s="68">
        <f t="shared" si="21"/>
        <v>189.11</v>
      </c>
      <c r="CC56" s="68" t="e">
        <f t="shared" si="22"/>
        <v>#DIV/0!</v>
      </c>
      <c r="CD56" s="75" t="e">
        <f t="shared" si="49"/>
        <v>#DIV/0!</v>
      </c>
      <c r="CE56" s="68" t="e">
        <f>IF($I56="NA","NA",ROUND(#REF!*$CA56/$I56,2))</f>
        <v>#REF!</v>
      </c>
      <c r="CF56" s="75" t="e">
        <f t="shared" si="23"/>
        <v>#REF!</v>
      </c>
      <c r="CG56" s="68" t="e">
        <f t="shared" si="24"/>
        <v>#REF!</v>
      </c>
      <c r="CH56" s="4">
        <f t="shared" si="25"/>
        <v>124249</v>
      </c>
      <c r="CI56" s="4">
        <f t="shared" si="26"/>
        <v>39528</v>
      </c>
      <c r="CJ56" s="4">
        <f t="shared" si="27"/>
        <v>34883</v>
      </c>
      <c r="CK56" s="142">
        <f>IF(ISNA(VLOOKUP($A56&amp;$AB56,'Days Exceptions'!$C$3:$I$7,6,FALSE)),ROUND(CH56/MAX(CJ56,(CI56*Min_Occ)),2),ROUND(CH56/VLOOKUP($A56&amp;$AB56,'Days Exceptions'!$C$3:$I$7,6,FALSE),2))</f>
        <v>3.56</v>
      </c>
      <c r="CL56" s="143" t="e">
        <f t="shared" si="28"/>
        <v>#REF!</v>
      </c>
      <c r="CM56" s="143" t="e">
        <f t="shared" si="29"/>
        <v>#REF!</v>
      </c>
      <c r="CN56" s="143">
        <f t="shared" si="30"/>
        <v>159.33000000000001</v>
      </c>
      <c r="CO56" s="37" t="s">
        <v>715</v>
      </c>
      <c r="CP56" s="37" t="s">
        <v>713</v>
      </c>
      <c r="CQ56" s="1" t="s">
        <v>1471</v>
      </c>
    </row>
    <row r="57" spans="1:95" x14ac:dyDescent="0.15">
      <c r="A57" s="130">
        <v>84</v>
      </c>
      <c r="B57" s="37" t="s">
        <v>201</v>
      </c>
      <c r="C57" s="1" t="s">
        <v>148</v>
      </c>
      <c r="D57" s="1" t="s">
        <v>110</v>
      </c>
      <c r="E57" s="1" t="str">
        <f>VLOOKUP(D57,Documentation!$B$4:$D$27,3,FALSE)</f>
        <v>BALTIMORE METRO</v>
      </c>
      <c r="F57" s="1" t="str">
        <f>VLOOKUP(D57,Documentation!$B$4:$C$27,2,FALSE)</f>
        <v>BALTIMORE METRO</v>
      </c>
      <c r="G57" s="82">
        <f>VLOOKUP(A57,'2022 CR and CMI'!$A$3:$D$207,3,FALSE)</f>
        <v>44378</v>
      </c>
      <c r="H57" s="82">
        <f>VLOOKUP(A57,'2022 CR and CMI'!$A$3:$D$207,4,FALSE)</f>
        <v>44742</v>
      </c>
      <c r="I57" s="72">
        <f>VLOOKUP(A57,'2022 CR and CMI'!$A$2:$T$210,19,FALSE)</f>
        <v>1.2884</v>
      </c>
      <c r="J57" s="139">
        <f>Inflation!$G$24</f>
        <v>1.0309999999999999</v>
      </c>
      <c r="K57" s="192">
        <f>VLOOKUP(E57,Limits!$B$2:$D$5,3,FALSE)</f>
        <v>195.33</v>
      </c>
      <c r="L57" s="192">
        <f t="shared" si="31"/>
        <v>201.39</v>
      </c>
      <c r="M57" s="140">
        <f>VLOOKUP(A57,'CMI Data'!$A$4:$C$208,3,FALSE)</f>
        <v>1.2690999999999999</v>
      </c>
      <c r="N57" s="68">
        <f t="shared" si="2"/>
        <v>179.79</v>
      </c>
      <c r="O57" s="68">
        <f t="shared" si="32"/>
        <v>177.1</v>
      </c>
      <c r="P57" s="75">
        <f t="shared" si="33"/>
        <v>168.25</v>
      </c>
      <c r="Q57" s="75">
        <v>227.17</v>
      </c>
      <c r="R57" s="75">
        <f t="shared" si="34"/>
        <v>234.21</v>
      </c>
      <c r="S57" s="68">
        <f t="shared" si="35"/>
        <v>230.7</v>
      </c>
      <c r="T57" s="75">
        <f t="shared" si="36"/>
        <v>0</v>
      </c>
      <c r="U57" s="68">
        <f t="shared" si="37"/>
        <v>177.1</v>
      </c>
      <c r="V57" s="68">
        <f>VLOOKUP($F57,Limits!$J$2:$L$5,3,FALSE)</f>
        <v>20.85</v>
      </c>
      <c r="W57" s="68">
        <f t="shared" si="38"/>
        <v>21.5</v>
      </c>
      <c r="X57" s="68">
        <f>VLOOKUP($F57,Limits!$R$2:$T$5,3,FALSE)</f>
        <v>102.02</v>
      </c>
      <c r="Y57" s="68">
        <f t="shared" si="39"/>
        <v>105.18</v>
      </c>
      <c r="Z57" s="75">
        <f>VLOOKUP(A57,FRV!$A$4:$U$208,21,FALSE)</f>
        <v>44.29</v>
      </c>
      <c r="AA57" s="141">
        <f>VLOOKUP(A57,'RE Tax'!$A$2:$G$206,3,FALSE)</f>
        <v>45108</v>
      </c>
      <c r="AB57" s="141">
        <f>VLOOKUP(A57,'RE Tax'!$A$2:$G$206,4,FALSE)</f>
        <v>45473</v>
      </c>
      <c r="AC57" s="4">
        <f>VLOOKUP(A57,'RE Tax'!$A$2:$G$206,7,FALSE)</f>
        <v>0</v>
      </c>
      <c r="AD57" s="4">
        <f>VLOOKUP($A57,'RE Tax'!$A$2:$I$206,9,FALSE)</f>
        <v>33578</v>
      </c>
      <c r="AE57" s="4">
        <f>VLOOKUP($A57,'RE Tax'!$A$2:$I$206,8,FALSE)</f>
        <v>19778</v>
      </c>
      <c r="AF57" s="142">
        <f>IF(ISNA(VLOOKUP(A57&amp;AB57,'Days Exceptions'!$C$3:$I$7,6,FALSE)),ROUND(AC57/MAX(AE57,(AD57*Min_Occ)),2),ROUND(AC57/VLOOKUP(A57&amp;AB57,'Days Exceptions'!$C$3:$I$7,6,FALSE),2))</f>
        <v>0</v>
      </c>
      <c r="AG57" s="68">
        <v>0</v>
      </c>
      <c r="AH57" s="68">
        <f t="shared" si="40"/>
        <v>0</v>
      </c>
      <c r="AI57" s="4">
        <v>0</v>
      </c>
      <c r="AJ57" s="4">
        <v>0</v>
      </c>
      <c r="AK57" s="68">
        <f>IF(AI57=0,0,IF(ISNA(MATCH(A57,Documentation!$B$66:$B$71,0)),QA_Tax_reg,QA_Tax_5high))</f>
        <v>0</v>
      </c>
      <c r="AL57" s="75">
        <f t="shared" si="41"/>
        <v>0</v>
      </c>
      <c r="AM57" s="68">
        <f t="shared" si="42"/>
        <v>348.07</v>
      </c>
      <c r="AN57" s="68">
        <f t="shared" si="43"/>
        <v>259.52</v>
      </c>
      <c r="AO57" s="68">
        <f t="shared" si="44"/>
        <v>170.97</v>
      </c>
      <c r="AP57" s="37" t="s">
        <v>73</v>
      </c>
      <c r="AQ57" s="37" t="s">
        <v>201</v>
      </c>
      <c r="AR57" s="37" t="s">
        <v>1010</v>
      </c>
      <c r="AS57" s="66" t="e">
        <f>VLOOKUP(A57,'CMI Data'!$A$3:$J$209,10,FALSE)</f>
        <v>#DIV/0!</v>
      </c>
      <c r="AT57" s="68">
        <f t="shared" si="3"/>
        <v>174.38</v>
      </c>
      <c r="AU57" s="68" t="e">
        <f t="shared" si="4"/>
        <v>#DIV/0!</v>
      </c>
      <c r="AV57" s="75" t="e">
        <f t="shared" si="45"/>
        <v>#DIV/0!</v>
      </c>
      <c r="AW57" s="68" t="e">
        <f>IF($I57="NA","NA",ROUND(#REF!*$AS57/$I57,2))</f>
        <v>#REF!</v>
      </c>
      <c r="AX57" s="75" t="e">
        <f t="shared" ref="AX57:AX120" si="57">IF(AW57="NA","NA",MIN(AW57-AV57,0))</f>
        <v>#REF!</v>
      </c>
      <c r="AY57" s="68" t="e">
        <f t="shared" si="47"/>
        <v>#REF!</v>
      </c>
      <c r="AZ57" s="4">
        <f t="shared" si="5"/>
        <v>0</v>
      </c>
      <c r="BA57" s="4">
        <f t="shared" si="6"/>
        <v>33578</v>
      </c>
      <c r="BB57" s="4">
        <f t="shared" si="7"/>
        <v>19778</v>
      </c>
      <c r="BC57" s="142">
        <f>IF(ISNA(VLOOKUP($A57&amp;$AB57,'Days Exceptions'!$C$3:$I$7,6,FALSE)),ROUND(AZ57/MAX(BB57,(BA57*Min_Occ)),2),ROUND(AZ57/VLOOKUP($A57&amp;$AB57,'Days Exceptions'!$C$3:$I$7,6,FALSE),2))</f>
        <v>0</v>
      </c>
      <c r="BD57" s="143" t="e">
        <f t="shared" si="8"/>
        <v>#REF!</v>
      </c>
      <c r="BE57" s="143" t="e">
        <f t="shared" si="9"/>
        <v>#REF!</v>
      </c>
      <c r="BF57" s="143">
        <f t="shared" si="10"/>
        <v>167.16</v>
      </c>
      <c r="BG57" s="37" t="s">
        <v>73</v>
      </c>
      <c r="BH57" s="37" t="s">
        <v>201</v>
      </c>
      <c r="BI57" s="37" t="s">
        <v>1214</v>
      </c>
      <c r="BJ57" s="66" t="e">
        <f>VLOOKUP(A57,'CMI Data'!$A$3:$AZ$209,15,FALSE)</f>
        <v>#DIV/0!</v>
      </c>
      <c r="BK57" s="68">
        <f t="shared" si="11"/>
        <v>174.38</v>
      </c>
      <c r="BL57" s="68" t="e">
        <f t="shared" si="12"/>
        <v>#DIV/0!</v>
      </c>
      <c r="BM57" s="75" t="e">
        <f t="shared" si="13"/>
        <v>#DIV/0!</v>
      </c>
      <c r="BN57" s="68" t="e">
        <f>IF($I57="NA","NA",ROUND(#REF!*$BJ57/$I57,2))</f>
        <v>#REF!</v>
      </c>
      <c r="BO57" s="75" t="e">
        <f t="shared" si="14"/>
        <v>#REF!</v>
      </c>
      <c r="BP57" s="68" t="e">
        <f t="shared" si="48"/>
        <v>#REF!</v>
      </c>
      <c r="BQ57" s="4">
        <f t="shared" si="15"/>
        <v>0</v>
      </c>
      <c r="BR57" s="4">
        <f t="shared" si="16"/>
        <v>33578</v>
      </c>
      <c r="BS57" s="4">
        <f t="shared" si="17"/>
        <v>19778</v>
      </c>
      <c r="BT57" s="142">
        <f>IF(ISNA(VLOOKUP($A57&amp;$AB57,'Days Exceptions'!$C$3:$I$7,6,FALSE)),ROUND(BQ57/MAX(BS57,(BR57*Min_Occ)),2),ROUND(BQ57/VLOOKUP($A57&amp;$AB57,'Days Exceptions'!$C$3:$I$7,6,FALSE),2))</f>
        <v>0</v>
      </c>
      <c r="BU57" s="143" t="e">
        <f t="shared" si="18"/>
        <v>#REF!</v>
      </c>
      <c r="BV57" s="143" t="e">
        <f t="shared" si="19"/>
        <v>#REF!</v>
      </c>
      <c r="BW57" s="143">
        <f t="shared" si="20"/>
        <v>167.16</v>
      </c>
      <c r="BX57" s="37" t="s">
        <v>73</v>
      </c>
      <c r="BY57" s="37" t="s">
        <v>201</v>
      </c>
      <c r="BZ57" s="37" t="s">
        <v>1472</v>
      </c>
      <c r="CA57" s="66" t="e">
        <f>VLOOKUP(A57,'CMI Data'!$A$3:$AZ$209,20,FALSE)</f>
        <v>#DIV/0!</v>
      </c>
      <c r="CB57" s="68">
        <f t="shared" si="21"/>
        <v>174.38</v>
      </c>
      <c r="CC57" s="68" t="e">
        <f t="shared" si="22"/>
        <v>#DIV/0!</v>
      </c>
      <c r="CD57" s="75" t="e">
        <f t="shared" si="49"/>
        <v>#DIV/0!</v>
      </c>
      <c r="CE57" s="68" t="e">
        <f>IF($I57="NA","NA",ROUND(#REF!*$CA57/$I57,2))</f>
        <v>#REF!</v>
      </c>
      <c r="CF57" s="75" t="e">
        <f t="shared" si="23"/>
        <v>#REF!</v>
      </c>
      <c r="CG57" s="68" t="e">
        <f t="shared" si="24"/>
        <v>#REF!</v>
      </c>
      <c r="CH57" s="4">
        <f t="shared" si="25"/>
        <v>0</v>
      </c>
      <c r="CI57" s="4">
        <f t="shared" si="26"/>
        <v>33578</v>
      </c>
      <c r="CJ57" s="4">
        <f t="shared" si="27"/>
        <v>19778</v>
      </c>
      <c r="CK57" s="142">
        <f>IF(ISNA(VLOOKUP($A57&amp;$AB57,'Days Exceptions'!$C$3:$I$7,6,FALSE)),ROUND(CH57/MAX(CJ57,(CI57*Min_Occ)),2),ROUND(CH57/VLOOKUP($A57&amp;$AB57,'Days Exceptions'!$C$3:$I$7,6,FALSE),2))</f>
        <v>0</v>
      </c>
      <c r="CL57" s="143" t="e">
        <f t="shared" si="28"/>
        <v>#REF!</v>
      </c>
      <c r="CM57" s="143" t="e">
        <f t="shared" si="29"/>
        <v>#REF!</v>
      </c>
      <c r="CN57" s="143">
        <f t="shared" si="30"/>
        <v>167.16</v>
      </c>
      <c r="CO57" s="37" t="s">
        <v>73</v>
      </c>
      <c r="CP57" s="37" t="s">
        <v>201</v>
      </c>
      <c r="CQ57" s="37" t="s">
        <v>1473</v>
      </c>
    </row>
    <row r="58" spans="1:95" x14ac:dyDescent="0.15">
      <c r="A58" s="130">
        <v>86</v>
      </c>
      <c r="B58" s="37" t="s">
        <v>707</v>
      </c>
      <c r="C58" s="1" t="s">
        <v>148</v>
      </c>
      <c r="D58" s="1" t="s">
        <v>102</v>
      </c>
      <c r="E58" s="1" t="str">
        <f>VLOOKUP(D58,Documentation!$B$4:$D$27,3,FALSE)</f>
        <v>BALTIMORE METRO</v>
      </c>
      <c r="F58" s="1" t="str">
        <f>VLOOKUP(D58,Documentation!$B$4:$C$27,2,FALSE)</f>
        <v>BALTIMORE CITY</v>
      </c>
      <c r="G58" s="82">
        <f>VLOOKUP(A58,'2022 CR and CMI'!$A$3:$D$207,3,FALSE)</f>
        <v>44562</v>
      </c>
      <c r="H58" s="82">
        <f>VLOOKUP(A58,'2022 CR and CMI'!$A$3:$D$207,4,FALSE)</f>
        <v>44926</v>
      </c>
      <c r="I58" s="72">
        <f>VLOOKUP(A58,'2022 CR and CMI'!$A$2:$T$210,19,FALSE)</f>
        <v>1.4583999999999999</v>
      </c>
      <c r="J58" s="139">
        <f>Inflation!$G$24</f>
        <v>1.0309999999999999</v>
      </c>
      <c r="K58" s="192">
        <f>VLOOKUP(E58,Limits!$B$2:$D$5,3,FALSE)</f>
        <v>195.33</v>
      </c>
      <c r="L58" s="192">
        <f t="shared" si="31"/>
        <v>201.39</v>
      </c>
      <c r="M58" s="140">
        <f>VLOOKUP(A58,'CMI Data'!$A$4:$C$208,3,FALSE)</f>
        <v>1.3255999999999999</v>
      </c>
      <c r="N58" s="68">
        <f t="shared" si="2"/>
        <v>203.51</v>
      </c>
      <c r="O58" s="68">
        <f t="shared" si="32"/>
        <v>184.98</v>
      </c>
      <c r="P58" s="75">
        <f t="shared" si="33"/>
        <v>175.73</v>
      </c>
      <c r="Q58" s="75">
        <v>149.63</v>
      </c>
      <c r="R58" s="75">
        <f t="shared" si="34"/>
        <v>154.27000000000001</v>
      </c>
      <c r="S58" s="68">
        <f t="shared" si="35"/>
        <v>140.22</v>
      </c>
      <c r="T58" s="75">
        <f t="shared" si="36"/>
        <v>-35.51</v>
      </c>
      <c r="U58" s="68">
        <f t="shared" si="37"/>
        <v>149.47</v>
      </c>
      <c r="V58" s="68">
        <f>VLOOKUP($F58,Limits!$J$2:$L$5,3,FALSE)</f>
        <v>24.89</v>
      </c>
      <c r="W58" s="68">
        <f t="shared" si="38"/>
        <v>25.66</v>
      </c>
      <c r="X58" s="68">
        <f>VLOOKUP($F58,Limits!$R$2:$T$5,3,FALSE)</f>
        <v>114.15</v>
      </c>
      <c r="Y58" s="68">
        <f t="shared" si="39"/>
        <v>117.69</v>
      </c>
      <c r="Z58" s="75">
        <f>VLOOKUP(A58,FRV!$A$4:$U$208,21,FALSE)</f>
        <v>32.43</v>
      </c>
      <c r="AA58" s="141">
        <f>VLOOKUP(A58,'RE Tax'!$A$2:$G$206,3,FALSE)</f>
        <v>45292</v>
      </c>
      <c r="AB58" s="141">
        <f>VLOOKUP(A58,'RE Tax'!$A$2:$G$206,4,FALSE)</f>
        <v>45657</v>
      </c>
      <c r="AC58" s="4">
        <f>VLOOKUP(A58,'RE Tax'!$A$2:$G$206,7,FALSE)</f>
        <v>422356</v>
      </c>
      <c r="AD58" s="4">
        <f>VLOOKUP($A58,'RE Tax'!$A$2:$I$206,9,FALSE)</f>
        <v>51240</v>
      </c>
      <c r="AE58" s="4">
        <f>VLOOKUP($A58,'RE Tax'!$A$2:$I$206,8,FALSE)</f>
        <v>31683</v>
      </c>
      <c r="AF58" s="142">
        <f>IF(ISNA(VLOOKUP(A58&amp;AB58,'Days Exceptions'!$C$3:$I$7,6,FALSE)),ROUND(AC58/MAX(AE58,(AD58*Min_Occ)),2),ROUND(AC58/VLOOKUP(A58&amp;AB58,'Days Exceptions'!$C$3:$I$7,6,FALSE),2))</f>
        <v>10.11</v>
      </c>
      <c r="AG58" s="68">
        <v>0</v>
      </c>
      <c r="AH58" s="68">
        <f t="shared" si="40"/>
        <v>0</v>
      </c>
      <c r="AI58" s="4">
        <v>30045</v>
      </c>
      <c r="AJ58" s="4">
        <v>31683</v>
      </c>
      <c r="AK58" s="68">
        <f>IF(AI58=0,0,IF(ISNA(MATCH(A58,Documentation!$B$66:$B$71,0)),QA_Tax_reg,QA_Tax_5high))</f>
        <v>32.92</v>
      </c>
      <c r="AL58" s="75">
        <f t="shared" si="41"/>
        <v>31.22</v>
      </c>
      <c r="AM58" s="68">
        <f t="shared" si="42"/>
        <v>335.36</v>
      </c>
      <c r="AN58" s="68">
        <f t="shared" si="43"/>
        <v>260.63</v>
      </c>
      <c r="AO58" s="68">
        <f t="shared" si="44"/>
        <v>185.89</v>
      </c>
      <c r="AP58" s="37" t="s">
        <v>706</v>
      </c>
      <c r="AQ58" s="37" t="s">
        <v>707</v>
      </c>
      <c r="AR58" s="37" t="s">
        <v>1011</v>
      </c>
      <c r="AS58" s="66" t="e">
        <f>VLOOKUP(A58,'CMI Data'!$A$3:$J$209,10,FALSE)</f>
        <v>#DIV/0!</v>
      </c>
      <c r="AT58" s="68">
        <f t="shared" si="3"/>
        <v>197.39</v>
      </c>
      <c r="AU58" s="68" t="e">
        <f t="shared" si="4"/>
        <v>#DIV/0!</v>
      </c>
      <c r="AV58" s="75" t="e">
        <f t="shared" si="45"/>
        <v>#DIV/0!</v>
      </c>
      <c r="AW58" s="68" t="e">
        <f>IF($I58="NA","NA",ROUND(#REF!*$AS58/$I58,2))</f>
        <v>#REF!</v>
      </c>
      <c r="AX58" s="75" t="e">
        <f t="shared" si="57"/>
        <v>#REF!</v>
      </c>
      <c r="AY58" s="68" t="e">
        <f t="shared" si="47"/>
        <v>#REF!</v>
      </c>
      <c r="AZ58" s="4">
        <f t="shared" si="5"/>
        <v>422356</v>
      </c>
      <c r="BA58" s="4">
        <f t="shared" si="6"/>
        <v>51240</v>
      </c>
      <c r="BB58" s="4">
        <f t="shared" si="7"/>
        <v>31683</v>
      </c>
      <c r="BC58" s="142">
        <f>IF(ISNA(VLOOKUP($A58&amp;$AB58,'Days Exceptions'!$C$3:$I$7,6,FALSE)),ROUND(AZ58/MAX(BB58,(BA58*Min_Occ)),2),ROUND(AZ58/VLOOKUP($A58&amp;$AB58,'Days Exceptions'!$C$3:$I$7,6,FALSE),2))</f>
        <v>10.11</v>
      </c>
      <c r="BD58" s="143" t="e">
        <f t="shared" si="8"/>
        <v>#REF!</v>
      </c>
      <c r="BE58" s="143" t="e">
        <f t="shared" si="9"/>
        <v>#REF!</v>
      </c>
      <c r="BF58" s="143">
        <f t="shared" si="10"/>
        <v>181.58</v>
      </c>
      <c r="BG58" s="37" t="s">
        <v>706</v>
      </c>
      <c r="BH58" s="37" t="s">
        <v>707</v>
      </c>
      <c r="BI58" s="37" t="s">
        <v>1215</v>
      </c>
      <c r="BJ58" s="66" t="e">
        <f>VLOOKUP(A58,'CMI Data'!$A$3:$AZ$209,15,FALSE)</f>
        <v>#DIV/0!</v>
      </c>
      <c r="BK58" s="68">
        <f t="shared" si="11"/>
        <v>197.39</v>
      </c>
      <c r="BL58" s="68" t="e">
        <f t="shared" si="12"/>
        <v>#DIV/0!</v>
      </c>
      <c r="BM58" s="75" t="e">
        <f t="shared" si="13"/>
        <v>#DIV/0!</v>
      </c>
      <c r="BN58" s="68" t="e">
        <f>IF($I58="NA","NA",ROUND(#REF!*$BJ58/$I58,2))</f>
        <v>#REF!</v>
      </c>
      <c r="BO58" s="75" t="e">
        <f t="shared" si="14"/>
        <v>#REF!</v>
      </c>
      <c r="BP58" s="68" t="e">
        <f t="shared" si="48"/>
        <v>#REF!</v>
      </c>
      <c r="BQ58" s="4">
        <f t="shared" si="15"/>
        <v>422356</v>
      </c>
      <c r="BR58" s="4">
        <f t="shared" si="16"/>
        <v>51240</v>
      </c>
      <c r="BS58" s="4">
        <f t="shared" si="17"/>
        <v>31683</v>
      </c>
      <c r="BT58" s="142">
        <f>IF(ISNA(VLOOKUP($A58&amp;$AB58,'Days Exceptions'!$C$3:$I$7,6,FALSE)),ROUND(BQ58/MAX(BS58,(BR58*Min_Occ)),2),ROUND(BQ58/VLOOKUP($A58&amp;$AB58,'Days Exceptions'!$C$3:$I$7,6,FALSE),2))</f>
        <v>10.11</v>
      </c>
      <c r="BU58" s="143" t="e">
        <f t="shared" si="18"/>
        <v>#REF!</v>
      </c>
      <c r="BV58" s="143" t="e">
        <f t="shared" si="19"/>
        <v>#REF!</v>
      </c>
      <c r="BW58" s="143">
        <f t="shared" si="20"/>
        <v>181.58</v>
      </c>
      <c r="BX58" s="37" t="s">
        <v>706</v>
      </c>
      <c r="BY58" s="37" t="s">
        <v>707</v>
      </c>
      <c r="BZ58" s="37" t="s">
        <v>1474</v>
      </c>
      <c r="CA58" s="66" t="e">
        <f>VLOOKUP(A58,'CMI Data'!$A$3:$AZ$209,20,FALSE)</f>
        <v>#DIV/0!</v>
      </c>
      <c r="CB58" s="68">
        <f t="shared" si="21"/>
        <v>197.39</v>
      </c>
      <c r="CC58" s="68" t="e">
        <f t="shared" si="22"/>
        <v>#DIV/0!</v>
      </c>
      <c r="CD58" s="75" t="e">
        <f t="shared" si="49"/>
        <v>#DIV/0!</v>
      </c>
      <c r="CE58" s="68" t="e">
        <f>IF($I58="NA","NA",ROUND(#REF!*$CA58/$I58,2))</f>
        <v>#REF!</v>
      </c>
      <c r="CF58" s="75" t="e">
        <f t="shared" si="23"/>
        <v>#REF!</v>
      </c>
      <c r="CG58" s="68" t="e">
        <f t="shared" si="24"/>
        <v>#REF!</v>
      </c>
      <c r="CH58" s="4">
        <f t="shared" si="25"/>
        <v>422356</v>
      </c>
      <c r="CI58" s="4">
        <f t="shared" si="26"/>
        <v>51240</v>
      </c>
      <c r="CJ58" s="4">
        <f t="shared" si="27"/>
        <v>31683</v>
      </c>
      <c r="CK58" s="142">
        <f>IF(ISNA(VLOOKUP($A58&amp;$AB58,'Days Exceptions'!$C$3:$I$7,6,FALSE)),ROUND(CH58/MAX(CJ58,(CI58*Min_Occ)),2),ROUND(CH58/VLOOKUP($A58&amp;$AB58,'Days Exceptions'!$C$3:$I$7,6,FALSE),2))</f>
        <v>10.11</v>
      </c>
      <c r="CL58" s="143" t="e">
        <f t="shared" si="28"/>
        <v>#REF!</v>
      </c>
      <c r="CM58" s="143" t="e">
        <f t="shared" si="29"/>
        <v>#REF!</v>
      </c>
      <c r="CN58" s="143">
        <f t="shared" si="30"/>
        <v>181.58</v>
      </c>
      <c r="CO58" s="37" t="s">
        <v>706</v>
      </c>
      <c r="CP58" s="37" t="s">
        <v>707</v>
      </c>
      <c r="CQ58" s="37" t="s">
        <v>1475</v>
      </c>
    </row>
    <row r="59" spans="1:95" x14ac:dyDescent="0.15">
      <c r="A59" s="130">
        <v>90</v>
      </c>
      <c r="B59" s="37" t="s">
        <v>379</v>
      </c>
      <c r="C59" s="1" t="s">
        <v>148</v>
      </c>
      <c r="D59" s="1" t="s">
        <v>107</v>
      </c>
      <c r="E59" s="1" t="str">
        <f>VLOOKUP(D59,Documentation!$B$4:$D$27,3,FALSE)</f>
        <v>BALTIMORE METRO</v>
      </c>
      <c r="F59" s="1" t="str">
        <f>VLOOKUP(D59,Documentation!$B$4:$C$27,2,FALSE)</f>
        <v>BALTIMORE METRO</v>
      </c>
      <c r="G59" s="82">
        <f>VLOOKUP(A59,'2022 CR and CMI'!$A$3:$D$207,3,FALSE)</f>
        <v>44562</v>
      </c>
      <c r="H59" s="82">
        <f>VLOOKUP(A59,'2022 CR and CMI'!$A$3:$D$207,4,FALSE)</f>
        <v>44926</v>
      </c>
      <c r="I59" s="72">
        <f>VLOOKUP(A59,'2022 CR and CMI'!$A$2:$T$210,19,FALSE)</f>
        <v>1.2682</v>
      </c>
      <c r="J59" s="139">
        <f>Inflation!$G$24</f>
        <v>1.0309999999999999</v>
      </c>
      <c r="K59" s="192">
        <f>VLOOKUP(E59,Limits!$B$2:$D$5,3,FALSE)</f>
        <v>195.33</v>
      </c>
      <c r="L59" s="192">
        <f t="shared" si="31"/>
        <v>201.39</v>
      </c>
      <c r="M59" s="140">
        <f>VLOOKUP(A59,'CMI Data'!$A$4:$C$208,3,FALSE)</f>
        <v>1.2870999999999999</v>
      </c>
      <c r="N59" s="68">
        <f t="shared" si="2"/>
        <v>176.97</v>
      </c>
      <c r="O59" s="68">
        <f t="shared" si="32"/>
        <v>179.61</v>
      </c>
      <c r="P59" s="75">
        <f t="shared" si="33"/>
        <v>170.63</v>
      </c>
      <c r="Q59" s="75">
        <v>149.53</v>
      </c>
      <c r="R59" s="75">
        <f t="shared" si="34"/>
        <v>154.16999999999999</v>
      </c>
      <c r="S59" s="68">
        <f t="shared" si="35"/>
        <v>156.47</v>
      </c>
      <c r="T59" s="75">
        <f t="shared" si="36"/>
        <v>-14.16</v>
      </c>
      <c r="U59" s="68">
        <f t="shared" si="37"/>
        <v>165.45</v>
      </c>
      <c r="V59" s="68">
        <f>VLOOKUP($F59,Limits!$J$2:$L$5,3,FALSE)</f>
        <v>20.85</v>
      </c>
      <c r="W59" s="68">
        <f t="shared" si="38"/>
        <v>21.5</v>
      </c>
      <c r="X59" s="68">
        <f>VLOOKUP($F59,Limits!$R$2:$T$5,3,FALSE)</f>
        <v>102.02</v>
      </c>
      <c r="Y59" s="68">
        <f t="shared" si="39"/>
        <v>105.18</v>
      </c>
      <c r="Z59" s="75">
        <f>VLOOKUP(A59,FRV!$A$4:$U$208,21,FALSE)</f>
        <v>33.58</v>
      </c>
      <c r="AA59" s="141">
        <f>VLOOKUP(A59,'RE Tax'!$A$2:$G$206,3,FALSE)</f>
        <v>45292</v>
      </c>
      <c r="AB59" s="141">
        <f>VLOOKUP(A59,'RE Tax'!$A$2:$G$206,4,FALSE)</f>
        <v>45657</v>
      </c>
      <c r="AC59" s="4">
        <f>VLOOKUP(A59,'RE Tax'!$A$2:$G$206,7,FALSE)</f>
        <v>54407</v>
      </c>
      <c r="AD59" s="4">
        <f>VLOOKUP($A59,'RE Tax'!$A$2:$I$206,9,FALSE)</f>
        <v>23058</v>
      </c>
      <c r="AE59" s="4">
        <f>VLOOKUP($A59,'RE Tax'!$A$2:$I$206,8,FALSE)</f>
        <v>19287</v>
      </c>
      <c r="AF59" s="142">
        <f>IF(ISNA(VLOOKUP(A59&amp;AB59,'Days Exceptions'!$C$3:$I$7,6,FALSE)),ROUND(AC59/MAX(AE59,(AD59*Min_Occ)),2),ROUND(AC59/VLOOKUP(A59&amp;AB59,'Days Exceptions'!$C$3:$I$7,6,FALSE),2))</f>
        <v>2.82</v>
      </c>
      <c r="AG59" s="68">
        <v>0</v>
      </c>
      <c r="AH59" s="68">
        <f t="shared" si="40"/>
        <v>0</v>
      </c>
      <c r="AI59" s="4">
        <v>17410</v>
      </c>
      <c r="AJ59" s="4">
        <v>19191</v>
      </c>
      <c r="AK59" s="68">
        <f>IF(AI59=0,0,IF(ISNA(MATCH(A59,Documentation!$B$66:$B$71,0)),QA_Tax_reg,QA_Tax_5high))</f>
        <v>32.92</v>
      </c>
      <c r="AL59" s="75">
        <f t="shared" si="41"/>
        <v>29.86</v>
      </c>
      <c r="AM59" s="68">
        <f t="shared" si="42"/>
        <v>328.53</v>
      </c>
      <c r="AN59" s="68">
        <f t="shared" si="43"/>
        <v>245.81</v>
      </c>
      <c r="AO59" s="68">
        <f t="shared" si="44"/>
        <v>163.08000000000001</v>
      </c>
      <c r="AP59" s="37" t="s">
        <v>489</v>
      </c>
      <c r="AQ59" s="37" t="s">
        <v>379</v>
      </c>
      <c r="AR59" s="37" t="s">
        <v>1012</v>
      </c>
      <c r="AS59" s="66" t="e">
        <f>VLOOKUP(A59,'CMI Data'!$A$3:$J$209,10,FALSE)</f>
        <v>#DIV/0!</v>
      </c>
      <c r="AT59" s="68">
        <f t="shared" si="3"/>
        <v>171.64</v>
      </c>
      <c r="AU59" s="68" t="e">
        <f t="shared" si="4"/>
        <v>#DIV/0!</v>
      </c>
      <c r="AV59" s="75" t="e">
        <f t="shared" si="45"/>
        <v>#DIV/0!</v>
      </c>
      <c r="AW59" s="68" t="e">
        <f>IF($I59="NA","NA",ROUND(#REF!*$AS59/$I59,2))</f>
        <v>#REF!</v>
      </c>
      <c r="AX59" s="75" t="e">
        <f>IF(AW59="NA","NA",MIN(AW59-AV59,0))</f>
        <v>#REF!</v>
      </c>
      <c r="AY59" s="68" t="e">
        <f t="shared" si="47"/>
        <v>#REF!</v>
      </c>
      <c r="AZ59" s="4">
        <f t="shared" si="5"/>
        <v>54407</v>
      </c>
      <c r="BA59" s="4">
        <f t="shared" si="6"/>
        <v>23058</v>
      </c>
      <c r="BB59" s="4">
        <f t="shared" si="7"/>
        <v>19287</v>
      </c>
      <c r="BC59" s="142">
        <f>IF(ISNA(VLOOKUP($A59&amp;$AB59,'Days Exceptions'!$C$3:$I$7,6,FALSE)),ROUND(AZ59/MAX(BB59,(BA59*Min_Occ)),2),ROUND(AZ59/VLOOKUP($A59&amp;$AB59,'Days Exceptions'!$C$3:$I$7,6,FALSE),2))</f>
        <v>2.82</v>
      </c>
      <c r="BD59" s="143" t="e">
        <f t="shared" si="8"/>
        <v>#REF!</v>
      </c>
      <c r="BE59" s="143" t="e">
        <f t="shared" si="9"/>
        <v>#REF!</v>
      </c>
      <c r="BF59" s="143">
        <f t="shared" si="10"/>
        <v>159.27000000000001</v>
      </c>
      <c r="BG59" s="37" t="s">
        <v>489</v>
      </c>
      <c r="BH59" s="37" t="s">
        <v>379</v>
      </c>
      <c r="BI59" s="37" t="s">
        <v>1216</v>
      </c>
      <c r="BJ59" s="66" t="e">
        <f>VLOOKUP(A59,'CMI Data'!$A$3:$AZ$209,15,FALSE)</f>
        <v>#DIV/0!</v>
      </c>
      <c r="BK59" s="68">
        <f t="shared" si="11"/>
        <v>171.64</v>
      </c>
      <c r="BL59" s="68" t="e">
        <f t="shared" si="12"/>
        <v>#DIV/0!</v>
      </c>
      <c r="BM59" s="75" t="e">
        <f t="shared" si="13"/>
        <v>#DIV/0!</v>
      </c>
      <c r="BN59" s="68" t="e">
        <f>IF($I59="NA","NA",ROUND(#REF!*$BJ59/$I59,2))</f>
        <v>#REF!</v>
      </c>
      <c r="BO59" s="75" t="e">
        <f t="shared" si="14"/>
        <v>#REF!</v>
      </c>
      <c r="BP59" s="68" t="e">
        <f t="shared" si="48"/>
        <v>#REF!</v>
      </c>
      <c r="BQ59" s="4">
        <f t="shared" si="15"/>
        <v>54407</v>
      </c>
      <c r="BR59" s="4">
        <f t="shared" si="16"/>
        <v>23058</v>
      </c>
      <c r="BS59" s="4">
        <f t="shared" si="17"/>
        <v>19287</v>
      </c>
      <c r="BT59" s="142">
        <f>IF(ISNA(VLOOKUP($A59&amp;$AB59,'Days Exceptions'!$C$3:$I$7,6,FALSE)),ROUND(BQ59/MAX(BS59,(BR59*Min_Occ)),2),ROUND(BQ59/VLOOKUP($A59&amp;$AB59,'Days Exceptions'!$C$3:$I$7,6,FALSE),2))</f>
        <v>2.82</v>
      </c>
      <c r="BU59" s="143" t="e">
        <f t="shared" si="18"/>
        <v>#REF!</v>
      </c>
      <c r="BV59" s="143" t="e">
        <f t="shared" si="19"/>
        <v>#REF!</v>
      </c>
      <c r="BW59" s="143">
        <f t="shared" si="20"/>
        <v>159.27000000000001</v>
      </c>
      <c r="BX59" s="37" t="s">
        <v>489</v>
      </c>
      <c r="BY59" s="37" t="s">
        <v>379</v>
      </c>
      <c r="BZ59" s="37" t="s">
        <v>1476</v>
      </c>
      <c r="CA59" s="66" t="e">
        <f>VLOOKUP(A59,'CMI Data'!$A$3:$AZ$209,20,FALSE)</f>
        <v>#DIV/0!</v>
      </c>
      <c r="CB59" s="68">
        <f t="shared" si="21"/>
        <v>171.64</v>
      </c>
      <c r="CC59" s="68" t="e">
        <f t="shared" si="22"/>
        <v>#DIV/0!</v>
      </c>
      <c r="CD59" s="75" t="e">
        <f t="shared" si="49"/>
        <v>#DIV/0!</v>
      </c>
      <c r="CE59" s="68" t="e">
        <f>IF($I59="NA","NA",ROUND(#REF!*$CA59/$I59,2))</f>
        <v>#REF!</v>
      </c>
      <c r="CF59" s="75" t="e">
        <f t="shared" si="23"/>
        <v>#REF!</v>
      </c>
      <c r="CG59" s="68" t="e">
        <f t="shared" si="24"/>
        <v>#REF!</v>
      </c>
      <c r="CH59" s="4">
        <f t="shared" si="25"/>
        <v>54407</v>
      </c>
      <c r="CI59" s="4">
        <f t="shared" si="26"/>
        <v>23058</v>
      </c>
      <c r="CJ59" s="4">
        <f t="shared" si="27"/>
        <v>19287</v>
      </c>
      <c r="CK59" s="142">
        <f>IF(ISNA(VLOOKUP($A59&amp;$AB59,'Days Exceptions'!$C$3:$I$7,6,FALSE)),ROUND(CH59/MAX(CJ59,(CI59*Min_Occ)),2),ROUND(CH59/VLOOKUP($A59&amp;$AB59,'Days Exceptions'!$C$3:$I$7,6,FALSE),2))</f>
        <v>2.82</v>
      </c>
      <c r="CL59" s="143" t="e">
        <f t="shared" si="28"/>
        <v>#REF!</v>
      </c>
      <c r="CM59" s="143" t="e">
        <f t="shared" si="29"/>
        <v>#REF!</v>
      </c>
      <c r="CN59" s="143">
        <f t="shared" si="30"/>
        <v>159.27000000000001</v>
      </c>
      <c r="CO59" s="37" t="s">
        <v>489</v>
      </c>
      <c r="CP59" s="37" t="s">
        <v>379</v>
      </c>
      <c r="CQ59" s="37" t="s">
        <v>1477</v>
      </c>
    </row>
    <row r="60" spans="1:95" x14ac:dyDescent="0.15">
      <c r="A60" s="130">
        <v>94</v>
      </c>
      <c r="B60" s="37" t="s">
        <v>220</v>
      </c>
      <c r="C60" s="1" t="s">
        <v>148</v>
      </c>
      <c r="D60" s="1" t="s">
        <v>107</v>
      </c>
      <c r="E60" s="1" t="str">
        <f>VLOOKUP(D60,Documentation!$B$4:$D$27,3,FALSE)</f>
        <v>BALTIMORE METRO</v>
      </c>
      <c r="F60" s="1" t="str">
        <f>VLOOKUP(D60,Documentation!$B$4:$C$27,2,FALSE)</f>
        <v>BALTIMORE METRO</v>
      </c>
      <c r="G60" s="82">
        <f>VLOOKUP(A60,'2022 CR and CMI'!$A$3:$D$207,3,FALSE)</f>
        <v>44562</v>
      </c>
      <c r="H60" s="82">
        <f>VLOOKUP(A60,'2022 CR and CMI'!$A$3:$D$207,4,FALSE)</f>
        <v>44926</v>
      </c>
      <c r="I60" s="72">
        <f>VLOOKUP(A60,'2022 CR and CMI'!$A$2:$T$210,19,FALSE)</f>
        <v>1.2459</v>
      </c>
      <c r="J60" s="139">
        <f>Inflation!$G$24</f>
        <v>1.0309999999999999</v>
      </c>
      <c r="K60" s="192">
        <f>VLOOKUP(E60,Limits!$B$2:$D$5,3,FALSE)</f>
        <v>195.33</v>
      </c>
      <c r="L60" s="192">
        <f t="shared" si="31"/>
        <v>201.39</v>
      </c>
      <c r="M60" s="140">
        <f>VLOOKUP(A60,'CMI Data'!$A$4:$C$208,3,FALSE)</f>
        <v>1.2488999999999999</v>
      </c>
      <c r="N60" s="68">
        <f t="shared" si="2"/>
        <v>173.86</v>
      </c>
      <c r="O60" s="68">
        <f t="shared" si="32"/>
        <v>174.28</v>
      </c>
      <c r="P60" s="75">
        <f t="shared" si="33"/>
        <v>165.57</v>
      </c>
      <c r="Q60" s="75">
        <v>261.51</v>
      </c>
      <c r="R60" s="75">
        <f t="shared" si="34"/>
        <v>269.62</v>
      </c>
      <c r="S60" s="68">
        <f t="shared" si="35"/>
        <v>270.27</v>
      </c>
      <c r="T60" s="75">
        <f t="shared" si="36"/>
        <v>0</v>
      </c>
      <c r="U60" s="68">
        <f t="shared" si="37"/>
        <v>174.28</v>
      </c>
      <c r="V60" s="68">
        <f>VLOOKUP($F60,Limits!$J$2:$L$5,3,FALSE)</f>
        <v>20.85</v>
      </c>
      <c r="W60" s="68">
        <f t="shared" si="38"/>
        <v>21.5</v>
      </c>
      <c r="X60" s="68">
        <f>VLOOKUP($F60,Limits!$R$2:$T$5,3,FALSE)</f>
        <v>102.02</v>
      </c>
      <c r="Y60" s="68">
        <f t="shared" si="39"/>
        <v>105.18</v>
      </c>
      <c r="Z60" s="75">
        <f>VLOOKUP(A60,FRV!$A$4:$U$208,21,FALSE)</f>
        <v>40.43</v>
      </c>
      <c r="AA60" s="141">
        <f>VLOOKUP(A60,'RE Tax'!$A$2:$G$206,3,FALSE)</f>
        <v>45292</v>
      </c>
      <c r="AB60" s="141">
        <f>VLOOKUP(A60,'RE Tax'!$A$2:$G$206,4,FALSE)</f>
        <v>45657</v>
      </c>
      <c r="AC60" s="4">
        <f>VLOOKUP(A60,'RE Tax'!$A$2:$G$206,7,FALSE)</f>
        <v>12595</v>
      </c>
      <c r="AD60" s="4">
        <f>VLOOKUP($A60,'RE Tax'!$A$2:$I$206,9,FALSE)</f>
        <v>37698</v>
      </c>
      <c r="AE60" s="4">
        <f>VLOOKUP($A60,'RE Tax'!$A$2:$I$206,8,FALSE)</f>
        <v>30719</v>
      </c>
      <c r="AF60" s="142">
        <f>IF(ISNA(VLOOKUP(A60&amp;AB60,'Days Exceptions'!$C$3:$I$7,6,FALSE)),ROUND(AC60/MAX(AE60,(AD60*Min_Occ)),2),ROUND(AC60/VLOOKUP(A60&amp;AB60,'Days Exceptions'!$C$3:$I$7,6,FALSE),2))</f>
        <v>0.41</v>
      </c>
      <c r="AG60" s="68">
        <v>0</v>
      </c>
      <c r="AH60" s="68">
        <f t="shared" si="40"/>
        <v>0</v>
      </c>
      <c r="AI60" s="4">
        <v>0</v>
      </c>
      <c r="AJ60" s="4">
        <v>0</v>
      </c>
      <c r="AK60" s="68">
        <f>IF(AI60=0,0,IF(ISNA(MATCH(A60,Documentation!$B$66:$B$71,0)),QA_Tax_reg,QA_Tax_5high))</f>
        <v>0</v>
      </c>
      <c r="AL60" s="75">
        <f t="shared" si="41"/>
        <v>0</v>
      </c>
      <c r="AM60" s="68">
        <f t="shared" si="42"/>
        <v>341.8</v>
      </c>
      <c r="AN60" s="68">
        <f t="shared" si="43"/>
        <v>254.66</v>
      </c>
      <c r="AO60" s="68">
        <f t="shared" si="44"/>
        <v>167.52</v>
      </c>
      <c r="AP60" s="37" t="s">
        <v>72</v>
      </c>
      <c r="AQ60" s="37" t="s">
        <v>220</v>
      </c>
      <c r="AR60" s="37" t="s">
        <v>1013</v>
      </c>
      <c r="AS60" s="66" t="e">
        <f>VLOOKUP(A60,'CMI Data'!$A$3:$J$209,10,FALSE)</f>
        <v>#DIV/0!</v>
      </c>
      <c r="AT60" s="68">
        <f t="shared" si="3"/>
        <v>168.63</v>
      </c>
      <c r="AU60" s="68" t="e">
        <f t="shared" si="4"/>
        <v>#DIV/0!</v>
      </c>
      <c r="AV60" s="75" t="e">
        <f t="shared" si="45"/>
        <v>#DIV/0!</v>
      </c>
      <c r="AW60" s="68" t="e">
        <f>IF($I60="NA","NA",ROUND(#REF!*$AS60/$I60,2))</f>
        <v>#REF!</v>
      </c>
      <c r="AX60" s="75" t="e">
        <f t="shared" si="57"/>
        <v>#REF!</v>
      </c>
      <c r="AY60" s="68" t="e">
        <f t="shared" si="47"/>
        <v>#REF!</v>
      </c>
      <c r="AZ60" s="4">
        <f t="shared" si="5"/>
        <v>12595</v>
      </c>
      <c r="BA60" s="4">
        <f t="shared" si="6"/>
        <v>37698</v>
      </c>
      <c r="BB60" s="4">
        <f t="shared" si="7"/>
        <v>30719</v>
      </c>
      <c r="BC60" s="142">
        <f>IF(ISNA(VLOOKUP($A60&amp;$AB60,'Days Exceptions'!$C$3:$I$7,6,FALSE)),ROUND(AZ60/MAX(BB60,(BA60*Min_Occ)),2),ROUND(AZ60/VLOOKUP($A60&amp;$AB60,'Days Exceptions'!$C$3:$I$7,6,FALSE),2))</f>
        <v>0.41</v>
      </c>
      <c r="BD60" s="143" t="e">
        <f t="shared" si="8"/>
        <v>#REF!</v>
      </c>
      <c r="BE60" s="143" t="e">
        <f t="shared" si="9"/>
        <v>#REF!</v>
      </c>
      <c r="BF60" s="143">
        <f t="shared" si="10"/>
        <v>163.71</v>
      </c>
      <c r="BG60" s="37" t="s">
        <v>72</v>
      </c>
      <c r="BH60" s="37" t="s">
        <v>220</v>
      </c>
      <c r="BI60" s="37" t="s">
        <v>1217</v>
      </c>
      <c r="BJ60" s="66" t="e">
        <f>VLOOKUP(A60,'CMI Data'!$A$3:$AZ$209,15,FALSE)</f>
        <v>#DIV/0!</v>
      </c>
      <c r="BK60" s="68">
        <f t="shared" si="11"/>
        <v>168.63</v>
      </c>
      <c r="BL60" s="68" t="e">
        <f t="shared" si="12"/>
        <v>#DIV/0!</v>
      </c>
      <c r="BM60" s="75" t="e">
        <f t="shared" si="13"/>
        <v>#DIV/0!</v>
      </c>
      <c r="BN60" s="68" t="e">
        <f>IF($I60="NA","NA",ROUND(#REF!*$BJ60/$I60,2))</f>
        <v>#REF!</v>
      </c>
      <c r="BO60" s="75" t="e">
        <f t="shared" si="14"/>
        <v>#REF!</v>
      </c>
      <c r="BP60" s="68" t="e">
        <f t="shared" si="48"/>
        <v>#REF!</v>
      </c>
      <c r="BQ60" s="4">
        <f t="shared" si="15"/>
        <v>12595</v>
      </c>
      <c r="BR60" s="4">
        <f t="shared" si="16"/>
        <v>37698</v>
      </c>
      <c r="BS60" s="4">
        <f t="shared" si="17"/>
        <v>30719</v>
      </c>
      <c r="BT60" s="142">
        <f>IF(ISNA(VLOOKUP($A60&amp;$AB60,'Days Exceptions'!$C$3:$I$7,6,FALSE)),ROUND(BQ60/MAX(BS60,(BR60*Min_Occ)),2),ROUND(BQ60/VLOOKUP($A60&amp;$AB60,'Days Exceptions'!$C$3:$I$7,6,FALSE),2))</f>
        <v>0.41</v>
      </c>
      <c r="BU60" s="143" t="e">
        <f t="shared" si="18"/>
        <v>#REF!</v>
      </c>
      <c r="BV60" s="143" t="e">
        <f t="shared" si="19"/>
        <v>#REF!</v>
      </c>
      <c r="BW60" s="143">
        <f t="shared" si="20"/>
        <v>163.71</v>
      </c>
      <c r="BX60" s="37" t="s">
        <v>72</v>
      </c>
      <c r="BY60" s="37" t="s">
        <v>220</v>
      </c>
      <c r="BZ60" s="37" t="s">
        <v>1478</v>
      </c>
      <c r="CA60" s="66" t="e">
        <f>VLOOKUP(A60,'CMI Data'!$A$3:$AZ$209,20,FALSE)</f>
        <v>#DIV/0!</v>
      </c>
      <c r="CB60" s="68">
        <f t="shared" si="21"/>
        <v>168.63</v>
      </c>
      <c r="CC60" s="68" t="e">
        <f t="shared" si="22"/>
        <v>#DIV/0!</v>
      </c>
      <c r="CD60" s="75" t="e">
        <f t="shared" si="49"/>
        <v>#DIV/0!</v>
      </c>
      <c r="CE60" s="68" t="e">
        <f>IF($I60="NA","NA",ROUND(#REF!*$CA60/$I60,2))</f>
        <v>#REF!</v>
      </c>
      <c r="CF60" s="75" t="e">
        <f t="shared" si="23"/>
        <v>#REF!</v>
      </c>
      <c r="CG60" s="68" t="e">
        <f t="shared" si="24"/>
        <v>#REF!</v>
      </c>
      <c r="CH60" s="4">
        <f t="shared" si="25"/>
        <v>12595</v>
      </c>
      <c r="CI60" s="4">
        <f t="shared" si="26"/>
        <v>37698</v>
      </c>
      <c r="CJ60" s="4">
        <f t="shared" si="27"/>
        <v>30719</v>
      </c>
      <c r="CK60" s="142">
        <f>IF(ISNA(VLOOKUP($A60&amp;$AB60,'Days Exceptions'!$C$3:$I$7,6,FALSE)),ROUND(CH60/MAX(CJ60,(CI60*Min_Occ)),2),ROUND(CH60/VLOOKUP($A60&amp;$AB60,'Days Exceptions'!$C$3:$I$7,6,FALSE),2))</f>
        <v>0.41</v>
      </c>
      <c r="CL60" s="143" t="e">
        <f t="shared" si="28"/>
        <v>#REF!</v>
      </c>
      <c r="CM60" s="143" t="e">
        <f t="shared" si="29"/>
        <v>#REF!</v>
      </c>
      <c r="CN60" s="143">
        <f t="shared" si="30"/>
        <v>163.71</v>
      </c>
      <c r="CO60" s="37" t="s">
        <v>72</v>
      </c>
      <c r="CP60" s="37" t="s">
        <v>220</v>
      </c>
      <c r="CQ60" s="37" t="s">
        <v>1479</v>
      </c>
    </row>
    <row r="61" spans="1:95" x14ac:dyDescent="0.15">
      <c r="A61" s="130">
        <v>677</v>
      </c>
      <c r="B61" s="37" t="s">
        <v>655</v>
      </c>
      <c r="C61" s="1" t="s">
        <v>148</v>
      </c>
      <c r="D61" s="1" t="s">
        <v>122</v>
      </c>
      <c r="E61" s="1" t="str">
        <f>VLOOKUP(D61,Documentation!$B$4:$D$27,3,FALSE)</f>
        <v>WASHINGTON METRO</v>
      </c>
      <c r="F61" s="1" t="str">
        <f>VLOOKUP(D61,Documentation!$B$4:$C$27,2,FALSE)</f>
        <v>NON METRO</v>
      </c>
      <c r="G61" s="82">
        <f>VLOOKUP(A61,'2022 CR and CMI'!$A$3:$D$207,3,FALSE)</f>
        <v>44562</v>
      </c>
      <c r="H61" s="82">
        <f>VLOOKUP(A61,'2022 CR and CMI'!$A$3:$D$207,4,FALSE)</f>
        <v>44865</v>
      </c>
      <c r="I61" s="72">
        <f>VLOOKUP(A61,'2022 CR and CMI'!$A$2:$T$210,19,FALSE)</f>
        <v>1.3778999999999999</v>
      </c>
      <c r="J61" s="139">
        <f>Inflation!$G$24</f>
        <v>1.0309999999999999</v>
      </c>
      <c r="K61" s="192">
        <f>VLOOKUP(E61,Limits!$B$2:$D$5,3,FALSE)</f>
        <v>176.01</v>
      </c>
      <c r="L61" s="192">
        <f t="shared" si="31"/>
        <v>181.47</v>
      </c>
      <c r="M61" s="140">
        <f>VLOOKUP(A61,'CMI Data'!$A$4:$C$208,3,FALSE)</f>
        <v>1.4484999999999999</v>
      </c>
      <c r="N61" s="68">
        <f t="shared" si="2"/>
        <v>173.26</v>
      </c>
      <c r="O61" s="68">
        <f t="shared" si="32"/>
        <v>182.14</v>
      </c>
      <c r="P61" s="75">
        <f t="shared" si="33"/>
        <v>173.03</v>
      </c>
      <c r="Q61" s="75">
        <v>160.75</v>
      </c>
      <c r="R61" s="75">
        <f t="shared" si="34"/>
        <v>165.73</v>
      </c>
      <c r="S61" s="68">
        <f t="shared" si="35"/>
        <v>174.22</v>
      </c>
      <c r="T61" s="75">
        <f t="shared" si="36"/>
        <v>0</v>
      </c>
      <c r="U61" s="68">
        <f t="shared" si="37"/>
        <v>182.14</v>
      </c>
      <c r="V61" s="68">
        <f>VLOOKUP($F61,Limits!$J$2:$L$5,3,FALSE)</f>
        <v>20.239999999999998</v>
      </c>
      <c r="W61" s="68">
        <f t="shared" si="38"/>
        <v>20.87</v>
      </c>
      <c r="X61" s="68">
        <f>VLOOKUP($F61,Limits!$R$2:$T$5,3,FALSE)</f>
        <v>89.55</v>
      </c>
      <c r="Y61" s="68">
        <f t="shared" si="39"/>
        <v>92.33</v>
      </c>
      <c r="Z61" s="75">
        <f>VLOOKUP(A61,FRV!$A$4:$U$208,21,FALSE)</f>
        <v>19.34</v>
      </c>
      <c r="AA61" s="141">
        <f>VLOOKUP(A61,'RE Tax'!$A$2:$G$206,3,FALSE)</f>
        <v>45292</v>
      </c>
      <c r="AB61" s="141">
        <f>VLOOKUP(A61,'RE Tax'!$A$2:$G$206,4,FALSE)</f>
        <v>45657</v>
      </c>
      <c r="AC61" s="4">
        <f>VLOOKUP(A61,'RE Tax'!$A$2:$G$206,7,FALSE)</f>
        <v>72892</v>
      </c>
      <c r="AD61" s="4">
        <f>VLOOKUP($A61,'RE Tax'!$A$2:$I$206,9,FALSE)</f>
        <v>45750</v>
      </c>
      <c r="AE61" s="4">
        <f>VLOOKUP($A61,'RE Tax'!$A$2:$I$206,8,FALSE)</f>
        <v>33122</v>
      </c>
      <c r="AF61" s="142">
        <f>IF(ISNA(VLOOKUP(A61&amp;AB61,'Days Exceptions'!$C$3:$I$7,6,FALSE)),ROUND(AC61/MAX(AE61,(AD61*Min_Occ)),2),ROUND(AC61/VLOOKUP(A61&amp;AB61,'Days Exceptions'!$C$3:$I$7,6,FALSE),2))</f>
        <v>1.95</v>
      </c>
      <c r="AG61" s="68">
        <v>0</v>
      </c>
      <c r="AH61" s="68">
        <f t="shared" si="40"/>
        <v>0</v>
      </c>
      <c r="AI61" s="4">
        <v>28589</v>
      </c>
      <c r="AJ61" s="4">
        <v>33122</v>
      </c>
      <c r="AK61" s="68">
        <f>IF(AI61=0,0,IF(ISNA(MATCH(A61,Documentation!$B$66:$B$71,0)),QA_Tax_reg,QA_Tax_5high))</f>
        <v>32.92</v>
      </c>
      <c r="AL61" s="75">
        <f t="shared" si="41"/>
        <v>28.41</v>
      </c>
      <c r="AM61" s="68">
        <f t="shared" si="42"/>
        <v>316.63</v>
      </c>
      <c r="AN61" s="68">
        <f t="shared" si="43"/>
        <v>225.56</v>
      </c>
      <c r="AO61" s="68">
        <f t="shared" si="44"/>
        <v>134.49</v>
      </c>
      <c r="AP61" s="37" t="s">
        <v>654</v>
      </c>
      <c r="AQ61" s="37" t="s">
        <v>655</v>
      </c>
      <c r="AR61" s="37" t="s">
        <v>1014</v>
      </c>
      <c r="AS61" s="66" t="e">
        <f>VLOOKUP(A61,'CMI Data'!$A$3:$J$209,10,FALSE)</f>
        <v>#DIV/0!</v>
      </c>
      <c r="AT61" s="68">
        <f t="shared" si="3"/>
        <v>168.05</v>
      </c>
      <c r="AU61" s="68" t="e">
        <f t="shared" si="4"/>
        <v>#DIV/0!</v>
      </c>
      <c r="AV61" s="75" t="e">
        <f t="shared" si="45"/>
        <v>#DIV/0!</v>
      </c>
      <c r="AW61" s="68" t="e">
        <f>IF($I61="NA","NA",ROUND(#REF!*$AS61/$I61,2))</f>
        <v>#REF!</v>
      </c>
      <c r="AX61" s="75" t="e">
        <f t="shared" si="57"/>
        <v>#REF!</v>
      </c>
      <c r="AY61" s="68" t="e">
        <f t="shared" si="47"/>
        <v>#REF!</v>
      </c>
      <c r="AZ61" s="4">
        <f t="shared" si="5"/>
        <v>72892</v>
      </c>
      <c r="BA61" s="4">
        <f t="shared" si="6"/>
        <v>45750</v>
      </c>
      <c r="BB61" s="4">
        <f t="shared" si="7"/>
        <v>33122</v>
      </c>
      <c r="BC61" s="142">
        <f>IF(ISNA(VLOOKUP($A61&amp;$AB61,'Days Exceptions'!$C$3:$I$7,6,FALSE)),ROUND(AZ61/MAX(BB61,(BA61*Min_Occ)),2),ROUND(AZ61/VLOOKUP($A61&amp;$AB61,'Days Exceptions'!$C$3:$I$7,6,FALSE),2))</f>
        <v>1.95</v>
      </c>
      <c r="BD61" s="143" t="e">
        <f t="shared" si="8"/>
        <v>#REF!</v>
      </c>
      <c r="BE61" s="143" t="e">
        <f t="shared" si="9"/>
        <v>#REF!</v>
      </c>
      <c r="BF61" s="143">
        <f t="shared" si="10"/>
        <v>131.08000000000001</v>
      </c>
      <c r="BG61" s="37" t="s">
        <v>654</v>
      </c>
      <c r="BH61" s="37" t="s">
        <v>655</v>
      </c>
      <c r="BI61" s="37" t="s">
        <v>1218</v>
      </c>
      <c r="BJ61" s="66" t="e">
        <f>VLOOKUP(A61,'CMI Data'!$A$3:$AZ$209,15,FALSE)</f>
        <v>#DIV/0!</v>
      </c>
      <c r="BK61" s="68">
        <f t="shared" si="11"/>
        <v>168.05</v>
      </c>
      <c r="BL61" s="68" t="e">
        <f t="shared" si="12"/>
        <v>#DIV/0!</v>
      </c>
      <c r="BM61" s="75" t="e">
        <f t="shared" si="13"/>
        <v>#DIV/0!</v>
      </c>
      <c r="BN61" s="68" t="e">
        <f>IF($I61="NA","NA",ROUND(#REF!*$BJ61/$I61,2))</f>
        <v>#REF!</v>
      </c>
      <c r="BO61" s="75" t="e">
        <f t="shared" si="14"/>
        <v>#REF!</v>
      </c>
      <c r="BP61" s="68" t="e">
        <f t="shared" si="48"/>
        <v>#REF!</v>
      </c>
      <c r="BQ61" s="4">
        <f t="shared" si="15"/>
        <v>72892</v>
      </c>
      <c r="BR61" s="4">
        <f t="shared" si="16"/>
        <v>45750</v>
      </c>
      <c r="BS61" s="4">
        <f t="shared" si="17"/>
        <v>33122</v>
      </c>
      <c r="BT61" s="142">
        <f>IF(ISNA(VLOOKUP($A61&amp;$AB61,'Days Exceptions'!$C$3:$I$7,6,FALSE)),ROUND(BQ61/MAX(BS61,(BR61*Min_Occ)),2),ROUND(BQ61/VLOOKUP($A61&amp;$AB61,'Days Exceptions'!$C$3:$I$7,6,FALSE),2))</f>
        <v>1.95</v>
      </c>
      <c r="BU61" s="143" t="e">
        <f t="shared" si="18"/>
        <v>#REF!</v>
      </c>
      <c r="BV61" s="143" t="e">
        <f t="shared" si="19"/>
        <v>#REF!</v>
      </c>
      <c r="BW61" s="143">
        <f t="shared" si="20"/>
        <v>131.08000000000001</v>
      </c>
      <c r="BX61" s="37" t="s">
        <v>654</v>
      </c>
      <c r="BY61" s="37" t="s">
        <v>655</v>
      </c>
      <c r="BZ61" s="37" t="s">
        <v>1480</v>
      </c>
      <c r="CA61" s="66" t="e">
        <f>VLOOKUP(A61,'CMI Data'!$A$3:$AZ$209,20,FALSE)</f>
        <v>#DIV/0!</v>
      </c>
      <c r="CB61" s="68">
        <f t="shared" si="21"/>
        <v>168.05</v>
      </c>
      <c r="CC61" s="68" t="e">
        <f t="shared" si="22"/>
        <v>#DIV/0!</v>
      </c>
      <c r="CD61" s="75" t="e">
        <f t="shared" si="49"/>
        <v>#DIV/0!</v>
      </c>
      <c r="CE61" s="68" t="e">
        <f>IF($I61="NA","NA",ROUND(#REF!*$CA61/$I61,2))</f>
        <v>#REF!</v>
      </c>
      <c r="CF61" s="75" t="e">
        <f t="shared" si="23"/>
        <v>#REF!</v>
      </c>
      <c r="CG61" s="68" t="e">
        <f t="shared" si="24"/>
        <v>#REF!</v>
      </c>
      <c r="CH61" s="4">
        <f t="shared" si="25"/>
        <v>72892</v>
      </c>
      <c r="CI61" s="4">
        <f t="shared" si="26"/>
        <v>45750</v>
      </c>
      <c r="CJ61" s="4">
        <f t="shared" si="27"/>
        <v>33122</v>
      </c>
      <c r="CK61" s="142">
        <f>IF(ISNA(VLOOKUP($A61&amp;$AB61,'Days Exceptions'!$C$3:$I$7,6,FALSE)),ROUND(CH61/MAX(CJ61,(CI61*Min_Occ)),2),ROUND(CH61/VLOOKUP($A61&amp;$AB61,'Days Exceptions'!$C$3:$I$7,6,FALSE),2))</f>
        <v>1.95</v>
      </c>
      <c r="CL61" s="143" t="e">
        <f t="shared" si="28"/>
        <v>#REF!</v>
      </c>
      <c r="CM61" s="143" t="e">
        <f t="shared" si="29"/>
        <v>#REF!</v>
      </c>
      <c r="CN61" s="143">
        <f t="shared" si="30"/>
        <v>131.08000000000001</v>
      </c>
      <c r="CO61" s="37" t="s">
        <v>654</v>
      </c>
      <c r="CP61" s="37" t="s">
        <v>655</v>
      </c>
      <c r="CQ61" s="37" t="s">
        <v>1481</v>
      </c>
    </row>
    <row r="62" spans="1:95" x14ac:dyDescent="0.15">
      <c r="A62" s="130">
        <v>104</v>
      </c>
      <c r="B62" s="37" t="s">
        <v>678</v>
      </c>
      <c r="C62" s="1" t="s">
        <v>148</v>
      </c>
      <c r="D62" s="1" t="s">
        <v>118</v>
      </c>
      <c r="E62" s="1" t="str">
        <f>VLOOKUP(D62,Documentation!$B$4:$D$27,3,FALSE)</f>
        <v>EASTERN REGION</v>
      </c>
      <c r="F62" s="1" t="str">
        <f>VLOOKUP(D62,Documentation!$B$4:$C$27,2,FALSE)</f>
        <v>NON METRO</v>
      </c>
      <c r="G62" s="82">
        <f>VLOOKUP(A62,'2022 CR and CMI'!$A$3:$D$207,3,FALSE)</f>
        <v>44562</v>
      </c>
      <c r="H62" s="82">
        <f>VLOOKUP(A62,'2022 CR and CMI'!$A$3:$D$207,4,FALSE)</f>
        <v>44926</v>
      </c>
      <c r="I62" s="72">
        <f>VLOOKUP(A62,'2022 CR and CMI'!$A$2:$T$210,19,FALSE)</f>
        <v>1.4674</v>
      </c>
      <c r="J62" s="139">
        <f>Inflation!$G$24</f>
        <v>1.0309999999999999</v>
      </c>
      <c r="K62" s="192">
        <f>VLOOKUP(E62,Limits!$B$2:$D$5,3,FALSE)</f>
        <v>186.31</v>
      </c>
      <c r="L62" s="192">
        <f t="shared" si="31"/>
        <v>192.09</v>
      </c>
      <c r="M62" s="140">
        <f>VLOOKUP(A62,'CMI Data'!$A$4:$C$208,3,FALSE)</f>
        <v>1.694</v>
      </c>
      <c r="N62" s="68">
        <f t="shared" si="2"/>
        <v>195.31</v>
      </c>
      <c r="O62" s="68">
        <f t="shared" si="32"/>
        <v>225.47</v>
      </c>
      <c r="P62" s="75">
        <f t="shared" si="33"/>
        <v>214.2</v>
      </c>
      <c r="Q62" s="75">
        <v>137.49</v>
      </c>
      <c r="R62" s="75">
        <f t="shared" si="34"/>
        <v>141.75</v>
      </c>
      <c r="S62" s="68">
        <f t="shared" si="35"/>
        <v>163.63999999999999</v>
      </c>
      <c r="T62" s="75">
        <f t="shared" si="36"/>
        <v>-50.56</v>
      </c>
      <c r="U62" s="68">
        <f t="shared" si="37"/>
        <v>174.91</v>
      </c>
      <c r="V62" s="68">
        <f>VLOOKUP($F62,Limits!$J$2:$L$5,3,FALSE)</f>
        <v>20.239999999999998</v>
      </c>
      <c r="W62" s="68">
        <f t="shared" si="38"/>
        <v>20.87</v>
      </c>
      <c r="X62" s="68">
        <f>VLOOKUP($F62,Limits!$R$2:$T$5,3,FALSE)</f>
        <v>89.55</v>
      </c>
      <c r="Y62" s="68">
        <f t="shared" si="39"/>
        <v>92.33</v>
      </c>
      <c r="Z62" s="75">
        <f>VLOOKUP(A62,FRV!$A$4:$U$208,21,FALSE)</f>
        <v>33.090000000000003</v>
      </c>
      <c r="AA62" s="141">
        <f>VLOOKUP(A62,'RE Tax'!$A$2:$G$206,3,FALSE)</f>
        <v>45292</v>
      </c>
      <c r="AB62" s="141">
        <f>VLOOKUP(A62,'RE Tax'!$A$2:$G$206,4,FALSE)</f>
        <v>45657</v>
      </c>
      <c r="AC62" s="4">
        <f>VLOOKUP(A62,'RE Tax'!$A$2:$G$206,7,FALSE)</f>
        <v>71837</v>
      </c>
      <c r="AD62" s="4">
        <f>VLOOKUP($A62,'RE Tax'!$A$2:$I$206,9,FALSE)</f>
        <v>33672</v>
      </c>
      <c r="AE62" s="4">
        <f>VLOOKUP($A62,'RE Tax'!$A$2:$I$206,8,FALSE)</f>
        <v>29911</v>
      </c>
      <c r="AF62" s="142">
        <f>IF(ISNA(VLOOKUP(A62&amp;AB62,'Days Exceptions'!$C$3:$I$7,6,FALSE)),ROUND(AC62/MAX(AE62,(AD62*Min_Occ)),2),ROUND(AC62/VLOOKUP(A62&amp;AB62,'Days Exceptions'!$C$3:$I$7,6,FALSE),2))</f>
        <v>2.4</v>
      </c>
      <c r="AG62" s="68">
        <v>0</v>
      </c>
      <c r="AH62" s="68">
        <f t="shared" si="40"/>
        <v>0</v>
      </c>
      <c r="AI62" s="4">
        <v>24384</v>
      </c>
      <c r="AJ62" s="4">
        <v>29911</v>
      </c>
      <c r="AK62" s="68">
        <f>IF(AI62=0,0,IF(ISNA(MATCH(A62,Documentation!$B$66:$B$71,0)),QA_Tax_reg,QA_Tax_5high))</f>
        <v>32.92</v>
      </c>
      <c r="AL62" s="75">
        <f t="shared" si="41"/>
        <v>26.84</v>
      </c>
      <c r="AM62" s="68">
        <f t="shared" si="42"/>
        <v>323.60000000000002</v>
      </c>
      <c r="AN62" s="68">
        <f t="shared" si="43"/>
        <v>236.15</v>
      </c>
      <c r="AO62" s="68">
        <f t="shared" si="44"/>
        <v>148.69</v>
      </c>
      <c r="AP62" s="37" t="s">
        <v>683</v>
      </c>
      <c r="AQ62" s="37" t="s">
        <v>678</v>
      </c>
      <c r="AR62" s="37" t="s">
        <v>1015</v>
      </c>
      <c r="AS62" s="66" t="e">
        <f>VLOOKUP(A62,'CMI Data'!$A$3:$J$209,10,FALSE)</f>
        <v>#DIV/0!</v>
      </c>
      <c r="AT62" s="68">
        <f t="shared" si="3"/>
        <v>189.43</v>
      </c>
      <c r="AU62" s="68" t="e">
        <f t="shared" si="4"/>
        <v>#DIV/0!</v>
      </c>
      <c r="AV62" s="75" t="e">
        <f t="shared" si="45"/>
        <v>#DIV/0!</v>
      </c>
      <c r="AW62" s="68" t="e">
        <f>IF($I62="NA","NA",ROUND(#REF!*$AS62/$I62,2))</f>
        <v>#REF!</v>
      </c>
      <c r="AX62" s="75" t="e">
        <f t="shared" si="57"/>
        <v>#REF!</v>
      </c>
      <c r="AY62" s="68" t="e">
        <f t="shared" si="47"/>
        <v>#REF!</v>
      </c>
      <c r="AZ62" s="4">
        <f t="shared" si="5"/>
        <v>71837</v>
      </c>
      <c r="BA62" s="4">
        <f t="shared" si="6"/>
        <v>33672</v>
      </c>
      <c r="BB62" s="4">
        <f t="shared" si="7"/>
        <v>29911</v>
      </c>
      <c r="BC62" s="142">
        <f>IF(ISNA(VLOOKUP($A62&amp;$AB62,'Days Exceptions'!$C$3:$I$7,6,FALSE)),ROUND(AZ62/MAX(BB62,(BA62*Min_Occ)),2),ROUND(AZ62/VLOOKUP($A62&amp;$AB62,'Days Exceptions'!$C$3:$I$7,6,FALSE),2))</f>
        <v>2.4</v>
      </c>
      <c r="BD62" s="143" t="e">
        <f t="shared" si="8"/>
        <v>#REF!</v>
      </c>
      <c r="BE62" s="143" t="e">
        <f t="shared" si="9"/>
        <v>#REF!</v>
      </c>
      <c r="BF62" s="143">
        <f t="shared" si="10"/>
        <v>145.28</v>
      </c>
      <c r="BG62" s="37" t="s">
        <v>683</v>
      </c>
      <c r="BH62" s="37" t="s">
        <v>678</v>
      </c>
      <c r="BI62" s="37" t="s">
        <v>1219</v>
      </c>
      <c r="BJ62" s="66" t="e">
        <f>VLOOKUP(A62,'CMI Data'!$A$3:$AZ$209,15,FALSE)</f>
        <v>#DIV/0!</v>
      </c>
      <c r="BK62" s="68">
        <f t="shared" si="11"/>
        <v>189.43</v>
      </c>
      <c r="BL62" s="68" t="e">
        <f t="shared" si="12"/>
        <v>#DIV/0!</v>
      </c>
      <c r="BM62" s="75" t="e">
        <f t="shared" si="13"/>
        <v>#DIV/0!</v>
      </c>
      <c r="BN62" s="68" t="e">
        <f>IF($I62="NA","NA",ROUND(#REF!*$BJ62/$I62,2))</f>
        <v>#REF!</v>
      </c>
      <c r="BO62" s="75" t="e">
        <f t="shared" si="14"/>
        <v>#REF!</v>
      </c>
      <c r="BP62" s="68" t="e">
        <f t="shared" si="48"/>
        <v>#REF!</v>
      </c>
      <c r="BQ62" s="4">
        <f t="shared" si="15"/>
        <v>71837</v>
      </c>
      <c r="BR62" s="4">
        <f t="shared" si="16"/>
        <v>33672</v>
      </c>
      <c r="BS62" s="4">
        <f t="shared" si="17"/>
        <v>29911</v>
      </c>
      <c r="BT62" s="142">
        <f>IF(ISNA(VLOOKUP($A62&amp;$AB62,'Days Exceptions'!$C$3:$I$7,6,FALSE)),ROUND(BQ62/MAX(BS62,(BR62*Min_Occ)),2),ROUND(BQ62/VLOOKUP($A62&amp;$AB62,'Days Exceptions'!$C$3:$I$7,6,FALSE),2))</f>
        <v>2.4</v>
      </c>
      <c r="BU62" s="143" t="e">
        <f t="shared" si="18"/>
        <v>#REF!</v>
      </c>
      <c r="BV62" s="143" t="e">
        <f t="shared" si="19"/>
        <v>#REF!</v>
      </c>
      <c r="BW62" s="143">
        <f t="shared" si="20"/>
        <v>145.28</v>
      </c>
      <c r="BX62" s="37" t="s">
        <v>683</v>
      </c>
      <c r="BY62" s="37" t="s">
        <v>678</v>
      </c>
      <c r="BZ62" s="37" t="s">
        <v>1482</v>
      </c>
      <c r="CA62" s="66" t="e">
        <f>VLOOKUP(A62,'CMI Data'!$A$3:$AZ$209,20,FALSE)</f>
        <v>#DIV/0!</v>
      </c>
      <c r="CB62" s="68">
        <f t="shared" si="21"/>
        <v>189.43</v>
      </c>
      <c r="CC62" s="68" t="e">
        <f t="shared" si="22"/>
        <v>#DIV/0!</v>
      </c>
      <c r="CD62" s="75" t="e">
        <f t="shared" si="49"/>
        <v>#DIV/0!</v>
      </c>
      <c r="CE62" s="68" t="e">
        <f>IF($I62="NA","NA",ROUND(#REF!*$CA62/$I62,2))</f>
        <v>#REF!</v>
      </c>
      <c r="CF62" s="75" t="e">
        <f t="shared" si="23"/>
        <v>#REF!</v>
      </c>
      <c r="CG62" s="68" t="e">
        <f t="shared" si="24"/>
        <v>#REF!</v>
      </c>
      <c r="CH62" s="4">
        <f t="shared" si="25"/>
        <v>71837</v>
      </c>
      <c r="CI62" s="4">
        <f t="shared" si="26"/>
        <v>33672</v>
      </c>
      <c r="CJ62" s="4">
        <f t="shared" si="27"/>
        <v>29911</v>
      </c>
      <c r="CK62" s="142">
        <f>IF(ISNA(VLOOKUP($A62&amp;$AB62,'Days Exceptions'!$C$3:$I$7,6,FALSE)),ROUND(CH62/MAX(CJ62,(CI62*Min_Occ)),2),ROUND(CH62/VLOOKUP($A62&amp;$AB62,'Days Exceptions'!$C$3:$I$7,6,FALSE),2))</f>
        <v>2.4</v>
      </c>
      <c r="CL62" s="143" t="e">
        <f t="shared" si="28"/>
        <v>#REF!</v>
      </c>
      <c r="CM62" s="143" t="e">
        <f t="shared" si="29"/>
        <v>#REF!</v>
      </c>
      <c r="CN62" s="143">
        <f t="shared" si="30"/>
        <v>145.28</v>
      </c>
      <c r="CO62" s="37" t="s">
        <v>683</v>
      </c>
      <c r="CP62" s="37" t="s">
        <v>678</v>
      </c>
      <c r="CQ62" s="37" t="s">
        <v>1483</v>
      </c>
    </row>
    <row r="63" spans="1:95" x14ac:dyDescent="0.15">
      <c r="A63" s="130">
        <v>108</v>
      </c>
      <c r="B63" s="37" t="s">
        <v>364</v>
      </c>
      <c r="C63" s="1" t="s">
        <v>148</v>
      </c>
      <c r="D63" s="1" t="s">
        <v>114</v>
      </c>
      <c r="E63" s="1" t="str">
        <f>VLOOKUP(D63,Documentation!$B$4:$D$27,3,FALSE)</f>
        <v>WASHINGTON METRO</v>
      </c>
      <c r="F63" s="1" t="str">
        <f>VLOOKUP(D63,Documentation!$B$4:$C$27,2,FALSE)</f>
        <v>NON METRO</v>
      </c>
      <c r="G63" s="82">
        <f>VLOOKUP(A63,'2022 CR and CMI'!$A$3:$D$207,3,FALSE)</f>
        <v>44378</v>
      </c>
      <c r="H63" s="82">
        <f>VLOOKUP(A63,'2022 CR and CMI'!$A$3:$D$207,4,FALSE)</f>
        <v>44742</v>
      </c>
      <c r="I63" s="72">
        <f>VLOOKUP(A63,'2022 CR and CMI'!$A$2:$T$210,19,FALSE)</f>
        <v>1.5765</v>
      </c>
      <c r="J63" s="139">
        <f>Inflation!$G$24</f>
        <v>1.0309999999999999</v>
      </c>
      <c r="K63" s="192">
        <f>VLOOKUP(E63,Limits!$B$2:$D$5,3,FALSE)</f>
        <v>176.01</v>
      </c>
      <c r="L63" s="192">
        <f t="shared" si="31"/>
        <v>181.47</v>
      </c>
      <c r="M63" s="140">
        <f>VLOOKUP(A63,'CMI Data'!$A$4:$C$208,3,FALSE)</f>
        <v>1.2695000000000001</v>
      </c>
      <c r="N63" s="68">
        <f t="shared" si="2"/>
        <v>198.23</v>
      </c>
      <c r="O63" s="68">
        <f t="shared" si="32"/>
        <v>159.63</v>
      </c>
      <c r="P63" s="75">
        <f t="shared" si="33"/>
        <v>151.65</v>
      </c>
      <c r="Q63" s="75">
        <v>226.45</v>
      </c>
      <c r="R63" s="75">
        <f t="shared" si="34"/>
        <v>233.47</v>
      </c>
      <c r="S63" s="68">
        <f t="shared" si="35"/>
        <v>188.01</v>
      </c>
      <c r="T63" s="75">
        <f t="shared" si="36"/>
        <v>0</v>
      </c>
      <c r="U63" s="68">
        <f t="shared" si="37"/>
        <v>159.63</v>
      </c>
      <c r="V63" s="68">
        <f>VLOOKUP($F63,Limits!$J$2:$L$5,3,FALSE)</f>
        <v>20.239999999999998</v>
      </c>
      <c r="W63" s="68">
        <f t="shared" si="38"/>
        <v>20.87</v>
      </c>
      <c r="X63" s="68">
        <f>VLOOKUP($F63,Limits!$R$2:$T$5,3,FALSE)</f>
        <v>89.55</v>
      </c>
      <c r="Y63" s="68">
        <f t="shared" si="39"/>
        <v>92.33</v>
      </c>
      <c r="Z63" s="75">
        <f>VLOOKUP(A63,FRV!$A$4:$U$208,21,FALSE)</f>
        <v>38.92</v>
      </c>
      <c r="AA63" s="141">
        <f>VLOOKUP(A63,'RE Tax'!$A$2:$G$206,3,FALSE)</f>
        <v>45108</v>
      </c>
      <c r="AB63" s="141">
        <f>VLOOKUP(A63,'RE Tax'!$A$2:$G$206,4,FALSE)</f>
        <v>45473</v>
      </c>
      <c r="AC63" s="4">
        <f>VLOOKUP(A63,'RE Tax'!$A$2:$G$206,7,FALSE)</f>
        <v>0</v>
      </c>
      <c r="AD63" s="4">
        <f>VLOOKUP($A63,'RE Tax'!$A$2:$I$206,9,FALSE)</f>
        <v>62952</v>
      </c>
      <c r="AE63" s="4">
        <f>VLOOKUP($A63,'RE Tax'!$A$2:$I$206,8,FALSE)</f>
        <v>59270</v>
      </c>
      <c r="AF63" s="142">
        <f>IF(ISNA(VLOOKUP(A63&amp;AB63,'Days Exceptions'!$C$3:$I$7,6,FALSE)),ROUND(AC63/MAX(AE63,(AD63*Min_Occ)),2),ROUND(AC63/VLOOKUP(A63&amp;AB63,'Days Exceptions'!$C$3:$I$7,6,FALSE),2))</f>
        <v>0</v>
      </c>
      <c r="AG63" s="68">
        <v>0</v>
      </c>
      <c r="AH63" s="68">
        <f t="shared" si="40"/>
        <v>0</v>
      </c>
      <c r="AI63" s="4">
        <v>47755</v>
      </c>
      <c r="AJ63" s="4">
        <v>58882</v>
      </c>
      <c r="AK63" s="68">
        <f>IF(AI63=0,0,IF(ISNA(MATCH(A63,Documentation!$B$66:$B$71,0)),QA_Tax_reg,QA_Tax_5high))</f>
        <v>32.92</v>
      </c>
      <c r="AL63" s="75">
        <f t="shared" si="41"/>
        <v>26.7</v>
      </c>
      <c r="AM63" s="68">
        <f t="shared" si="42"/>
        <v>311.75</v>
      </c>
      <c r="AN63" s="68">
        <f t="shared" si="43"/>
        <v>231.94</v>
      </c>
      <c r="AO63" s="68">
        <f t="shared" si="44"/>
        <v>152.12</v>
      </c>
      <c r="AP63" s="37" t="s">
        <v>202</v>
      </c>
      <c r="AQ63" s="37" t="s">
        <v>364</v>
      </c>
      <c r="AR63" s="37" t="s">
        <v>1016</v>
      </c>
      <c r="AS63" s="66" t="e">
        <f>VLOOKUP(A63,'CMI Data'!$A$3:$J$209,10,FALSE)</f>
        <v>#DIV/0!</v>
      </c>
      <c r="AT63" s="68">
        <f t="shared" si="3"/>
        <v>192.27</v>
      </c>
      <c r="AU63" s="68" t="e">
        <f t="shared" si="4"/>
        <v>#DIV/0!</v>
      </c>
      <c r="AV63" s="75" t="e">
        <f t="shared" si="45"/>
        <v>#DIV/0!</v>
      </c>
      <c r="AW63" s="68" t="e">
        <f>IF($I63="NA","NA",ROUND(#REF!*$AS63/$I63,2))</f>
        <v>#REF!</v>
      </c>
      <c r="AX63" s="75" t="e">
        <f t="shared" si="57"/>
        <v>#REF!</v>
      </c>
      <c r="AY63" s="68" t="e">
        <f t="shared" si="47"/>
        <v>#REF!</v>
      </c>
      <c r="AZ63" s="4">
        <f t="shared" si="5"/>
        <v>0</v>
      </c>
      <c r="BA63" s="4">
        <f t="shared" si="6"/>
        <v>62952</v>
      </c>
      <c r="BB63" s="4">
        <f t="shared" si="7"/>
        <v>59270</v>
      </c>
      <c r="BC63" s="142">
        <f>IF(ISNA(VLOOKUP($A63&amp;$AB63,'Days Exceptions'!$C$3:$I$7,6,FALSE)),ROUND(AZ63/MAX(BB63,(BA63*Min_Occ)),2),ROUND(AZ63/VLOOKUP($A63&amp;$AB63,'Days Exceptions'!$C$3:$I$7,6,FALSE),2))</f>
        <v>0</v>
      </c>
      <c r="BD63" s="143" t="e">
        <f t="shared" si="8"/>
        <v>#REF!</v>
      </c>
      <c r="BE63" s="143" t="e">
        <f t="shared" si="9"/>
        <v>#REF!</v>
      </c>
      <c r="BF63" s="143">
        <f t="shared" si="10"/>
        <v>148.71</v>
      </c>
      <c r="BG63" s="37" t="s">
        <v>202</v>
      </c>
      <c r="BH63" s="37" t="s">
        <v>364</v>
      </c>
      <c r="BI63" s="37" t="s">
        <v>1220</v>
      </c>
      <c r="BJ63" s="66" t="e">
        <f>VLOOKUP(A63,'CMI Data'!$A$3:$AZ$209,15,FALSE)</f>
        <v>#DIV/0!</v>
      </c>
      <c r="BK63" s="68">
        <f t="shared" si="11"/>
        <v>192.27</v>
      </c>
      <c r="BL63" s="68" t="e">
        <f t="shared" si="12"/>
        <v>#DIV/0!</v>
      </c>
      <c r="BM63" s="75" t="e">
        <f t="shared" si="13"/>
        <v>#DIV/0!</v>
      </c>
      <c r="BN63" s="68" t="e">
        <f>IF($I63="NA","NA",ROUND(#REF!*$BJ63/$I63,2))</f>
        <v>#REF!</v>
      </c>
      <c r="BO63" s="75" t="e">
        <f t="shared" si="14"/>
        <v>#REF!</v>
      </c>
      <c r="BP63" s="68" t="e">
        <f t="shared" si="48"/>
        <v>#REF!</v>
      </c>
      <c r="BQ63" s="4">
        <f t="shared" si="15"/>
        <v>0</v>
      </c>
      <c r="BR63" s="4">
        <f t="shared" si="16"/>
        <v>62952</v>
      </c>
      <c r="BS63" s="4">
        <f t="shared" si="17"/>
        <v>59270</v>
      </c>
      <c r="BT63" s="142">
        <f>IF(ISNA(VLOOKUP($A63&amp;$AB63,'Days Exceptions'!$C$3:$I$7,6,FALSE)),ROUND(BQ63/MAX(BS63,(BR63*Min_Occ)),2),ROUND(BQ63/VLOOKUP($A63&amp;$AB63,'Days Exceptions'!$C$3:$I$7,6,FALSE),2))</f>
        <v>0</v>
      </c>
      <c r="BU63" s="143" t="e">
        <f t="shared" si="18"/>
        <v>#REF!</v>
      </c>
      <c r="BV63" s="143" t="e">
        <f t="shared" si="19"/>
        <v>#REF!</v>
      </c>
      <c r="BW63" s="143">
        <f t="shared" si="20"/>
        <v>148.71</v>
      </c>
      <c r="BX63" s="37" t="s">
        <v>202</v>
      </c>
      <c r="BY63" s="37" t="s">
        <v>364</v>
      </c>
      <c r="BZ63" s="37" t="s">
        <v>1484</v>
      </c>
      <c r="CA63" s="66" t="e">
        <f>VLOOKUP(A63,'CMI Data'!$A$3:$AZ$209,20,FALSE)</f>
        <v>#DIV/0!</v>
      </c>
      <c r="CB63" s="68">
        <f t="shared" si="21"/>
        <v>192.27</v>
      </c>
      <c r="CC63" s="68" t="e">
        <f t="shared" si="22"/>
        <v>#DIV/0!</v>
      </c>
      <c r="CD63" s="75" t="e">
        <f t="shared" si="49"/>
        <v>#DIV/0!</v>
      </c>
      <c r="CE63" s="68" t="e">
        <f>IF($I63="NA","NA",ROUND(#REF!*$CA63/$I63,2))</f>
        <v>#REF!</v>
      </c>
      <c r="CF63" s="75" t="e">
        <f t="shared" si="23"/>
        <v>#REF!</v>
      </c>
      <c r="CG63" s="68" t="e">
        <f t="shared" si="24"/>
        <v>#REF!</v>
      </c>
      <c r="CH63" s="4">
        <f t="shared" si="25"/>
        <v>0</v>
      </c>
      <c r="CI63" s="4">
        <f t="shared" si="26"/>
        <v>62952</v>
      </c>
      <c r="CJ63" s="4">
        <f t="shared" si="27"/>
        <v>59270</v>
      </c>
      <c r="CK63" s="142">
        <f>IF(ISNA(VLOOKUP($A63&amp;$AB63,'Days Exceptions'!$C$3:$I$7,6,FALSE)),ROUND(CH63/MAX(CJ63,(CI63*Min_Occ)),2),ROUND(CH63/VLOOKUP($A63&amp;$AB63,'Days Exceptions'!$C$3:$I$7,6,FALSE),2))</f>
        <v>0</v>
      </c>
      <c r="CL63" s="143" t="e">
        <f t="shared" si="28"/>
        <v>#REF!</v>
      </c>
      <c r="CM63" s="143" t="e">
        <f t="shared" si="29"/>
        <v>#REF!</v>
      </c>
      <c r="CN63" s="143">
        <f t="shared" si="30"/>
        <v>148.71</v>
      </c>
      <c r="CO63" s="37" t="s">
        <v>202</v>
      </c>
      <c r="CP63" s="37" t="s">
        <v>364</v>
      </c>
      <c r="CQ63" s="37" t="s">
        <v>1485</v>
      </c>
    </row>
    <row r="64" spans="1:95" x14ac:dyDescent="0.15">
      <c r="A64" s="130">
        <v>106</v>
      </c>
      <c r="B64" s="37" t="s">
        <v>203</v>
      </c>
      <c r="C64" s="1" t="s">
        <v>148</v>
      </c>
      <c r="D64" s="1" t="s">
        <v>116</v>
      </c>
      <c r="E64" s="1" t="str">
        <f>VLOOKUP(D64,Documentation!$B$4:$D$27,3,FALSE)</f>
        <v>BALTIMORE METRO</v>
      </c>
      <c r="F64" s="1" t="str">
        <f>VLOOKUP(D64,Documentation!$B$4:$C$27,2,FALSE)</f>
        <v>BALTIMORE METRO</v>
      </c>
      <c r="G64" s="82">
        <f>VLOOKUP(A64,'2022 CR and CMI'!$A$3:$D$207,3,FALSE)</f>
        <v>44378</v>
      </c>
      <c r="H64" s="82">
        <f>VLOOKUP(A64,'2022 CR and CMI'!$A$3:$D$207,4,FALSE)</f>
        <v>44742</v>
      </c>
      <c r="I64" s="72">
        <f>VLOOKUP(A64,'2022 CR and CMI'!$A$2:$T$210,19,FALSE)</f>
        <v>1.2817000000000001</v>
      </c>
      <c r="J64" s="139">
        <f>Inflation!$G$24</f>
        <v>1.0309999999999999</v>
      </c>
      <c r="K64" s="192">
        <f>VLOOKUP(E64,Limits!$B$2:$D$5,3,FALSE)</f>
        <v>195.33</v>
      </c>
      <c r="L64" s="192">
        <f t="shared" si="31"/>
        <v>201.39</v>
      </c>
      <c r="M64" s="140">
        <f>VLOOKUP(A64,'CMI Data'!$A$4:$C$208,3,FALSE)</f>
        <v>1.2721</v>
      </c>
      <c r="N64" s="68">
        <f t="shared" si="2"/>
        <v>178.85</v>
      </c>
      <c r="O64" s="68">
        <f t="shared" si="32"/>
        <v>177.51</v>
      </c>
      <c r="P64" s="75">
        <f t="shared" si="33"/>
        <v>168.63</v>
      </c>
      <c r="Q64" s="75">
        <v>169.91</v>
      </c>
      <c r="R64" s="75">
        <f t="shared" si="34"/>
        <v>175.18</v>
      </c>
      <c r="S64" s="68">
        <f t="shared" si="35"/>
        <v>173.87</v>
      </c>
      <c r="T64" s="75">
        <f t="shared" si="36"/>
        <v>0</v>
      </c>
      <c r="U64" s="68">
        <f t="shared" si="37"/>
        <v>177.51</v>
      </c>
      <c r="V64" s="68">
        <f>VLOOKUP($F64,Limits!$J$2:$L$5,3,FALSE)</f>
        <v>20.85</v>
      </c>
      <c r="W64" s="68">
        <f t="shared" si="38"/>
        <v>21.5</v>
      </c>
      <c r="X64" s="68">
        <f>VLOOKUP($F64,Limits!$R$2:$T$5,3,FALSE)</f>
        <v>102.02</v>
      </c>
      <c r="Y64" s="68">
        <f t="shared" si="39"/>
        <v>105.18</v>
      </c>
      <c r="Z64" s="75">
        <f>VLOOKUP(A64,FRV!$A$4:$U$208,21,FALSE)</f>
        <v>35.68</v>
      </c>
      <c r="AA64" s="141">
        <f>VLOOKUP(A64,'RE Tax'!$A$2:$G$206,3,FALSE)</f>
        <v>45108</v>
      </c>
      <c r="AB64" s="141">
        <f>VLOOKUP(A64,'RE Tax'!$A$2:$G$206,4,FALSE)</f>
        <v>45473</v>
      </c>
      <c r="AC64" s="4">
        <f>VLOOKUP(A64,'RE Tax'!$A$2:$G$206,7,FALSE)</f>
        <v>0</v>
      </c>
      <c r="AD64" s="4">
        <f>VLOOKUP($A64,'RE Tax'!$A$2:$I$206,9,FALSE)</f>
        <v>67344</v>
      </c>
      <c r="AE64" s="4">
        <f>VLOOKUP($A64,'RE Tax'!$A$2:$I$206,8,FALSE)</f>
        <v>41419</v>
      </c>
      <c r="AF64" s="142">
        <f>IF(ISNA(VLOOKUP(A64&amp;AB64,'Days Exceptions'!$C$3:$I$7,6,FALSE)),ROUND(AC64/MAX(AE64,(AD64*Min_Occ)),2),ROUND(AC64/VLOOKUP(A64&amp;AB64,'Days Exceptions'!$C$3:$I$7,6,FALSE),2))</f>
        <v>0</v>
      </c>
      <c r="AG64" s="68">
        <v>0</v>
      </c>
      <c r="AH64" s="68">
        <f t="shared" si="40"/>
        <v>0</v>
      </c>
      <c r="AI64" s="4">
        <v>36872</v>
      </c>
      <c r="AJ64" s="4">
        <v>41801</v>
      </c>
      <c r="AK64" s="68">
        <f>IF(AI64=0,0,IF(ISNA(MATCH(A64,Documentation!$B$66:$B$71,0)),QA_Tax_reg,QA_Tax_5high))</f>
        <v>32.92</v>
      </c>
      <c r="AL64" s="75">
        <f t="shared" si="41"/>
        <v>29.04</v>
      </c>
      <c r="AM64" s="68">
        <f t="shared" si="42"/>
        <v>339.87</v>
      </c>
      <c r="AN64" s="68">
        <f t="shared" si="43"/>
        <v>251.12</v>
      </c>
      <c r="AO64" s="68">
        <f t="shared" si="44"/>
        <v>162.36000000000001</v>
      </c>
      <c r="AP64" s="37" t="s">
        <v>76</v>
      </c>
      <c r="AQ64" s="37" t="s">
        <v>203</v>
      </c>
      <c r="AR64" s="37" t="s">
        <v>1017</v>
      </c>
      <c r="AS64" s="66" t="e">
        <f>VLOOKUP(A64,'CMI Data'!$A$3:$J$209,10,FALSE)</f>
        <v>#DIV/0!</v>
      </c>
      <c r="AT64" s="68">
        <f t="shared" si="3"/>
        <v>173.47</v>
      </c>
      <c r="AU64" s="68" t="e">
        <f t="shared" si="4"/>
        <v>#DIV/0!</v>
      </c>
      <c r="AV64" s="75" t="e">
        <f t="shared" si="45"/>
        <v>#DIV/0!</v>
      </c>
      <c r="AW64" s="68" t="e">
        <f>IF($I64="NA","NA",ROUND(#REF!*$AS64/$I64,2))</f>
        <v>#REF!</v>
      </c>
      <c r="AX64" s="75" t="e">
        <f t="shared" si="57"/>
        <v>#REF!</v>
      </c>
      <c r="AY64" s="68" t="e">
        <f t="shared" si="47"/>
        <v>#REF!</v>
      </c>
      <c r="AZ64" s="4">
        <f t="shared" si="5"/>
        <v>0</v>
      </c>
      <c r="BA64" s="4">
        <f t="shared" si="6"/>
        <v>67344</v>
      </c>
      <c r="BB64" s="4">
        <f t="shared" si="7"/>
        <v>41419</v>
      </c>
      <c r="BC64" s="142">
        <f>IF(ISNA(VLOOKUP($A64&amp;$AB64,'Days Exceptions'!$C$3:$I$7,6,FALSE)),ROUND(AZ64/MAX(BB64,(BA64*Min_Occ)),2),ROUND(AZ64/VLOOKUP($A64&amp;$AB64,'Days Exceptions'!$C$3:$I$7,6,FALSE),2))</f>
        <v>0</v>
      </c>
      <c r="BD64" s="143" t="e">
        <f t="shared" si="8"/>
        <v>#REF!</v>
      </c>
      <c r="BE64" s="143" t="e">
        <f t="shared" si="9"/>
        <v>#REF!</v>
      </c>
      <c r="BF64" s="143">
        <f t="shared" si="10"/>
        <v>158.55000000000001</v>
      </c>
      <c r="BG64" s="37" t="s">
        <v>76</v>
      </c>
      <c r="BH64" s="37" t="s">
        <v>203</v>
      </c>
      <c r="BI64" s="37" t="s">
        <v>1221</v>
      </c>
      <c r="BJ64" s="66" t="e">
        <f>VLOOKUP(A64,'CMI Data'!$A$3:$AZ$209,15,FALSE)</f>
        <v>#DIV/0!</v>
      </c>
      <c r="BK64" s="68">
        <f t="shared" si="11"/>
        <v>173.47</v>
      </c>
      <c r="BL64" s="68" t="e">
        <f t="shared" si="12"/>
        <v>#DIV/0!</v>
      </c>
      <c r="BM64" s="75" t="e">
        <f t="shared" si="13"/>
        <v>#DIV/0!</v>
      </c>
      <c r="BN64" s="68" t="e">
        <f>IF($I64="NA","NA",ROUND(#REF!*$BJ64/$I64,2))</f>
        <v>#REF!</v>
      </c>
      <c r="BO64" s="75" t="e">
        <f t="shared" si="14"/>
        <v>#REF!</v>
      </c>
      <c r="BP64" s="68" t="e">
        <f t="shared" si="48"/>
        <v>#REF!</v>
      </c>
      <c r="BQ64" s="4">
        <f t="shared" si="15"/>
        <v>0</v>
      </c>
      <c r="BR64" s="4">
        <f t="shared" si="16"/>
        <v>67344</v>
      </c>
      <c r="BS64" s="4">
        <f t="shared" si="17"/>
        <v>41419</v>
      </c>
      <c r="BT64" s="142">
        <f>IF(ISNA(VLOOKUP($A64&amp;$AB64,'Days Exceptions'!$C$3:$I$7,6,FALSE)),ROUND(BQ64/MAX(BS64,(BR64*Min_Occ)),2),ROUND(BQ64/VLOOKUP($A64&amp;$AB64,'Days Exceptions'!$C$3:$I$7,6,FALSE),2))</f>
        <v>0</v>
      </c>
      <c r="BU64" s="143" t="e">
        <f t="shared" si="18"/>
        <v>#REF!</v>
      </c>
      <c r="BV64" s="143" t="e">
        <f t="shared" si="19"/>
        <v>#REF!</v>
      </c>
      <c r="BW64" s="143">
        <f t="shared" si="20"/>
        <v>158.55000000000001</v>
      </c>
      <c r="BX64" s="37" t="s">
        <v>76</v>
      </c>
      <c r="BY64" s="37" t="s">
        <v>203</v>
      </c>
      <c r="BZ64" s="37" t="s">
        <v>1486</v>
      </c>
      <c r="CA64" s="66" t="e">
        <f>VLOOKUP(A64,'CMI Data'!$A$3:$AZ$209,20,FALSE)</f>
        <v>#DIV/0!</v>
      </c>
      <c r="CB64" s="68">
        <f t="shared" si="21"/>
        <v>173.47</v>
      </c>
      <c r="CC64" s="68" t="e">
        <f t="shared" si="22"/>
        <v>#DIV/0!</v>
      </c>
      <c r="CD64" s="75" t="e">
        <f t="shared" si="49"/>
        <v>#DIV/0!</v>
      </c>
      <c r="CE64" s="68" t="e">
        <f>IF($I64="NA","NA",ROUND(#REF!*$CA64/$I64,2))</f>
        <v>#REF!</v>
      </c>
      <c r="CF64" s="75" t="e">
        <f t="shared" si="23"/>
        <v>#REF!</v>
      </c>
      <c r="CG64" s="68" t="e">
        <f t="shared" si="24"/>
        <v>#REF!</v>
      </c>
      <c r="CH64" s="4">
        <f t="shared" si="25"/>
        <v>0</v>
      </c>
      <c r="CI64" s="4">
        <f t="shared" si="26"/>
        <v>67344</v>
      </c>
      <c r="CJ64" s="4">
        <f t="shared" si="27"/>
        <v>41419</v>
      </c>
      <c r="CK64" s="142">
        <f>IF(ISNA(VLOOKUP($A64&amp;$AB64,'Days Exceptions'!$C$3:$I$7,6,FALSE)),ROUND(CH64/MAX(CJ64,(CI64*Min_Occ)),2),ROUND(CH64/VLOOKUP($A64&amp;$AB64,'Days Exceptions'!$C$3:$I$7,6,FALSE),2))</f>
        <v>0</v>
      </c>
      <c r="CL64" s="143" t="e">
        <f t="shared" si="28"/>
        <v>#REF!</v>
      </c>
      <c r="CM64" s="143" t="e">
        <f t="shared" si="29"/>
        <v>#REF!</v>
      </c>
      <c r="CN64" s="143">
        <f t="shared" si="30"/>
        <v>158.55000000000001</v>
      </c>
      <c r="CO64" s="37" t="s">
        <v>76</v>
      </c>
      <c r="CP64" s="37" t="s">
        <v>203</v>
      </c>
      <c r="CQ64" s="37" t="s">
        <v>1487</v>
      </c>
    </row>
    <row r="65" spans="1:95" x14ac:dyDescent="0.15">
      <c r="A65" s="130">
        <v>112</v>
      </c>
      <c r="B65" s="37" t="s">
        <v>227</v>
      </c>
      <c r="C65" s="1" t="s">
        <v>148</v>
      </c>
      <c r="D65" s="1" t="s">
        <v>120</v>
      </c>
      <c r="E65" s="1" t="str">
        <f>VLOOKUP(D65,Documentation!$B$4:$D$27,3,FALSE)</f>
        <v>WASHINGTON METRO</v>
      </c>
      <c r="F65" s="1" t="str">
        <f>VLOOKUP(D65,Documentation!$B$4:$C$27,2,FALSE)</f>
        <v>WASHINGTON METRO</v>
      </c>
      <c r="G65" s="82">
        <f>VLOOKUP(A65,'2022 CR and CMI'!$A$3:$D$207,3,FALSE)</f>
        <v>44378</v>
      </c>
      <c r="H65" s="82">
        <f>VLOOKUP(A65,'2022 CR and CMI'!$A$3:$D$207,4,FALSE)</f>
        <v>44742</v>
      </c>
      <c r="I65" s="72">
        <f>VLOOKUP(A65,'2022 CR and CMI'!$A$2:$T$210,19,FALSE)</f>
        <v>1.2639</v>
      </c>
      <c r="J65" s="139">
        <f>Inflation!$G$24</f>
        <v>1.0309999999999999</v>
      </c>
      <c r="K65" s="192">
        <f>VLOOKUP(E65,Limits!$B$2:$D$5,3,FALSE)</f>
        <v>176.01</v>
      </c>
      <c r="L65" s="192">
        <f t="shared" si="31"/>
        <v>181.47</v>
      </c>
      <c r="M65" s="140">
        <f>VLOOKUP(A65,'CMI Data'!$A$4:$C$208,3,FALSE)</f>
        <v>1.3071999999999999</v>
      </c>
      <c r="N65" s="68">
        <f t="shared" si="2"/>
        <v>158.91999999999999</v>
      </c>
      <c r="O65" s="68">
        <f t="shared" si="32"/>
        <v>164.36</v>
      </c>
      <c r="P65" s="75">
        <f t="shared" si="33"/>
        <v>156.13999999999999</v>
      </c>
      <c r="Q65" s="75">
        <v>121.91</v>
      </c>
      <c r="R65" s="75">
        <f t="shared" si="34"/>
        <v>125.69</v>
      </c>
      <c r="S65" s="68">
        <f t="shared" si="35"/>
        <v>130</v>
      </c>
      <c r="T65" s="75">
        <f t="shared" si="36"/>
        <v>-26.14</v>
      </c>
      <c r="U65" s="68">
        <f t="shared" si="37"/>
        <v>138.22</v>
      </c>
      <c r="V65" s="68">
        <f>VLOOKUP($F65,Limits!$J$2:$L$5,3,FALSE)</f>
        <v>19.23</v>
      </c>
      <c r="W65" s="68">
        <f t="shared" si="38"/>
        <v>19.829999999999998</v>
      </c>
      <c r="X65" s="68">
        <f>VLOOKUP($F65,Limits!$R$2:$T$5,3,FALSE)</f>
        <v>100.61</v>
      </c>
      <c r="Y65" s="68">
        <f t="shared" si="39"/>
        <v>103.73</v>
      </c>
      <c r="Z65" s="75">
        <f>VLOOKUP(A65,FRV!$A$4:$U$208,21,FALSE)</f>
        <v>23.29</v>
      </c>
      <c r="AA65" s="141">
        <f>VLOOKUP(A65,'RE Tax'!$A$2:$G$206,3,FALSE)</f>
        <v>45108</v>
      </c>
      <c r="AB65" s="141">
        <f>VLOOKUP(A65,'RE Tax'!$A$2:$G$206,4,FALSE)</f>
        <v>45473</v>
      </c>
      <c r="AC65" s="4">
        <f>VLOOKUP(A65,'RE Tax'!$A$2:$G$206,7,FALSE)</f>
        <v>284737</v>
      </c>
      <c r="AD65" s="4">
        <f>VLOOKUP($A65,'RE Tax'!$A$2:$I$206,9,FALSE)</f>
        <v>97722</v>
      </c>
      <c r="AE65" s="4">
        <f>VLOOKUP($A65,'RE Tax'!$A$2:$I$206,8,FALSE)</f>
        <v>83693</v>
      </c>
      <c r="AF65" s="142">
        <f>IF(ISNA(VLOOKUP(A65&amp;AB65,'Days Exceptions'!$C$3:$I$7,6,FALSE)),ROUND(AC65/MAX(AE65,(AD65*Min_Occ)),2),ROUND(AC65/VLOOKUP(A65&amp;AB65,'Days Exceptions'!$C$3:$I$7,6,FALSE),2))</f>
        <v>3.4</v>
      </c>
      <c r="AG65" s="68">
        <v>0</v>
      </c>
      <c r="AH65" s="68">
        <f t="shared" si="40"/>
        <v>0</v>
      </c>
      <c r="AI65" s="4">
        <v>79013</v>
      </c>
      <c r="AJ65" s="4">
        <v>81239</v>
      </c>
      <c r="AK65" s="68">
        <f>IF(AI65=0,0,IF(ISNA(MATCH(A65,Documentation!$B$66:$B$71,0)),QA_Tax_reg,QA_Tax_5high))</f>
        <v>32.92</v>
      </c>
      <c r="AL65" s="75">
        <f t="shared" si="41"/>
        <v>32.020000000000003</v>
      </c>
      <c r="AM65" s="68">
        <f t="shared" si="42"/>
        <v>288.47000000000003</v>
      </c>
      <c r="AN65" s="68">
        <f t="shared" si="43"/>
        <v>219.36</v>
      </c>
      <c r="AO65" s="68">
        <f t="shared" si="44"/>
        <v>150.25</v>
      </c>
      <c r="AP65" s="37" t="s">
        <v>4</v>
      </c>
      <c r="AQ65" s="37" t="s">
        <v>227</v>
      </c>
      <c r="AR65" s="37" t="s">
        <v>1018</v>
      </c>
      <c r="AS65" s="66" t="e">
        <f>VLOOKUP(A65,'CMI Data'!$A$3:$J$209,10,FALSE)</f>
        <v>#DIV/0!</v>
      </c>
      <c r="AT65" s="68">
        <f t="shared" si="3"/>
        <v>154.13999999999999</v>
      </c>
      <c r="AU65" s="68" t="e">
        <f t="shared" si="4"/>
        <v>#DIV/0!</v>
      </c>
      <c r="AV65" s="75" t="e">
        <f t="shared" si="45"/>
        <v>#DIV/0!</v>
      </c>
      <c r="AW65" s="68" t="e">
        <f>IF($I65="NA","NA",ROUND(#REF!*$AS65/$I65,2))</f>
        <v>#REF!</v>
      </c>
      <c r="AX65" s="75" t="e">
        <f t="shared" si="57"/>
        <v>#REF!</v>
      </c>
      <c r="AY65" s="68" t="e">
        <f t="shared" si="47"/>
        <v>#REF!</v>
      </c>
      <c r="AZ65" s="4">
        <f t="shared" si="5"/>
        <v>284737</v>
      </c>
      <c r="BA65" s="4">
        <f t="shared" si="6"/>
        <v>97722</v>
      </c>
      <c r="BB65" s="4">
        <f t="shared" si="7"/>
        <v>83693</v>
      </c>
      <c r="BC65" s="142">
        <f>IF(ISNA(VLOOKUP($A65&amp;$AB65,'Days Exceptions'!$C$3:$I$7,6,FALSE)),ROUND(AZ65/MAX(BB65,(BA65*Min_Occ)),2),ROUND(AZ65/VLOOKUP($A65&amp;$AB65,'Days Exceptions'!$C$3:$I$7,6,FALSE),2))</f>
        <v>3.4</v>
      </c>
      <c r="BD65" s="143" t="e">
        <f t="shared" si="8"/>
        <v>#REF!</v>
      </c>
      <c r="BE65" s="143" t="e">
        <f t="shared" si="9"/>
        <v>#REF!</v>
      </c>
      <c r="BF65" s="143">
        <f t="shared" si="10"/>
        <v>146.53</v>
      </c>
      <c r="BG65" s="37" t="s">
        <v>4</v>
      </c>
      <c r="BH65" s="37" t="s">
        <v>227</v>
      </c>
      <c r="BI65" s="37" t="s">
        <v>1222</v>
      </c>
      <c r="BJ65" s="66" t="e">
        <f>VLOOKUP(A65,'CMI Data'!$A$3:$AZ$209,15,FALSE)</f>
        <v>#DIV/0!</v>
      </c>
      <c r="BK65" s="68">
        <f t="shared" si="11"/>
        <v>154.13999999999999</v>
      </c>
      <c r="BL65" s="68" t="e">
        <f t="shared" si="12"/>
        <v>#DIV/0!</v>
      </c>
      <c r="BM65" s="75" t="e">
        <f t="shared" si="13"/>
        <v>#DIV/0!</v>
      </c>
      <c r="BN65" s="68" t="e">
        <f>IF($I65="NA","NA",ROUND(#REF!*$BJ65/$I65,2))</f>
        <v>#REF!</v>
      </c>
      <c r="BO65" s="75" t="e">
        <f t="shared" si="14"/>
        <v>#REF!</v>
      </c>
      <c r="BP65" s="68" t="e">
        <f t="shared" si="48"/>
        <v>#REF!</v>
      </c>
      <c r="BQ65" s="4">
        <f t="shared" si="15"/>
        <v>284737</v>
      </c>
      <c r="BR65" s="4">
        <f t="shared" si="16"/>
        <v>97722</v>
      </c>
      <c r="BS65" s="4">
        <f t="shared" si="17"/>
        <v>83693</v>
      </c>
      <c r="BT65" s="142">
        <f>IF(ISNA(VLOOKUP($A65&amp;$AB65,'Days Exceptions'!$C$3:$I$7,6,FALSE)),ROUND(BQ65/MAX(BS65,(BR65*Min_Occ)),2),ROUND(BQ65/VLOOKUP($A65&amp;$AB65,'Days Exceptions'!$C$3:$I$7,6,FALSE),2))</f>
        <v>3.4</v>
      </c>
      <c r="BU65" s="143" t="e">
        <f t="shared" si="18"/>
        <v>#REF!</v>
      </c>
      <c r="BV65" s="143" t="e">
        <f t="shared" si="19"/>
        <v>#REF!</v>
      </c>
      <c r="BW65" s="143">
        <f t="shared" si="20"/>
        <v>146.53</v>
      </c>
      <c r="BX65" s="37" t="s">
        <v>4</v>
      </c>
      <c r="BY65" s="37" t="s">
        <v>227</v>
      </c>
      <c r="BZ65" s="37" t="s">
        <v>1488</v>
      </c>
      <c r="CA65" s="66" t="e">
        <f>VLOOKUP(A65,'CMI Data'!$A$3:$AZ$209,20,FALSE)</f>
        <v>#DIV/0!</v>
      </c>
      <c r="CB65" s="68">
        <f t="shared" si="21"/>
        <v>154.13999999999999</v>
      </c>
      <c r="CC65" s="68" t="e">
        <f t="shared" si="22"/>
        <v>#DIV/0!</v>
      </c>
      <c r="CD65" s="75" t="e">
        <f t="shared" si="49"/>
        <v>#DIV/0!</v>
      </c>
      <c r="CE65" s="68" t="e">
        <f>IF($I65="NA","NA",ROUND(#REF!*$CA65/$I65,2))</f>
        <v>#REF!</v>
      </c>
      <c r="CF65" s="75" t="e">
        <f t="shared" si="23"/>
        <v>#REF!</v>
      </c>
      <c r="CG65" s="68" t="e">
        <f t="shared" si="24"/>
        <v>#REF!</v>
      </c>
      <c r="CH65" s="4">
        <f t="shared" si="25"/>
        <v>284737</v>
      </c>
      <c r="CI65" s="4">
        <f t="shared" si="26"/>
        <v>97722</v>
      </c>
      <c r="CJ65" s="4">
        <f t="shared" si="27"/>
        <v>83693</v>
      </c>
      <c r="CK65" s="142">
        <f>IF(ISNA(VLOOKUP($A65&amp;$AB65,'Days Exceptions'!$C$3:$I$7,6,FALSE)),ROUND(CH65/MAX(CJ65,(CI65*Min_Occ)),2),ROUND(CH65/VLOOKUP($A65&amp;$AB65,'Days Exceptions'!$C$3:$I$7,6,FALSE),2))</f>
        <v>3.4</v>
      </c>
      <c r="CL65" s="143" t="e">
        <f t="shared" si="28"/>
        <v>#REF!</v>
      </c>
      <c r="CM65" s="143" t="e">
        <f t="shared" si="29"/>
        <v>#REF!</v>
      </c>
      <c r="CN65" s="143">
        <f t="shared" si="30"/>
        <v>146.53</v>
      </c>
      <c r="CO65" s="37" t="s">
        <v>4</v>
      </c>
      <c r="CP65" s="37" t="s">
        <v>227</v>
      </c>
      <c r="CQ65" s="37" t="s">
        <v>1489</v>
      </c>
    </row>
    <row r="66" spans="1:95" x14ac:dyDescent="0.15">
      <c r="A66" s="130">
        <v>114</v>
      </c>
      <c r="B66" s="37" t="s">
        <v>657</v>
      </c>
      <c r="C66" s="1" t="s">
        <v>148</v>
      </c>
      <c r="D66" s="1" t="s">
        <v>125</v>
      </c>
      <c r="E66" s="1" t="str">
        <f>VLOOKUP(D66,Documentation!$B$4:$D$27,3,FALSE)</f>
        <v>WESTERN REGION</v>
      </c>
      <c r="F66" s="1" t="str">
        <f>VLOOKUP(D66,Documentation!$B$4:$C$27,2,FALSE)</f>
        <v>NON METRO</v>
      </c>
      <c r="G66" s="82">
        <f>VLOOKUP(A66,'2022 CR and CMI'!$A$3:$D$207,3,FALSE)</f>
        <v>44743</v>
      </c>
      <c r="H66" s="82">
        <f>VLOOKUP(A66,'2022 CR and CMI'!$A$3:$D$207,4,FALSE)</f>
        <v>44865</v>
      </c>
      <c r="I66" s="72">
        <f>VLOOKUP(A66,'2022 CR and CMI'!$A$2:$T$210,19,FALSE)</f>
        <v>1.2766</v>
      </c>
      <c r="J66" s="139">
        <f>Inflation!$G$24</f>
        <v>1.0309999999999999</v>
      </c>
      <c r="K66" s="192">
        <f>VLOOKUP(E66,Limits!$B$2:$D$5,3,FALSE)</f>
        <v>166.26</v>
      </c>
      <c r="L66" s="192">
        <f t="shared" si="31"/>
        <v>171.41</v>
      </c>
      <c r="M66" s="140">
        <f>VLOOKUP(A66,'CMI Data'!$A$4:$C$208,3,FALSE)</f>
        <v>1.2726999999999999</v>
      </c>
      <c r="N66" s="68">
        <f t="shared" si="2"/>
        <v>151.62</v>
      </c>
      <c r="O66" s="68">
        <f t="shared" si="32"/>
        <v>151.16</v>
      </c>
      <c r="P66" s="75">
        <f t="shared" si="33"/>
        <v>143.6</v>
      </c>
      <c r="Q66" s="75">
        <v>189.39</v>
      </c>
      <c r="R66" s="75">
        <f t="shared" si="34"/>
        <v>195.26</v>
      </c>
      <c r="S66" s="68">
        <f t="shared" si="35"/>
        <v>194.66</v>
      </c>
      <c r="T66" s="75">
        <f t="shared" si="36"/>
        <v>0</v>
      </c>
      <c r="U66" s="68">
        <f t="shared" si="37"/>
        <v>151.16</v>
      </c>
      <c r="V66" s="68">
        <f>VLOOKUP($F66,Limits!$J$2:$L$5,3,FALSE)</f>
        <v>20.239999999999998</v>
      </c>
      <c r="W66" s="68">
        <f t="shared" si="38"/>
        <v>20.87</v>
      </c>
      <c r="X66" s="68">
        <f>VLOOKUP($F66,Limits!$R$2:$T$5,3,FALSE)</f>
        <v>89.55</v>
      </c>
      <c r="Y66" s="68">
        <f t="shared" si="39"/>
        <v>92.33</v>
      </c>
      <c r="Z66" s="75">
        <f>VLOOKUP(A66,FRV!$A$4:$U$208,21,FALSE)</f>
        <v>44.29</v>
      </c>
      <c r="AA66" s="141">
        <f>VLOOKUP(A66,'RE Tax'!$A$2:$G$206,3,FALSE)</f>
        <v>45292</v>
      </c>
      <c r="AB66" s="141">
        <f>VLOOKUP(A66,'RE Tax'!$A$2:$G$206,4,FALSE)</f>
        <v>45657</v>
      </c>
      <c r="AC66" s="4">
        <f>VLOOKUP(A66,'RE Tax'!$A$2:$G$206,7,FALSE)</f>
        <v>0</v>
      </c>
      <c r="AD66" s="4">
        <f>VLOOKUP($A66,'RE Tax'!$A$2:$I$206,9,FALSE)</f>
        <v>21803</v>
      </c>
      <c r="AE66" s="4">
        <f>VLOOKUP($A66,'RE Tax'!$A$2:$I$206,8,FALSE)</f>
        <v>17475</v>
      </c>
      <c r="AF66" s="142">
        <f>IF(ISNA(VLOOKUP(A66&amp;AB66,'Days Exceptions'!$C$3:$I$7,6,FALSE)),ROUND(AC66/MAX(AE66,(AD66*Min_Occ)),2),ROUND(AC66/VLOOKUP(A66&amp;AB66,'Days Exceptions'!$C$3:$I$7,6,FALSE),2))</f>
        <v>0</v>
      </c>
      <c r="AG66" s="68">
        <v>0</v>
      </c>
      <c r="AH66" s="68">
        <f t="shared" si="40"/>
        <v>0</v>
      </c>
      <c r="AI66" s="4">
        <v>12623</v>
      </c>
      <c r="AJ66" s="4">
        <v>17598</v>
      </c>
      <c r="AK66" s="68">
        <f>IF(AI66=0,0,IF(ISNA(MATCH(A66,Documentation!$B$66:$B$71,0)),QA_Tax_reg,QA_Tax_5high))</f>
        <v>32.92</v>
      </c>
      <c r="AL66" s="75">
        <f t="shared" si="41"/>
        <v>23.61</v>
      </c>
      <c r="AM66" s="68">
        <f t="shared" si="42"/>
        <v>308.64999999999998</v>
      </c>
      <c r="AN66" s="68">
        <f t="shared" si="43"/>
        <v>233.07</v>
      </c>
      <c r="AO66" s="68">
        <f t="shared" si="44"/>
        <v>157.49</v>
      </c>
      <c r="AP66" s="37" t="s">
        <v>656</v>
      </c>
      <c r="AQ66" s="37" t="s">
        <v>657</v>
      </c>
      <c r="AR66" s="37" t="s">
        <v>1019</v>
      </c>
      <c r="AS66" s="66" t="e">
        <f>VLOOKUP(A66,'CMI Data'!$A$3:$J$209,10,FALSE)</f>
        <v>#DIV/0!</v>
      </c>
      <c r="AT66" s="68">
        <f t="shared" si="3"/>
        <v>147.07</v>
      </c>
      <c r="AU66" s="68" t="e">
        <f t="shared" si="4"/>
        <v>#DIV/0!</v>
      </c>
      <c r="AV66" s="75" t="e">
        <f t="shared" si="45"/>
        <v>#DIV/0!</v>
      </c>
      <c r="AW66" s="68" t="e">
        <f>IF($I66="NA","NA",ROUND(#REF!*$AS66/$I66,2))</f>
        <v>#REF!</v>
      </c>
      <c r="AX66" s="75" t="e">
        <f t="shared" si="57"/>
        <v>#REF!</v>
      </c>
      <c r="AY66" s="68" t="e">
        <f t="shared" si="47"/>
        <v>#REF!</v>
      </c>
      <c r="AZ66" s="4">
        <f t="shared" si="5"/>
        <v>0</v>
      </c>
      <c r="BA66" s="4">
        <f t="shared" si="6"/>
        <v>21803</v>
      </c>
      <c r="BB66" s="4">
        <f t="shared" si="7"/>
        <v>17475</v>
      </c>
      <c r="BC66" s="142">
        <f>IF(ISNA(VLOOKUP($A66&amp;$AB66,'Days Exceptions'!$C$3:$I$7,6,FALSE)),ROUND(AZ66/MAX(BB66,(BA66*Min_Occ)),2),ROUND(AZ66/VLOOKUP($A66&amp;$AB66,'Days Exceptions'!$C$3:$I$7,6,FALSE),2))</f>
        <v>0</v>
      </c>
      <c r="BD66" s="143" t="e">
        <f t="shared" si="8"/>
        <v>#REF!</v>
      </c>
      <c r="BE66" s="143" t="e">
        <f t="shared" si="9"/>
        <v>#REF!</v>
      </c>
      <c r="BF66" s="143">
        <f t="shared" si="10"/>
        <v>154.08000000000001</v>
      </c>
      <c r="BG66" s="37" t="s">
        <v>656</v>
      </c>
      <c r="BH66" s="37" t="s">
        <v>657</v>
      </c>
      <c r="BI66" s="37" t="s">
        <v>1223</v>
      </c>
      <c r="BJ66" s="66" t="e">
        <f>VLOOKUP(A66,'CMI Data'!$A$3:$AZ$209,15,FALSE)</f>
        <v>#DIV/0!</v>
      </c>
      <c r="BK66" s="68">
        <f t="shared" si="11"/>
        <v>147.07</v>
      </c>
      <c r="BL66" s="68" t="e">
        <f t="shared" si="12"/>
        <v>#DIV/0!</v>
      </c>
      <c r="BM66" s="75" t="e">
        <f t="shared" si="13"/>
        <v>#DIV/0!</v>
      </c>
      <c r="BN66" s="68" t="e">
        <f>IF($I66="NA","NA",ROUND(#REF!*$BJ66/$I66,2))</f>
        <v>#REF!</v>
      </c>
      <c r="BO66" s="75" t="e">
        <f t="shared" si="14"/>
        <v>#REF!</v>
      </c>
      <c r="BP66" s="68" t="e">
        <f t="shared" si="48"/>
        <v>#REF!</v>
      </c>
      <c r="BQ66" s="4">
        <f t="shared" si="15"/>
        <v>0</v>
      </c>
      <c r="BR66" s="4">
        <f t="shared" si="16"/>
        <v>21803</v>
      </c>
      <c r="BS66" s="4">
        <f t="shared" si="17"/>
        <v>17475</v>
      </c>
      <c r="BT66" s="142">
        <f>IF(ISNA(VLOOKUP($A66&amp;$AB66,'Days Exceptions'!$C$3:$I$7,6,FALSE)),ROUND(BQ66/MAX(BS66,(BR66*Min_Occ)),2),ROUND(BQ66/VLOOKUP($A66&amp;$AB66,'Days Exceptions'!$C$3:$I$7,6,FALSE),2))</f>
        <v>0</v>
      </c>
      <c r="BU66" s="143" t="e">
        <f t="shared" si="18"/>
        <v>#REF!</v>
      </c>
      <c r="BV66" s="143" t="e">
        <f t="shared" si="19"/>
        <v>#REF!</v>
      </c>
      <c r="BW66" s="143">
        <f t="shared" si="20"/>
        <v>154.08000000000001</v>
      </c>
      <c r="BX66" s="37" t="s">
        <v>656</v>
      </c>
      <c r="BY66" s="37" t="s">
        <v>657</v>
      </c>
      <c r="BZ66" s="37" t="s">
        <v>1490</v>
      </c>
      <c r="CA66" s="66" t="e">
        <f>VLOOKUP(A66,'CMI Data'!$A$3:$AZ$209,20,FALSE)</f>
        <v>#DIV/0!</v>
      </c>
      <c r="CB66" s="68">
        <f t="shared" si="21"/>
        <v>147.07</v>
      </c>
      <c r="CC66" s="68" t="e">
        <f t="shared" si="22"/>
        <v>#DIV/0!</v>
      </c>
      <c r="CD66" s="75" t="e">
        <f t="shared" si="49"/>
        <v>#DIV/0!</v>
      </c>
      <c r="CE66" s="68" t="e">
        <f>IF($I66="NA","NA",ROUND(#REF!*$CA66/$I66,2))</f>
        <v>#REF!</v>
      </c>
      <c r="CF66" s="75" t="e">
        <f t="shared" si="23"/>
        <v>#REF!</v>
      </c>
      <c r="CG66" s="68" t="e">
        <f t="shared" si="24"/>
        <v>#REF!</v>
      </c>
      <c r="CH66" s="4">
        <f t="shared" si="25"/>
        <v>0</v>
      </c>
      <c r="CI66" s="4">
        <f t="shared" si="26"/>
        <v>21803</v>
      </c>
      <c r="CJ66" s="4">
        <f t="shared" si="27"/>
        <v>17475</v>
      </c>
      <c r="CK66" s="142">
        <f>IF(ISNA(VLOOKUP($A66&amp;$AB66,'Days Exceptions'!$C$3:$I$7,6,FALSE)),ROUND(CH66/MAX(CJ66,(CI66*Min_Occ)),2),ROUND(CH66/VLOOKUP($A66&amp;$AB66,'Days Exceptions'!$C$3:$I$7,6,FALSE),2))</f>
        <v>0</v>
      </c>
      <c r="CL66" s="143" t="e">
        <f t="shared" si="28"/>
        <v>#REF!</v>
      </c>
      <c r="CM66" s="143" t="e">
        <f t="shared" si="29"/>
        <v>#REF!</v>
      </c>
      <c r="CN66" s="143">
        <f t="shared" si="30"/>
        <v>154.08000000000001</v>
      </c>
      <c r="CO66" s="37" t="s">
        <v>656</v>
      </c>
      <c r="CP66" s="37" t="s">
        <v>657</v>
      </c>
      <c r="CQ66" s="37" t="s">
        <v>1491</v>
      </c>
    </row>
    <row r="67" spans="1:95" x14ac:dyDescent="0.15">
      <c r="A67" s="130">
        <v>118</v>
      </c>
      <c r="B67" s="37" t="s">
        <v>470</v>
      </c>
      <c r="C67" s="1" t="s">
        <v>148</v>
      </c>
      <c r="D67" s="1" t="s">
        <v>119</v>
      </c>
      <c r="E67" s="1" t="str">
        <f>VLOOKUP(D67,Documentation!$B$4:$D$27,3,FALSE)</f>
        <v>WASHINGTON METRO</v>
      </c>
      <c r="F67" s="1" t="str">
        <f>VLOOKUP(D67,Documentation!$B$4:$C$27,2,FALSE)</f>
        <v>WASHINGTON METRO</v>
      </c>
      <c r="G67" s="82">
        <f>VLOOKUP(A67,'2022 CR and CMI'!$A$3:$D$207,3,FALSE)</f>
        <v>44562</v>
      </c>
      <c r="H67" s="82">
        <f>VLOOKUP(A67,'2022 CR and CMI'!$A$3:$D$207,4,FALSE)</f>
        <v>44926</v>
      </c>
      <c r="I67" s="72">
        <f>VLOOKUP(A67,'2022 CR and CMI'!$A$2:$T$210,19,FALSE)</f>
        <v>1.5469999999999999</v>
      </c>
      <c r="J67" s="139">
        <f>Inflation!$G$24</f>
        <v>1.0309999999999999</v>
      </c>
      <c r="K67" s="192">
        <f>VLOOKUP(E67,Limits!$B$2:$D$5,3,FALSE)</f>
        <v>176.01</v>
      </c>
      <c r="L67" s="192">
        <f t="shared" si="31"/>
        <v>181.47</v>
      </c>
      <c r="M67" s="140">
        <f>VLOOKUP(A67,'CMI Data'!$A$4:$C$208,3,FALSE)</f>
        <v>1.7498</v>
      </c>
      <c r="N67" s="68">
        <f t="shared" si="2"/>
        <v>194.52</v>
      </c>
      <c r="O67" s="68">
        <f t="shared" si="32"/>
        <v>220.02</v>
      </c>
      <c r="P67" s="75">
        <f t="shared" si="33"/>
        <v>209.02</v>
      </c>
      <c r="Q67" s="75">
        <v>149.41</v>
      </c>
      <c r="R67" s="75">
        <f t="shared" si="34"/>
        <v>154.04</v>
      </c>
      <c r="S67" s="68">
        <f t="shared" si="35"/>
        <v>174.23</v>
      </c>
      <c r="T67" s="75">
        <f t="shared" si="36"/>
        <v>-34.79</v>
      </c>
      <c r="U67" s="68">
        <f t="shared" si="37"/>
        <v>185.23</v>
      </c>
      <c r="V67" s="68">
        <f>VLOOKUP($F67,Limits!$J$2:$L$5,3,FALSE)</f>
        <v>19.23</v>
      </c>
      <c r="W67" s="68">
        <f t="shared" si="38"/>
        <v>19.829999999999998</v>
      </c>
      <c r="X67" s="68">
        <f>VLOOKUP($F67,Limits!$R$2:$T$5,3,FALSE)</f>
        <v>100.61</v>
      </c>
      <c r="Y67" s="68">
        <f t="shared" si="39"/>
        <v>103.73</v>
      </c>
      <c r="Z67" s="75">
        <f>VLOOKUP(A67,FRV!$A$4:$U$208,21,FALSE)</f>
        <v>32.96</v>
      </c>
      <c r="AA67" s="141">
        <f>VLOOKUP(A67,'RE Tax'!$A$2:$G$206,3,FALSE)</f>
        <v>45292</v>
      </c>
      <c r="AB67" s="141">
        <f>VLOOKUP(A67,'RE Tax'!$A$2:$G$206,4,FALSE)</f>
        <v>45657</v>
      </c>
      <c r="AC67" s="4">
        <f>VLOOKUP(A67,'RE Tax'!$A$2:$G$206,7,FALSE)</f>
        <v>212928</v>
      </c>
      <c r="AD67" s="4">
        <f>VLOOKUP($A67,'RE Tax'!$A$2:$I$206,9,FALSE)</f>
        <v>58560</v>
      </c>
      <c r="AE67" s="4">
        <f>VLOOKUP($A67,'RE Tax'!$A$2:$I$206,8,FALSE)</f>
        <v>55568</v>
      </c>
      <c r="AF67" s="142">
        <f>IF(ISNA(VLOOKUP(A67&amp;AB67,'Days Exceptions'!$C$3:$I$7,6,FALSE)),ROUND(AC67/MAX(AE67,(AD67*Min_Occ)),2),ROUND(AC67/VLOOKUP(A67&amp;AB67,'Days Exceptions'!$C$3:$I$7,6,FALSE),2))</f>
        <v>3.83</v>
      </c>
      <c r="AG67" s="68">
        <v>0</v>
      </c>
      <c r="AH67" s="68">
        <f t="shared" si="40"/>
        <v>0</v>
      </c>
      <c r="AI67" s="4">
        <v>42078</v>
      </c>
      <c r="AJ67" s="4">
        <v>55551</v>
      </c>
      <c r="AK67" s="68">
        <f>IF(AI67=0,0,IF(ISNA(MATCH(A67,Documentation!$B$66:$B$71,0)),QA_Tax_reg,QA_Tax_5high))</f>
        <v>32.92</v>
      </c>
      <c r="AL67" s="75">
        <f t="shared" si="41"/>
        <v>24.94</v>
      </c>
      <c r="AM67" s="68">
        <f t="shared" si="42"/>
        <v>345.58</v>
      </c>
      <c r="AN67" s="68">
        <f t="shared" si="43"/>
        <v>252.97</v>
      </c>
      <c r="AO67" s="68">
        <f t="shared" si="44"/>
        <v>160.35</v>
      </c>
      <c r="AP67" s="37" t="s">
        <v>469</v>
      </c>
      <c r="AQ67" s="37" t="s">
        <v>470</v>
      </c>
      <c r="AR67" s="37" t="s">
        <v>1020</v>
      </c>
      <c r="AS67" s="66" t="e">
        <f>VLOOKUP(A67,'CMI Data'!$A$3:$J$209,10,FALSE)</f>
        <v>#DIV/0!</v>
      </c>
      <c r="AT67" s="68">
        <f t="shared" si="3"/>
        <v>188.67</v>
      </c>
      <c r="AU67" s="68" t="e">
        <f t="shared" si="4"/>
        <v>#DIV/0!</v>
      </c>
      <c r="AV67" s="75" t="e">
        <f t="shared" si="45"/>
        <v>#DIV/0!</v>
      </c>
      <c r="AW67" s="68" t="e">
        <f>IF($I67="NA","NA",ROUND(#REF!*$AS67/$I67,2))</f>
        <v>#REF!</v>
      </c>
      <c r="AX67" s="75" t="e">
        <f t="shared" si="57"/>
        <v>#REF!</v>
      </c>
      <c r="AY67" s="68" t="e">
        <f t="shared" si="47"/>
        <v>#REF!</v>
      </c>
      <c r="AZ67" s="4">
        <f t="shared" si="5"/>
        <v>212928</v>
      </c>
      <c r="BA67" s="4">
        <f t="shared" si="6"/>
        <v>58560</v>
      </c>
      <c r="BB67" s="4">
        <f t="shared" si="7"/>
        <v>55568</v>
      </c>
      <c r="BC67" s="142">
        <f>IF(ISNA(VLOOKUP($A67&amp;$AB67,'Days Exceptions'!$C$3:$I$7,6,FALSE)),ROUND(AZ67/MAX(BB67,(BA67*Min_Occ)),2),ROUND(AZ67/VLOOKUP($A67&amp;$AB67,'Days Exceptions'!$C$3:$I$7,6,FALSE),2))</f>
        <v>3.83</v>
      </c>
      <c r="BD67" s="143" t="e">
        <f t="shared" si="8"/>
        <v>#REF!</v>
      </c>
      <c r="BE67" s="143" t="e">
        <f t="shared" si="9"/>
        <v>#REF!</v>
      </c>
      <c r="BF67" s="143">
        <f t="shared" si="10"/>
        <v>156.63</v>
      </c>
      <c r="BG67" s="37" t="s">
        <v>469</v>
      </c>
      <c r="BH67" s="37" t="s">
        <v>470</v>
      </c>
      <c r="BI67" s="37" t="s">
        <v>1224</v>
      </c>
      <c r="BJ67" s="66" t="e">
        <f>VLOOKUP(A67,'CMI Data'!$A$3:$AZ$209,15,FALSE)</f>
        <v>#DIV/0!</v>
      </c>
      <c r="BK67" s="68">
        <f t="shared" si="11"/>
        <v>188.67</v>
      </c>
      <c r="BL67" s="68" t="e">
        <f t="shared" si="12"/>
        <v>#DIV/0!</v>
      </c>
      <c r="BM67" s="75" t="e">
        <f t="shared" si="13"/>
        <v>#DIV/0!</v>
      </c>
      <c r="BN67" s="68" t="e">
        <f>IF($I67="NA","NA",ROUND(#REF!*$BJ67/$I67,2))</f>
        <v>#REF!</v>
      </c>
      <c r="BO67" s="75" t="e">
        <f t="shared" si="14"/>
        <v>#REF!</v>
      </c>
      <c r="BP67" s="68" t="e">
        <f t="shared" si="48"/>
        <v>#REF!</v>
      </c>
      <c r="BQ67" s="4">
        <f t="shared" si="15"/>
        <v>212928</v>
      </c>
      <c r="BR67" s="4">
        <f t="shared" si="16"/>
        <v>58560</v>
      </c>
      <c r="BS67" s="4">
        <f t="shared" si="17"/>
        <v>55568</v>
      </c>
      <c r="BT67" s="142">
        <f>IF(ISNA(VLOOKUP($A67&amp;$AB67,'Days Exceptions'!$C$3:$I$7,6,FALSE)),ROUND(BQ67/MAX(BS67,(BR67*Min_Occ)),2),ROUND(BQ67/VLOOKUP($A67&amp;$AB67,'Days Exceptions'!$C$3:$I$7,6,FALSE),2))</f>
        <v>3.83</v>
      </c>
      <c r="BU67" s="143" t="e">
        <f t="shared" si="18"/>
        <v>#REF!</v>
      </c>
      <c r="BV67" s="143" t="e">
        <f t="shared" si="19"/>
        <v>#REF!</v>
      </c>
      <c r="BW67" s="143">
        <f t="shared" si="20"/>
        <v>156.63</v>
      </c>
      <c r="BX67" s="37" t="s">
        <v>469</v>
      </c>
      <c r="BY67" s="37" t="s">
        <v>470</v>
      </c>
      <c r="BZ67" s="37" t="s">
        <v>1492</v>
      </c>
      <c r="CA67" s="66" t="e">
        <f>VLOOKUP(A67,'CMI Data'!$A$3:$AZ$209,20,FALSE)</f>
        <v>#DIV/0!</v>
      </c>
      <c r="CB67" s="68">
        <f t="shared" si="21"/>
        <v>188.67</v>
      </c>
      <c r="CC67" s="68" t="e">
        <f t="shared" si="22"/>
        <v>#DIV/0!</v>
      </c>
      <c r="CD67" s="75" t="e">
        <f t="shared" si="49"/>
        <v>#DIV/0!</v>
      </c>
      <c r="CE67" s="68" t="e">
        <f>IF($I67="NA","NA",ROUND(#REF!*$CA67/$I67,2))</f>
        <v>#REF!</v>
      </c>
      <c r="CF67" s="75" t="e">
        <f t="shared" si="23"/>
        <v>#REF!</v>
      </c>
      <c r="CG67" s="68" t="e">
        <f t="shared" si="24"/>
        <v>#REF!</v>
      </c>
      <c r="CH67" s="4">
        <f t="shared" si="25"/>
        <v>212928</v>
      </c>
      <c r="CI67" s="4">
        <f t="shared" si="26"/>
        <v>58560</v>
      </c>
      <c r="CJ67" s="4">
        <f t="shared" si="27"/>
        <v>55568</v>
      </c>
      <c r="CK67" s="142">
        <f>IF(ISNA(VLOOKUP($A67&amp;$AB67,'Days Exceptions'!$C$3:$I$7,6,FALSE)),ROUND(CH67/MAX(CJ67,(CI67*Min_Occ)),2),ROUND(CH67/VLOOKUP($A67&amp;$AB67,'Days Exceptions'!$C$3:$I$7,6,FALSE),2))</f>
        <v>3.83</v>
      </c>
      <c r="CL67" s="143" t="e">
        <f t="shared" si="28"/>
        <v>#REF!</v>
      </c>
      <c r="CM67" s="143" t="e">
        <f t="shared" si="29"/>
        <v>#REF!</v>
      </c>
      <c r="CN67" s="143">
        <f t="shared" si="30"/>
        <v>156.63</v>
      </c>
      <c r="CO67" s="37" t="s">
        <v>469</v>
      </c>
      <c r="CP67" s="37" t="s">
        <v>470</v>
      </c>
      <c r="CQ67" s="37" t="s">
        <v>1493</v>
      </c>
    </row>
    <row r="68" spans="1:95" x14ac:dyDescent="0.15">
      <c r="A68" s="130">
        <v>665</v>
      </c>
      <c r="B68" s="37" t="s">
        <v>645</v>
      </c>
      <c r="C68" s="1" t="s">
        <v>148</v>
      </c>
      <c r="D68" s="1" t="s">
        <v>106</v>
      </c>
      <c r="E68" s="1" t="str">
        <f>VLOOKUP(D68,Documentation!$B$4:$D$27,3,FALSE)</f>
        <v>BALTIMORE METRO</v>
      </c>
      <c r="F68" s="1" t="str">
        <f>VLOOKUP(D68,Documentation!$B$4:$C$27,2,FALSE)</f>
        <v>BALTIMORE METRO</v>
      </c>
      <c r="G68" s="82">
        <f>VLOOKUP(A68,'2022 CR and CMI'!$A$3:$D$207,3,FALSE)</f>
        <v>44562</v>
      </c>
      <c r="H68" s="82">
        <f>VLOOKUP(A68,'2022 CR and CMI'!$A$3:$D$207,4,FALSE)</f>
        <v>44957</v>
      </c>
      <c r="I68" s="72">
        <f>VLOOKUP(A68,'2022 CR and CMI'!$A$2:$T$210,19,FALSE)</f>
        <v>1.5754999999999999</v>
      </c>
      <c r="J68" s="139">
        <f>Inflation!$G$24</f>
        <v>1.0309999999999999</v>
      </c>
      <c r="K68" s="192">
        <f>VLOOKUP(E68,Limits!$B$2:$D$5,3,FALSE)</f>
        <v>195.33</v>
      </c>
      <c r="L68" s="192">
        <f t="shared" si="31"/>
        <v>201.39</v>
      </c>
      <c r="M68" s="140">
        <f>VLOOKUP(A68,'CMI Data'!$A$4:$C$208,3,FALSE)</f>
        <v>1.5026999999999999</v>
      </c>
      <c r="N68" s="68">
        <f t="shared" ref="N68:N131" si="58">IF($I68="NA","NA",ROUND($L68*$I68/SW_CR_CMI,2))</f>
        <v>219.85</v>
      </c>
      <c r="O68" s="68">
        <f t="shared" si="32"/>
        <v>209.69</v>
      </c>
      <c r="P68" s="75">
        <f t="shared" si="33"/>
        <v>199.21</v>
      </c>
      <c r="Q68" s="75">
        <v>233.63</v>
      </c>
      <c r="R68" s="75">
        <f t="shared" si="34"/>
        <v>240.87</v>
      </c>
      <c r="S68" s="68">
        <f t="shared" si="35"/>
        <v>229.74</v>
      </c>
      <c r="T68" s="75">
        <f t="shared" si="36"/>
        <v>0</v>
      </c>
      <c r="U68" s="68">
        <f t="shared" si="37"/>
        <v>209.69</v>
      </c>
      <c r="V68" s="68">
        <f>VLOOKUP($F68,Limits!$J$2:$L$5,3,FALSE)</f>
        <v>20.85</v>
      </c>
      <c r="W68" s="68">
        <f t="shared" si="38"/>
        <v>21.5</v>
      </c>
      <c r="X68" s="68">
        <f>VLOOKUP($F68,Limits!$R$2:$T$5,3,FALSE)</f>
        <v>102.02</v>
      </c>
      <c r="Y68" s="68">
        <f t="shared" si="39"/>
        <v>105.18</v>
      </c>
      <c r="Z68" s="75">
        <f>VLOOKUP(A68,FRV!$A$4:$U$208,21,FALSE)</f>
        <v>35.32</v>
      </c>
      <c r="AA68" s="141">
        <f>VLOOKUP(A68,'RE Tax'!$A$2:$G$206,3,FALSE)</f>
        <v>45292</v>
      </c>
      <c r="AB68" s="141">
        <f>VLOOKUP(A68,'RE Tax'!$A$2:$G$206,4,FALSE)</f>
        <v>45657</v>
      </c>
      <c r="AC68" s="4">
        <f>VLOOKUP(A68,'RE Tax'!$A$2:$G$206,7,FALSE)</f>
        <v>101060</v>
      </c>
      <c r="AD68" s="4">
        <f>VLOOKUP($A68,'RE Tax'!$A$2:$I$206,9,FALSE)</f>
        <v>35502</v>
      </c>
      <c r="AE68" s="4">
        <f>VLOOKUP($A68,'RE Tax'!$A$2:$I$206,8,FALSE)</f>
        <v>28667</v>
      </c>
      <c r="AF68" s="142">
        <f>IF(ISNA(VLOOKUP(A68&amp;AB68,'Days Exceptions'!$C$3:$I$7,6,FALSE)),ROUND(AC68/MAX(AE68,(AD68*Min_Occ)),2),ROUND(AC68/VLOOKUP(A68&amp;AB68,'Days Exceptions'!$C$3:$I$7,6,FALSE),2))</f>
        <v>3.49</v>
      </c>
      <c r="AG68" s="68">
        <v>0</v>
      </c>
      <c r="AH68" s="68">
        <f t="shared" si="40"/>
        <v>0</v>
      </c>
      <c r="AI68" s="4">
        <v>23887</v>
      </c>
      <c r="AJ68" s="4">
        <v>28664</v>
      </c>
      <c r="AK68" s="68">
        <f>IF(AI68=0,0,IF(ISNA(MATCH(A68,Documentation!$B$66:$B$71,0)),QA_Tax_reg,QA_Tax_5high))</f>
        <v>32.92</v>
      </c>
      <c r="AL68" s="75">
        <f t="shared" si="41"/>
        <v>27.43</v>
      </c>
      <c r="AM68" s="68">
        <f t="shared" si="42"/>
        <v>375.18</v>
      </c>
      <c r="AN68" s="68">
        <f t="shared" si="43"/>
        <v>270.33999999999997</v>
      </c>
      <c r="AO68" s="68">
        <f t="shared" si="44"/>
        <v>165.49</v>
      </c>
      <c r="AP68" s="37" t="s">
        <v>644</v>
      </c>
      <c r="AQ68" s="37" t="s">
        <v>645</v>
      </c>
      <c r="AR68" s="37" t="s">
        <v>1021</v>
      </c>
      <c r="AS68" s="66" t="e">
        <f>VLOOKUP(A68,'CMI Data'!$A$3:$J$209,10,FALSE)</f>
        <v>#DIV/0!</v>
      </c>
      <c r="AT68" s="68">
        <f t="shared" ref="AT68:AT131" si="59">IF($I68="NA","NA",ROUND($K68*$I68/SW_CR_CMI,2))</f>
        <v>213.24</v>
      </c>
      <c r="AU68" s="68" t="e">
        <f t="shared" ref="AU68:AU131" si="60">IF($I68="NA",ROUND(AS68*$K68,2),ROUND(AT68*(AS68/$I68),2))</f>
        <v>#DIV/0!</v>
      </c>
      <c r="AV68" s="75" t="e">
        <f t="shared" si="45"/>
        <v>#DIV/0!</v>
      </c>
      <c r="AW68" s="68" t="e">
        <f>IF($I68="NA","NA",ROUND(#REF!*$AS68/$I68,2))</f>
        <v>#REF!</v>
      </c>
      <c r="AX68" s="75" t="e">
        <f t="shared" si="57"/>
        <v>#REF!</v>
      </c>
      <c r="AY68" s="68" t="e">
        <f t="shared" si="47"/>
        <v>#REF!</v>
      </c>
      <c r="AZ68" s="4">
        <f t="shared" si="5"/>
        <v>101060</v>
      </c>
      <c r="BA68" s="4">
        <f t="shared" si="6"/>
        <v>35502</v>
      </c>
      <c r="BB68" s="4">
        <f t="shared" si="7"/>
        <v>28667</v>
      </c>
      <c r="BC68" s="142">
        <f>IF(ISNA(VLOOKUP($A68&amp;$AB68,'Days Exceptions'!$C$3:$I$7,6,FALSE)),ROUND(AZ68/MAX(BB68,(BA68*Min_Occ)),2),ROUND(AZ68/VLOOKUP($A68&amp;$AB68,'Days Exceptions'!$C$3:$I$7,6,FALSE),2))</f>
        <v>3.49</v>
      </c>
      <c r="BD68" s="143" t="e">
        <f t="shared" ref="BD68:BD131" si="61">$BC68+$AY68+$AG68+$Z68+$X68+$V68</f>
        <v>#REF!</v>
      </c>
      <c r="BE68" s="143" t="e">
        <f t="shared" ref="BE68:BE131" si="62">$BC68+$AG68+$Z68+$X68+$V68+ROUND(+$AY68*0.5,2)</f>
        <v>#REF!</v>
      </c>
      <c r="BF68" s="143">
        <f t="shared" ref="BF68:BF131" si="63">$BC68+$AG68+$Z68+$X68+$V68</f>
        <v>161.68</v>
      </c>
      <c r="BG68" s="37" t="s">
        <v>644</v>
      </c>
      <c r="BH68" s="37" t="s">
        <v>645</v>
      </c>
      <c r="BI68" s="37" t="s">
        <v>1225</v>
      </c>
      <c r="BJ68" s="66" t="e">
        <f>VLOOKUP(A68,'CMI Data'!$A$3:$AZ$209,15,FALSE)</f>
        <v>#DIV/0!</v>
      </c>
      <c r="BK68" s="68">
        <f t="shared" ref="BK68:BK131" si="64">IF($I68="NA","NA",ROUND($K68*$I68/SW_CR_CMI,2))</f>
        <v>213.24</v>
      </c>
      <c r="BL68" s="68" t="e">
        <f t="shared" ref="BL68:BL131" si="65">IF($I68="NA",ROUND(BJ68*$K68,2),ROUND(BK68*(BJ68/$I68),2))</f>
        <v>#DIV/0!</v>
      </c>
      <c r="BM68" s="75" t="e">
        <f t="shared" si="13"/>
        <v>#DIV/0!</v>
      </c>
      <c r="BN68" s="68" t="e">
        <f>IF($I68="NA","NA",ROUND(#REF!*$BJ68/$I68,2))</f>
        <v>#REF!</v>
      </c>
      <c r="BO68" s="75" t="e">
        <f t="shared" si="14"/>
        <v>#REF!</v>
      </c>
      <c r="BP68" s="68" t="e">
        <f t="shared" si="48"/>
        <v>#REF!</v>
      </c>
      <c r="BQ68" s="4">
        <f t="shared" si="15"/>
        <v>101060</v>
      </c>
      <c r="BR68" s="4">
        <f t="shared" si="16"/>
        <v>35502</v>
      </c>
      <c r="BS68" s="4">
        <f t="shared" si="17"/>
        <v>28667</v>
      </c>
      <c r="BT68" s="142">
        <f>IF(ISNA(VLOOKUP($A68&amp;$AB68,'Days Exceptions'!$C$3:$I$7,6,FALSE)),ROUND(BQ68/MAX(BS68,(BR68*Min_Occ)),2),ROUND(BQ68/VLOOKUP($A68&amp;$AB68,'Days Exceptions'!$C$3:$I$7,6,FALSE),2))</f>
        <v>3.49</v>
      </c>
      <c r="BU68" s="143" t="e">
        <f t="shared" ref="BU68:BU131" si="66">$BT68+$BP68+$AG68+$Z68+$X68+$V68</f>
        <v>#REF!</v>
      </c>
      <c r="BV68" s="143" t="e">
        <f t="shared" ref="BV68:BV131" si="67">$BT68+$AG68+$Z68+$X68+$V68+ROUND(+$BP68*0.5,2)</f>
        <v>#REF!</v>
      </c>
      <c r="BW68" s="143">
        <f t="shared" ref="BW68:BW131" si="68">$BT68+$AG68+$Z68+$X68+$V68</f>
        <v>161.68</v>
      </c>
      <c r="BX68" s="37" t="s">
        <v>644</v>
      </c>
      <c r="BY68" s="37" t="s">
        <v>645</v>
      </c>
      <c r="BZ68" s="37" t="s">
        <v>1494</v>
      </c>
      <c r="CA68" s="66" t="e">
        <f>VLOOKUP(A68,'CMI Data'!$A$3:$AZ$209,20,FALSE)</f>
        <v>#DIV/0!</v>
      </c>
      <c r="CB68" s="68">
        <f t="shared" ref="CB68:CB131" si="69">IF($I68="NA","NA",ROUND($K68*$I68/SW_CR_CMI,2))</f>
        <v>213.24</v>
      </c>
      <c r="CC68" s="68" t="e">
        <f t="shared" ref="CC68:CC131" si="70">IF($I68="NA",ROUND(CA68*$K68,2),ROUND(CB68*(CA68/$I68),2))</f>
        <v>#DIV/0!</v>
      </c>
      <c r="CD68" s="75" t="e">
        <f t="shared" si="49"/>
        <v>#DIV/0!</v>
      </c>
      <c r="CE68" s="68" t="e">
        <f>IF($I68="NA","NA",ROUND(#REF!*$CA68/$I68,2))</f>
        <v>#REF!</v>
      </c>
      <c r="CF68" s="75" t="e">
        <f t="shared" si="23"/>
        <v>#REF!</v>
      </c>
      <c r="CG68" s="68" t="e">
        <f t="shared" si="24"/>
        <v>#REF!</v>
      </c>
      <c r="CH68" s="4">
        <f t="shared" si="25"/>
        <v>101060</v>
      </c>
      <c r="CI68" s="4">
        <f t="shared" si="26"/>
        <v>35502</v>
      </c>
      <c r="CJ68" s="4">
        <f t="shared" si="27"/>
        <v>28667</v>
      </c>
      <c r="CK68" s="142">
        <f>IF(ISNA(VLOOKUP($A68&amp;$AB68,'Days Exceptions'!$C$3:$I$7,6,FALSE)),ROUND(CH68/MAX(CJ68,(CI68*Min_Occ)),2),ROUND(CH68/VLOOKUP($A68&amp;$AB68,'Days Exceptions'!$C$3:$I$7,6,FALSE),2))</f>
        <v>3.49</v>
      </c>
      <c r="CL68" s="143" t="e">
        <f t="shared" ref="CL68:CL131" si="71">$CK68+$CG68+$AG68+$Z68+$X68+$V68</f>
        <v>#REF!</v>
      </c>
      <c r="CM68" s="143" t="e">
        <f t="shared" ref="CM68:CM131" si="72">$CK68+$AG68+$Z68+$X68+$V68+ROUND(+$CG68*0.5,2)</f>
        <v>#REF!</v>
      </c>
      <c r="CN68" s="143">
        <f t="shared" ref="CN68:CN131" si="73">$CK68+$AG68+$Z68+$X68+$V68</f>
        <v>161.68</v>
      </c>
      <c r="CO68" s="37" t="s">
        <v>644</v>
      </c>
      <c r="CP68" s="37" t="s">
        <v>645</v>
      </c>
      <c r="CQ68" s="37" t="s">
        <v>1495</v>
      </c>
    </row>
    <row r="69" spans="1:95" x14ac:dyDescent="0.15">
      <c r="A69" s="130">
        <v>126</v>
      </c>
      <c r="B69" s="37" t="s">
        <v>548</v>
      </c>
      <c r="C69" s="1" t="s">
        <v>148</v>
      </c>
      <c r="D69" s="1" t="s">
        <v>121</v>
      </c>
      <c r="E69" s="1" t="str">
        <f>VLOOKUP(D69,Documentation!$B$4:$D$27,3,FALSE)</f>
        <v>EASTERN REGION</v>
      </c>
      <c r="F69" s="1" t="str">
        <f>VLOOKUP(D69,Documentation!$B$4:$C$27,2,FALSE)</f>
        <v>NON METRO</v>
      </c>
      <c r="G69" s="82">
        <f>VLOOKUP(A69,'2022 CR and CMI'!$A$3:$D$207,3,FALSE)</f>
        <v>44562</v>
      </c>
      <c r="H69" s="82">
        <f>VLOOKUP(A69,'2022 CR and CMI'!$A$3:$D$207,4,FALSE)</f>
        <v>44926</v>
      </c>
      <c r="I69" s="72">
        <f>VLOOKUP(A69,'2022 CR and CMI'!$A$2:$T$210,19,FALSE)</f>
        <v>1.4742</v>
      </c>
      <c r="J69" s="139">
        <f>Inflation!$G$24</f>
        <v>1.0309999999999999</v>
      </c>
      <c r="K69" s="192">
        <f>VLOOKUP(E69,Limits!$B$2:$D$5,3,FALSE)</f>
        <v>186.31</v>
      </c>
      <c r="L69" s="192">
        <f t="shared" ref="L69:L133" si="74">ROUND(K69*J69,2)</f>
        <v>192.09</v>
      </c>
      <c r="M69" s="140">
        <f>VLOOKUP(A69,'CMI Data'!$A$4:$C$208,3,FALSE)</f>
        <v>1.4104000000000001</v>
      </c>
      <c r="N69" s="68">
        <f t="shared" si="58"/>
        <v>196.22</v>
      </c>
      <c r="O69" s="68">
        <f t="shared" ref="O69:O132" si="75">IF($I69="NA",ROUND(M69*L69,2),ROUND(N69*(M69/$I69),2))</f>
        <v>187.73</v>
      </c>
      <c r="P69" s="75">
        <f t="shared" ref="P69:P132" si="76">IF($I69="NA","NA",ROUND(O69*0.95,2))</f>
        <v>178.34</v>
      </c>
      <c r="Q69" s="75">
        <v>175.8</v>
      </c>
      <c r="R69" s="75">
        <f t="shared" ref="R69:R132" si="77">IF(Q69="NA","NA",ROUND(Q69*J69,2))</f>
        <v>181.25</v>
      </c>
      <c r="S69" s="68">
        <f t="shared" ref="S69:S132" si="78">IF($I69="NA","NA",ROUND(R69*M69/$I69,2))</f>
        <v>173.41</v>
      </c>
      <c r="T69" s="75">
        <f t="shared" ref="T69:T133" si="79">IF(S69="NA","NA",MIN(S69-P69,0))</f>
        <v>-4.93</v>
      </c>
      <c r="U69" s="68">
        <f t="shared" ref="U69:U133" si="80">IF(T69="NA",O69,O69+T69)</f>
        <v>182.8</v>
      </c>
      <c r="V69" s="68">
        <f>VLOOKUP($F69,Limits!$J$2:$L$5,3,FALSE)</f>
        <v>20.239999999999998</v>
      </c>
      <c r="W69" s="68">
        <f t="shared" ref="W69:W133" si="81">ROUND(V69*J69,2)</f>
        <v>20.87</v>
      </c>
      <c r="X69" s="68">
        <f>VLOOKUP($F69,Limits!$R$2:$T$5,3,FALSE)</f>
        <v>89.55</v>
      </c>
      <c r="Y69" s="68">
        <f t="shared" ref="Y69:Y133" si="82">ROUND(X69*J69,2)</f>
        <v>92.33</v>
      </c>
      <c r="Z69" s="75">
        <f>VLOOKUP(A69,FRV!$A$4:$U$208,21,FALSE)</f>
        <v>32.909999999999997</v>
      </c>
      <c r="AA69" s="141">
        <f>VLOOKUP(A69,'RE Tax'!$A$2:$G$206,3,FALSE)</f>
        <v>45292</v>
      </c>
      <c r="AB69" s="141">
        <f>VLOOKUP(A69,'RE Tax'!$A$2:$G$206,4,FALSE)</f>
        <v>45657</v>
      </c>
      <c r="AC69" s="4">
        <f>VLOOKUP(A69,'RE Tax'!$A$2:$G$206,7,FALSE)</f>
        <v>72879</v>
      </c>
      <c r="AD69" s="4">
        <f>VLOOKUP($A69,'RE Tax'!$A$2:$I$206,9,FALSE)</f>
        <v>43920</v>
      </c>
      <c r="AE69" s="4">
        <f>VLOOKUP($A69,'RE Tax'!$A$2:$I$206,8,FALSE)</f>
        <v>39215</v>
      </c>
      <c r="AF69" s="142">
        <f>IF(ISNA(VLOOKUP(A69&amp;AB69,'Days Exceptions'!$C$3:$I$7,6,FALSE)),ROUND(AC69/MAX(AE69,(AD69*Min_Occ)),2),ROUND(AC69/VLOOKUP(A69&amp;AB69,'Days Exceptions'!$C$3:$I$7,6,FALSE),2))</f>
        <v>1.86</v>
      </c>
      <c r="AG69" s="68">
        <v>0</v>
      </c>
      <c r="AH69" s="68">
        <f t="shared" ref="AH69:AH133" si="83">ROUND(AG69*J69,2)</f>
        <v>0</v>
      </c>
      <c r="AI69" s="4">
        <v>31375</v>
      </c>
      <c r="AJ69" s="4">
        <v>39215</v>
      </c>
      <c r="AK69" s="68">
        <f>IF(AI69=0,0,IF(ISNA(MATCH(A69,Documentation!$B$66:$B$71,0)),QA_Tax_reg,QA_Tax_5high))</f>
        <v>32.92</v>
      </c>
      <c r="AL69" s="75">
        <f t="shared" ref="AL69:AL133" si="84">IF(AK69=0,0,ROUND((AK69*AI69)/AJ69,2))</f>
        <v>26.34</v>
      </c>
      <c r="AM69" s="68">
        <f t="shared" ref="AM69:AM133" si="85">+AH69+AF69+Z69+Y69+W69+U69</f>
        <v>330.77</v>
      </c>
      <c r="AN69" s="68">
        <f t="shared" ref="AN69:AN133" si="86">+AH69+AF69+Z69+Y69+W69+ROUND(U69*0.5,2)</f>
        <v>239.37</v>
      </c>
      <c r="AO69" s="68">
        <f t="shared" ref="AO69:AO133" si="87">+AH69+AF69+Z69+Y69+W69</f>
        <v>147.97</v>
      </c>
      <c r="AP69" s="37" t="s">
        <v>547</v>
      </c>
      <c r="AQ69" s="37" t="s">
        <v>548</v>
      </c>
      <c r="AR69" s="37" t="s">
        <v>1022</v>
      </c>
      <c r="AS69" s="66" t="e">
        <f>VLOOKUP(A69,'CMI Data'!$A$3:$J$209,10,FALSE)</f>
        <v>#DIV/0!</v>
      </c>
      <c r="AT69" s="68">
        <f t="shared" si="59"/>
        <v>190.31</v>
      </c>
      <c r="AU69" s="68" t="e">
        <f t="shared" si="60"/>
        <v>#DIV/0!</v>
      </c>
      <c r="AV69" s="75" t="e">
        <f t="shared" ref="AV69:AV132" si="88">IF($I69="NA","NA",ROUND(AU69*0.95,2))</f>
        <v>#DIV/0!</v>
      </c>
      <c r="AW69" s="68" t="e">
        <f>IF($I69="NA","NA",ROUND(#REF!*$AS69/$I69,2))</f>
        <v>#REF!</v>
      </c>
      <c r="AX69" s="75" t="e">
        <f t="shared" si="57"/>
        <v>#REF!</v>
      </c>
      <c r="AY69" s="68" t="e">
        <f t="shared" ref="AY69:AY132" si="89">IF(AX69="NA",AU69,AU69+AX69)</f>
        <v>#REF!</v>
      </c>
      <c r="AZ69" s="4">
        <f t="shared" ref="AZ69:AZ132" si="90">$AC69</f>
        <v>72879</v>
      </c>
      <c r="BA69" s="4">
        <f t="shared" ref="BA69:BA132" si="91">$AD69</f>
        <v>43920</v>
      </c>
      <c r="BB69" s="4">
        <f t="shared" ref="BB69:BB132" si="92">$AE69</f>
        <v>39215</v>
      </c>
      <c r="BC69" s="142">
        <f>IF(ISNA(VLOOKUP($A69&amp;$AB69,'Days Exceptions'!$C$3:$I$7,6,FALSE)),ROUND(AZ69/MAX(BB69,(BA69*Min_Occ)),2),ROUND(AZ69/VLOOKUP($A69&amp;$AB69,'Days Exceptions'!$C$3:$I$7,6,FALSE),2))</f>
        <v>1.86</v>
      </c>
      <c r="BD69" s="143" t="e">
        <f t="shared" si="61"/>
        <v>#REF!</v>
      </c>
      <c r="BE69" s="143" t="e">
        <f t="shared" si="62"/>
        <v>#REF!</v>
      </c>
      <c r="BF69" s="143">
        <f t="shared" si="63"/>
        <v>144.56</v>
      </c>
      <c r="BG69" s="37" t="s">
        <v>547</v>
      </c>
      <c r="BH69" s="37" t="s">
        <v>548</v>
      </c>
      <c r="BI69" s="37" t="s">
        <v>1226</v>
      </c>
      <c r="BJ69" s="66" t="e">
        <f>VLOOKUP(A69,'CMI Data'!$A$3:$AZ$209,15,FALSE)</f>
        <v>#DIV/0!</v>
      </c>
      <c r="BK69" s="68">
        <f t="shared" si="64"/>
        <v>190.31</v>
      </c>
      <c r="BL69" s="68" t="e">
        <f t="shared" si="65"/>
        <v>#DIV/0!</v>
      </c>
      <c r="BM69" s="75" t="e">
        <f t="shared" ref="BM69:BM132" si="93">IF($I69="NA","NA",ROUND(BL69*0.95,2))</f>
        <v>#DIV/0!</v>
      </c>
      <c r="BN69" s="68" t="e">
        <f>IF($I69="NA","NA",ROUND(#REF!*$BJ69/$I69,2))</f>
        <v>#REF!</v>
      </c>
      <c r="BO69" s="75" t="e">
        <f t="shared" ref="BO69:BO132" si="94">IF(BN69="NA","NA",MIN(BN69-BM69,0))</f>
        <v>#REF!</v>
      </c>
      <c r="BP69" s="68" t="e">
        <f t="shared" ref="BP69:BP132" si="95">IF(BO69="NA",BL69,BL69+BO69)</f>
        <v>#REF!</v>
      </c>
      <c r="BQ69" s="4">
        <f t="shared" ref="BQ69:BQ132" si="96">$AC69</f>
        <v>72879</v>
      </c>
      <c r="BR69" s="4">
        <f t="shared" ref="BR69:BR132" si="97">$AD69</f>
        <v>43920</v>
      </c>
      <c r="BS69" s="4">
        <f t="shared" ref="BS69:BS132" si="98">$AE69</f>
        <v>39215</v>
      </c>
      <c r="BT69" s="142">
        <f>IF(ISNA(VLOOKUP($A69&amp;$AB69,'Days Exceptions'!$C$3:$I$7,6,FALSE)),ROUND(BQ69/MAX(BS69,(BR69*Min_Occ)),2),ROUND(BQ69/VLOOKUP($A69&amp;$AB69,'Days Exceptions'!$C$3:$I$7,6,FALSE),2))</f>
        <v>1.86</v>
      </c>
      <c r="BU69" s="143" t="e">
        <f t="shared" si="66"/>
        <v>#REF!</v>
      </c>
      <c r="BV69" s="143" t="e">
        <f t="shared" si="67"/>
        <v>#REF!</v>
      </c>
      <c r="BW69" s="143">
        <f t="shared" si="68"/>
        <v>144.56</v>
      </c>
      <c r="BX69" s="37" t="s">
        <v>547</v>
      </c>
      <c r="BY69" s="37" t="s">
        <v>548</v>
      </c>
      <c r="BZ69" s="37" t="s">
        <v>1496</v>
      </c>
      <c r="CA69" s="66" t="e">
        <f>VLOOKUP(A69,'CMI Data'!$A$3:$AZ$209,20,FALSE)</f>
        <v>#DIV/0!</v>
      </c>
      <c r="CB69" s="68">
        <f t="shared" si="69"/>
        <v>190.31</v>
      </c>
      <c r="CC69" s="68" t="e">
        <f t="shared" si="70"/>
        <v>#DIV/0!</v>
      </c>
      <c r="CD69" s="75" t="e">
        <f t="shared" ref="CD69:CD132" si="99">IF($I69="NA","NA",ROUND(CC69*0.95,2))</f>
        <v>#DIV/0!</v>
      </c>
      <c r="CE69" s="68" t="e">
        <f>IF($I69="NA","NA",ROUND(#REF!*$CA69/$I69,2))</f>
        <v>#REF!</v>
      </c>
      <c r="CF69" s="75" t="e">
        <f t="shared" ref="CF69:CF132" si="100">IF(CE69="NA","NA",MIN(CE69-CD69,0))</f>
        <v>#REF!</v>
      </c>
      <c r="CG69" s="68" t="e">
        <f t="shared" ref="CG69:CG132" si="101">IF(CF69="NA",CC69,CC69+CF69)</f>
        <v>#REF!</v>
      </c>
      <c r="CH69" s="4">
        <f t="shared" ref="CH69:CH132" si="102">$AC69</f>
        <v>72879</v>
      </c>
      <c r="CI69" s="4">
        <f t="shared" ref="CI69:CI132" si="103">$AD69</f>
        <v>43920</v>
      </c>
      <c r="CJ69" s="4">
        <f t="shared" ref="CJ69:CJ132" si="104">$AE69</f>
        <v>39215</v>
      </c>
      <c r="CK69" s="142">
        <f>IF(ISNA(VLOOKUP($A69&amp;$AB69,'Days Exceptions'!$C$3:$I$7,6,FALSE)),ROUND(CH69/MAX(CJ69,(CI69*Min_Occ)),2),ROUND(CH69/VLOOKUP($A69&amp;$AB69,'Days Exceptions'!$C$3:$I$7,6,FALSE),2))</f>
        <v>1.86</v>
      </c>
      <c r="CL69" s="143" t="e">
        <f t="shared" si="71"/>
        <v>#REF!</v>
      </c>
      <c r="CM69" s="143" t="e">
        <f t="shared" si="72"/>
        <v>#REF!</v>
      </c>
      <c r="CN69" s="143">
        <f t="shared" si="73"/>
        <v>144.56</v>
      </c>
      <c r="CO69" s="37" t="s">
        <v>547</v>
      </c>
      <c r="CP69" s="37" t="s">
        <v>548</v>
      </c>
      <c r="CQ69" s="37" t="s">
        <v>1497</v>
      </c>
    </row>
    <row r="70" spans="1:95" x14ac:dyDescent="0.15">
      <c r="A70" s="130">
        <v>48</v>
      </c>
      <c r="B70" s="37" t="s">
        <v>647</v>
      </c>
      <c r="C70" s="1" t="s">
        <v>148</v>
      </c>
      <c r="D70" s="1" t="s">
        <v>125</v>
      </c>
      <c r="E70" s="1" t="str">
        <f>VLOOKUP(D70,Documentation!$B$4:$D$27,3,FALSE)</f>
        <v>WESTERN REGION</v>
      </c>
      <c r="F70" s="1" t="str">
        <f>VLOOKUP(D70,Documentation!$B$4:$C$27,2,FALSE)</f>
        <v>NON METRO</v>
      </c>
      <c r="G70" s="82">
        <f>VLOOKUP(A70,'2022 CR and CMI'!$A$3:$D$207,3,FALSE)</f>
        <v>44562</v>
      </c>
      <c r="H70" s="82">
        <f>VLOOKUP(A70,'2022 CR and CMI'!$A$3:$D$207,4,FALSE)</f>
        <v>44957</v>
      </c>
      <c r="I70" s="72">
        <f>VLOOKUP(A70,'2022 CR and CMI'!$A$2:$T$210,19,FALSE)</f>
        <v>1.6893</v>
      </c>
      <c r="J70" s="139">
        <f>Inflation!$G$24</f>
        <v>1.0309999999999999</v>
      </c>
      <c r="K70" s="192">
        <f>VLOOKUP(E70,Limits!$B$2:$D$5,3,FALSE)</f>
        <v>166.26</v>
      </c>
      <c r="L70" s="192">
        <f t="shared" si="74"/>
        <v>171.41</v>
      </c>
      <c r="M70" s="140">
        <f>VLOOKUP(A70,'CMI Data'!$A$4:$C$208,3,FALSE)</f>
        <v>1.6486000000000001</v>
      </c>
      <c r="N70" s="68">
        <f t="shared" si="58"/>
        <v>200.64</v>
      </c>
      <c r="O70" s="68">
        <f t="shared" si="75"/>
        <v>195.81</v>
      </c>
      <c r="P70" s="75">
        <f t="shared" si="76"/>
        <v>186.02</v>
      </c>
      <c r="Q70" s="75">
        <v>191.83</v>
      </c>
      <c r="R70" s="75">
        <f t="shared" si="77"/>
        <v>197.78</v>
      </c>
      <c r="S70" s="68">
        <f t="shared" si="78"/>
        <v>193.01</v>
      </c>
      <c r="T70" s="75">
        <f t="shared" si="79"/>
        <v>0</v>
      </c>
      <c r="U70" s="68">
        <f t="shared" si="80"/>
        <v>195.81</v>
      </c>
      <c r="V70" s="68">
        <f>VLOOKUP($F70,Limits!$J$2:$L$5,3,FALSE)</f>
        <v>20.239999999999998</v>
      </c>
      <c r="W70" s="68">
        <f t="shared" si="81"/>
        <v>20.87</v>
      </c>
      <c r="X70" s="68">
        <f>VLOOKUP($F70,Limits!$R$2:$T$5,3,FALSE)</f>
        <v>89.55</v>
      </c>
      <c r="Y70" s="68">
        <f t="shared" si="82"/>
        <v>92.33</v>
      </c>
      <c r="Z70" s="75">
        <f>VLOOKUP(A70,FRV!$A$4:$U$208,21,FALSE)</f>
        <v>43.64</v>
      </c>
      <c r="AA70" s="141">
        <f>VLOOKUP(A70,'RE Tax'!$A$2:$G$206,3,FALSE)</f>
        <v>45292</v>
      </c>
      <c r="AB70" s="141">
        <f>VLOOKUP(A70,'RE Tax'!$A$2:$G$206,4,FALSE)</f>
        <v>45657</v>
      </c>
      <c r="AC70" s="4">
        <f>VLOOKUP(A70,'RE Tax'!$A$2:$G$206,7,FALSE)</f>
        <v>91423</v>
      </c>
      <c r="AD70" s="4">
        <f>VLOOKUP($A70,'RE Tax'!$A$2:$I$206,9,FALSE)</f>
        <v>62952</v>
      </c>
      <c r="AE70" s="4">
        <f>VLOOKUP($A70,'RE Tax'!$A$2:$I$206,8,FALSE)</f>
        <v>30548</v>
      </c>
      <c r="AF70" s="142">
        <f>IF(ISNA(VLOOKUP(A70&amp;AB70,'Days Exceptions'!$C$3:$I$7,6,FALSE)),ROUND(AC70/MAX(AE70,(AD70*Min_Occ)),2),ROUND(AC70/VLOOKUP(A70&amp;AB70,'Days Exceptions'!$C$3:$I$7,6,FALSE),2))</f>
        <v>1.78</v>
      </c>
      <c r="AG70" s="68">
        <v>0</v>
      </c>
      <c r="AH70" s="68">
        <f t="shared" si="83"/>
        <v>0</v>
      </c>
      <c r="AI70" s="4">
        <v>22255</v>
      </c>
      <c r="AJ70" s="4">
        <v>30548</v>
      </c>
      <c r="AK70" s="68">
        <f>IF(AI70=0,0,IF(ISNA(MATCH(A70,Documentation!$B$66:$B$71,0)),QA_Tax_reg,QA_Tax_5high))</f>
        <v>32.92</v>
      </c>
      <c r="AL70" s="75">
        <f t="shared" si="84"/>
        <v>23.98</v>
      </c>
      <c r="AM70" s="68">
        <f t="shared" si="85"/>
        <v>354.43</v>
      </c>
      <c r="AN70" s="68">
        <f t="shared" si="86"/>
        <v>256.52999999999997</v>
      </c>
      <c r="AO70" s="68">
        <f t="shared" si="87"/>
        <v>158.62</v>
      </c>
      <c r="AP70" s="37" t="s">
        <v>646</v>
      </c>
      <c r="AQ70" s="37" t="s">
        <v>647</v>
      </c>
      <c r="AR70" s="37" t="s">
        <v>1023</v>
      </c>
      <c r="AS70" s="66" t="e">
        <f>VLOOKUP(A70,'CMI Data'!$A$3:$J$209,10,FALSE)</f>
        <v>#DIV/0!</v>
      </c>
      <c r="AT70" s="68">
        <f t="shared" si="59"/>
        <v>194.61</v>
      </c>
      <c r="AU70" s="68" t="e">
        <f t="shared" si="60"/>
        <v>#DIV/0!</v>
      </c>
      <c r="AV70" s="75" t="e">
        <f t="shared" si="88"/>
        <v>#DIV/0!</v>
      </c>
      <c r="AW70" s="68" t="e">
        <f>IF($I70="NA","NA",ROUND(#REF!*$AS70/$I70,2))</f>
        <v>#REF!</v>
      </c>
      <c r="AX70" s="75" t="e">
        <f t="shared" si="57"/>
        <v>#REF!</v>
      </c>
      <c r="AY70" s="68" t="e">
        <f t="shared" si="89"/>
        <v>#REF!</v>
      </c>
      <c r="AZ70" s="4">
        <f t="shared" si="90"/>
        <v>91423</v>
      </c>
      <c r="BA70" s="4">
        <f t="shared" si="91"/>
        <v>62952</v>
      </c>
      <c r="BB70" s="4">
        <f t="shared" si="92"/>
        <v>30548</v>
      </c>
      <c r="BC70" s="142">
        <f>IF(ISNA(VLOOKUP($A70&amp;$AB70,'Days Exceptions'!$C$3:$I$7,6,FALSE)),ROUND(AZ70/MAX(BB70,(BA70*Min_Occ)),2),ROUND(AZ70/VLOOKUP($A70&amp;$AB70,'Days Exceptions'!$C$3:$I$7,6,FALSE),2))</f>
        <v>1.78</v>
      </c>
      <c r="BD70" s="143" t="e">
        <f t="shared" si="61"/>
        <v>#REF!</v>
      </c>
      <c r="BE70" s="143" t="e">
        <f t="shared" si="62"/>
        <v>#REF!</v>
      </c>
      <c r="BF70" s="143">
        <f t="shared" si="63"/>
        <v>155.21</v>
      </c>
      <c r="BG70" s="37" t="s">
        <v>646</v>
      </c>
      <c r="BH70" s="37" t="s">
        <v>647</v>
      </c>
      <c r="BI70" s="37" t="s">
        <v>1227</v>
      </c>
      <c r="BJ70" s="66" t="e">
        <f>VLOOKUP(A70,'CMI Data'!$A$3:$AZ$209,15,FALSE)</f>
        <v>#DIV/0!</v>
      </c>
      <c r="BK70" s="68">
        <f t="shared" si="64"/>
        <v>194.61</v>
      </c>
      <c r="BL70" s="68" t="e">
        <f t="shared" si="65"/>
        <v>#DIV/0!</v>
      </c>
      <c r="BM70" s="75" t="e">
        <f t="shared" si="93"/>
        <v>#DIV/0!</v>
      </c>
      <c r="BN70" s="68" t="e">
        <f>IF($I70="NA","NA",ROUND(#REF!*$BJ70/$I70,2))</f>
        <v>#REF!</v>
      </c>
      <c r="BO70" s="75" t="e">
        <f t="shared" si="94"/>
        <v>#REF!</v>
      </c>
      <c r="BP70" s="68" t="e">
        <f t="shared" si="95"/>
        <v>#REF!</v>
      </c>
      <c r="BQ70" s="4">
        <f t="shared" si="96"/>
        <v>91423</v>
      </c>
      <c r="BR70" s="4">
        <f t="shared" si="97"/>
        <v>62952</v>
      </c>
      <c r="BS70" s="4">
        <f t="shared" si="98"/>
        <v>30548</v>
      </c>
      <c r="BT70" s="142">
        <f>IF(ISNA(VLOOKUP($A70&amp;$AB70,'Days Exceptions'!$C$3:$I$7,6,FALSE)),ROUND(BQ70/MAX(BS70,(BR70*Min_Occ)),2),ROUND(BQ70/VLOOKUP($A70&amp;$AB70,'Days Exceptions'!$C$3:$I$7,6,FALSE),2))</f>
        <v>1.78</v>
      </c>
      <c r="BU70" s="143" t="e">
        <f t="shared" si="66"/>
        <v>#REF!</v>
      </c>
      <c r="BV70" s="143" t="e">
        <f t="shared" si="67"/>
        <v>#REF!</v>
      </c>
      <c r="BW70" s="143">
        <f t="shared" si="68"/>
        <v>155.21</v>
      </c>
      <c r="BX70" s="37" t="s">
        <v>646</v>
      </c>
      <c r="BY70" s="37" t="s">
        <v>647</v>
      </c>
      <c r="BZ70" s="37" t="s">
        <v>1498</v>
      </c>
      <c r="CA70" s="66" t="e">
        <f>VLOOKUP(A70,'CMI Data'!$A$3:$AZ$209,20,FALSE)</f>
        <v>#DIV/0!</v>
      </c>
      <c r="CB70" s="68">
        <f t="shared" si="69"/>
        <v>194.61</v>
      </c>
      <c r="CC70" s="68" t="e">
        <f t="shared" si="70"/>
        <v>#DIV/0!</v>
      </c>
      <c r="CD70" s="75" t="e">
        <f t="shared" si="99"/>
        <v>#DIV/0!</v>
      </c>
      <c r="CE70" s="68" t="e">
        <f>IF($I70="NA","NA",ROUND(#REF!*$CA70/$I70,2))</f>
        <v>#REF!</v>
      </c>
      <c r="CF70" s="75" t="e">
        <f t="shared" si="100"/>
        <v>#REF!</v>
      </c>
      <c r="CG70" s="68" t="e">
        <f t="shared" si="101"/>
        <v>#REF!</v>
      </c>
      <c r="CH70" s="4">
        <f t="shared" si="102"/>
        <v>91423</v>
      </c>
      <c r="CI70" s="4">
        <f t="shared" si="103"/>
        <v>62952</v>
      </c>
      <c r="CJ70" s="4">
        <f t="shared" si="104"/>
        <v>30548</v>
      </c>
      <c r="CK70" s="142">
        <f>IF(ISNA(VLOOKUP($A70&amp;$AB70,'Days Exceptions'!$C$3:$I$7,6,FALSE)),ROUND(CH70/MAX(CJ70,(CI70*Min_Occ)),2),ROUND(CH70/VLOOKUP($A70&amp;$AB70,'Days Exceptions'!$C$3:$I$7,6,FALSE),2))</f>
        <v>1.78</v>
      </c>
      <c r="CL70" s="143" t="e">
        <f t="shared" si="71"/>
        <v>#REF!</v>
      </c>
      <c r="CM70" s="143" t="e">
        <f t="shared" si="72"/>
        <v>#REF!</v>
      </c>
      <c r="CN70" s="143">
        <f t="shared" si="73"/>
        <v>155.21</v>
      </c>
      <c r="CO70" s="37" t="s">
        <v>646</v>
      </c>
      <c r="CP70" s="37" t="s">
        <v>647</v>
      </c>
      <c r="CQ70" s="37" t="s">
        <v>1499</v>
      </c>
    </row>
    <row r="71" spans="1:95" x14ac:dyDescent="0.15">
      <c r="A71" s="130">
        <v>232</v>
      </c>
      <c r="B71" s="37" t="s">
        <v>600</v>
      </c>
      <c r="C71" s="1" t="s">
        <v>148</v>
      </c>
      <c r="D71" s="1" t="s">
        <v>107</v>
      </c>
      <c r="E71" s="1" t="str">
        <f>VLOOKUP(D71,Documentation!$B$4:$D$27,3,FALSE)</f>
        <v>BALTIMORE METRO</v>
      </c>
      <c r="F71" s="1" t="str">
        <f>VLOOKUP(D71,Documentation!$B$4:$C$27,2,FALSE)</f>
        <v>BALTIMORE METRO</v>
      </c>
      <c r="G71" s="82">
        <f>VLOOKUP(A71,'2022 CR and CMI'!$A$3:$D$207,3,FALSE)</f>
        <v>44562</v>
      </c>
      <c r="H71" s="82">
        <f>VLOOKUP(A71,'2022 CR and CMI'!$A$3:$D$207,4,FALSE)</f>
        <v>44926</v>
      </c>
      <c r="I71" s="72">
        <f>VLOOKUP(A71,'2022 CR and CMI'!$A$2:$T$210,19,FALSE)</f>
        <v>1.5508</v>
      </c>
      <c r="J71" s="139">
        <f>Inflation!$G$24</f>
        <v>1.0309999999999999</v>
      </c>
      <c r="K71" s="192">
        <f>VLOOKUP(E71,Limits!$B$2:$D$5,3,FALSE)</f>
        <v>195.33</v>
      </c>
      <c r="L71" s="192">
        <f t="shared" si="74"/>
        <v>201.39</v>
      </c>
      <c r="M71" s="140">
        <f>VLOOKUP(A71,'CMI Data'!$A$4:$C$208,3,FALSE)</f>
        <v>1.4193</v>
      </c>
      <c r="N71" s="68">
        <f t="shared" si="58"/>
        <v>216.4</v>
      </c>
      <c r="O71" s="68">
        <f t="shared" si="75"/>
        <v>198.05</v>
      </c>
      <c r="P71" s="75">
        <f t="shared" si="76"/>
        <v>188.15</v>
      </c>
      <c r="Q71" s="75">
        <v>168.39</v>
      </c>
      <c r="R71" s="75">
        <f t="shared" si="77"/>
        <v>173.61</v>
      </c>
      <c r="S71" s="68">
        <f t="shared" si="78"/>
        <v>158.88999999999999</v>
      </c>
      <c r="T71" s="75">
        <f t="shared" si="79"/>
        <v>-29.26</v>
      </c>
      <c r="U71" s="68">
        <f t="shared" si="80"/>
        <v>168.79</v>
      </c>
      <c r="V71" s="68">
        <f>VLOOKUP($F71,Limits!$J$2:$L$5,3,FALSE)</f>
        <v>20.85</v>
      </c>
      <c r="W71" s="68">
        <f t="shared" si="81"/>
        <v>21.5</v>
      </c>
      <c r="X71" s="68">
        <f>VLOOKUP($F71,Limits!$R$2:$T$5,3,FALSE)</f>
        <v>102.02</v>
      </c>
      <c r="Y71" s="68">
        <f t="shared" si="82"/>
        <v>105.18</v>
      </c>
      <c r="Z71" s="75">
        <f>VLOOKUP(A71,FRV!$A$4:$U$208,21,FALSE)</f>
        <v>22.98</v>
      </c>
      <c r="AA71" s="141">
        <f>VLOOKUP(A71,'RE Tax'!$A$2:$G$206,3,FALSE)</f>
        <v>45292</v>
      </c>
      <c r="AB71" s="141">
        <f>VLOOKUP(A71,'RE Tax'!$A$2:$G$206,4,FALSE)</f>
        <v>45657</v>
      </c>
      <c r="AC71" s="4">
        <f>VLOOKUP(A71,'RE Tax'!$A$2:$G$206,7,FALSE)</f>
        <v>56927</v>
      </c>
      <c r="AD71" s="4">
        <f>VLOOKUP($A71,'RE Tax'!$A$2:$I$206,9,FALSE)</f>
        <v>64782</v>
      </c>
      <c r="AE71" s="4">
        <f>VLOOKUP($A71,'RE Tax'!$A$2:$I$206,8,FALSE)</f>
        <v>53933</v>
      </c>
      <c r="AF71" s="142">
        <f>IF(ISNA(VLOOKUP(A71&amp;AB71,'Days Exceptions'!$C$3:$I$7,6,FALSE)),ROUND(AC71/MAX(AE71,(AD71*Min_Occ)),2),ROUND(AC71/VLOOKUP(A71&amp;AB71,'Days Exceptions'!$C$3:$I$7,6,FALSE),2))</f>
        <v>1.06</v>
      </c>
      <c r="AG71" s="68">
        <v>0</v>
      </c>
      <c r="AH71" s="68">
        <f t="shared" si="83"/>
        <v>0</v>
      </c>
      <c r="AI71" s="4">
        <v>44324</v>
      </c>
      <c r="AJ71" s="4">
        <v>53933</v>
      </c>
      <c r="AK71" s="68">
        <f>IF(AI71=0,0,IF(ISNA(MATCH(A71,Documentation!$B$66:$B$71,0)),QA_Tax_reg,QA_Tax_5high))</f>
        <v>32.92</v>
      </c>
      <c r="AL71" s="75">
        <f t="shared" si="84"/>
        <v>27.05</v>
      </c>
      <c r="AM71" s="68">
        <f t="shared" si="85"/>
        <v>319.51</v>
      </c>
      <c r="AN71" s="68">
        <f t="shared" si="86"/>
        <v>235.12</v>
      </c>
      <c r="AO71" s="68">
        <f t="shared" si="87"/>
        <v>150.72</v>
      </c>
      <c r="AP71" s="37" t="s">
        <v>590</v>
      </c>
      <c r="AQ71" s="37" t="s">
        <v>600</v>
      </c>
      <c r="AR71" s="37" t="s">
        <v>1024</v>
      </c>
      <c r="AS71" s="66" t="e">
        <f>VLOOKUP(A71,'CMI Data'!$A$3:$J$209,10,FALSE)</f>
        <v>#DIV/0!</v>
      </c>
      <c r="AT71" s="68">
        <f t="shared" si="59"/>
        <v>209.89</v>
      </c>
      <c r="AU71" s="68" t="e">
        <f t="shared" si="60"/>
        <v>#DIV/0!</v>
      </c>
      <c r="AV71" s="75" t="e">
        <f t="shared" si="88"/>
        <v>#DIV/0!</v>
      </c>
      <c r="AW71" s="68" t="e">
        <f>IF($I71="NA","NA",ROUND(#REF!*$AS71/$I71,2))</f>
        <v>#REF!</v>
      </c>
      <c r="AX71" s="75" t="e">
        <f t="shared" si="57"/>
        <v>#REF!</v>
      </c>
      <c r="AY71" s="68" t="e">
        <f t="shared" si="89"/>
        <v>#REF!</v>
      </c>
      <c r="AZ71" s="4">
        <f t="shared" si="90"/>
        <v>56927</v>
      </c>
      <c r="BA71" s="4">
        <f t="shared" si="91"/>
        <v>64782</v>
      </c>
      <c r="BB71" s="4">
        <f t="shared" si="92"/>
        <v>53933</v>
      </c>
      <c r="BC71" s="142">
        <f>IF(ISNA(VLOOKUP($A71&amp;$AB71,'Days Exceptions'!$C$3:$I$7,6,FALSE)),ROUND(AZ71/MAX(BB71,(BA71*Min_Occ)),2),ROUND(AZ71/VLOOKUP($A71&amp;$AB71,'Days Exceptions'!$C$3:$I$7,6,FALSE),2))</f>
        <v>1.06</v>
      </c>
      <c r="BD71" s="143" t="e">
        <f t="shared" si="61"/>
        <v>#REF!</v>
      </c>
      <c r="BE71" s="143" t="e">
        <f t="shared" si="62"/>
        <v>#REF!</v>
      </c>
      <c r="BF71" s="143">
        <f t="shared" si="63"/>
        <v>146.91</v>
      </c>
      <c r="BG71" s="37" t="s">
        <v>590</v>
      </c>
      <c r="BH71" s="37" t="s">
        <v>600</v>
      </c>
      <c r="BI71" s="37" t="s">
        <v>1228</v>
      </c>
      <c r="BJ71" s="66" t="e">
        <f>VLOOKUP(A71,'CMI Data'!$A$3:$AZ$209,15,FALSE)</f>
        <v>#DIV/0!</v>
      </c>
      <c r="BK71" s="68">
        <f t="shared" si="64"/>
        <v>209.89</v>
      </c>
      <c r="BL71" s="68" t="e">
        <f t="shared" si="65"/>
        <v>#DIV/0!</v>
      </c>
      <c r="BM71" s="75" t="e">
        <f t="shared" si="93"/>
        <v>#DIV/0!</v>
      </c>
      <c r="BN71" s="68" t="e">
        <f>IF($I71="NA","NA",ROUND(#REF!*$BJ71/$I71,2))</f>
        <v>#REF!</v>
      </c>
      <c r="BO71" s="75" t="e">
        <f t="shared" si="94"/>
        <v>#REF!</v>
      </c>
      <c r="BP71" s="68" t="e">
        <f t="shared" si="95"/>
        <v>#REF!</v>
      </c>
      <c r="BQ71" s="4">
        <f t="shared" si="96"/>
        <v>56927</v>
      </c>
      <c r="BR71" s="4">
        <f t="shared" si="97"/>
        <v>64782</v>
      </c>
      <c r="BS71" s="4">
        <f t="shared" si="98"/>
        <v>53933</v>
      </c>
      <c r="BT71" s="142">
        <f>IF(ISNA(VLOOKUP($A71&amp;$AB71,'Days Exceptions'!$C$3:$I$7,6,FALSE)),ROUND(BQ71/MAX(BS71,(BR71*Min_Occ)),2),ROUND(BQ71/VLOOKUP($A71&amp;$AB71,'Days Exceptions'!$C$3:$I$7,6,FALSE),2))</f>
        <v>1.06</v>
      </c>
      <c r="BU71" s="143" t="e">
        <f t="shared" si="66"/>
        <v>#REF!</v>
      </c>
      <c r="BV71" s="143" t="e">
        <f t="shared" si="67"/>
        <v>#REF!</v>
      </c>
      <c r="BW71" s="143">
        <f t="shared" si="68"/>
        <v>146.91</v>
      </c>
      <c r="BX71" s="37" t="s">
        <v>590</v>
      </c>
      <c r="BY71" s="37" t="s">
        <v>600</v>
      </c>
      <c r="BZ71" s="37" t="s">
        <v>1500</v>
      </c>
      <c r="CA71" s="66" t="e">
        <f>VLOOKUP(A71,'CMI Data'!$A$3:$AZ$209,20,FALSE)</f>
        <v>#DIV/0!</v>
      </c>
      <c r="CB71" s="68">
        <f t="shared" si="69"/>
        <v>209.89</v>
      </c>
      <c r="CC71" s="68" t="e">
        <f t="shared" si="70"/>
        <v>#DIV/0!</v>
      </c>
      <c r="CD71" s="75" t="e">
        <f t="shared" si="99"/>
        <v>#DIV/0!</v>
      </c>
      <c r="CE71" s="68" t="e">
        <f>IF($I71="NA","NA",ROUND(#REF!*$CA71/$I71,2))</f>
        <v>#REF!</v>
      </c>
      <c r="CF71" s="75" t="e">
        <f t="shared" si="100"/>
        <v>#REF!</v>
      </c>
      <c r="CG71" s="68" t="e">
        <f t="shared" si="101"/>
        <v>#REF!</v>
      </c>
      <c r="CH71" s="4">
        <f t="shared" si="102"/>
        <v>56927</v>
      </c>
      <c r="CI71" s="4">
        <f t="shared" si="103"/>
        <v>64782</v>
      </c>
      <c r="CJ71" s="4">
        <f t="shared" si="104"/>
        <v>53933</v>
      </c>
      <c r="CK71" s="142">
        <f>IF(ISNA(VLOOKUP($A71&amp;$AB71,'Days Exceptions'!$C$3:$I$7,6,FALSE)),ROUND(CH71/MAX(CJ71,(CI71*Min_Occ)),2),ROUND(CH71/VLOOKUP($A71&amp;$AB71,'Days Exceptions'!$C$3:$I$7,6,FALSE),2))</f>
        <v>1.06</v>
      </c>
      <c r="CL71" s="143" t="e">
        <f t="shared" si="71"/>
        <v>#REF!</v>
      </c>
      <c r="CM71" s="143" t="e">
        <f t="shared" si="72"/>
        <v>#REF!</v>
      </c>
      <c r="CN71" s="143">
        <f t="shared" si="73"/>
        <v>146.91</v>
      </c>
      <c r="CO71" s="37" t="s">
        <v>590</v>
      </c>
      <c r="CP71" s="37" t="s">
        <v>600</v>
      </c>
      <c r="CQ71" s="37" t="s">
        <v>1501</v>
      </c>
    </row>
    <row r="72" spans="1:95" x14ac:dyDescent="0.15">
      <c r="A72" s="130">
        <v>735</v>
      </c>
      <c r="B72" s="37" t="s">
        <v>649</v>
      </c>
      <c r="C72" s="1" t="s">
        <v>148</v>
      </c>
      <c r="D72" s="1" t="s">
        <v>120</v>
      </c>
      <c r="E72" s="1" t="str">
        <f>VLOOKUP(D72,Documentation!$B$4:$D$27,3,FALSE)</f>
        <v>WASHINGTON METRO</v>
      </c>
      <c r="F72" s="1" t="str">
        <f>VLOOKUP(D72,Documentation!$B$4:$C$27,2,FALSE)</f>
        <v>WASHINGTON METRO</v>
      </c>
      <c r="G72" s="82">
        <f>VLOOKUP(A72,'2022 CR and CMI'!$A$3:$D$207,3,FALSE)</f>
        <v>44562</v>
      </c>
      <c r="H72" s="82">
        <f>VLOOKUP(A72,'2022 CR and CMI'!$A$3:$D$207,4,FALSE)</f>
        <v>44957</v>
      </c>
      <c r="I72" s="72">
        <f>VLOOKUP(A72,'2022 CR and CMI'!$A$2:$T$210,19,FALSE)</f>
        <v>1.7478</v>
      </c>
      <c r="J72" s="139">
        <f>Inflation!$G$24</f>
        <v>1.0309999999999999</v>
      </c>
      <c r="K72" s="192">
        <f>VLOOKUP(E72,Limits!$B$2:$D$5,3,FALSE)</f>
        <v>176.01</v>
      </c>
      <c r="L72" s="192">
        <f t="shared" si="74"/>
        <v>181.47</v>
      </c>
      <c r="M72" s="140">
        <f>VLOOKUP(A72,'CMI Data'!$A$4:$C$208,3,FALSE)</f>
        <v>1.3685</v>
      </c>
      <c r="N72" s="68">
        <f t="shared" si="58"/>
        <v>219.77</v>
      </c>
      <c r="O72" s="68">
        <f t="shared" si="75"/>
        <v>172.08</v>
      </c>
      <c r="P72" s="75">
        <f t="shared" si="76"/>
        <v>163.47999999999999</v>
      </c>
      <c r="Q72" s="75">
        <v>191.91</v>
      </c>
      <c r="R72" s="75">
        <f t="shared" si="77"/>
        <v>197.86</v>
      </c>
      <c r="S72" s="68">
        <f t="shared" si="78"/>
        <v>154.91999999999999</v>
      </c>
      <c r="T72" s="75">
        <f t="shared" si="79"/>
        <v>-8.56</v>
      </c>
      <c r="U72" s="68">
        <f t="shared" si="80"/>
        <v>163.52000000000001</v>
      </c>
      <c r="V72" s="68">
        <f>VLOOKUP($F72,Limits!$J$2:$L$5,3,FALSE)</f>
        <v>19.23</v>
      </c>
      <c r="W72" s="68">
        <f t="shared" si="81"/>
        <v>19.829999999999998</v>
      </c>
      <c r="X72" s="68">
        <f>VLOOKUP($F72,Limits!$R$2:$T$5,3,FALSE)</f>
        <v>100.61</v>
      </c>
      <c r="Y72" s="68">
        <f t="shared" si="82"/>
        <v>103.73</v>
      </c>
      <c r="Z72" s="75">
        <f>VLOOKUP(A72,FRV!$A$4:$U$208,21,FALSE)</f>
        <v>34.049999999999997</v>
      </c>
      <c r="AA72" s="141">
        <f>VLOOKUP(A72,'RE Tax'!$A$2:$G$206,3,FALSE)</f>
        <v>45292</v>
      </c>
      <c r="AB72" s="141">
        <f>VLOOKUP(A72,'RE Tax'!$A$2:$G$206,4,FALSE)</f>
        <v>45657</v>
      </c>
      <c r="AC72" s="4">
        <f>VLOOKUP(A72,'RE Tax'!$A$2:$G$206,7,FALSE)</f>
        <v>409948</v>
      </c>
      <c r="AD72" s="4">
        <f>VLOOKUP($A72,'RE Tax'!$A$2:$I$206,9,FALSE)</f>
        <v>102480</v>
      </c>
      <c r="AE72" s="4">
        <f>VLOOKUP($A72,'RE Tax'!$A$2:$I$206,8,FALSE)</f>
        <v>97188</v>
      </c>
      <c r="AF72" s="142">
        <f>IF(ISNA(VLOOKUP(A72&amp;AB72,'Days Exceptions'!$C$3:$I$7,6,FALSE)),ROUND(AC72/MAX(AE72,(AD72*Min_Occ)),2),ROUND(AC72/VLOOKUP(A72&amp;AB72,'Days Exceptions'!$C$3:$I$7,6,FALSE),2))</f>
        <v>4.22</v>
      </c>
      <c r="AG72" s="68">
        <v>0</v>
      </c>
      <c r="AH72" s="68">
        <f t="shared" si="83"/>
        <v>0</v>
      </c>
      <c r="AI72" s="4">
        <v>82314</v>
      </c>
      <c r="AJ72" s="4">
        <v>97192</v>
      </c>
      <c r="AK72" s="68">
        <f>IF(AI72=0,0,IF(ISNA(MATCH(A72,Documentation!$B$66:$B$71,0)),QA_Tax_reg,QA_Tax_5high))</f>
        <v>32.92</v>
      </c>
      <c r="AL72" s="75">
        <f t="shared" si="84"/>
        <v>27.88</v>
      </c>
      <c r="AM72" s="68">
        <f t="shared" si="85"/>
        <v>325.35000000000002</v>
      </c>
      <c r="AN72" s="68">
        <f t="shared" si="86"/>
        <v>243.59</v>
      </c>
      <c r="AO72" s="68">
        <f t="shared" si="87"/>
        <v>161.83000000000001</v>
      </c>
      <c r="AP72" s="37" t="s">
        <v>648</v>
      </c>
      <c r="AQ72" s="37" t="s">
        <v>649</v>
      </c>
      <c r="AR72" s="37" t="s">
        <v>1025</v>
      </c>
      <c r="AS72" s="66" t="e">
        <f>VLOOKUP(A72,'CMI Data'!$A$3:$J$209,10,FALSE)</f>
        <v>#DIV/0!</v>
      </c>
      <c r="AT72" s="68">
        <f t="shared" si="59"/>
        <v>213.16</v>
      </c>
      <c r="AU72" s="68" t="e">
        <f t="shared" si="60"/>
        <v>#DIV/0!</v>
      </c>
      <c r="AV72" s="75" t="e">
        <f t="shared" si="88"/>
        <v>#DIV/0!</v>
      </c>
      <c r="AW72" s="68" t="e">
        <f>IF($I72="NA","NA",ROUND(#REF!*$AS72/$I72,2))</f>
        <v>#REF!</v>
      </c>
      <c r="AX72" s="75" t="e">
        <f t="shared" si="57"/>
        <v>#REF!</v>
      </c>
      <c r="AY72" s="68" t="e">
        <f t="shared" si="89"/>
        <v>#REF!</v>
      </c>
      <c r="AZ72" s="4">
        <f t="shared" si="90"/>
        <v>409948</v>
      </c>
      <c r="BA72" s="4">
        <f t="shared" si="91"/>
        <v>102480</v>
      </c>
      <c r="BB72" s="4">
        <f t="shared" si="92"/>
        <v>97188</v>
      </c>
      <c r="BC72" s="142">
        <f>IF(ISNA(VLOOKUP($A72&amp;$AB72,'Days Exceptions'!$C$3:$I$7,6,FALSE)),ROUND(AZ72/MAX(BB72,(BA72*Min_Occ)),2),ROUND(AZ72/VLOOKUP($A72&amp;$AB72,'Days Exceptions'!$C$3:$I$7,6,FALSE),2))</f>
        <v>4.22</v>
      </c>
      <c r="BD72" s="143" t="e">
        <f t="shared" si="61"/>
        <v>#REF!</v>
      </c>
      <c r="BE72" s="143" t="e">
        <f t="shared" si="62"/>
        <v>#REF!</v>
      </c>
      <c r="BF72" s="143">
        <f t="shared" si="63"/>
        <v>158.11000000000001</v>
      </c>
      <c r="BG72" s="37" t="s">
        <v>648</v>
      </c>
      <c r="BH72" s="37" t="s">
        <v>649</v>
      </c>
      <c r="BI72" s="37" t="s">
        <v>1229</v>
      </c>
      <c r="BJ72" s="66" t="e">
        <f>VLOOKUP(A72,'CMI Data'!$A$3:$AZ$209,15,FALSE)</f>
        <v>#DIV/0!</v>
      </c>
      <c r="BK72" s="68">
        <f t="shared" si="64"/>
        <v>213.16</v>
      </c>
      <c r="BL72" s="68" t="e">
        <f t="shared" si="65"/>
        <v>#DIV/0!</v>
      </c>
      <c r="BM72" s="75" t="e">
        <f t="shared" si="93"/>
        <v>#DIV/0!</v>
      </c>
      <c r="BN72" s="68" t="e">
        <f>IF($I72="NA","NA",ROUND(#REF!*$BJ72/$I72,2))</f>
        <v>#REF!</v>
      </c>
      <c r="BO72" s="75" t="e">
        <f t="shared" si="94"/>
        <v>#REF!</v>
      </c>
      <c r="BP72" s="68" t="e">
        <f t="shared" si="95"/>
        <v>#REF!</v>
      </c>
      <c r="BQ72" s="4">
        <f t="shared" si="96"/>
        <v>409948</v>
      </c>
      <c r="BR72" s="4">
        <f t="shared" si="97"/>
        <v>102480</v>
      </c>
      <c r="BS72" s="4">
        <f t="shared" si="98"/>
        <v>97188</v>
      </c>
      <c r="BT72" s="142">
        <f>IF(ISNA(VLOOKUP($A72&amp;$AB72,'Days Exceptions'!$C$3:$I$7,6,FALSE)),ROUND(BQ72/MAX(BS72,(BR72*Min_Occ)),2),ROUND(BQ72/VLOOKUP($A72&amp;$AB72,'Days Exceptions'!$C$3:$I$7,6,FALSE),2))</f>
        <v>4.22</v>
      </c>
      <c r="BU72" s="143" t="e">
        <f t="shared" si="66"/>
        <v>#REF!</v>
      </c>
      <c r="BV72" s="143" t="e">
        <f t="shared" si="67"/>
        <v>#REF!</v>
      </c>
      <c r="BW72" s="143">
        <f t="shared" si="68"/>
        <v>158.11000000000001</v>
      </c>
      <c r="BX72" s="37" t="s">
        <v>648</v>
      </c>
      <c r="BY72" s="37" t="s">
        <v>649</v>
      </c>
      <c r="BZ72" s="37" t="s">
        <v>1502</v>
      </c>
      <c r="CA72" s="66" t="e">
        <f>VLOOKUP(A72,'CMI Data'!$A$3:$AZ$209,20,FALSE)</f>
        <v>#DIV/0!</v>
      </c>
      <c r="CB72" s="68">
        <f t="shared" si="69"/>
        <v>213.16</v>
      </c>
      <c r="CC72" s="68" t="e">
        <f t="shared" si="70"/>
        <v>#DIV/0!</v>
      </c>
      <c r="CD72" s="75" t="e">
        <f t="shared" si="99"/>
        <v>#DIV/0!</v>
      </c>
      <c r="CE72" s="68" t="e">
        <f>IF($I72="NA","NA",ROUND(#REF!*$CA72/$I72,2))</f>
        <v>#REF!</v>
      </c>
      <c r="CF72" s="75" t="e">
        <f t="shared" si="100"/>
        <v>#REF!</v>
      </c>
      <c r="CG72" s="68" t="e">
        <f t="shared" si="101"/>
        <v>#REF!</v>
      </c>
      <c r="CH72" s="4">
        <f t="shared" si="102"/>
        <v>409948</v>
      </c>
      <c r="CI72" s="4">
        <f t="shared" si="103"/>
        <v>102480</v>
      </c>
      <c r="CJ72" s="4">
        <f t="shared" si="104"/>
        <v>97188</v>
      </c>
      <c r="CK72" s="142">
        <f>IF(ISNA(VLOOKUP($A72&amp;$AB72,'Days Exceptions'!$C$3:$I$7,6,FALSE)),ROUND(CH72/MAX(CJ72,(CI72*Min_Occ)),2),ROUND(CH72/VLOOKUP($A72&amp;$AB72,'Days Exceptions'!$C$3:$I$7,6,FALSE),2))</f>
        <v>4.22</v>
      </c>
      <c r="CL72" s="143" t="e">
        <f t="shared" si="71"/>
        <v>#REF!</v>
      </c>
      <c r="CM72" s="143" t="e">
        <f t="shared" si="72"/>
        <v>#REF!</v>
      </c>
      <c r="CN72" s="143">
        <f t="shared" si="73"/>
        <v>158.11000000000001</v>
      </c>
      <c r="CO72" s="37" t="s">
        <v>648</v>
      </c>
      <c r="CP72" s="37" t="s">
        <v>649</v>
      </c>
      <c r="CQ72" s="37" t="s">
        <v>1503</v>
      </c>
    </row>
    <row r="73" spans="1:95" x14ac:dyDescent="0.15">
      <c r="A73" s="130">
        <v>262</v>
      </c>
      <c r="B73" s="37" t="s">
        <v>601</v>
      </c>
      <c r="C73" s="1" t="s">
        <v>148</v>
      </c>
      <c r="D73" s="1" t="s">
        <v>112</v>
      </c>
      <c r="E73" s="1" t="str">
        <f>VLOOKUP(D73,Documentation!$B$4:$D$27,3,FALSE)</f>
        <v>WASHINGTON METRO</v>
      </c>
      <c r="F73" s="1" t="str">
        <f>VLOOKUP(D73,Documentation!$B$4:$C$27,2,FALSE)</f>
        <v>WASHINGTON METRO</v>
      </c>
      <c r="G73" s="82">
        <f>VLOOKUP(A73,'2022 CR and CMI'!$A$3:$D$207,3,FALSE)</f>
        <v>44562</v>
      </c>
      <c r="H73" s="82">
        <f>VLOOKUP(A73,'2022 CR and CMI'!$A$3:$D$207,4,FALSE)</f>
        <v>44926</v>
      </c>
      <c r="I73" s="72">
        <f>VLOOKUP(A73,'2022 CR and CMI'!$A$2:$T$210,19,FALSE)</f>
        <v>1.4360999999999999</v>
      </c>
      <c r="J73" s="139">
        <f>Inflation!$G$24</f>
        <v>1.0309999999999999</v>
      </c>
      <c r="K73" s="192">
        <f>VLOOKUP(E73,Limits!$B$2:$D$5,3,FALSE)</f>
        <v>176.01</v>
      </c>
      <c r="L73" s="192">
        <f t="shared" si="74"/>
        <v>181.47</v>
      </c>
      <c r="M73" s="140">
        <f>VLOOKUP(A73,'CMI Data'!$A$4:$C$208,3,FALSE)</f>
        <v>1.3751</v>
      </c>
      <c r="N73" s="68">
        <f t="shared" si="58"/>
        <v>180.58</v>
      </c>
      <c r="O73" s="68">
        <f t="shared" si="75"/>
        <v>172.91</v>
      </c>
      <c r="P73" s="75">
        <f t="shared" si="76"/>
        <v>164.26</v>
      </c>
      <c r="Q73" s="75">
        <v>155.71</v>
      </c>
      <c r="R73" s="75">
        <f t="shared" si="77"/>
        <v>160.54</v>
      </c>
      <c r="S73" s="68">
        <f t="shared" si="78"/>
        <v>153.72</v>
      </c>
      <c r="T73" s="75">
        <f t="shared" si="79"/>
        <v>-10.54</v>
      </c>
      <c r="U73" s="68">
        <f t="shared" si="80"/>
        <v>162.37</v>
      </c>
      <c r="V73" s="68">
        <f>VLOOKUP($F73,Limits!$J$2:$L$5,3,FALSE)</f>
        <v>19.23</v>
      </c>
      <c r="W73" s="68">
        <f t="shared" si="81"/>
        <v>19.829999999999998</v>
      </c>
      <c r="X73" s="68">
        <f>VLOOKUP($F73,Limits!$R$2:$T$5,3,FALSE)</f>
        <v>100.61</v>
      </c>
      <c r="Y73" s="68">
        <f t="shared" si="82"/>
        <v>103.73</v>
      </c>
      <c r="Z73" s="75">
        <f>VLOOKUP(A73,FRV!$A$4:$U$208,21,FALSE)</f>
        <v>23.48</v>
      </c>
      <c r="AA73" s="141">
        <f>VLOOKUP(A73,'RE Tax'!$A$2:$G$206,3,FALSE)</f>
        <v>45292</v>
      </c>
      <c r="AB73" s="141">
        <f>VLOOKUP(A73,'RE Tax'!$A$2:$G$206,4,FALSE)</f>
        <v>45657</v>
      </c>
      <c r="AC73" s="4">
        <f>VLOOKUP(A73,'RE Tax'!$A$2:$G$206,7,FALSE)</f>
        <v>152491</v>
      </c>
      <c r="AD73" s="4">
        <f>VLOOKUP($A73,'RE Tax'!$A$2:$I$206,9,FALSE)</f>
        <v>51972</v>
      </c>
      <c r="AE73" s="4">
        <f>VLOOKUP($A73,'RE Tax'!$A$2:$I$206,8,FALSE)</f>
        <v>48555</v>
      </c>
      <c r="AF73" s="142">
        <f>IF(ISNA(VLOOKUP(A73&amp;AB73,'Days Exceptions'!$C$3:$I$7,6,FALSE)),ROUND(AC73/MAX(AE73,(AD73*Min_Occ)),2),ROUND(AC73/VLOOKUP(A73&amp;AB73,'Days Exceptions'!$C$3:$I$7,6,FALSE),2))</f>
        <v>3.14</v>
      </c>
      <c r="AG73" s="68">
        <v>0</v>
      </c>
      <c r="AH73" s="68">
        <f t="shared" si="83"/>
        <v>0</v>
      </c>
      <c r="AI73" s="4">
        <v>41939</v>
      </c>
      <c r="AJ73" s="4">
        <v>48554</v>
      </c>
      <c r="AK73" s="68">
        <f>IF(AI73=0,0,IF(ISNA(MATCH(A73,Documentation!$B$66:$B$71,0)),QA_Tax_reg,QA_Tax_5high))</f>
        <v>32.92</v>
      </c>
      <c r="AL73" s="75">
        <f t="shared" si="84"/>
        <v>28.43</v>
      </c>
      <c r="AM73" s="68">
        <f t="shared" si="85"/>
        <v>312.55</v>
      </c>
      <c r="AN73" s="68">
        <f t="shared" si="86"/>
        <v>231.37</v>
      </c>
      <c r="AO73" s="68">
        <f t="shared" si="87"/>
        <v>150.18</v>
      </c>
      <c r="AP73" s="37" t="s">
        <v>591</v>
      </c>
      <c r="AQ73" s="37" t="s">
        <v>601</v>
      </c>
      <c r="AR73" s="37" t="s">
        <v>1026</v>
      </c>
      <c r="AS73" s="66" t="e">
        <f>VLOOKUP(A73,'CMI Data'!$A$3:$J$209,10,FALSE)</f>
        <v>#DIV/0!</v>
      </c>
      <c r="AT73" s="68">
        <f t="shared" si="59"/>
        <v>175.14</v>
      </c>
      <c r="AU73" s="68" t="e">
        <f t="shared" si="60"/>
        <v>#DIV/0!</v>
      </c>
      <c r="AV73" s="75" t="e">
        <f t="shared" si="88"/>
        <v>#DIV/0!</v>
      </c>
      <c r="AW73" s="68" t="e">
        <f>IF($I73="NA","NA",ROUND(#REF!*$AS73/$I73,2))</f>
        <v>#REF!</v>
      </c>
      <c r="AX73" s="75" t="e">
        <f t="shared" si="57"/>
        <v>#REF!</v>
      </c>
      <c r="AY73" s="68" t="e">
        <f t="shared" si="89"/>
        <v>#REF!</v>
      </c>
      <c r="AZ73" s="4">
        <f t="shared" si="90"/>
        <v>152491</v>
      </c>
      <c r="BA73" s="4">
        <f t="shared" si="91"/>
        <v>51972</v>
      </c>
      <c r="BB73" s="4">
        <f t="shared" si="92"/>
        <v>48555</v>
      </c>
      <c r="BC73" s="142">
        <f>IF(ISNA(VLOOKUP($A73&amp;$AB73,'Days Exceptions'!$C$3:$I$7,6,FALSE)),ROUND(AZ73/MAX(BB73,(BA73*Min_Occ)),2),ROUND(AZ73/VLOOKUP($A73&amp;$AB73,'Days Exceptions'!$C$3:$I$7,6,FALSE),2))</f>
        <v>3.14</v>
      </c>
      <c r="BD73" s="143" t="e">
        <f t="shared" si="61"/>
        <v>#REF!</v>
      </c>
      <c r="BE73" s="143" t="e">
        <f t="shared" si="62"/>
        <v>#REF!</v>
      </c>
      <c r="BF73" s="143">
        <f t="shared" si="63"/>
        <v>146.46</v>
      </c>
      <c r="BG73" s="37" t="s">
        <v>591</v>
      </c>
      <c r="BH73" s="37" t="s">
        <v>601</v>
      </c>
      <c r="BI73" s="37" t="s">
        <v>1230</v>
      </c>
      <c r="BJ73" s="66" t="e">
        <f>VLOOKUP(A73,'CMI Data'!$A$3:$AZ$209,15,FALSE)</f>
        <v>#DIV/0!</v>
      </c>
      <c r="BK73" s="68">
        <f t="shared" si="64"/>
        <v>175.14</v>
      </c>
      <c r="BL73" s="68" t="e">
        <f t="shared" si="65"/>
        <v>#DIV/0!</v>
      </c>
      <c r="BM73" s="75" t="e">
        <f t="shared" si="93"/>
        <v>#DIV/0!</v>
      </c>
      <c r="BN73" s="68" t="e">
        <f>IF($I73="NA","NA",ROUND(#REF!*$BJ73/$I73,2))</f>
        <v>#REF!</v>
      </c>
      <c r="BO73" s="75" t="e">
        <f t="shared" si="94"/>
        <v>#REF!</v>
      </c>
      <c r="BP73" s="68" t="e">
        <f t="shared" si="95"/>
        <v>#REF!</v>
      </c>
      <c r="BQ73" s="4">
        <f t="shared" si="96"/>
        <v>152491</v>
      </c>
      <c r="BR73" s="4">
        <f t="shared" si="97"/>
        <v>51972</v>
      </c>
      <c r="BS73" s="4">
        <f t="shared" si="98"/>
        <v>48555</v>
      </c>
      <c r="BT73" s="142">
        <f>IF(ISNA(VLOOKUP($A73&amp;$AB73,'Days Exceptions'!$C$3:$I$7,6,FALSE)),ROUND(BQ73/MAX(BS73,(BR73*Min_Occ)),2),ROUND(BQ73/VLOOKUP($A73&amp;$AB73,'Days Exceptions'!$C$3:$I$7,6,FALSE),2))</f>
        <v>3.14</v>
      </c>
      <c r="BU73" s="143" t="e">
        <f t="shared" si="66"/>
        <v>#REF!</v>
      </c>
      <c r="BV73" s="143" t="e">
        <f t="shared" si="67"/>
        <v>#REF!</v>
      </c>
      <c r="BW73" s="143">
        <f t="shared" si="68"/>
        <v>146.46</v>
      </c>
      <c r="BX73" s="37" t="s">
        <v>591</v>
      </c>
      <c r="BY73" s="37" t="s">
        <v>601</v>
      </c>
      <c r="BZ73" s="37" t="s">
        <v>1504</v>
      </c>
      <c r="CA73" s="66" t="e">
        <f>VLOOKUP(A73,'CMI Data'!$A$3:$AZ$209,20,FALSE)</f>
        <v>#DIV/0!</v>
      </c>
      <c r="CB73" s="68">
        <f t="shared" si="69"/>
        <v>175.14</v>
      </c>
      <c r="CC73" s="68" t="e">
        <f t="shared" si="70"/>
        <v>#DIV/0!</v>
      </c>
      <c r="CD73" s="75" t="e">
        <f t="shared" si="99"/>
        <v>#DIV/0!</v>
      </c>
      <c r="CE73" s="68" t="e">
        <f>IF($I73="NA","NA",ROUND(#REF!*$CA73/$I73,2))</f>
        <v>#REF!</v>
      </c>
      <c r="CF73" s="75" t="e">
        <f t="shared" si="100"/>
        <v>#REF!</v>
      </c>
      <c r="CG73" s="68" t="e">
        <f t="shared" si="101"/>
        <v>#REF!</v>
      </c>
      <c r="CH73" s="4">
        <f t="shared" si="102"/>
        <v>152491</v>
      </c>
      <c r="CI73" s="4">
        <f t="shared" si="103"/>
        <v>51972</v>
      </c>
      <c r="CJ73" s="4">
        <f t="shared" si="104"/>
        <v>48555</v>
      </c>
      <c r="CK73" s="142">
        <f>IF(ISNA(VLOOKUP($A73&amp;$AB73,'Days Exceptions'!$C$3:$I$7,6,FALSE)),ROUND(CH73/MAX(CJ73,(CI73*Min_Occ)),2),ROUND(CH73/VLOOKUP($A73&amp;$AB73,'Days Exceptions'!$C$3:$I$7,6,FALSE),2))</f>
        <v>3.14</v>
      </c>
      <c r="CL73" s="143" t="e">
        <f t="shared" si="71"/>
        <v>#REF!</v>
      </c>
      <c r="CM73" s="143" t="e">
        <f t="shared" si="72"/>
        <v>#REF!</v>
      </c>
      <c r="CN73" s="143">
        <f t="shared" si="73"/>
        <v>146.46</v>
      </c>
      <c r="CO73" s="37" t="s">
        <v>591</v>
      </c>
      <c r="CP73" s="37" t="s">
        <v>601</v>
      </c>
      <c r="CQ73" s="37" t="s">
        <v>1505</v>
      </c>
    </row>
    <row r="74" spans="1:95" x14ac:dyDescent="0.15">
      <c r="A74" s="130">
        <v>342</v>
      </c>
      <c r="B74" s="37" t="s">
        <v>602</v>
      </c>
      <c r="C74" s="1" t="s">
        <v>148</v>
      </c>
      <c r="D74" s="1" t="s">
        <v>107</v>
      </c>
      <c r="E74" s="1" t="str">
        <f>VLOOKUP(D74,Documentation!$B$4:$D$27,3,FALSE)</f>
        <v>BALTIMORE METRO</v>
      </c>
      <c r="F74" s="1" t="str">
        <f>VLOOKUP(D74,Documentation!$B$4:$C$27,2,FALSE)</f>
        <v>BALTIMORE METRO</v>
      </c>
      <c r="G74" s="82">
        <f>VLOOKUP(A74,'2022 CR and CMI'!$A$3:$D$207,3,FALSE)</f>
        <v>44562</v>
      </c>
      <c r="H74" s="82">
        <f>VLOOKUP(A74,'2022 CR and CMI'!$A$3:$D$207,4,FALSE)</f>
        <v>44926</v>
      </c>
      <c r="I74" s="72">
        <f>VLOOKUP(A74,'2022 CR and CMI'!$A$2:$T$210,19,FALSE)</f>
        <v>1.7596000000000001</v>
      </c>
      <c r="J74" s="139">
        <f>Inflation!$G$24</f>
        <v>1.0309999999999999</v>
      </c>
      <c r="K74" s="192">
        <f>VLOOKUP(E74,Limits!$B$2:$D$5,3,FALSE)</f>
        <v>195.33</v>
      </c>
      <c r="L74" s="192">
        <f t="shared" si="74"/>
        <v>201.39</v>
      </c>
      <c r="M74" s="140">
        <f>VLOOKUP(A74,'CMI Data'!$A$4:$C$208,3,FALSE)</f>
        <v>1.4297</v>
      </c>
      <c r="N74" s="68">
        <f t="shared" si="58"/>
        <v>245.54</v>
      </c>
      <c r="O74" s="68">
        <f t="shared" si="75"/>
        <v>199.5</v>
      </c>
      <c r="P74" s="75">
        <f t="shared" si="76"/>
        <v>189.53</v>
      </c>
      <c r="Q74" s="75">
        <v>233.45</v>
      </c>
      <c r="R74" s="75">
        <f t="shared" si="77"/>
        <v>240.69</v>
      </c>
      <c r="S74" s="68">
        <f t="shared" si="78"/>
        <v>195.56</v>
      </c>
      <c r="T74" s="75">
        <f t="shared" si="79"/>
        <v>0</v>
      </c>
      <c r="U74" s="68">
        <f t="shared" si="80"/>
        <v>199.5</v>
      </c>
      <c r="V74" s="68">
        <f>VLOOKUP($F74,Limits!$J$2:$L$5,3,FALSE)</f>
        <v>20.85</v>
      </c>
      <c r="W74" s="68">
        <f t="shared" si="81"/>
        <v>21.5</v>
      </c>
      <c r="X74" s="68">
        <f>VLOOKUP($F74,Limits!$R$2:$T$5,3,FALSE)</f>
        <v>102.02</v>
      </c>
      <c r="Y74" s="68">
        <f t="shared" si="82"/>
        <v>105.18</v>
      </c>
      <c r="Z74" s="75">
        <f>VLOOKUP(A74,FRV!$A$4:$U$208,21,FALSE)</f>
        <v>30.97</v>
      </c>
      <c r="AA74" s="141">
        <f>VLOOKUP(A74,'RE Tax'!$A$2:$G$206,3,FALSE)</f>
        <v>45292</v>
      </c>
      <c r="AB74" s="141">
        <f>VLOOKUP(A74,'RE Tax'!$A$2:$G$206,4,FALSE)</f>
        <v>45657</v>
      </c>
      <c r="AC74" s="4">
        <f>VLOOKUP(A74,'RE Tax'!$A$2:$G$206,7,FALSE)</f>
        <v>69654</v>
      </c>
      <c r="AD74" s="4">
        <f>VLOOKUP($A74,'RE Tax'!$A$2:$I$206,9,FALSE)</f>
        <v>43188</v>
      </c>
      <c r="AE74" s="4">
        <f>VLOOKUP($A74,'RE Tax'!$A$2:$I$206,8,FALSE)</f>
        <v>40104</v>
      </c>
      <c r="AF74" s="142">
        <f>IF(ISNA(VLOOKUP(A74&amp;AB74,'Days Exceptions'!$C$3:$I$7,6,FALSE)),ROUND(AC74/MAX(AE74,(AD74*Min_Occ)),2),ROUND(AC74/VLOOKUP(A74&amp;AB74,'Days Exceptions'!$C$3:$I$7,6,FALSE),2))</f>
        <v>1.74</v>
      </c>
      <c r="AG74" s="68">
        <v>0</v>
      </c>
      <c r="AH74" s="68">
        <f t="shared" si="83"/>
        <v>0</v>
      </c>
      <c r="AI74" s="4">
        <v>23965</v>
      </c>
      <c r="AJ74" s="4">
        <v>40104</v>
      </c>
      <c r="AK74" s="68">
        <f>IF(AI74=0,0,IF(ISNA(MATCH(A74,Documentation!$B$66:$B$71,0)),QA_Tax_reg,QA_Tax_5high))</f>
        <v>32.92</v>
      </c>
      <c r="AL74" s="75">
        <f t="shared" si="84"/>
        <v>19.670000000000002</v>
      </c>
      <c r="AM74" s="68">
        <f t="shared" si="85"/>
        <v>358.89</v>
      </c>
      <c r="AN74" s="68">
        <f t="shared" si="86"/>
        <v>259.14</v>
      </c>
      <c r="AO74" s="68">
        <f t="shared" si="87"/>
        <v>159.38999999999999</v>
      </c>
      <c r="AP74" s="37" t="s">
        <v>584</v>
      </c>
      <c r="AQ74" s="37" t="s">
        <v>602</v>
      </c>
      <c r="AR74" s="37" t="s">
        <v>1027</v>
      </c>
      <c r="AS74" s="66" t="e">
        <f>VLOOKUP(A74,'CMI Data'!$A$3:$J$209,10,FALSE)</f>
        <v>#DIV/0!</v>
      </c>
      <c r="AT74" s="68">
        <f t="shared" si="59"/>
        <v>238.15</v>
      </c>
      <c r="AU74" s="68" t="e">
        <f t="shared" si="60"/>
        <v>#DIV/0!</v>
      </c>
      <c r="AV74" s="75" t="e">
        <f t="shared" si="88"/>
        <v>#DIV/0!</v>
      </c>
      <c r="AW74" s="68" t="e">
        <f>IF($I74="NA","NA",ROUND(#REF!*$AS74/$I74,2))</f>
        <v>#REF!</v>
      </c>
      <c r="AX74" s="75" t="e">
        <f t="shared" si="57"/>
        <v>#REF!</v>
      </c>
      <c r="AY74" s="68" t="e">
        <f t="shared" si="89"/>
        <v>#REF!</v>
      </c>
      <c r="AZ74" s="4">
        <f t="shared" si="90"/>
        <v>69654</v>
      </c>
      <c r="BA74" s="4">
        <f t="shared" si="91"/>
        <v>43188</v>
      </c>
      <c r="BB74" s="4">
        <f t="shared" si="92"/>
        <v>40104</v>
      </c>
      <c r="BC74" s="142">
        <f>IF(ISNA(VLOOKUP($A74&amp;$AB74,'Days Exceptions'!$C$3:$I$7,6,FALSE)),ROUND(AZ74/MAX(BB74,(BA74*Min_Occ)),2),ROUND(AZ74/VLOOKUP($A74&amp;$AB74,'Days Exceptions'!$C$3:$I$7,6,FALSE),2))</f>
        <v>1.74</v>
      </c>
      <c r="BD74" s="143" t="e">
        <f t="shared" si="61"/>
        <v>#REF!</v>
      </c>
      <c r="BE74" s="143" t="e">
        <f t="shared" si="62"/>
        <v>#REF!</v>
      </c>
      <c r="BF74" s="143">
        <f t="shared" si="63"/>
        <v>155.58000000000001</v>
      </c>
      <c r="BG74" s="37" t="s">
        <v>584</v>
      </c>
      <c r="BH74" s="37" t="s">
        <v>602</v>
      </c>
      <c r="BI74" s="37" t="s">
        <v>1231</v>
      </c>
      <c r="BJ74" s="66" t="e">
        <f>VLOOKUP(A74,'CMI Data'!$A$3:$AZ$209,15,FALSE)</f>
        <v>#DIV/0!</v>
      </c>
      <c r="BK74" s="68">
        <f t="shared" si="64"/>
        <v>238.15</v>
      </c>
      <c r="BL74" s="68" t="e">
        <f t="shared" si="65"/>
        <v>#DIV/0!</v>
      </c>
      <c r="BM74" s="75" t="e">
        <f t="shared" si="93"/>
        <v>#DIV/0!</v>
      </c>
      <c r="BN74" s="68" t="e">
        <f>IF($I74="NA","NA",ROUND(#REF!*$BJ74/$I74,2))</f>
        <v>#REF!</v>
      </c>
      <c r="BO74" s="75" t="e">
        <f t="shared" si="94"/>
        <v>#REF!</v>
      </c>
      <c r="BP74" s="68" t="e">
        <f t="shared" si="95"/>
        <v>#REF!</v>
      </c>
      <c r="BQ74" s="4">
        <f t="shared" si="96"/>
        <v>69654</v>
      </c>
      <c r="BR74" s="4">
        <f t="shared" si="97"/>
        <v>43188</v>
      </c>
      <c r="BS74" s="4">
        <f t="shared" si="98"/>
        <v>40104</v>
      </c>
      <c r="BT74" s="142">
        <f>IF(ISNA(VLOOKUP($A74&amp;$AB74,'Days Exceptions'!$C$3:$I$7,6,FALSE)),ROUND(BQ74/MAX(BS74,(BR74*Min_Occ)),2),ROUND(BQ74/VLOOKUP($A74&amp;$AB74,'Days Exceptions'!$C$3:$I$7,6,FALSE),2))</f>
        <v>1.74</v>
      </c>
      <c r="BU74" s="143" t="e">
        <f t="shared" si="66"/>
        <v>#REF!</v>
      </c>
      <c r="BV74" s="143" t="e">
        <f t="shared" si="67"/>
        <v>#REF!</v>
      </c>
      <c r="BW74" s="143">
        <f t="shared" si="68"/>
        <v>155.58000000000001</v>
      </c>
      <c r="BX74" s="37" t="s">
        <v>584</v>
      </c>
      <c r="BY74" s="37" t="s">
        <v>602</v>
      </c>
      <c r="BZ74" s="37" t="s">
        <v>1506</v>
      </c>
      <c r="CA74" s="66" t="e">
        <f>VLOOKUP(A74,'CMI Data'!$A$3:$AZ$209,20,FALSE)</f>
        <v>#DIV/0!</v>
      </c>
      <c r="CB74" s="68">
        <f t="shared" si="69"/>
        <v>238.15</v>
      </c>
      <c r="CC74" s="68" t="e">
        <f t="shared" si="70"/>
        <v>#DIV/0!</v>
      </c>
      <c r="CD74" s="75" t="e">
        <f t="shared" si="99"/>
        <v>#DIV/0!</v>
      </c>
      <c r="CE74" s="68" t="e">
        <f>IF($I74="NA","NA",ROUND(#REF!*$CA74/$I74,2))</f>
        <v>#REF!</v>
      </c>
      <c r="CF74" s="75" t="e">
        <f t="shared" si="100"/>
        <v>#REF!</v>
      </c>
      <c r="CG74" s="68" t="e">
        <f t="shared" si="101"/>
        <v>#REF!</v>
      </c>
      <c r="CH74" s="4">
        <f t="shared" si="102"/>
        <v>69654</v>
      </c>
      <c r="CI74" s="4">
        <f t="shared" si="103"/>
        <v>43188</v>
      </c>
      <c r="CJ74" s="4">
        <f t="shared" si="104"/>
        <v>40104</v>
      </c>
      <c r="CK74" s="142">
        <f>IF(ISNA(VLOOKUP($A74&amp;$AB74,'Days Exceptions'!$C$3:$I$7,6,FALSE)),ROUND(CH74/MAX(CJ74,(CI74*Min_Occ)),2),ROUND(CH74/VLOOKUP($A74&amp;$AB74,'Days Exceptions'!$C$3:$I$7,6,FALSE),2))</f>
        <v>1.74</v>
      </c>
      <c r="CL74" s="143" t="e">
        <f t="shared" si="71"/>
        <v>#REF!</v>
      </c>
      <c r="CM74" s="143" t="e">
        <f t="shared" si="72"/>
        <v>#REF!</v>
      </c>
      <c r="CN74" s="143">
        <f t="shared" si="73"/>
        <v>155.58000000000001</v>
      </c>
      <c r="CO74" s="37" t="s">
        <v>584</v>
      </c>
      <c r="CP74" s="37" t="s">
        <v>602</v>
      </c>
      <c r="CQ74" s="37" t="s">
        <v>1507</v>
      </c>
    </row>
    <row r="75" spans="1:95" x14ac:dyDescent="0.15">
      <c r="A75" s="130">
        <v>400</v>
      </c>
      <c r="B75" s="37" t="s">
        <v>599</v>
      </c>
      <c r="C75" s="1" t="s">
        <v>148</v>
      </c>
      <c r="D75" s="1" t="s">
        <v>106</v>
      </c>
      <c r="E75" s="1" t="str">
        <f>VLOOKUP(D75,Documentation!$B$4:$D$27,3,FALSE)</f>
        <v>BALTIMORE METRO</v>
      </c>
      <c r="F75" s="1" t="str">
        <f>VLOOKUP(D75,Documentation!$B$4:$C$27,2,FALSE)</f>
        <v>BALTIMORE METRO</v>
      </c>
      <c r="G75" s="82">
        <f>VLOOKUP(A75,'2022 CR and CMI'!$A$3:$D$207,3,FALSE)</f>
        <v>44562</v>
      </c>
      <c r="H75" s="82">
        <f>VLOOKUP(A75,'2022 CR and CMI'!$A$3:$D$207,4,FALSE)</f>
        <v>44926</v>
      </c>
      <c r="I75" s="72">
        <f>VLOOKUP(A75,'2022 CR and CMI'!$A$2:$T$210,19,FALSE)</f>
        <v>1.5348999999999999</v>
      </c>
      <c r="J75" s="139">
        <f>Inflation!$G$24</f>
        <v>1.0309999999999999</v>
      </c>
      <c r="K75" s="192">
        <f>VLOOKUP(E75,Limits!$B$2:$D$5,3,FALSE)</f>
        <v>195.33</v>
      </c>
      <c r="L75" s="192">
        <f t="shared" si="74"/>
        <v>201.39</v>
      </c>
      <c r="M75" s="140">
        <f>VLOOKUP(A75,'CMI Data'!$A$4:$C$208,3,FALSE)</f>
        <v>1.4254</v>
      </c>
      <c r="N75" s="68">
        <f t="shared" si="58"/>
        <v>214.19</v>
      </c>
      <c r="O75" s="68">
        <f t="shared" si="75"/>
        <v>198.91</v>
      </c>
      <c r="P75" s="75">
        <f t="shared" si="76"/>
        <v>188.96</v>
      </c>
      <c r="Q75" s="75">
        <v>191.68</v>
      </c>
      <c r="R75" s="75">
        <f t="shared" si="77"/>
        <v>197.62</v>
      </c>
      <c r="S75" s="68">
        <f t="shared" si="78"/>
        <v>183.52</v>
      </c>
      <c r="T75" s="75">
        <f t="shared" si="79"/>
        <v>-5.44</v>
      </c>
      <c r="U75" s="68">
        <f t="shared" si="80"/>
        <v>193.47</v>
      </c>
      <c r="V75" s="68">
        <f>VLOOKUP($F75,Limits!$J$2:$L$5,3,FALSE)</f>
        <v>20.85</v>
      </c>
      <c r="W75" s="68">
        <f t="shared" si="81"/>
        <v>21.5</v>
      </c>
      <c r="X75" s="68">
        <f>VLOOKUP($F75,Limits!$R$2:$T$5,3,FALSE)</f>
        <v>102.02</v>
      </c>
      <c r="Y75" s="68">
        <f t="shared" si="82"/>
        <v>105.18</v>
      </c>
      <c r="Z75" s="75">
        <f>VLOOKUP(A75,FRV!$A$4:$U$208,21,FALSE)</f>
        <v>24.61</v>
      </c>
      <c r="AA75" s="141">
        <f>VLOOKUP(A75,'RE Tax'!$A$2:$G$206,3,FALSE)</f>
        <v>45292</v>
      </c>
      <c r="AB75" s="141">
        <f>VLOOKUP(A75,'RE Tax'!$A$2:$G$206,4,FALSE)</f>
        <v>45657</v>
      </c>
      <c r="AC75" s="4">
        <f>VLOOKUP(A75,'RE Tax'!$A$2:$G$206,7,FALSE)</f>
        <v>67874</v>
      </c>
      <c r="AD75" s="4">
        <f>VLOOKUP($A75,'RE Tax'!$A$2:$I$206,9,FALSE)</f>
        <v>50508</v>
      </c>
      <c r="AE75" s="4">
        <f>VLOOKUP($A75,'RE Tax'!$A$2:$I$206,8,FALSE)</f>
        <v>46606</v>
      </c>
      <c r="AF75" s="142">
        <f>IF(ISNA(VLOOKUP(A75&amp;AB75,'Days Exceptions'!$C$3:$I$7,6,FALSE)),ROUND(AC75/MAX(AE75,(AD75*Min_Occ)),2),ROUND(AC75/VLOOKUP(A75&amp;AB75,'Days Exceptions'!$C$3:$I$7,6,FALSE),2))</f>
        <v>1.46</v>
      </c>
      <c r="AG75" s="68">
        <v>0</v>
      </c>
      <c r="AH75" s="68">
        <f t="shared" si="83"/>
        <v>0</v>
      </c>
      <c r="AI75" s="4">
        <v>37555</v>
      </c>
      <c r="AJ75" s="4">
        <v>46606</v>
      </c>
      <c r="AK75" s="68">
        <f>IF(AI75=0,0,IF(ISNA(MATCH(A75,Documentation!$B$66:$B$71,0)),QA_Tax_reg,QA_Tax_5high))</f>
        <v>32.92</v>
      </c>
      <c r="AL75" s="75">
        <f t="shared" si="84"/>
        <v>26.53</v>
      </c>
      <c r="AM75" s="68">
        <f t="shared" si="85"/>
        <v>346.22</v>
      </c>
      <c r="AN75" s="68">
        <f t="shared" si="86"/>
        <v>249.49</v>
      </c>
      <c r="AO75" s="68">
        <f t="shared" si="87"/>
        <v>152.75</v>
      </c>
      <c r="AP75" s="37" t="s">
        <v>594</v>
      </c>
      <c r="AQ75" s="37" t="s">
        <v>599</v>
      </c>
      <c r="AR75" s="37" t="s">
        <v>1028</v>
      </c>
      <c r="AS75" s="66" t="e">
        <f>VLOOKUP(A75,'CMI Data'!$A$3:$J$209,10,FALSE)</f>
        <v>#DIV/0!</v>
      </c>
      <c r="AT75" s="68">
        <f t="shared" si="59"/>
        <v>207.74</v>
      </c>
      <c r="AU75" s="68" t="e">
        <f t="shared" si="60"/>
        <v>#DIV/0!</v>
      </c>
      <c r="AV75" s="75" t="e">
        <f t="shared" si="88"/>
        <v>#DIV/0!</v>
      </c>
      <c r="AW75" s="68" t="e">
        <f>IF($I75="NA","NA",ROUND(#REF!*$AS75/$I75,2))</f>
        <v>#REF!</v>
      </c>
      <c r="AX75" s="75" t="e">
        <f t="shared" si="57"/>
        <v>#REF!</v>
      </c>
      <c r="AY75" s="68" t="e">
        <f t="shared" si="89"/>
        <v>#REF!</v>
      </c>
      <c r="AZ75" s="4">
        <f t="shared" si="90"/>
        <v>67874</v>
      </c>
      <c r="BA75" s="4">
        <f t="shared" si="91"/>
        <v>50508</v>
      </c>
      <c r="BB75" s="4">
        <f t="shared" si="92"/>
        <v>46606</v>
      </c>
      <c r="BC75" s="142">
        <f>IF(ISNA(VLOOKUP($A75&amp;$AB75,'Days Exceptions'!$C$3:$I$7,6,FALSE)),ROUND(AZ75/MAX(BB75,(BA75*Min_Occ)),2),ROUND(AZ75/VLOOKUP($A75&amp;$AB75,'Days Exceptions'!$C$3:$I$7,6,FALSE),2))</f>
        <v>1.46</v>
      </c>
      <c r="BD75" s="143" t="e">
        <f t="shared" si="61"/>
        <v>#REF!</v>
      </c>
      <c r="BE75" s="143" t="e">
        <f t="shared" si="62"/>
        <v>#REF!</v>
      </c>
      <c r="BF75" s="143">
        <f t="shared" si="63"/>
        <v>148.94</v>
      </c>
      <c r="BG75" s="37" t="s">
        <v>594</v>
      </c>
      <c r="BH75" s="37" t="s">
        <v>599</v>
      </c>
      <c r="BI75" s="37" t="s">
        <v>1232</v>
      </c>
      <c r="BJ75" s="66" t="e">
        <f>VLOOKUP(A75,'CMI Data'!$A$3:$AZ$209,15,FALSE)</f>
        <v>#DIV/0!</v>
      </c>
      <c r="BK75" s="68">
        <f t="shared" si="64"/>
        <v>207.74</v>
      </c>
      <c r="BL75" s="68" t="e">
        <f t="shared" si="65"/>
        <v>#DIV/0!</v>
      </c>
      <c r="BM75" s="75" t="e">
        <f t="shared" si="93"/>
        <v>#DIV/0!</v>
      </c>
      <c r="BN75" s="68" t="e">
        <f>IF($I75="NA","NA",ROUND(#REF!*$BJ75/$I75,2))</f>
        <v>#REF!</v>
      </c>
      <c r="BO75" s="75" t="e">
        <f t="shared" si="94"/>
        <v>#REF!</v>
      </c>
      <c r="BP75" s="68" t="e">
        <f t="shared" si="95"/>
        <v>#REF!</v>
      </c>
      <c r="BQ75" s="4">
        <f t="shared" si="96"/>
        <v>67874</v>
      </c>
      <c r="BR75" s="4">
        <f t="shared" si="97"/>
        <v>50508</v>
      </c>
      <c r="BS75" s="4">
        <f t="shared" si="98"/>
        <v>46606</v>
      </c>
      <c r="BT75" s="142">
        <f>IF(ISNA(VLOOKUP($A75&amp;$AB75,'Days Exceptions'!$C$3:$I$7,6,FALSE)),ROUND(BQ75/MAX(BS75,(BR75*Min_Occ)),2),ROUND(BQ75/VLOOKUP($A75&amp;$AB75,'Days Exceptions'!$C$3:$I$7,6,FALSE),2))</f>
        <v>1.46</v>
      </c>
      <c r="BU75" s="143" t="e">
        <f t="shared" si="66"/>
        <v>#REF!</v>
      </c>
      <c r="BV75" s="143" t="e">
        <f t="shared" si="67"/>
        <v>#REF!</v>
      </c>
      <c r="BW75" s="143">
        <f t="shared" si="68"/>
        <v>148.94</v>
      </c>
      <c r="BX75" s="37" t="s">
        <v>594</v>
      </c>
      <c r="BY75" s="37" t="s">
        <v>599</v>
      </c>
      <c r="BZ75" s="37" t="s">
        <v>1508</v>
      </c>
      <c r="CA75" s="66" t="e">
        <f>VLOOKUP(A75,'CMI Data'!$A$3:$AZ$209,20,FALSE)</f>
        <v>#DIV/0!</v>
      </c>
      <c r="CB75" s="68">
        <f t="shared" si="69"/>
        <v>207.74</v>
      </c>
      <c r="CC75" s="68" t="e">
        <f t="shared" si="70"/>
        <v>#DIV/0!</v>
      </c>
      <c r="CD75" s="75" t="e">
        <f t="shared" si="99"/>
        <v>#DIV/0!</v>
      </c>
      <c r="CE75" s="68" t="e">
        <f>IF($I75="NA","NA",ROUND(#REF!*$CA75/$I75,2))</f>
        <v>#REF!</v>
      </c>
      <c r="CF75" s="75" t="e">
        <f t="shared" si="100"/>
        <v>#REF!</v>
      </c>
      <c r="CG75" s="68" t="e">
        <f t="shared" si="101"/>
        <v>#REF!</v>
      </c>
      <c r="CH75" s="4">
        <f t="shared" si="102"/>
        <v>67874</v>
      </c>
      <c r="CI75" s="4">
        <f t="shared" si="103"/>
        <v>50508</v>
      </c>
      <c r="CJ75" s="4">
        <f t="shared" si="104"/>
        <v>46606</v>
      </c>
      <c r="CK75" s="142">
        <f>IF(ISNA(VLOOKUP($A75&amp;$AB75,'Days Exceptions'!$C$3:$I$7,6,FALSE)),ROUND(CH75/MAX(CJ75,(CI75*Min_Occ)),2),ROUND(CH75/VLOOKUP($A75&amp;$AB75,'Days Exceptions'!$C$3:$I$7,6,FALSE),2))</f>
        <v>1.46</v>
      </c>
      <c r="CL75" s="143" t="e">
        <f t="shared" si="71"/>
        <v>#REF!</v>
      </c>
      <c r="CM75" s="143" t="e">
        <f t="shared" si="72"/>
        <v>#REF!</v>
      </c>
      <c r="CN75" s="143">
        <f t="shared" si="73"/>
        <v>148.94</v>
      </c>
      <c r="CO75" s="37" t="s">
        <v>594</v>
      </c>
      <c r="CP75" s="37" t="s">
        <v>599</v>
      </c>
      <c r="CQ75" s="37" t="s">
        <v>1509</v>
      </c>
    </row>
    <row r="76" spans="1:95" x14ac:dyDescent="0.15">
      <c r="A76" s="130">
        <v>412</v>
      </c>
      <c r="B76" s="37" t="s">
        <v>651</v>
      </c>
      <c r="C76" s="1" t="s">
        <v>148</v>
      </c>
      <c r="D76" s="1" t="s">
        <v>119</v>
      </c>
      <c r="E76" s="1" t="str">
        <f>VLOOKUP(D76,Documentation!$B$4:$D$27,3,FALSE)</f>
        <v>WASHINGTON METRO</v>
      </c>
      <c r="F76" s="1" t="str">
        <f>VLOOKUP(D76,Documentation!$B$4:$C$27,2,FALSE)</f>
        <v>WASHINGTON METRO</v>
      </c>
      <c r="G76" s="82">
        <f>VLOOKUP(A76,'2022 CR and CMI'!$A$3:$D$207,3,FALSE)</f>
        <v>44562</v>
      </c>
      <c r="H76" s="82">
        <f>VLOOKUP(A76,'2022 CR and CMI'!$A$3:$D$207,4,FALSE)</f>
        <v>44957</v>
      </c>
      <c r="I76" s="72">
        <f>VLOOKUP(A76,'2022 CR and CMI'!$A$2:$T$210,19,FALSE)</f>
        <v>1.4269000000000001</v>
      </c>
      <c r="J76" s="139">
        <f>Inflation!$G$24</f>
        <v>1.0309999999999999</v>
      </c>
      <c r="K76" s="192">
        <f>VLOOKUP(E76,Limits!$B$2:$D$5,3,FALSE)</f>
        <v>176.01</v>
      </c>
      <c r="L76" s="192">
        <f t="shared" si="74"/>
        <v>181.47</v>
      </c>
      <c r="M76" s="140">
        <f>VLOOKUP(A76,'CMI Data'!$A$4:$C$208,3,FALSE)</f>
        <v>1.4906999999999999</v>
      </c>
      <c r="N76" s="68">
        <f t="shared" si="58"/>
        <v>179.42</v>
      </c>
      <c r="O76" s="68">
        <f t="shared" si="75"/>
        <v>187.44</v>
      </c>
      <c r="P76" s="75">
        <f t="shared" si="76"/>
        <v>178.07</v>
      </c>
      <c r="Q76" s="75">
        <v>140.51</v>
      </c>
      <c r="R76" s="75">
        <f t="shared" si="77"/>
        <v>144.87</v>
      </c>
      <c r="S76" s="68">
        <f t="shared" si="78"/>
        <v>151.35</v>
      </c>
      <c r="T76" s="75">
        <f t="shared" si="79"/>
        <v>-26.72</v>
      </c>
      <c r="U76" s="68">
        <f t="shared" si="80"/>
        <v>160.72</v>
      </c>
      <c r="V76" s="68">
        <f>VLOOKUP($F76,Limits!$J$2:$L$5,3,FALSE)</f>
        <v>19.23</v>
      </c>
      <c r="W76" s="68">
        <f t="shared" si="81"/>
        <v>19.829999999999998</v>
      </c>
      <c r="X76" s="68">
        <f>VLOOKUP($F76,Limits!$R$2:$T$5,3,FALSE)</f>
        <v>100.61</v>
      </c>
      <c r="Y76" s="68">
        <f t="shared" si="82"/>
        <v>103.73</v>
      </c>
      <c r="Z76" s="75">
        <f>VLOOKUP(A76,FRV!$A$4:$U$208,21,FALSE)</f>
        <v>29.54</v>
      </c>
      <c r="AA76" s="141">
        <f>VLOOKUP(A76,'RE Tax'!$A$2:$G$206,3,FALSE)</f>
        <v>45292</v>
      </c>
      <c r="AB76" s="141">
        <f>VLOOKUP(A76,'RE Tax'!$A$2:$G$206,4,FALSE)</f>
        <v>45657</v>
      </c>
      <c r="AC76" s="4">
        <f>VLOOKUP(A76,'RE Tax'!$A$2:$G$206,7,FALSE)</f>
        <v>177881</v>
      </c>
      <c r="AD76" s="4">
        <f>VLOOKUP($A76,'RE Tax'!$A$2:$I$206,9,FALSE)</f>
        <v>34038</v>
      </c>
      <c r="AE76" s="4">
        <f>VLOOKUP($A76,'RE Tax'!$A$2:$I$206,8,FALSE)</f>
        <v>31552</v>
      </c>
      <c r="AF76" s="142">
        <f>IF(ISNA(VLOOKUP(A76&amp;AB76,'Days Exceptions'!$C$3:$I$7,6,FALSE)),ROUND(AC76/MAX(AE76,(AD76*Min_Occ)),2),ROUND(AC76/VLOOKUP(A76&amp;AB76,'Days Exceptions'!$C$3:$I$7,6,FALSE),2))</f>
        <v>5.64</v>
      </c>
      <c r="AG76" s="68">
        <v>0</v>
      </c>
      <c r="AH76" s="68">
        <f t="shared" si="83"/>
        <v>0</v>
      </c>
      <c r="AI76" s="4">
        <v>23649</v>
      </c>
      <c r="AJ76" s="4">
        <v>31552</v>
      </c>
      <c r="AK76" s="68">
        <f>IF(AI76=0,0,IF(ISNA(MATCH(A76,Documentation!$B$66:$B$71,0)),QA_Tax_reg,QA_Tax_5high))</f>
        <v>32.92</v>
      </c>
      <c r="AL76" s="75">
        <f t="shared" si="84"/>
        <v>24.67</v>
      </c>
      <c r="AM76" s="68">
        <f t="shared" si="85"/>
        <v>319.45999999999998</v>
      </c>
      <c r="AN76" s="68">
        <f t="shared" si="86"/>
        <v>239.1</v>
      </c>
      <c r="AO76" s="68">
        <f t="shared" si="87"/>
        <v>158.74</v>
      </c>
      <c r="AP76" s="37" t="s">
        <v>650</v>
      </c>
      <c r="AQ76" s="37" t="s">
        <v>651</v>
      </c>
      <c r="AR76" s="37" t="s">
        <v>1029</v>
      </c>
      <c r="AS76" s="66" t="e">
        <f>VLOOKUP(A76,'CMI Data'!$A$3:$J$209,10,FALSE)</f>
        <v>#DIV/0!</v>
      </c>
      <c r="AT76" s="68">
        <f t="shared" si="59"/>
        <v>174.02</v>
      </c>
      <c r="AU76" s="68" t="e">
        <f t="shared" si="60"/>
        <v>#DIV/0!</v>
      </c>
      <c r="AV76" s="75" t="e">
        <f t="shared" si="88"/>
        <v>#DIV/0!</v>
      </c>
      <c r="AW76" s="68" t="e">
        <f>IF($I76="NA","NA",ROUND(#REF!*$AS76/$I76,2))</f>
        <v>#REF!</v>
      </c>
      <c r="AX76" s="75" t="e">
        <f t="shared" si="57"/>
        <v>#REF!</v>
      </c>
      <c r="AY76" s="68" t="e">
        <f t="shared" si="89"/>
        <v>#REF!</v>
      </c>
      <c r="AZ76" s="4">
        <f t="shared" si="90"/>
        <v>177881</v>
      </c>
      <c r="BA76" s="4">
        <f t="shared" si="91"/>
        <v>34038</v>
      </c>
      <c r="BB76" s="4">
        <f t="shared" si="92"/>
        <v>31552</v>
      </c>
      <c r="BC76" s="142">
        <f>IF(ISNA(VLOOKUP($A76&amp;$AB76,'Days Exceptions'!$C$3:$I$7,6,FALSE)),ROUND(AZ76/MAX(BB76,(BA76*Min_Occ)),2),ROUND(AZ76/VLOOKUP($A76&amp;$AB76,'Days Exceptions'!$C$3:$I$7,6,FALSE),2))</f>
        <v>5.64</v>
      </c>
      <c r="BD76" s="143" t="e">
        <f t="shared" si="61"/>
        <v>#REF!</v>
      </c>
      <c r="BE76" s="143" t="e">
        <f t="shared" si="62"/>
        <v>#REF!</v>
      </c>
      <c r="BF76" s="143">
        <f t="shared" si="63"/>
        <v>155.02000000000001</v>
      </c>
      <c r="BG76" s="37" t="s">
        <v>650</v>
      </c>
      <c r="BH76" s="37" t="s">
        <v>651</v>
      </c>
      <c r="BI76" s="37" t="s">
        <v>1233</v>
      </c>
      <c r="BJ76" s="66" t="e">
        <f>VLOOKUP(A76,'CMI Data'!$A$3:$AZ$209,15,FALSE)</f>
        <v>#DIV/0!</v>
      </c>
      <c r="BK76" s="68">
        <f t="shared" si="64"/>
        <v>174.02</v>
      </c>
      <c r="BL76" s="68" t="e">
        <f t="shared" si="65"/>
        <v>#DIV/0!</v>
      </c>
      <c r="BM76" s="75" t="e">
        <f t="shared" si="93"/>
        <v>#DIV/0!</v>
      </c>
      <c r="BN76" s="68" t="e">
        <f>IF($I76="NA","NA",ROUND(#REF!*$BJ76/$I76,2))</f>
        <v>#REF!</v>
      </c>
      <c r="BO76" s="75" t="e">
        <f t="shared" si="94"/>
        <v>#REF!</v>
      </c>
      <c r="BP76" s="68" t="e">
        <f t="shared" si="95"/>
        <v>#REF!</v>
      </c>
      <c r="BQ76" s="4">
        <f t="shared" si="96"/>
        <v>177881</v>
      </c>
      <c r="BR76" s="4">
        <f t="shared" si="97"/>
        <v>34038</v>
      </c>
      <c r="BS76" s="4">
        <f t="shared" si="98"/>
        <v>31552</v>
      </c>
      <c r="BT76" s="142">
        <f>IF(ISNA(VLOOKUP($A76&amp;$AB76,'Days Exceptions'!$C$3:$I$7,6,FALSE)),ROUND(BQ76/MAX(BS76,(BR76*Min_Occ)),2),ROUND(BQ76/VLOOKUP($A76&amp;$AB76,'Days Exceptions'!$C$3:$I$7,6,FALSE),2))</f>
        <v>5.64</v>
      </c>
      <c r="BU76" s="143" t="e">
        <f t="shared" si="66"/>
        <v>#REF!</v>
      </c>
      <c r="BV76" s="143" t="e">
        <f t="shared" si="67"/>
        <v>#REF!</v>
      </c>
      <c r="BW76" s="143">
        <f t="shared" si="68"/>
        <v>155.02000000000001</v>
      </c>
      <c r="BX76" s="37" t="s">
        <v>650</v>
      </c>
      <c r="BY76" s="37" t="s">
        <v>651</v>
      </c>
      <c r="BZ76" s="37" t="s">
        <v>1510</v>
      </c>
      <c r="CA76" s="66" t="e">
        <f>VLOOKUP(A76,'CMI Data'!$A$3:$AZ$209,20,FALSE)</f>
        <v>#DIV/0!</v>
      </c>
      <c r="CB76" s="68">
        <f t="shared" si="69"/>
        <v>174.02</v>
      </c>
      <c r="CC76" s="68" t="e">
        <f t="shared" si="70"/>
        <v>#DIV/0!</v>
      </c>
      <c r="CD76" s="75" t="e">
        <f t="shared" si="99"/>
        <v>#DIV/0!</v>
      </c>
      <c r="CE76" s="68" t="e">
        <f>IF($I76="NA","NA",ROUND(#REF!*$CA76/$I76,2))</f>
        <v>#REF!</v>
      </c>
      <c r="CF76" s="75" t="e">
        <f t="shared" si="100"/>
        <v>#REF!</v>
      </c>
      <c r="CG76" s="68" t="e">
        <f t="shared" si="101"/>
        <v>#REF!</v>
      </c>
      <c r="CH76" s="4">
        <f t="shared" si="102"/>
        <v>177881</v>
      </c>
      <c r="CI76" s="4">
        <f t="shared" si="103"/>
        <v>34038</v>
      </c>
      <c r="CJ76" s="4">
        <f t="shared" si="104"/>
        <v>31552</v>
      </c>
      <c r="CK76" s="142">
        <f>IF(ISNA(VLOOKUP($A76&amp;$AB76,'Days Exceptions'!$C$3:$I$7,6,FALSE)),ROUND(CH76/MAX(CJ76,(CI76*Min_Occ)),2),ROUND(CH76/VLOOKUP($A76&amp;$AB76,'Days Exceptions'!$C$3:$I$7,6,FALSE),2))</f>
        <v>5.64</v>
      </c>
      <c r="CL76" s="143" t="e">
        <f t="shared" si="71"/>
        <v>#REF!</v>
      </c>
      <c r="CM76" s="143" t="e">
        <f t="shared" si="72"/>
        <v>#REF!</v>
      </c>
      <c r="CN76" s="143">
        <f t="shared" si="73"/>
        <v>155.02000000000001</v>
      </c>
      <c r="CO76" s="37" t="s">
        <v>650</v>
      </c>
      <c r="CP76" s="37" t="s">
        <v>651</v>
      </c>
      <c r="CQ76" s="37" t="s">
        <v>1511</v>
      </c>
    </row>
    <row r="77" spans="1:95" x14ac:dyDescent="0.15">
      <c r="A77" s="130">
        <v>372</v>
      </c>
      <c r="B77" s="37" t="s">
        <v>653</v>
      </c>
      <c r="C77" s="1" t="s">
        <v>148</v>
      </c>
      <c r="D77" s="1" t="s">
        <v>119</v>
      </c>
      <c r="E77" s="1" t="str">
        <f>VLOOKUP(D77,Documentation!$B$4:$D$27,3,FALSE)</f>
        <v>WASHINGTON METRO</v>
      </c>
      <c r="F77" s="1" t="str">
        <f>VLOOKUP(D77,Documentation!$B$4:$C$27,2,FALSE)</f>
        <v>WASHINGTON METRO</v>
      </c>
      <c r="G77" s="82">
        <f>VLOOKUP(A77,'2022 CR and CMI'!$A$3:$D$207,3,FALSE)</f>
        <v>44562</v>
      </c>
      <c r="H77" s="82">
        <f>VLOOKUP(A77,'2022 CR and CMI'!$A$3:$D$207,4,FALSE)</f>
        <v>44957</v>
      </c>
      <c r="I77" s="72">
        <f>VLOOKUP(A77,'2022 CR and CMI'!$A$2:$T$210,19,FALSE)</f>
        <v>1.3557999999999999</v>
      </c>
      <c r="J77" s="139">
        <f>Inflation!$G$24</f>
        <v>1.0309999999999999</v>
      </c>
      <c r="K77" s="192">
        <f>VLOOKUP(E77,Limits!$B$2:$D$5,3,FALSE)</f>
        <v>176.01</v>
      </c>
      <c r="L77" s="192">
        <f t="shared" si="74"/>
        <v>181.47</v>
      </c>
      <c r="M77" s="140">
        <f>VLOOKUP(A77,'CMI Data'!$A$4:$C$208,3,FALSE)</f>
        <v>1.3384</v>
      </c>
      <c r="N77" s="68">
        <f t="shared" si="58"/>
        <v>170.48</v>
      </c>
      <c r="O77" s="68">
        <f t="shared" si="75"/>
        <v>168.29</v>
      </c>
      <c r="P77" s="75">
        <f t="shared" si="76"/>
        <v>159.88</v>
      </c>
      <c r="Q77" s="75">
        <v>149.04</v>
      </c>
      <c r="R77" s="75">
        <f t="shared" si="77"/>
        <v>153.66</v>
      </c>
      <c r="S77" s="68">
        <f t="shared" si="78"/>
        <v>151.69</v>
      </c>
      <c r="T77" s="75">
        <f t="shared" si="79"/>
        <v>-8.19</v>
      </c>
      <c r="U77" s="68">
        <f t="shared" si="80"/>
        <v>160.1</v>
      </c>
      <c r="V77" s="68">
        <f>VLOOKUP($F77,Limits!$J$2:$L$5,3,FALSE)</f>
        <v>19.23</v>
      </c>
      <c r="W77" s="68">
        <f t="shared" si="81"/>
        <v>19.829999999999998</v>
      </c>
      <c r="X77" s="68">
        <f>VLOOKUP($F77,Limits!$R$2:$T$5,3,FALSE)</f>
        <v>100.61</v>
      </c>
      <c r="Y77" s="68">
        <f t="shared" si="82"/>
        <v>103.73</v>
      </c>
      <c r="Z77" s="75">
        <f>VLOOKUP(A77,FRV!$A$4:$U$208,21,FALSE)</f>
        <v>37.04</v>
      </c>
      <c r="AA77" s="141">
        <f>VLOOKUP(A77,'RE Tax'!$A$2:$G$206,3,FALSE)</f>
        <v>45292</v>
      </c>
      <c r="AB77" s="141">
        <f>VLOOKUP(A77,'RE Tax'!$A$2:$G$206,4,FALSE)</f>
        <v>45657</v>
      </c>
      <c r="AC77" s="4">
        <f>VLOOKUP(A77,'RE Tax'!$A$2:$G$206,7,FALSE)</f>
        <v>143545</v>
      </c>
      <c r="AD77" s="4">
        <f>VLOOKUP($A77,'RE Tax'!$A$2:$I$206,9,FALSE)</f>
        <v>42456</v>
      </c>
      <c r="AE77" s="4">
        <f>VLOOKUP($A77,'RE Tax'!$A$2:$I$206,8,FALSE)</f>
        <v>39509</v>
      </c>
      <c r="AF77" s="142">
        <f>IF(ISNA(VLOOKUP(A77&amp;AB77,'Days Exceptions'!$C$3:$I$7,6,FALSE)),ROUND(AC77/MAX(AE77,(AD77*Min_Occ)),2),ROUND(AC77/VLOOKUP(A77&amp;AB77,'Days Exceptions'!$C$3:$I$7,6,FALSE),2))</f>
        <v>3.63</v>
      </c>
      <c r="AG77" s="68">
        <v>0</v>
      </c>
      <c r="AH77" s="68">
        <f t="shared" si="83"/>
        <v>0</v>
      </c>
      <c r="AI77" s="4">
        <v>34912</v>
      </c>
      <c r="AJ77" s="4">
        <v>39509</v>
      </c>
      <c r="AK77" s="68">
        <f>IF(AI77=0,0,IF(ISNA(MATCH(A77,Documentation!$B$66:$B$71,0)),QA_Tax_reg,QA_Tax_5high))</f>
        <v>32.92</v>
      </c>
      <c r="AL77" s="75">
        <f t="shared" si="84"/>
        <v>29.09</v>
      </c>
      <c r="AM77" s="68">
        <f t="shared" si="85"/>
        <v>324.33</v>
      </c>
      <c r="AN77" s="68">
        <f t="shared" si="86"/>
        <v>244.28</v>
      </c>
      <c r="AO77" s="68">
        <f t="shared" si="87"/>
        <v>164.23</v>
      </c>
      <c r="AP77" s="37" t="s">
        <v>652</v>
      </c>
      <c r="AQ77" s="37" t="s">
        <v>653</v>
      </c>
      <c r="AR77" s="37" t="s">
        <v>1030</v>
      </c>
      <c r="AS77" s="66" t="e">
        <f>VLOOKUP(A77,'CMI Data'!$A$3:$J$209,10,FALSE)</f>
        <v>#DIV/0!</v>
      </c>
      <c r="AT77" s="68">
        <f t="shared" si="59"/>
        <v>165.35</v>
      </c>
      <c r="AU77" s="68" t="e">
        <f t="shared" si="60"/>
        <v>#DIV/0!</v>
      </c>
      <c r="AV77" s="75" t="e">
        <f t="shared" si="88"/>
        <v>#DIV/0!</v>
      </c>
      <c r="AW77" s="68" t="e">
        <f>IF($I77="NA","NA",ROUND(#REF!*$AS77/$I77,2))</f>
        <v>#REF!</v>
      </c>
      <c r="AX77" s="75" t="e">
        <f t="shared" si="57"/>
        <v>#REF!</v>
      </c>
      <c r="AY77" s="68" t="e">
        <f t="shared" si="89"/>
        <v>#REF!</v>
      </c>
      <c r="AZ77" s="4">
        <f t="shared" si="90"/>
        <v>143545</v>
      </c>
      <c r="BA77" s="4">
        <f t="shared" si="91"/>
        <v>42456</v>
      </c>
      <c r="BB77" s="4">
        <f t="shared" si="92"/>
        <v>39509</v>
      </c>
      <c r="BC77" s="142">
        <f>IF(ISNA(VLOOKUP($A77&amp;$AB77,'Days Exceptions'!$C$3:$I$7,6,FALSE)),ROUND(AZ77/MAX(BB77,(BA77*Min_Occ)),2),ROUND(AZ77/VLOOKUP($A77&amp;$AB77,'Days Exceptions'!$C$3:$I$7,6,FALSE),2))</f>
        <v>3.63</v>
      </c>
      <c r="BD77" s="143" t="e">
        <f t="shared" si="61"/>
        <v>#REF!</v>
      </c>
      <c r="BE77" s="143" t="e">
        <f t="shared" si="62"/>
        <v>#REF!</v>
      </c>
      <c r="BF77" s="143">
        <f t="shared" si="63"/>
        <v>160.51</v>
      </c>
      <c r="BG77" s="37" t="s">
        <v>652</v>
      </c>
      <c r="BH77" s="37" t="s">
        <v>653</v>
      </c>
      <c r="BI77" s="37" t="s">
        <v>1234</v>
      </c>
      <c r="BJ77" s="66" t="e">
        <f>VLOOKUP(A77,'CMI Data'!$A$3:$AZ$209,15,FALSE)</f>
        <v>#DIV/0!</v>
      </c>
      <c r="BK77" s="68">
        <f t="shared" si="64"/>
        <v>165.35</v>
      </c>
      <c r="BL77" s="68" t="e">
        <f t="shared" si="65"/>
        <v>#DIV/0!</v>
      </c>
      <c r="BM77" s="75" t="e">
        <f t="shared" si="93"/>
        <v>#DIV/0!</v>
      </c>
      <c r="BN77" s="68" t="e">
        <f>IF($I77="NA","NA",ROUND(#REF!*$BJ77/$I77,2))</f>
        <v>#REF!</v>
      </c>
      <c r="BO77" s="75" t="e">
        <f t="shared" si="94"/>
        <v>#REF!</v>
      </c>
      <c r="BP77" s="68" t="e">
        <f t="shared" si="95"/>
        <v>#REF!</v>
      </c>
      <c r="BQ77" s="4">
        <f t="shared" si="96"/>
        <v>143545</v>
      </c>
      <c r="BR77" s="4">
        <f t="shared" si="97"/>
        <v>42456</v>
      </c>
      <c r="BS77" s="4">
        <f t="shared" si="98"/>
        <v>39509</v>
      </c>
      <c r="BT77" s="142">
        <f>IF(ISNA(VLOOKUP($A77&amp;$AB77,'Days Exceptions'!$C$3:$I$7,6,FALSE)),ROUND(BQ77/MAX(BS77,(BR77*Min_Occ)),2),ROUND(BQ77/VLOOKUP($A77&amp;$AB77,'Days Exceptions'!$C$3:$I$7,6,FALSE),2))</f>
        <v>3.63</v>
      </c>
      <c r="BU77" s="143" t="e">
        <f t="shared" si="66"/>
        <v>#REF!</v>
      </c>
      <c r="BV77" s="143" t="e">
        <f t="shared" si="67"/>
        <v>#REF!</v>
      </c>
      <c r="BW77" s="143">
        <f t="shared" si="68"/>
        <v>160.51</v>
      </c>
      <c r="BX77" s="37" t="s">
        <v>652</v>
      </c>
      <c r="BY77" s="37" t="s">
        <v>653</v>
      </c>
      <c r="BZ77" s="37" t="s">
        <v>1512</v>
      </c>
      <c r="CA77" s="66" t="e">
        <f>VLOOKUP(A77,'CMI Data'!$A$3:$AZ$209,20,FALSE)</f>
        <v>#DIV/0!</v>
      </c>
      <c r="CB77" s="68">
        <f t="shared" si="69"/>
        <v>165.35</v>
      </c>
      <c r="CC77" s="68" t="e">
        <f t="shared" si="70"/>
        <v>#DIV/0!</v>
      </c>
      <c r="CD77" s="75" t="e">
        <f t="shared" si="99"/>
        <v>#DIV/0!</v>
      </c>
      <c r="CE77" s="68" t="e">
        <f>IF($I77="NA","NA",ROUND(#REF!*$CA77/$I77,2))</f>
        <v>#REF!</v>
      </c>
      <c r="CF77" s="75" t="e">
        <f t="shared" si="100"/>
        <v>#REF!</v>
      </c>
      <c r="CG77" s="68" t="e">
        <f t="shared" si="101"/>
        <v>#REF!</v>
      </c>
      <c r="CH77" s="4">
        <f t="shared" si="102"/>
        <v>143545</v>
      </c>
      <c r="CI77" s="4">
        <f t="shared" si="103"/>
        <v>42456</v>
      </c>
      <c r="CJ77" s="4">
        <f t="shared" si="104"/>
        <v>39509</v>
      </c>
      <c r="CK77" s="142">
        <f>IF(ISNA(VLOOKUP($A77&amp;$AB77,'Days Exceptions'!$C$3:$I$7,6,FALSE)),ROUND(CH77/MAX(CJ77,(CI77*Min_Occ)),2),ROUND(CH77/VLOOKUP($A77&amp;$AB77,'Days Exceptions'!$C$3:$I$7,6,FALSE),2))</f>
        <v>3.63</v>
      </c>
      <c r="CL77" s="143" t="e">
        <f t="shared" si="71"/>
        <v>#REF!</v>
      </c>
      <c r="CM77" s="143" t="e">
        <f t="shared" si="72"/>
        <v>#REF!</v>
      </c>
      <c r="CN77" s="143">
        <f t="shared" si="73"/>
        <v>160.51</v>
      </c>
      <c r="CO77" s="37" t="s">
        <v>652</v>
      </c>
      <c r="CP77" s="37" t="s">
        <v>653</v>
      </c>
      <c r="CQ77" s="37" t="s">
        <v>1513</v>
      </c>
    </row>
    <row r="78" spans="1:95" x14ac:dyDescent="0.15">
      <c r="A78" s="130">
        <v>374</v>
      </c>
      <c r="B78" s="37" t="s">
        <v>666</v>
      </c>
      <c r="C78" s="1" t="s">
        <v>148</v>
      </c>
      <c r="D78" s="1" t="s">
        <v>125</v>
      </c>
      <c r="E78" s="1" t="str">
        <f>VLOOKUP(D78,Documentation!$B$4:$D$27,3,FALSE)</f>
        <v>WESTERN REGION</v>
      </c>
      <c r="F78" s="1" t="str">
        <f>VLOOKUP(D78,Documentation!$B$4:$C$27,2,FALSE)</f>
        <v>NON METRO</v>
      </c>
      <c r="G78" s="82">
        <f>VLOOKUP(A78,'2022 CR and CMI'!$A$3:$D$207,3,FALSE)</f>
        <v>44835</v>
      </c>
      <c r="H78" s="82">
        <f>VLOOKUP(A78,'2022 CR and CMI'!$A$3:$D$207,4,FALSE)</f>
        <v>44926</v>
      </c>
      <c r="I78" s="72">
        <f>VLOOKUP(A78,'2022 CR and CMI'!$A$2:$T$210,19,FALSE)</f>
        <v>1.6573</v>
      </c>
      <c r="J78" s="139">
        <f>Inflation!$G$24</f>
        <v>1.0309999999999999</v>
      </c>
      <c r="K78" s="192">
        <f>VLOOKUP(E78,Limits!$B$2:$D$5,3,FALSE)</f>
        <v>166.26</v>
      </c>
      <c r="L78" s="192">
        <f t="shared" si="74"/>
        <v>171.41</v>
      </c>
      <c r="M78" s="140">
        <f>VLOOKUP(A78,'CMI Data'!$A$4:$C$208,3,FALSE)</f>
        <v>1.5674999999999999</v>
      </c>
      <c r="N78" s="68">
        <f t="shared" si="58"/>
        <v>196.84</v>
      </c>
      <c r="O78" s="68">
        <f t="shared" si="75"/>
        <v>186.17</v>
      </c>
      <c r="P78" s="75">
        <f t="shared" si="76"/>
        <v>176.86</v>
      </c>
      <c r="Q78" s="75">
        <v>144.09</v>
      </c>
      <c r="R78" s="75">
        <f t="shared" si="77"/>
        <v>148.56</v>
      </c>
      <c r="S78" s="68">
        <f t="shared" si="78"/>
        <v>140.51</v>
      </c>
      <c r="T78" s="75">
        <f t="shared" si="79"/>
        <v>-36.35</v>
      </c>
      <c r="U78" s="68">
        <f t="shared" si="80"/>
        <v>149.82</v>
      </c>
      <c r="V78" s="68">
        <f>VLOOKUP($F78,Limits!$J$2:$L$5,3,FALSE)</f>
        <v>20.239999999999998</v>
      </c>
      <c r="W78" s="68">
        <f t="shared" si="81"/>
        <v>20.87</v>
      </c>
      <c r="X78" s="68">
        <f>VLOOKUP($F78,Limits!$R$2:$T$5,3,FALSE)</f>
        <v>89.55</v>
      </c>
      <c r="Y78" s="68">
        <f t="shared" si="82"/>
        <v>92.33</v>
      </c>
      <c r="Z78" s="75">
        <f>VLOOKUP(A78,FRV!$A$4:$U$208,21,FALSE)</f>
        <v>33.4</v>
      </c>
      <c r="AA78" s="141">
        <f>VLOOKUP(A78,'RE Tax'!$A$2:$G$206,3,FALSE)</f>
        <v>45292</v>
      </c>
      <c r="AB78" s="141">
        <f>VLOOKUP(A78,'RE Tax'!$A$2:$G$206,4,FALSE)</f>
        <v>45657</v>
      </c>
      <c r="AC78" s="4">
        <f>VLOOKUP(A78,'RE Tax'!$A$2:$G$206,7,FALSE)</f>
        <v>120762</v>
      </c>
      <c r="AD78" s="4">
        <f>VLOOKUP($A78,'RE Tax'!$A$2:$I$206,9,FALSE)</f>
        <v>29280</v>
      </c>
      <c r="AE78" s="4">
        <f>VLOOKUP($A78,'RE Tax'!$A$2:$I$206,8,FALSE)</f>
        <v>25734</v>
      </c>
      <c r="AF78" s="142">
        <f>IF(ISNA(VLOOKUP(A78&amp;AB78,'Days Exceptions'!$C$3:$I$7,6,FALSE)),ROUND(AC78/MAX(AE78,(AD78*Min_Occ)),2),ROUND(AC78/VLOOKUP(A78&amp;AB78,'Days Exceptions'!$C$3:$I$7,6,FALSE),2))</f>
        <v>4.6900000000000004</v>
      </c>
      <c r="AG78" s="68">
        <v>0</v>
      </c>
      <c r="AH78" s="68">
        <f t="shared" si="83"/>
        <v>0</v>
      </c>
      <c r="AI78" s="4">
        <v>0</v>
      </c>
      <c r="AJ78" s="4">
        <v>0</v>
      </c>
      <c r="AK78" s="68">
        <f>IF(AI78=0,0,IF(ISNA(MATCH(A78,Documentation!$B$66:$B$71,0)),QA_Tax_reg,QA_Tax_5high))</f>
        <v>0</v>
      </c>
      <c r="AL78" s="75">
        <f t="shared" si="84"/>
        <v>0</v>
      </c>
      <c r="AM78" s="68">
        <f t="shared" si="85"/>
        <v>301.11</v>
      </c>
      <c r="AN78" s="68">
        <f t="shared" si="86"/>
        <v>226.2</v>
      </c>
      <c r="AO78" s="68">
        <f t="shared" si="87"/>
        <v>151.29</v>
      </c>
      <c r="AP78" s="37" t="s">
        <v>665</v>
      </c>
      <c r="AQ78" s="37" t="s">
        <v>666</v>
      </c>
      <c r="AR78" s="37" t="s">
        <v>1031</v>
      </c>
      <c r="AS78" s="66" t="e">
        <f>VLOOKUP(A78,'CMI Data'!$A$3:$J$209,10,FALSE)</f>
        <v>#DIV/0!</v>
      </c>
      <c r="AT78" s="68">
        <f t="shared" si="59"/>
        <v>190.92</v>
      </c>
      <c r="AU78" s="68" t="e">
        <f t="shared" si="60"/>
        <v>#DIV/0!</v>
      </c>
      <c r="AV78" s="75" t="e">
        <f t="shared" si="88"/>
        <v>#DIV/0!</v>
      </c>
      <c r="AW78" s="68" t="e">
        <f>IF($I78="NA","NA",ROUND(#REF!*$AS78/$I78,2))</f>
        <v>#REF!</v>
      </c>
      <c r="AX78" s="75" t="e">
        <f t="shared" si="57"/>
        <v>#REF!</v>
      </c>
      <c r="AY78" s="68" t="e">
        <f t="shared" si="89"/>
        <v>#REF!</v>
      </c>
      <c r="AZ78" s="4">
        <f t="shared" si="90"/>
        <v>120762</v>
      </c>
      <c r="BA78" s="4">
        <f t="shared" si="91"/>
        <v>29280</v>
      </c>
      <c r="BB78" s="4">
        <f t="shared" si="92"/>
        <v>25734</v>
      </c>
      <c r="BC78" s="142">
        <f>IF(ISNA(VLOOKUP($A78&amp;$AB78,'Days Exceptions'!$C$3:$I$7,6,FALSE)),ROUND(AZ78/MAX(BB78,(BA78*Min_Occ)),2),ROUND(AZ78/VLOOKUP($A78&amp;$AB78,'Days Exceptions'!$C$3:$I$7,6,FALSE),2))</f>
        <v>4.6900000000000004</v>
      </c>
      <c r="BD78" s="143" t="e">
        <f t="shared" si="61"/>
        <v>#REF!</v>
      </c>
      <c r="BE78" s="143" t="e">
        <f t="shared" si="62"/>
        <v>#REF!</v>
      </c>
      <c r="BF78" s="143">
        <f t="shared" si="63"/>
        <v>147.88</v>
      </c>
      <c r="BG78" s="37" t="s">
        <v>665</v>
      </c>
      <c r="BH78" s="37" t="s">
        <v>666</v>
      </c>
      <c r="BI78" s="37" t="s">
        <v>1235</v>
      </c>
      <c r="BJ78" s="66" t="e">
        <f>VLOOKUP(A78,'CMI Data'!$A$3:$AZ$209,15,FALSE)</f>
        <v>#DIV/0!</v>
      </c>
      <c r="BK78" s="68">
        <f t="shared" si="64"/>
        <v>190.92</v>
      </c>
      <c r="BL78" s="68" t="e">
        <f t="shared" si="65"/>
        <v>#DIV/0!</v>
      </c>
      <c r="BM78" s="75" t="e">
        <f t="shared" si="93"/>
        <v>#DIV/0!</v>
      </c>
      <c r="BN78" s="68" t="e">
        <f>IF($I78="NA","NA",ROUND(#REF!*$BJ78/$I78,2))</f>
        <v>#REF!</v>
      </c>
      <c r="BO78" s="75" t="e">
        <f t="shared" si="94"/>
        <v>#REF!</v>
      </c>
      <c r="BP78" s="68" t="e">
        <f t="shared" si="95"/>
        <v>#REF!</v>
      </c>
      <c r="BQ78" s="4">
        <f t="shared" si="96"/>
        <v>120762</v>
      </c>
      <c r="BR78" s="4">
        <f t="shared" si="97"/>
        <v>29280</v>
      </c>
      <c r="BS78" s="4">
        <f t="shared" si="98"/>
        <v>25734</v>
      </c>
      <c r="BT78" s="142">
        <f>IF(ISNA(VLOOKUP($A78&amp;$AB78,'Days Exceptions'!$C$3:$I$7,6,FALSE)),ROUND(BQ78/MAX(BS78,(BR78*Min_Occ)),2),ROUND(BQ78/VLOOKUP($A78&amp;$AB78,'Days Exceptions'!$C$3:$I$7,6,FALSE),2))</f>
        <v>4.6900000000000004</v>
      </c>
      <c r="BU78" s="143" t="e">
        <f t="shared" si="66"/>
        <v>#REF!</v>
      </c>
      <c r="BV78" s="143" t="e">
        <f t="shared" si="67"/>
        <v>#REF!</v>
      </c>
      <c r="BW78" s="143">
        <f t="shared" si="68"/>
        <v>147.88</v>
      </c>
      <c r="BX78" s="37" t="s">
        <v>665</v>
      </c>
      <c r="BY78" s="37" t="s">
        <v>666</v>
      </c>
      <c r="BZ78" s="37" t="s">
        <v>1514</v>
      </c>
      <c r="CA78" s="66" t="e">
        <f>VLOOKUP(A78,'CMI Data'!$A$3:$AZ$209,20,FALSE)</f>
        <v>#DIV/0!</v>
      </c>
      <c r="CB78" s="68">
        <f t="shared" si="69"/>
        <v>190.92</v>
      </c>
      <c r="CC78" s="68" t="e">
        <f t="shared" si="70"/>
        <v>#DIV/0!</v>
      </c>
      <c r="CD78" s="75" t="e">
        <f t="shared" si="99"/>
        <v>#DIV/0!</v>
      </c>
      <c r="CE78" s="68" t="e">
        <f>IF($I78="NA","NA",ROUND(#REF!*$CA78/$I78,2))</f>
        <v>#REF!</v>
      </c>
      <c r="CF78" s="75" t="e">
        <f t="shared" si="100"/>
        <v>#REF!</v>
      </c>
      <c r="CG78" s="68" t="e">
        <f t="shared" si="101"/>
        <v>#REF!</v>
      </c>
      <c r="CH78" s="4">
        <f t="shared" si="102"/>
        <v>120762</v>
      </c>
      <c r="CI78" s="4">
        <f t="shared" si="103"/>
        <v>29280</v>
      </c>
      <c r="CJ78" s="4">
        <f t="shared" si="104"/>
        <v>25734</v>
      </c>
      <c r="CK78" s="142">
        <f>IF(ISNA(VLOOKUP($A78&amp;$AB78,'Days Exceptions'!$C$3:$I$7,6,FALSE)),ROUND(CH78/MAX(CJ78,(CI78*Min_Occ)),2),ROUND(CH78/VLOOKUP($A78&amp;$AB78,'Days Exceptions'!$C$3:$I$7,6,FALSE),2))</f>
        <v>4.6900000000000004</v>
      </c>
      <c r="CL78" s="143" t="e">
        <f t="shared" si="71"/>
        <v>#REF!</v>
      </c>
      <c r="CM78" s="143" t="e">
        <f t="shared" si="72"/>
        <v>#REF!</v>
      </c>
      <c r="CN78" s="143">
        <f t="shared" si="73"/>
        <v>147.88</v>
      </c>
      <c r="CO78" s="37" t="s">
        <v>665</v>
      </c>
      <c r="CP78" s="37" t="s">
        <v>666</v>
      </c>
      <c r="CQ78" s="37" t="s">
        <v>1515</v>
      </c>
    </row>
    <row r="79" spans="1:95" x14ac:dyDescent="0.15">
      <c r="A79" s="130">
        <v>130</v>
      </c>
      <c r="B79" s="37" t="s">
        <v>472</v>
      </c>
      <c r="C79" s="1" t="s">
        <v>148</v>
      </c>
      <c r="D79" s="1" t="s">
        <v>120</v>
      </c>
      <c r="E79" s="1" t="str">
        <f>VLOOKUP(D79,Documentation!$B$4:$D$27,3,FALSE)</f>
        <v>WASHINGTON METRO</v>
      </c>
      <c r="F79" s="1" t="str">
        <f>VLOOKUP(D79,Documentation!$B$4:$C$27,2,FALSE)</f>
        <v>WASHINGTON METRO</v>
      </c>
      <c r="G79" s="82">
        <f>VLOOKUP(A79,'2022 CR and CMI'!$A$3:$D$207,3,FALSE)</f>
        <v>44562</v>
      </c>
      <c r="H79" s="82">
        <f>VLOOKUP(A79,'2022 CR and CMI'!$A$3:$D$207,4,FALSE)</f>
        <v>44926</v>
      </c>
      <c r="I79" s="72">
        <f>VLOOKUP(A79,'2022 CR and CMI'!$A$2:$T$210,19,FALSE)</f>
        <v>1.5435000000000001</v>
      </c>
      <c r="J79" s="139">
        <f>Inflation!$G$24</f>
        <v>1.0309999999999999</v>
      </c>
      <c r="K79" s="192">
        <f>VLOOKUP(E79,Limits!$B$2:$D$5,3,FALSE)</f>
        <v>176.01</v>
      </c>
      <c r="L79" s="192">
        <f t="shared" si="74"/>
        <v>181.47</v>
      </c>
      <c r="M79" s="140">
        <f>VLOOKUP(A79,'CMI Data'!$A$4:$C$208,3,FALSE)</f>
        <v>1.4402999999999999</v>
      </c>
      <c r="N79" s="68">
        <f t="shared" si="58"/>
        <v>194.08</v>
      </c>
      <c r="O79" s="68">
        <f t="shared" si="75"/>
        <v>181.1</v>
      </c>
      <c r="P79" s="75">
        <f t="shared" si="76"/>
        <v>172.05</v>
      </c>
      <c r="Q79" s="75">
        <v>149.33000000000001</v>
      </c>
      <c r="R79" s="75">
        <f t="shared" si="77"/>
        <v>153.96</v>
      </c>
      <c r="S79" s="68">
        <f t="shared" si="78"/>
        <v>143.66999999999999</v>
      </c>
      <c r="T79" s="75">
        <f t="shared" si="79"/>
        <v>-28.38</v>
      </c>
      <c r="U79" s="68">
        <f t="shared" si="80"/>
        <v>152.72</v>
      </c>
      <c r="V79" s="68">
        <f>VLOOKUP($F79,Limits!$J$2:$L$5,3,FALSE)</f>
        <v>19.23</v>
      </c>
      <c r="W79" s="68">
        <f t="shared" si="81"/>
        <v>19.829999999999998</v>
      </c>
      <c r="X79" s="68">
        <f>VLOOKUP($F79,Limits!$R$2:$T$5,3,FALSE)</f>
        <v>100.61</v>
      </c>
      <c r="Y79" s="68">
        <f t="shared" si="82"/>
        <v>103.73</v>
      </c>
      <c r="Z79" s="75">
        <f>VLOOKUP(A79,FRV!$A$4:$U$208,21,FALSE)</f>
        <v>36.99</v>
      </c>
      <c r="AA79" s="141">
        <f>VLOOKUP(A79,'RE Tax'!$A$2:$G$206,3,FALSE)</f>
        <v>45292</v>
      </c>
      <c r="AB79" s="141">
        <f>VLOOKUP(A79,'RE Tax'!$A$2:$G$206,4,FALSE)</f>
        <v>45657</v>
      </c>
      <c r="AC79" s="4">
        <f>VLOOKUP(A79,'RE Tax'!$A$2:$G$206,7,FALSE)</f>
        <v>281993</v>
      </c>
      <c r="AD79" s="4">
        <f>VLOOKUP($A79,'RE Tax'!$A$2:$I$206,9,FALSE)</f>
        <v>57828</v>
      </c>
      <c r="AE79" s="4">
        <f>VLOOKUP($A79,'RE Tax'!$A$2:$I$206,8,FALSE)</f>
        <v>56292</v>
      </c>
      <c r="AF79" s="142">
        <f>IF(ISNA(VLOOKUP(A79&amp;AB79,'Days Exceptions'!$C$3:$I$7,6,FALSE)),ROUND(AC79/MAX(AE79,(AD79*Min_Occ)),2),ROUND(AC79/VLOOKUP(A79&amp;AB79,'Days Exceptions'!$C$3:$I$7,6,FALSE),2))</f>
        <v>5.01</v>
      </c>
      <c r="AG79" s="68">
        <v>0</v>
      </c>
      <c r="AH79" s="68">
        <f t="shared" si="83"/>
        <v>0</v>
      </c>
      <c r="AI79" s="4">
        <v>37981</v>
      </c>
      <c r="AJ79" s="4">
        <v>56316</v>
      </c>
      <c r="AK79" s="68">
        <f>IF(AI79=0,0,IF(ISNA(MATCH(A79,Documentation!$B$66:$B$71,0)),QA_Tax_reg,QA_Tax_5high))</f>
        <v>32.92</v>
      </c>
      <c r="AL79" s="75">
        <f t="shared" si="84"/>
        <v>22.2</v>
      </c>
      <c r="AM79" s="68">
        <f t="shared" si="85"/>
        <v>318.27999999999997</v>
      </c>
      <c r="AN79" s="68">
        <f t="shared" si="86"/>
        <v>241.92</v>
      </c>
      <c r="AO79" s="68">
        <f t="shared" si="87"/>
        <v>165.56</v>
      </c>
      <c r="AP79" s="37" t="s">
        <v>471</v>
      </c>
      <c r="AQ79" s="37" t="s">
        <v>472</v>
      </c>
      <c r="AR79" s="37" t="s">
        <v>1032</v>
      </c>
      <c r="AS79" s="66" t="e">
        <f>VLOOKUP(A79,'CMI Data'!$A$3:$J$209,10,FALSE)</f>
        <v>#DIV/0!</v>
      </c>
      <c r="AT79" s="68">
        <f t="shared" si="59"/>
        <v>188.24</v>
      </c>
      <c r="AU79" s="68" t="e">
        <f t="shared" si="60"/>
        <v>#DIV/0!</v>
      </c>
      <c r="AV79" s="75" t="e">
        <f t="shared" si="88"/>
        <v>#DIV/0!</v>
      </c>
      <c r="AW79" s="68" t="e">
        <f>IF($I79="NA","NA",ROUND(#REF!*$AS79/$I79,2))</f>
        <v>#REF!</v>
      </c>
      <c r="AX79" s="75" t="e">
        <f t="shared" si="57"/>
        <v>#REF!</v>
      </c>
      <c r="AY79" s="68" t="e">
        <f t="shared" si="89"/>
        <v>#REF!</v>
      </c>
      <c r="AZ79" s="4">
        <f t="shared" si="90"/>
        <v>281993</v>
      </c>
      <c r="BA79" s="4">
        <f t="shared" si="91"/>
        <v>57828</v>
      </c>
      <c r="BB79" s="4">
        <f t="shared" si="92"/>
        <v>56292</v>
      </c>
      <c r="BC79" s="142">
        <f>IF(ISNA(VLOOKUP($A79&amp;$AB79,'Days Exceptions'!$C$3:$I$7,6,FALSE)),ROUND(AZ79/MAX(BB79,(BA79*Min_Occ)),2),ROUND(AZ79/VLOOKUP($A79&amp;$AB79,'Days Exceptions'!$C$3:$I$7,6,FALSE),2))</f>
        <v>5.01</v>
      </c>
      <c r="BD79" s="143" t="e">
        <f t="shared" si="61"/>
        <v>#REF!</v>
      </c>
      <c r="BE79" s="143" t="e">
        <f t="shared" si="62"/>
        <v>#REF!</v>
      </c>
      <c r="BF79" s="143">
        <f t="shared" si="63"/>
        <v>161.84</v>
      </c>
      <c r="BG79" s="37" t="s">
        <v>471</v>
      </c>
      <c r="BH79" s="37" t="s">
        <v>472</v>
      </c>
      <c r="BI79" s="37" t="s">
        <v>1236</v>
      </c>
      <c r="BJ79" s="66" t="e">
        <f>VLOOKUP(A79,'CMI Data'!$A$3:$AZ$209,15,FALSE)</f>
        <v>#DIV/0!</v>
      </c>
      <c r="BK79" s="68">
        <f t="shared" si="64"/>
        <v>188.24</v>
      </c>
      <c r="BL79" s="68" t="e">
        <f t="shared" si="65"/>
        <v>#DIV/0!</v>
      </c>
      <c r="BM79" s="75" t="e">
        <f t="shared" si="93"/>
        <v>#DIV/0!</v>
      </c>
      <c r="BN79" s="68" t="e">
        <f>IF($I79="NA","NA",ROUND(#REF!*$BJ79/$I79,2))</f>
        <v>#REF!</v>
      </c>
      <c r="BO79" s="75" t="e">
        <f t="shared" si="94"/>
        <v>#REF!</v>
      </c>
      <c r="BP79" s="68" t="e">
        <f t="shared" si="95"/>
        <v>#REF!</v>
      </c>
      <c r="BQ79" s="4">
        <f t="shared" si="96"/>
        <v>281993</v>
      </c>
      <c r="BR79" s="4">
        <f t="shared" si="97"/>
        <v>57828</v>
      </c>
      <c r="BS79" s="4">
        <f t="shared" si="98"/>
        <v>56292</v>
      </c>
      <c r="BT79" s="142">
        <f>IF(ISNA(VLOOKUP($A79&amp;$AB79,'Days Exceptions'!$C$3:$I$7,6,FALSE)),ROUND(BQ79/MAX(BS79,(BR79*Min_Occ)),2),ROUND(BQ79/VLOOKUP($A79&amp;$AB79,'Days Exceptions'!$C$3:$I$7,6,FALSE),2))</f>
        <v>5.01</v>
      </c>
      <c r="BU79" s="143" t="e">
        <f t="shared" si="66"/>
        <v>#REF!</v>
      </c>
      <c r="BV79" s="143" t="e">
        <f t="shared" si="67"/>
        <v>#REF!</v>
      </c>
      <c r="BW79" s="143">
        <f t="shared" si="68"/>
        <v>161.84</v>
      </c>
      <c r="BX79" s="37" t="s">
        <v>471</v>
      </c>
      <c r="BY79" s="37" t="s">
        <v>472</v>
      </c>
      <c r="BZ79" s="37" t="s">
        <v>1516</v>
      </c>
      <c r="CA79" s="66" t="e">
        <f>VLOOKUP(A79,'CMI Data'!$A$3:$AZ$209,20,FALSE)</f>
        <v>#DIV/0!</v>
      </c>
      <c r="CB79" s="68">
        <f t="shared" si="69"/>
        <v>188.24</v>
      </c>
      <c r="CC79" s="68" t="e">
        <f t="shared" si="70"/>
        <v>#DIV/0!</v>
      </c>
      <c r="CD79" s="75" t="e">
        <f t="shared" si="99"/>
        <v>#DIV/0!</v>
      </c>
      <c r="CE79" s="68" t="e">
        <f>IF($I79="NA","NA",ROUND(#REF!*$CA79/$I79,2))</f>
        <v>#REF!</v>
      </c>
      <c r="CF79" s="75" t="e">
        <f t="shared" si="100"/>
        <v>#REF!</v>
      </c>
      <c r="CG79" s="68" t="e">
        <f t="shared" si="101"/>
        <v>#REF!</v>
      </c>
      <c r="CH79" s="4">
        <f t="shared" si="102"/>
        <v>281993</v>
      </c>
      <c r="CI79" s="4">
        <f t="shared" si="103"/>
        <v>57828</v>
      </c>
      <c r="CJ79" s="4">
        <f t="shared" si="104"/>
        <v>56292</v>
      </c>
      <c r="CK79" s="142">
        <f>IF(ISNA(VLOOKUP($A79&amp;$AB79,'Days Exceptions'!$C$3:$I$7,6,FALSE)),ROUND(CH79/MAX(CJ79,(CI79*Min_Occ)),2),ROUND(CH79/VLOOKUP($A79&amp;$AB79,'Days Exceptions'!$C$3:$I$7,6,FALSE),2))</f>
        <v>5.01</v>
      </c>
      <c r="CL79" s="143" t="e">
        <f t="shared" si="71"/>
        <v>#REF!</v>
      </c>
      <c r="CM79" s="143" t="e">
        <f t="shared" si="72"/>
        <v>#REF!</v>
      </c>
      <c r="CN79" s="143">
        <f t="shared" si="73"/>
        <v>161.84</v>
      </c>
      <c r="CO79" s="37" t="s">
        <v>471</v>
      </c>
      <c r="CP79" s="37" t="s">
        <v>472</v>
      </c>
      <c r="CQ79" s="37" t="s">
        <v>1517</v>
      </c>
    </row>
    <row r="80" spans="1:95" x14ac:dyDescent="0.15">
      <c r="A80" s="130">
        <v>136</v>
      </c>
      <c r="B80" s="37" t="s">
        <v>397</v>
      </c>
      <c r="C80" s="1" t="s">
        <v>148</v>
      </c>
      <c r="D80" s="1" t="s">
        <v>105</v>
      </c>
      <c r="E80" s="1" t="str">
        <f>VLOOKUP(D80,Documentation!$B$4:$D$27,3,FALSE)</f>
        <v>WESTERN REGION</v>
      </c>
      <c r="F80" s="1" t="str">
        <f>VLOOKUP(D80,Documentation!$B$4:$C$27,2,FALSE)</f>
        <v>NON METRO</v>
      </c>
      <c r="G80" s="82">
        <f>VLOOKUP(A80,'2022 CR and CMI'!$A$3:$D$207,3,FALSE)</f>
        <v>44378</v>
      </c>
      <c r="H80" s="82">
        <f>VLOOKUP(A80,'2022 CR and CMI'!$A$3:$D$207,4,FALSE)</f>
        <v>44742</v>
      </c>
      <c r="I80" s="72">
        <f>VLOOKUP(A80,'2022 CR and CMI'!$A$2:$T$210,19,FALSE)</f>
        <v>1.4662999999999999</v>
      </c>
      <c r="J80" s="139">
        <f>Inflation!$G$24</f>
        <v>1.0309999999999999</v>
      </c>
      <c r="K80" s="192">
        <f>VLOOKUP(E80,Limits!$B$2:$D$5,3,FALSE)</f>
        <v>166.26</v>
      </c>
      <c r="L80" s="192">
        <f t="shared" si="74"/>
        <v>171.41</v>
      </c>
      <c r="M80" s="140">
        <f>VLOOKUP(A80,'CMI Data'!$A$4:$C$208,3,FALSE)</f>
        <v>1.3666</v>
      </c>
      <c r="N80" s="68">
        <f t="shared" si="58"/>
        <v>174.15</v>
      </c>
      <c r="O80" s="68">
        <f t="shared" si="75"/>
        <v>162.31</v>
      </c>
      <c r="P80" s="75">
        <f t="shared" si="76"/>
        <v>154.19</v>
      </c>
      <c r="Q80" s="75">
        <v>155.49</v>
      </c>
      <c r="R80" s="75">
        <f t="shared" si="77"/>
        <v>160.31</v>
      </c>
      <c r="S80" s="68">
        <f t="shared" si="78"/>
        <v>149.41</v>
      </c>
      <c r="T80" s="75">
        <f t="shared" si="79"/>
        <v>-4.78</v>
      </c>
      <c r="U80" s="68">
        <f t="shared" si="80"/>
        <v>157.53</v>
      </c>
      <c r="V80" s="68">
        <f>VLOOKUP($F80,Limits!$J$2:$L$5,3,FALSE)</f>
        <v>20.239999999999998</v>
      </c>
      <c r="W80" s="68">
        <f t="shared" si="81"/>
        <v>20.87</v>
      </c>
      <c r="X80" s="68">
        <f>VLOOKUP($F80,Limits!$R$2:$T$5,3,FALSE)</f>
        <v>89.55</v>
      </c>
      <c r="Y80" s="68">
        <f t="shared" si="82"/>
        <v>92.33</v>
      </c>
      <c r="Z80" s="75">
        <f>VLOOKUP(A80,FRV!$A$4:$U$208,21,FALSE)</f>
        <v>22.41</v>
      </c>
      <c r="AA80" s="141">
        <f>VLOOKUP(A80,'RE Tax'!$A$2:$G$206,3,FALSE)</f>
        <v>45108</v>
      </c>
      <c r="AB80" s="141">
        <f>VLOOKUP(A80,'RE Tax'!$A$2:$G$206,4,FALSE)</f>
        <v>45473</v>
      </c>
      <c r="AC80" s="4">
        <f>VLOOKUP(A80,'RE Tax'!$A$2:$G$206,7,FALSE)</f>
        <v>64167</v>
      </c>
      <c r="AD80" s="4">
        <f>VLOOKUP($A80,'RE Tax'!$A$2:$I$206,9,FALSE)</f>
        <v>49044</v>
      </c>
      <c r="AE80" s="4">
        <f>VLOOKUP($A80,'RE Tax'!$A$2:$I$206,8,FALSE)</f>
        <v>35060</v>
      </c>
      <c r="AF80" s="142">
        <f>IF(ISNA(VLOOKUP(A80&amp;AB80,'Days Exceptions'!$C$3:$I$7,6,FALSE)),ROUND(AC80/MAX(AE80,(AD80*Min_Occ)),2),ROUND(AC80/VLOOKUP(A80&amp;AB80,'Days Exceptions'!$C$3:$I$7,6,FALSE),2))</f>
        <v>1.6</v>
      </c>
      <c r="AG80" s="68">
        <v>0</v>
      </c>
      <c r="AH80" s="68">
        <f t="shared" si="83"/>
        <v>0</v>
      </c>
      <c r="AI80" s="4">
        <v>32571</v>
      </c>
      <c r="AJ80" s="4">
        <v>36593</v>
      </c>
      <c r="AK80" s="68">
        <f>IF(AI80=0,0,IF(ISNA(MATCH(A80,Documentation!$B$66:$B$71,0)),QA_Tax_reg,QA_Tax_5high))</f>
        <v>32.92</v>
      </c>
      <c r="AL80" s="75">
        <f t="shared" si="84"/>
        <v>29.3</v>
      </c>
      <c r="AM80" s="68">
        <f t="shared" si="85"/>
        <v>294.74</v>
      </c>
      <c r="AN80" s="68">
        <f t="shared" si="86"/>
        <v>215.98</v>
      </c>
      <c r="AO80" s="68">
        <f t="shared" si="87"/>
        <v>137.21</v>
      </c>
      <c r="AP80" s="37" t="s">
        <v>404</v>
      </c>
      <c r="AQ80" s="37" t="s">
        <v>397</v>
      </c>
      <c r="AR80" s="37" t="s">
        <v>1033</v>
      </c>
      <c r="AS80" s="66" t="e">
        <f>VLOOKUP(A80,'CMI Data'!$A$3:$J$209,10,FALSE)</f>
        <v>#DIV/0!</v>
      </c>
      <c r="AT80" s="68">
        <f t="shared" si="59"/>
        <v>168.92</v>
      </c>
      <c r="AU80" s="68" t="e">
        <f t="shared" si="60"/>
        <v>#DIV/0!</v>
      </c>
      <c r="AV80" s="75" t="e">
        <f t="shared" si="88"/>
        <v>#DIV/0!</v>
      </c>
      <c r="AW80" s="68" t="e">
        <f>IF($I80="NA","NA",ROUND(#REF!*$AS80/$I80,2))</f>
        <v>#REF!</v>
      </c>
      <c r="AX80" s="75" t="e">
        <f t="shared" si="57"/>
        <v>#REF!</v>
      </c>
      <c r="AY80" s="68" t="e">
        <f t="shared" si="89"/>
        <v>#REF!</v>
      </c>
      <c r="AZ80" s="4">
        <f t="shared" si="90"/>
        <v>64167</v>
      </c>
      <c r="BA80" s="4">
        <f t="shared" si="91"/>
        <v>49044</v>
      </c>
      <c r="BB80" s="4">
        <f t="shared" si="92"/>
        <v>35060</v>
      </c>
      <c r="BC80" s="142">
        <f>IF(ISNA(VLOOKUP($A80&amp;$AB80,'Days Exceptions'!$C$3:$I$7,6,FALSE)),ROUND(AZ80/MAX(BB80,(BA80*Min_Occ)),2),ROUND(AZ80/VLOOKUP($A80&amp;$AB80,'Days Exceptions'!$C$3:$I$7,6,FALSE),2))</f>
        <v>1.6</v>
      </c>
      <c r="BD80" s="143" t="e">
        <f t="shared" si="61"/>
        <v>#REF!</v>
      </c>
      <c r="BE80" s="143" t="e">
        <f t="shared" si="62"/>
        <v>#REF!</v>
      </c>
      <c r="BF80" s="143">
        <f t="shared" si="63"/>
        <v>133.80000000000001</v>
      </c>
      <c r="BG80" s="37" t="s">
        <v>404</v>
      </c>
      <c r="BH80" s="37" t="s">
        <v>397</v>
      </c>
      <c r="BI80" s="37" t="s">
        <v>1237</v>
      </c>
      <c r="BJ80" s="66" t="e">
        <f>VLOOKUP(A80,'CMI Data'!$A$3:$AZ$209,15,FALSE)</f>
        <v>#DIV/0!</v>
      </c>
      <c r="BK80" s="68">
        <f t="shared" si="64"/>
        <v>168.92</v>
      </c>
      <c r="BL80" s="68" t="e">
        <f t="shared" si="65"/>
        <v>#DIV/0!</v>
      </c>
      <c r="BM80" s="75" t="e">
        <f t="shared" si="93"/>
        <v>#DIV/0!</v>
      </c>
      <c r="BN80" s="68" t="e">
        <f>IF($I80="NA","NA",ROUND(#REF!*$BJ80/$I80,2))</f>
        <v>#REF!</v>
      </c>
      <c r="BO80" s="75" t="e">
        <f t="shared" si="94"/>
        <v>#REF!</v>
      </c>
      <c r="BP80" s="68" t="e">
        <f t="shared" si="95"/>
        <v>#REF!</v>
      </c>
      <c r="BQ80" s="4">
        <f t="shared" si="96"/>
        <v>64167</v>
      </c>
      <c r="BR80" s="4">
        <f t="shared" si="97"/>
        <v>49044</v>
      </c>
      <c r="BS80" s="4">
        <f t="shared" si="98"/>
        <v>35060</v>
      </c>
      <c r="BT80" s="142">
        <f>IF(ISNA(VLOOKUP($A80&amp;$AB80,'Days Exceptions'!$C$3:$I$7,6,FALSE)),ROUND(BQ80/MAX(BS80,(BR80*Min_Occ)),2),ROUND(BQ80/VLOOKUP($A80&amp;$AB80,'Days Exceptions'!$C$3:$I$7,6,FALSE),2))</f>
        <v>1.6</v>
      </c>
      <c r="BU80" s="143" t="e">
        <f t="shared" si="66"/>
        <v>#REF!</v>
      </c>
      <c r="BV80" s="143" t="e">
        <f t="shared" si="67"/>
        <v>#REF!</v>
      </c>
      <c r="BW80" s="143">
        <f t="shared" si="68"/>
        <v>133.80000000000001</v>
      </c>
      <c r="BX80" s="37" t="s">
        <v>404</v>
      </c>
      <c r="BY80" s="37" t="s">
        <v>397</v>
      </c>
      <c r="BZ80" s="37" t="s">
        <v>1518</v>
      </c>
      <c r="CA80" s="66" t="e">
        <f>VLOOKUP(A80,'CMI Data'!$A$3:$AZ$209,20,FALSE)</f>
        <v>#DIV/0!</v>
      </c>
      <c r="CB80" s="68">
        <f t="shared" si="69"/>
        <v>168.92</v>
      </c>
      <c r="CC80" s="68" t="e">
        <f t="shared" si="70"/>
        <v>#DIV/0!</v>
      </c>
      <c r="CD80" s="75" t="e">
        <f t="shared" si="99"/>
        <v>#DIV/0!</v>
      </c>
      <c r="CE80" s="68" t="e">
        <f>IF($I80="NA","NA",ROUND(#REF!*$CA80/$I80,2))</f>
        <v>#REF!</v>
      </c>
      <c r="CF80" s="75" t="e">
        <f t="shared" si="100"/>
        <v>#REF!</v>
      </c>
      <c r="CG80" s="68" t="e">
        <f t="shared" si="101"/>
        <v>#REF!</v>
      </c>
      <c r="CH80" s="4">
        <f t="shared" si="102"/>
        <v>64167</v>
      </c>
      <c r="CI80" s="4">
        <f t="shared" si="103"/>
        <v>49044</v>
      </c>
      <c r="CJ80" s="4">
        <f t="shared" si="104"/>
        <v>35060</v>
      </c>
      <c r="CK80" s="142">
        <f>IF(ISNA(VLOOKUP($A80&amp;$AB80,'Days Exceptions'!$C$3:$I$7,6,FALSE)),ROUND(CH80/MAX(CJ80,(CI80*Min_Occ)),2),ROUND(CH80/VLOOKUP($A80&amp;$AB80,'Days Exceptions'!$C$3:$I$7,6,FALSE),2))</f>
        <v>1.6</v>
      </c>
      <c r="CL80" s="143" t="e">
        <f t="shared" si="71"/>
        <v>#REF!</v>
      </c>
      <c r="CM80" s="143" t="e">
        <f t="shared" si="72"/>
        <v>#REF!</v>
      </c>
      <c r="CN80" s="143">
        <f t="shared" si="73"/>
        <v>133.80000000000001</v>
      </c>
      <c r="CO80" s="37" t="s">
        <v>404</v>
      </c>
      <c r="CP80" s="37" t="s">
        <v>397</v>
      </c>
      <c r="CQ80" s="37" t="s">
        <v>1519</v>
      </c>
    </row>
    <row r="81" spans="1:95" x14ac:dyDescent="0.15">
      <c r="A81" s="130">
        <v>669</v>
      </c>
      <c r="B81" s="37" t="s">
        <v>679</v>
      </c>
      <c r="C81" s="1" t="s">
        <v>148</v>
      </c>
      <c r="D81" s="1" t="s">
        <v>109</v>
      </c>
      <c r="E81" s="1" t="str">
        <f>VLOOKUP(D81,Documentation!$B$4:$D$27,3,FALSE)</f>
        <v>EASTERN REGION</v>
      </c>
      <c r="F81" s="1" t="str">
        <f>VLOOKUP(D81,Documentation!$B$4:$C$27,2,FALSE)</f>
        <v>NON METRO</v>
      </c>
      <c r="G81" s="82">
        <f>VLOOKUP(A81,'2022 CR and CMI'!$A$3:$D$207,3,FALSE)</f>
        <v>44562</v>
      </c>
      <c r="H81" s="82">
        <f>VLOOKUP(A81,'2022 CR and CMI'!$A$3:$D$207,4,FALSE)</f>
        <v>44926</v>
      </c>
      <c r="I81" s="72">
        <f>VLOOKUP(A81,'2022 CR and CMI'!$A$2:$T$210,19,FALSE)</f>
        <v>1.4977</v>
      </c>
      <c r="J81" s="139">
        <f>Inflation!$G$24</f>
        <v>1.0309999999999999</v>
      </c>
      <c r="K81" s="192">
        <f>VLOOKUP(E81,Limits!$B$2:$D$5,3,FALSE)</f>
        <v>186.31</v>
      </c>
      <c r="L81" s="192">
        <f t="shared" si="74"/>
        <v>192.09</v>
      </c>
      <c r="M81" s="140">
        <f>VLOOKUP(A81,'CMI Data'!$A$4:$C$208,3,FALSE)</f>
        <v>1.5699000000000001</v>
      </c>
      <c r="N81" s="68">
        <f t="shared" si="58"/>
        <v>199.34</v>
      </c>
      <c r="O81" s="68">
        <f t="shared" si="75"/>
        <v>208.95</v>
      </c>
      <c r="P81" s="75">
        <f t="shared" si="76"/>
        <v>198.5</v>
      </c>
      <c r="Q81" s="75">
        <v>172.49</v>
      </c>
      <c r="R81" s="75">
        <f t="shared" si="77"/>
        <v>177.84</v>
      </c>
      <c r="S81" s="68">
        <f t="shared" si="78"/>
        <v>186.41</v>
      </c>
      <c r="T81" s="75">
        <f t="shared" si="79"/>
        <v>-12.09</v>
      </c>
      <c r="U81" s="68">
        <f t="shared" si="80"/>
        <v>196.86</v>
      </c>
      <c r="V81" s="68">
        <f>VLOOKUP($F81,Limits!$J$2:$L$5,3,FALSE)</f>
        <v>20.239999999999998</v>
      </c>
      <c r="W81" s="68">
        <f t="shared" si="81"/>
        <v>20.87</v>
      </c>
      <c r="X81" s="68">
        <f>VLOOKUP($F81,Limits!$R$2:$T$5,3,FALSE)</f>
        <v>89.55</v>
      </c>
      <c r="Y81" s="68">
        <f t="shared" si="82"/>
        <v>92.33</v>
      </c>
      <c r="Z81" s="75">
        <f>VLOOKUP(A81,FRV!$A$4:$U$208,21,FALSE)</f>
        <v>31.28</v>
      </c>
      <c r="AA81" s="141">
        <f>VLOOKUP(A81,'RE Tax'!$A$2:$G$206,3,FALSE)</f>
        <v>45292</v>
      </c>
      <c r="AB81" s="141">
        <f>VLOOKUP(A81,'RE Tax'!$A$2:$G$206,4,FALSE)</f>
        <v>45657</v>
      </c>
      <c r="AC81" s="4">
        <f>VLOOKUP(A81,'RE Tax'!$A$2:$G$206,7,FALSE)</f>
        <v>108166</v>
      </c>
      <c r="AD81" s="4">
        <f>VLOOKUP($A81,'RE Tax'!$A$2:$I$206,9,FALSE)</f>
        <v>36600</v>
      </c>
      <c r="AE81" s="4">
        <f>VLOOKUP($A81,'RE Tax'!$A$2:$I$206,8,FALSE)</f>
        <v>29077</v>
      </c>
      <c r="AF81" s="142">
        <f>IF(ISNA(VLOOKUP(A81&amp;AB81,'Days Exceptions'!$C$3:$I$7,6,FALSE)),ROUND(AC81/MAX(AE81,(AD81*Min_Occ)),2),ROUND(AC81/VLOOKUP(A81&amp;AB81,'Days Exceptions'!$C$3:$I$7,6,FALSE),2))</f>
        <v>3.62</v>
      </c>
      <c r="AG81" s="68">
        <v>0</v>
      </c>
      <c r="AH81" s="68">
        <f t="shared" si="83"/>
        <v>0</v>
      </c>
      <c r="AI81" s="4">
        <v>26466</v>
      </c>
      <c r="AJ81" s="4">
        <v>29077</v>
      </c>
      <c r="AK81" s="68">
        <f>IF(AI81=0,0,IF(ISNA(MATCH(A81,Documentation!$B$66:$B$71,0)),QA_Tax_reg,QA_Tax_5high))</f>
        <v>32.92</v>
      </c>
      <c r="AL81" s="75">
        <f t="shared" si="84"/>
        <v>29.96</v>
      </c>
      <c r="AM81" s="68">
        <f t="shared" si="85"/>
        <v>344.96</v>
      </c>
      <c r="AN81" s="68">
        <f t="shared" si="86"/>
        <v>246.53</v>
      </c>
      <c r="AO81" s="68">
        <f t="shared" si="87"/>
        <v>148.1</v>
      </c>
      <c r="AP81" s="37" t="s">
        <v>684</v>
      </c>
      <c r="AQ81" s="37" t="s">
        <v>679</v>
      </c>
      <c r="AR81" s="37" t="s">
        <v>1034</v>
      </c>
      <c r="AS81" s="66" t="e">
        <f>VLOOKUP(A81,'CMI Data'!$A$3:$J$209,10,FALSE)</f>
        <v>#DIV/0!</v>
      </c>
      <c r="AT81" s="68">
        <f t="shared" si="59"/>
        <v>193.35</v>
      </c>
      <c r="AU81" s="68" t="e">
        <f t="shared" si="60"/>
        <v>#DIV/0!</v>
      </c>
      <c r="AV81" s="75" t="e">
        <f t="shared" si="88"/>
        <v>#DIV/0!</v>
      </c>
      <c r="AW81" s="68" t="e">
        <f>IF($I81="NA","NA",ROUND(#REF!*$AS81/$I81,2))</f>
        <v>#REF!</v>
      </c>
      <c r="AX81" s="75" t="e">
        <f t="shared" si="57"/>
        <v>#REF!</v>
      </c>
      <c r="AY81" s="68" t="e">
        <f t="shared" si="89"/>
        <v>#REF!</v>
      </c>
      <c r="AZ81" s="4">
        <f t="shared" si="90"/>
        <v>108166</v>
      </c>
      <c r="BA81" s="4">
        <f t="shared" si="91"/>
        <v>36600</v>
      </c>
      <c r="BB81" s="4">
        <f t="shared" si="92"/>
        <v>29077</v>
      </c>
      <c r="BC81" s="142">
        <f>IF(ISNA(VLOOKUP($A81&amp;$AB81,'Days Exceptions'!$C$3:$I$7,6,FALSE)),ROUND(AZ81/MAX(BB81,(BA81*Min_Occ)),2),ROUND(AZ81/VLOOKUP($A81&amp;$AB81,'Days Exceptions'!$C$3:$I$7,6,FALSE),2))</f>
        <v>3.62</v>
      </c>
      <c r="BD81" s="143" t="e">
        <f t="shared" si="61"/>
        <v>#REF!</v>
      </c>
      <c r="BE81" s="143" t="e">
        <f t="shared" si="62"/>
        <v>#REF!</v>
      </c>
      <c r="BF81" s="143">
        <f t="shared" si="63"/>
        <v>144.69</v>
      </c>
      <c r="BG81" s="37" t="s">
        <v>684</v>
      </c>
      <c r="BH81" s="37" t="s">
        <v>679</v>
      </c>
      <c r="BI81" s="37" t="s">
        <v>1238</v>
      </c>
      <c r="BJ81" s="66" t="e">
        <f>VLOOKUP(A81,'CMI Data'!$A$3:$AZ$209,15,FALSE)</f>
        <v>#DIV/0!</v>
      </c>
      <c r="BK81" s="68">
        <f t="shared" si="64"/>
        <v>193.35</v>
      </c>
      <c r="BL81" s="68" t="e">
        <f t="shared" si="65"/>
        <v>#DIV/0!</v>
      </c>
      <c r="BM81" s="75" t="e">
        <f t="shared" si="93"/>
        <v>#DIV/0!</v>
      </c>
      <c r="BN81" s="68" t="e">
        <f>IF($I81="NA","NA",ROUND(#REF!*$BJ81/$I81,2))</f>
        <v>#REF!</v>
      </c>
      <c r="BO81" s="75" t="e">
        <f t="shared" si="94"/>
        <v>#REF!</v>
      </c>
      <c r="BP81" s="68" t="e">
        <f t="shared" si="95"/>
        <v>#REF!</v>
      </c>
      <c r="BQ81" s="4">
        <f t="shared" si="96"/>
        <v>108166</v>
      </c>
      <c r="BR81" s="4">
        <f t="shared" si="97"/>
        <v>36600</v>
      </c>
      <c r="BS81" s="4">
        <f t="shared" si="98"/>
        <v>29077</v>
      </c>
      <c r="BT81" s="142">
        <f>IF(ISNA(VLOOKUP($A81&amp;$AB81,'Days Exceptions'!$C$3:$I$7,6,FALSE)),ROUND(BQ81/MAX(BS81,(BR81*Min_Occ)),2),ROUND(BQ81/VLOOKUP($A81&amp;$AB81,'Days Exceptions'!$C$3:$I$7,6,FALSE),2))</f>
        <v>3.62</v>
      </c>
      <c r="BU81" s="143" t="e">
        <f t="shared" si="66"/>
        <v>#REF!</v>
      </c>
      <c r="BV81" s="143" t="e">
        <f t="shared" si="67"/>
        <v>#REF!</v>
      </c>
      <c r="BW81" s="143">
        <f t="shared" si="68"/>
        <v>144.69</v>
      </c>
      <c r="BX81" s="37" t="s">
        <v>684</v>
      </c>
      <c r="BY81" s="37" t="s">
        <v>679</v>
      </c>
      <c r="BZ81" s="37" t="s">
        <v>1520</v>
      </c>
      <c r="CA81" s="66" t="e">
        <f>VLOOKUP(A81,'CMI Data'!$A$3:$AZ$209,20,FALSE)</f>
        <v>#DIV/0!</v>
      </c>
      <c r="CB81" s="68">
        <f t="shared" si="69"/>
        <v>193.35</v>
      </c>
      <c r="CC81" s="68" t="e">
        <f t="shared" si="70"/>
        <v>#DIV/0!</v>
      </c>
      <c r="CD81" s="75" t="e">
        <f t="shared" si="99"/>
        <v>#DIV/0!</v>
      </c>
      <c r="CE81" s="68" t="e">
        <f>IF($I81="NA","NA",ROUND(#REF!*$CA81/$I81,2))</f>
        <v>#REF!</v>
      </c>
      <c r="CF81" s="75" t="e">
        <f t="shared" si="100"/>
        <v>#REF!</v>
      </c>
      <c r="CG81" s="68" t="e">
        <f t="shared" si="101"/>
        <v>#REF!</v>
      </c>
      <c r="CH81" s="4">
        <f t="shared" si="102"/>
        <v>108166</v>
      </c>
      <c r="CI81" s="4">
        <f t="shared" si="103"/>
        <v>36600</v>
      </c>
      <c r="CJ81" s="4">
        <f t="shared" si="104"/>
        <v>29077</v>
      </c>
      <c r="CK81" s="142">
        <f>IF(ISNA(VLOOKUP($A81&amp;$AB81,'Days Exceptions'!$C$3:$I$7,6,FALSE)),ROUND(CH81/MAX(CJ81,(CI81*Min_Occ)),2),ROUND(CH81/VLOOKUP($A81&amp;$AB81,'Days Exceptions'!$C$3:$I$7,6,FALSE),2))</f>
        <v>3.62</v>
      </c>
      <c r="CL81" s="143" t="e">
        <f t="shared" si="71"/>
        <v>#REF!</v>
      </c>
      <c r="CM81" s="143" t="e">
        <f t="shared" si="72"/>
        <v>#REF!</v>
      </c>
      <c r="CN81" s="143">
        <f t="shared" si="73"/>
        <v>144.69</v>
      </c>
      <c r="CO81" s="37" t="s">
        <v>684</v>
      </c>
      <c r="CP81" s="37" t="s">
        <v>679</v>
      </c>
      <c r="CQ81" s="37" t="s">
        <v>1521</v>
      </c>
    </row>
    <row r="82" spans="1:95" x14ac:dyDescent="0.15">
      <c r="A82" s="130">
        <v>142</v>
      </c>
      <c r="B82" s="37" t="s">
        <v>374</v>
      </c>
      <c r="C82" s="1" t="s">
        <v>148</v>
      </c>
      <c r="D82" s="1" t="s">
        <v>105</v>
      </c>
      <c r="E82" s="1" t="str">
        <f>VLOOKUP(D82,Documentation!$B$4:$D$27,3,FALSE)</f>
        <v>WESTERN REGION</v>
      </c>
      <c r="F82" s="1" t="str">
        <f>VLOOKUP(D82,Documentation!$B$4:$C$27,2,FALSE)</f>
        <v>NON METRO</v>
      </c>
      <c r="G82" s="82">
        <f>VLOOKUP(A82,'2022 CR and CMI'!$A$3:$D$207,3,FALSE)</f>
        <v>44562</v>
      </c>
      <c r="H82" s="82">
        <f>VLOOKUP(A82,'2022 CR and CMI'!$A$3:$D$207,4,FALSE)</f>
        <v>44926</v>
      </c>
      <c r="I82" s="72">
        <f>VLOOKUP(A82,'2022 CR and CMI'!$A$2:$T$210,19,FALSE)</f>
        <v>1.4027000000000001</v>
      </c>
      <c r="J82" s="139">
        <f>Inflation!$G$24</f>
        <v>1.0309999999999999</v>
      </c>
      <c r="K82" s="192">
        <f>VLOOKUP(E82,Limits!$B$2:$D$5,3,FALSE)</f>
        <v>166.26</v>
      </c>
      <c r="L82" s="192">
        <f t="shared" si="74"/>
        <v>171.41</v>
      </c>
      <c r="M82" s="140">
        <f>VLOOKUP(A82,'CMI Data'!$A$4:$C$208,3,FALSE)</f>
        <v>1.3463000000000001</v>
      </c>
      <c r="N82" s="68">
        <f t="shared" si="58"/>
        <v>166.6</v>
      </c>
      <c r="O82" s="68">
        <f t="shared" si="75"/>
        <v>159.9</v>
      </c>
      <c r="P82" s="75">
        <f t="shared" si="76"/>
        <v>151.91</v>
      </c>
      <c r="Q82" s="75">
        <v>128.94999999999999</v>
      </c>
      <c r="R82" s="75">
        <f t="shared" si="77"/>
        <v>132.94999999999999</v>
      </c>
      <c r="S82" s="68">
        <f t="shared" si="78"/>
        <v>127.6</v>
      </c>
      <c r="T82" s="75">
        <f t="shared" si="79"/>
        <v>-24.31</v>
      </c>
      <c r="U82" s="68">
        <f t="shared" si="80"/>
        <v>135.59</v>
      </c>
      <c r="V82" s="68">
        <f>VLOOKUP($F82,Limits!$J$2:$L$5,3,FALSE)</f>
        <v>20.239999999999998</v>
      </c>
      <c r="W82" s="68">
        <f t="shared" si="81"/>
        <v>20.87</v>
      </c>
      <c r="X82" s="68">
        <f>VLOOKUP($F82,Limits!$R$2:$T$5,3,FALSE)</f>
        <v>89.55</v>
      </c>
      <c r="Y82" s="68">
        <f t="shared" si="82"/>
        <v>92.33</v>
      </c>
      <c r="Z82" s="75">
        <f>VLOOKUP(A82,FRV!$A$4:$U$208,21,FALSE)</f>
        <v>33.6</v>
      </c>
      <c r="AA82" s="141">
        <f>VLOOKUP(A82,'RE Tax'!$A$2:$G$206,3,FALSE)</f>
        <v>45292</v>
      </c>
      <c r="AB82" s="141">
        <f>VLOOKUP(A82,'RE Tax'!$A$2:$G$206,4,FALSE)</f>
        <v>45657</v>
      </c>
      <c r="AC82" s="4">
        <f>VLOOKUP(A82,'RE Tax'!$A$2:$G$206,7,FALSE)</f>
        <v>157856</v>
      </c>
      <c r="AD82" s="4">
        <f>VLOOKUP($A82,'RE Tax'!$A$2:$I$206,9,FALSE)</f>
        <v>45384</v>
      </c>
      <c r="AE82" s="4">
        <f>VLOOKUP($A82,'RE Tax'!$A$2:$I$206,8,FALSE)</f>
        <v>32527</v>
      </c>
      <c r="AF82" s="142">
        <f>IF(ISNA(VLOOKUP(A82&amp;AB82,'Days Exceptions'!$C$3:$I$7,6,FALSE)),ROUND(AC82/MAX(AE82,(AD82*Min_Occ)),2),ROUND(AC82/VLOOKUP(A82&amp;AB82,'Days Exceptions'!$C$3:$I$7,6,FALSE),2))</f>
        <v>4.2699999999999996</v>
      </c>
      <c r="AG82" s="68">
        <v>0</v>
      </c>
      <c r="AH82" s="68">
        <f t="shared" si="83"/>
        <v>0</v>
      </c>
      <c r="AI82" s="4">
        <v>27256</v>
      </c>
      <c r="AJ82" s="4">
        <v>32523</v>
      </c>
      <c r="AK82" s="68">
        <f>IF(AI82=0,0,IF(ISNA(MATCH(A82,Documentation!$B$66:$B$71,0)),QA_Tax_reg,QA_Tax_5high))</f>
        <v>32.92</v>
      </c>
      <c r="AL82" s="75">
        <f t="shared" si="84"/>
        <v>27.59</v>
      </c>
      <c r="AM82" s="68">
        <f t="shared" si="85"/>
        <v>286.66000000000003</v>
      </c>
      <c r="AN82" s="68">
        <f t="shared" si="86"/>
        <v>218.87</v>
      </c>
      <c r="AO82" s="68">
        <f t="shared" si="87"/>
        <v>151.07</v>
      </c>
      <c r="AP82" s="37" t="s">
        <v>373</v>
      </c>
      <c r="AQ82" s="37" t="s">
        <v>374</v>
      </c>
      <c r="AR82" s="37" t="s">
        <v>1035</v>
      </c>
      <c r="AS82" s="66" t="e">
        <f>VLOOKUP(A82,'CMI Data'!$A$3:$J$209,10,FALSE)</f>
        <v>#DIV/0!</v>
      </c>
      <c r="AT82" s="68">
        <f t="shared" si="59"/>
        <v>161.59</v>
      </c>
      <c r="AU82" s="68" t="e">
        <f t="shared" si="60"/>
        <v>#DIV/0!</v>
      </c>
      <c r="AV82" s="75" t="e">
        <f t="shared" si="88"/>
        <v>#DIV/0!</v>
      </c>
      <c r="AW82" s="68" t="e">
        <f>IF($I82="NA","NA",ROUND(#REF!*$AS82/$I82,2))</f>
        <v>#REF!</v>
      </c>
      <c r="AX82" s="75" t="e">
        <f t="shared" si="57"/>
        <v>#REF!</v>
      </c>
      <c r="AY82" s="68" t="e">
        <f t="shared" si="89"/>
        <v>#REF!</v>
      </c>
      <c r="AZ82" s="4">
        <f t="shared" si="90"/>
        <v>157856</v>
      </c>
      <c r="BA82" s="4">
        <f t="shared" si="91"/>
        <v>45384</v>
      </c>
      <c r="BB82" s="4">
        <f t="shared" si="92"/>
        <v>32527</v>
      </c>
      <c r="BC82" s="142">
        <f>IF(ISNA(VLOOKUP($A82&amp;$AB82,'Days Exceptions'!$C$3:$I$7,6,FALSE)),ROUND(AZ82/MAX(BB82,(BA82*Min_Occ)),2),ROUND(AZ82/VLOOKUP($A82&amp;$AB82,'Days Exceptions'!$C$3:$I$7,6,FALSE),2))</f>
        <v>4.2699999999999996</v>
      </c>
      <c r="BD82" s="143" t="e">
        <f t="shared" si="61"/>
        <v>#REF!</v>
      </c>
      <c r="BE82" s="143" t="e">
        <f t="shared" si="62"/>
        <v>#REF!</v>
      </c>
      <c r="BF82" s="143">
        <f t="shared" si="63"/>
        <v>147.66</v>
      </c>
      <c r="BG82" s="37" t="s">
        <v>373</v>
      </c>
      <c r="BH82" s="37" t="s">
        <v>374</v>
      </c>
      <c r="BI82" s="37" t="s">
        <v>1239</v>
      </c>
      <c r="BJ82" s="66" t="e">
        <f>VLOOKUP(A82,'CMI Data'!$A$3:$AZ$209,15,FALSE)</f>
        <v>#DIV/0!</v>
      </c>
      <c r="BK82" s="68">
        <f t="shared" si="64"/>
        <v>161.59</v>
      </c>
      <c r="BL82" s="68" t="e">
        <f t="shared" si="65"/>
        <v>#DIV/0!</v>
      </c>
      <c r="BM82" s="75" t="e">
        <f t="shared" si="93"/>
        <v>#DIV/0!</v>
      </c>
      <c r="BN82" s="68" t="e">
        <f>IF($I82="NA","NA",ROUND(#REF!*$BJ82/$I82,2))</f>
        <v>#REF!</v>
      </c>
      <c r="BO82" s="75" t="e">
        <f t="shared" si="94"/>
        <v>#REF!</v>
      </c>
      <c r="BP82" s="68" t="e">
        <f t="shared" si="95"/>
        <v>#REF!</v>
      </c>
      <c r="BQ82" s="4">
        <f t="shared" si="96"/>
        <v>157856</v>
      </c>
      <c r="BR82" s="4">
        <f t="shared" si="97"/>
        <v>45384</v>
      </c>
      <c r="BS82" s="4">
        <f t="shared" si="98"/>
        <v>32527</v>
      </c>
      <c r="BT82" s="142">
        <f>IF(ISNA(VLOOKUP($A82&amp;$AB82,'Days Exceptions'!$C$3:$I$7,6,FALSE)),ROUND(BQ82/MAX(BS82,(BR82*Min_Occ)),2),ROUND(BQ82/VLOOKUP($A82&amp;$AB82,'Days Exceptions'!$C$3:$I$7,6,FALSE),2))</f>
        <v>4.2699999999999996</v>
      </c>
      <c r="BU82" s="143" t="e">
        <f t="shared" si="66"/>
        <v>#REF!</v>
      </c>
      <c r="BV82" s="143" t="e">
        <f t="shared" si="67"/>
        <v>#REF!</v>
      </c>
      <c r="BW82" s="143">
        <f t="shared" si="68"/>
        <v>147.66</v>
      </c>
      <c r="BX82" s="37" t="s">
        <v>373</v>
      </c>
      <c r="BY82" s="37" t="s">
        <v>374</v>
      </c>
      <c r="BZ82" s="37" t="s">
        <v>1522</v>
      </c>
      <c r="CA82" s="66" t="e">
        <f>VLOOKUP(A82,'CMI Data'!$A$3:$AZ$209,20,FALSE)</f>
        <v>#DIV/0!</v>
      </c>
      <c r="CB82" s="68">
        <f t="shared" si="69"/>
        <v>161.59</v>
      </c>
      <c r="CC82" s="68" t="e">
        <f t="shared" si="70"/>
        <v>#DIV/0!</v>
      </c>
      <c r="CD82" s="75" t="e">
        <f t="shared" si="99"/>
        <v>#DIV/0!</v>
      </c>
      <c r="CE82" s="68" t="e">
        <f>IF($I82="NA","NA",ROUND(#REF!*$CA82/$I82,2))</f>
        <v>#REF!</v>
      </c>
      <c r="CF82" s="75" t="e">
        <f t="shared" si="100"/>
        <v>#REF!</v>
      </c>
      <c r="CG82" s="68" t="e">
        <f t="shared" si="101"/>
        <v>#REF!</v>
      </c>
      <c r="CH82" s="4">
        <f t="shared" si="102"/>
        <v>157856</v>
      </c>
      <c r="CI82" s="4">
        <f t="shared" si="103"/>
        <v>45384</v>
      </c>
      <c r="CJ82" s="4">
        <f t="shared" si="104"/>
        <v>32527</v>
      </c>
      <c r="CK82" s="142">
        <f>IF(ISNA(VLOOKUP($A82&amp;$AB82,'Days Exceptions'!$C$3:$I$7,6,FALSE)),ROUND(CH82/MAX(CJ82,(CI82*Min_Occ)),2),ROUND(CH82/VLOOKUP($A82&amp;$AB82,'Days Exceptions'!$C$3:$I$7,6,FALSE),2))</f>
        <v>4.2699999999999996</v>
      </c>
      <c r="CL82" s="143" t="e">
        <f t="shared" si="71"/>
        <v>#REF!</v>
      </c>
      <c r="CM82" s="143" t="e">
        <f t="shared" si="72"/>
        <v>#REF!</v>
      </c>
      <c r="CN82" s="143">
        <f t="shared" si="73"/>
        <v>147.66</v>
      </c>
      <c r="CO82" s="37" t="s">
        <v>373</v>
      </c>
      <c r="CP82" s="37" t="s">
        <v>374</v>
      </c>
      <c r="CQ82" s="37" t="s">
        <v>1523</v>
      </c>
    </row>
    <row r="83" spans="1:95" x14ac:dyDescent="0.15">
      <c r="A83" s="130">
        <v>298</v>
      </c>
      <c r="B83" s="37" t="s">
        <v>345</v>
      </c>
      <c r="C83" s="1" t="s">
        <v>148</v>
      </c>
      <c r="D83" s="1" t="s">
        <v>120</v>
      </c>
      <c r="E83" s="1" t="str">
        <f>VLOOKUP(D83,Documentation!$B$4:$D$27,3,FALSE)</f>
        <v>WASHINGTON METRO</v>
      </c>
      <c r="F83" s="1" t="str">
        <f>VLOOKUP(D83,Documentation!$B$4:$C$27,2,FALSE)</f>
        <v>WASHINGTON METRO</v>
      </c>
      <c r="G83" s="82">
        <f>VLOOKUP(A83,'2022 CR and CMI'!$A$3:$D$207,3,FALSE)</f>
        <v>44470</v>
      </c>
      <c r="H83" s="82">
        <f>VLOOKUP(A83,'2022 CR and CMI'!$A$3:$D$207,4,FALSE)</f>
        <v>44834</v>
      </c>
      <c r="I83" s="72">
        <f>VLOOKUP(A83,'2022 CR and CMI'!$A$2:$T$210,19,FALSE)</f>
        <v>1.4241999999999999</v>
      </c>
      <c r="J83" s="139">
        <f>Inflation!$G$24</f>
        <v>1.0309999999999999</v>
      </c>
      <c r="K83" s="192">
        <f>VLOOKUP(E83,Limits!$B$2:$D$5,3,FALSE)</f>
        <v>176.01</v>
      </c>
      <c r="L83" s="192">
        <f t="shared" si="74"/>
        <v>181.47</v>
      </c>
      <c r="M83" s="140">
        <f>VLOOKUP(A83,'CMI Data'!$A$4:$C$208,3,FALSE)</f>
        <v>1.3308</v>
      </c>
      <c r="N83" s="68">
        <f t="shared" si="58"/>
        <v>179.08</v>
      </c>
      <c r="O83" s="68">
        <f t="shared" si="75"/>
        <v>167.34</v>
      </c>
      <c r="P83" s="75">
        <f t="shared" si="76"/>
        <v>158.97</v>
      </c>
      <c r="Q83" s="75">
        <v>210.31</v>
      </c>
      <c r="R83" s="75">
        <f t="shared" si="77"/>
        <v>216.83</v>
      </c>
      <c r="S83" s="68">
        <f t="shared" si="78"/>
        <v>202.61</v>
      </c>
      <c r="T83" s="75">
        <f t="shared" si="79"/>
        <v>0</v>
      </c>
      <c r="U83" s="68">
        <f t="shared" si="80"/>
        <v>167.34</v>
      </c>
      <c r="V83" s="68">
        <f>VLOOKUP($F83,Limits!$J$2:$L$5,3,FALSE)</f>
        <v>19.23</v>
      </c>
      <c r="W83" s="68">
        <f t="shared" si="81"/>
        <v>19.829999999999998</v>
      </c>
      <c r="X83" s="68">
        <f>VLOOKUP($F83,Limits!$R$2:$T$5,3,FALSE)</f>
        <v>100.61</v>
      </c>
      <c r="Y83" s="68">
        <f t="shared" si="82"/>
        <v>103.73</v>
      </c>
      <c r="Z83" s="75">
        <f>VLOOKUP(A83,FRV!$A$4:$U$208,21,FALSE)</f>
        <v>36.83</v>
      </c>
      <c r="AA83" s="141">
        <f>VLOOKUP(A83,'RE Tax'!$A$2:$G$206,3,FALSE)</f>
        <v>45200</v>
      </c>
      <c r="AB83" s="141">
        <f>VLOOKUP(A83,'RE Tax'!$A$2:$G$206,4,FALSE)</f>
        <v>45565</v>
      </c>
      <c r="AC83" s="4">
        <f>VLOOKUP(A83,'RE Tax'!$A$2:$G$206,7,FALSE)</f>
        <v>301161</v>
      </c>
      <c r="AD83" s="4">
        <f>VLOOKUP($A83,'RE Tax'!$A$2:$I$206,9,FALSE)</f>
        <v>47580</v>
      </c>
      <c r="AE83" s="4">
        <f>VLOOKUP($A83,'RE Tax'!$A$2:$I$206,8,FALSE)</f>
        <v>46519</v>
      </c>
      <c r="AF83" s="142">
        <f>IF(ISNA(VLOOKUP(A83&amp;AB83,'Days Exceptions'!$C$3:$I$7,6,FALSE)),ROUND(AC83/MAX(AE83,(AD83*Min_Occ)),2),ROUND(AC83/VLOOKUP(A83&amp;AB83,'Days Exceptions'!$C$3:$I$7,6,FALSE),2))</f>
        <v>6.47</v>
      </c>
      <c r="AG83" s="68">
        <v>0</v>
      </c>
      <c r="AH83" s="68">
        <f t="shared" si="83"/>
        <v>0</v>
      </c>
      <c r="AI83" s="4">
        <v>29342</v>
      </c>
      <c r="AJ83" s="4">
        <v>46390</v>
      </c>
      <c r="AK83" s="68">
        <f>IF(AI83=0,0,IF(ISNA(MATCH(A83,Documentation!$B$66:$B$71,0)),QA_Tax_reg,QA_Tax_5high))</f>
        <v>32.92</v>
      </c>
      <c r="AL83" s="75">
        <f t="shared" si="84"/>
        <v>20.82</v>
      </c>
      <c r="AM83" s="68">
        <f t="shared" si="85"/>
        <v>334.2</v>
      </c>
      <c r="AN83" s="68">
        <f t="shared" si="86"/>
        <v>250.53</v>
      </c>
      <c r="AO83" s="68">
        <f t="shared" si="87"/>
        <v>166.86</v>
      </c>
      <c r="AP83" s="37" t="s">
        <v>19</v>
      </c>
      <c r="AQ83" s="37" t="s">
        <v>345</v>
      </c>
      <c r="AR83" s="37" t="s">
        <v>1036</v>
      </c>
      <c r="AS83" s="66" t="e">
        <f>VLOOKUP(A83,'CMI Data'!$A$3:$J$209,10,FALSE)</f>
        <v>#DIV/0!</v>
      </c>
      <c r="AT83" s="68">
        <f t="shared" si="59"/>
        <v>173.69</v>
      </c>
      <c r="AU83" s="68" t="e">
        <f t="shared" si="60"/>
        <v>#DIV/0!</v>
      </c>
      <c r="AV83" s="75" t="e">
        <f t="shared" si="88"/>
        <v>#DIV/0!</v>
      </c>
      <c r="AW83" s="68" t="e">
        <f>IF($I83="NA","NA",ROUND(#REF!*$AS83/$I83,2))</f>
        <v>#REF!</v>
      </c>
      <c r="AX83" s="75" t="e">
        <f t="shared" si="57"/>
        <v>#REF!</v>
      </c>
      <c r="AY83" s="68" t="e">
        <f t="shared" si="89"/>
        <v>#REF!</v>
      </c>
      <c r="AZ83" s="4">
        <f t="shared" si="90"/>
        <v>301161</v>
      </c>
      <c r="BA83" s="4">
        <f t="shared" si="91"/>
        <v>47580</v>
      </c>
      <c r="BB83" s="4">
        <f t="shared" si="92"/>
        <v>46519</v>
      </c>
      <c r="BC83" s="142">
        <f>IF(ISNA(VLOOKUP($A83&amp;$AB83,'Days Exceptions'!$C$3:$I$7,6,FALSE)),ROUND(AZ83/MAX(BB83,(BA83*Min_Occ)),2),ROUND(AZ83/VLOOKUP($A83&amp;$AB83,'Days Exceptions'!$C$3:$I$7,6,FALSE),2))</f>
        <v>6.47</v>
      </c>
      <c r="BD83" s="143" t="e">
        <f t="shared" si="61"/>
        <v>#REF!</v>
      </c>
      <c r="BE83" s="143" t="e">
        <f t="shared" si="62"/>
        <v>#REF!</v>
      </c>
      <c r="BF83" s="143">
        <f t="shared" si="63"/>
        <v>163.13999999999999</v>
      </c>
      <c r="BG83" s="37" t="s">
        <v>19</v>
      </c>
      <c r="BH83" s="37" t="s">
        <v>345</v>
      </c>
      <c r="BI83" s="37" t="s">
        <v>1240</v>
      </c>
      <c r="BJ83" s="66" t="e">
        <f>VLOOKUP(A83,'CMI Data'!$A$3:$AZ$209,15,FALSE)</f>
        <v>#DIV/0!</v>
      </c>
      <c r="BK83" s="68">
        <f t="shared" si="64"/>
        <v>173.69</v>
      </c>
      <c r="BL83" s="68" t="e">
        <f t="shared" si="65"/>
        <v>#DIV/0!</v>
      </c>
      <c r="BM83" s="75" t="e">
        <f t="shared" si="93"/>
        <v>#DIV/0!</v>
      </c>
      <c r="BN83" s="68" t="e">
        <f>IF($I83="NA","NA",ROUND(#REF!*$BJ83/$I83,2))</f>
        <v>#REF!</v>
      </c>
      <c r="BO83" s="75" t="e">
        <f t="shared" si="94"/>
        <v>#REF!</v>
      </c>
      <c r="BP83" s="68" t="e">
        <f t="shared" si="95"/>
        <v>#REF!</v>
      </c>
      <c r="BQ83" s="4">
        <f t="shared" si="96"/>
        <v>301161</v>
      </c>
      <c r="BR83" s="4">
        <f t="shared" si="97"/>
        <v>47580</v>
      </c>
      <c r="BS83" s="4">
        <f t="shared" si="98"/>
        <v>46519</v>
      </c>
      <c r="BT83" s="142">
        <f>IF(ISNA(VLOOKUP($A83&amp;$AB83,'Days Exceptions'!$C$3:$I$7,6,FALSE)),ROUND(BQ83/MAX(BS83,(BR83*Min_Occ)),2),ROUND(BQ83/VLOOKUP($A83&amp;$AB83,'Days Exceptions'!$C$3:$I$7,6,FALSE),2))</f>
        <v>6.47</v>
      </c>
      <c r="BU83" s="143" t="e">
        <f t="shared" si="66"/>
        <v>#REF!</v>
      </c>
      <c r="BV83" s="143" t="e">
        <f t="shared" si="67"/>
        <v>#REF!</v>
      </c>
      <c r="BW83" s="143">
        <f t="shared" si="68"/>
        <v>163.13999999999999</v>
      </c>
      <c r="BX83" s="37" t="s">
        <v>19</v>
      </c>
      <c r="BY83" s="37" t="s">
        <v>345</v>
      </c>
      <c r="BZ83" s="37" t="s">
        <v>1524</v>
      </c>
      <c r="CA83" s="66" t="e">
        <f>VLOOKUP(A83,'CMI Data'!$A$3:$AZ$209,20,FALSE)</f>
        <v>#DIV/0!</v>
      </c>
      <c r="CB83" s="68">
        <f t="shared" si="69"/>
        <v>173.69</v>
      </c>
      <c r="CC83" s="68" t="e">
        <f t="shared" si="70"/>
        <v>#DIV/0!</v>
      </c>
      <c r="CD83" s="75" t="e">
        <f t="shared" si="99"/>
        <v>#DIV/0!</v>
      </c>
      <c r="CE83" s="68" t="e">
        <f>IF($I83="NA","NA",ROUND(#REF!*$CA83/$I83,2))</f>
        <v>#REF!</v>
      </c>
      <c r="CF83" s="75" t="e">
        <f t="shared" si="100"/>
        <v>#REF!</v>
      </c>
      <c r="CG83" s="68" t="e">
        <f t="shared" si="101"/>
        <v>#REF!</v>
      </c>
      <c r="CH83" s="4">
        <f t="shared" si="102"/>
        <v>301161</v>
      </c>
      <c r="CI83" s="4">
        <f t="shared" si="103"/>
        <v>47580</v>
      </c>
      <c r="CJ83" s="4">
        <f t="shared" si="104"/>
        <v>46519</v>
      </c>
      <c r="CK83" s="142">
        <f>IF(ISNA(VLOOKUP($A83&amp;$AB83,'Days Exceptions'!$C$3:$I$7,6,FALSE)),ROUND(CH83/MAX(CJ83,(CI83*Min_Occ)),2),ROUND(CH83/VLOOKUP($A83&amp;$AB83,'Days Exceptions'!$C$3:$I$7,6,FALSE),2))</f>
        <v>6.47</v>
      </c>
      <c r="CL83" s="143" t="e">
        <f t="shared" si="71"/>
        <v>#REF!</v>
      </c>
      <c r="CM83" s="143" t="e">
        <f t="shared" si="72"/>
        <v>#REF!</v>
      </c>
      <c r="CN83" s="143">
        <f t="shared" si="73"/>
        <v>163.13999999999999</v>
      </c>
      <c r="CO83" s="37" t="s">
        <v>19</v>
      </c>
      <c r="CP83" s="37" t="s">
        <v>345</v>
      </c>
      <c r="CQ83" s="37" t="s">
        <v>1525</v>
      </c>
    </row>
    <row r="84" spans="1:95" x14ac:dyDescent="0.15">
      <c r="A84" s="130">
        <v>146</v>
      </c>
      <c r="B84" s="37" t="s">
        <v>176</v>
      </c>
      <c r="C84" s="1" t="s">
        <v>148</v>
      </c>
      <c r="D84" s="1" t="s">
        <v>105</v>
      </c>
      <c r="E84" s="1" t="str">
        <f>VLOOKUP(D84,Documentation!$B$4:$D$27,3,FALSE)</f>
        <v>WESTERN REGION</v>
      </c>
      <c r="F84" s="1" t="str">
        <f>VLOOKUP(D84,Documentation!$B$4:$C$27,2,FALSE)</f>
        <v>NON METRO</v>
      </c>
      <c r="G84" s="82">
        <f>VLOOKUP(A84,'2022 CR and CMI'!$A$3:$D$207,3,FALSE)</f>
        <v>44562</v>
      </c>
      <c r="H84" s="82">
        <f>VLOOKUP(A84,'2022 CR and CMI'!$A$3:$D$207,4,FALSE)</f>
        <v>44926</v>
      </c>
      <c r="I84" s="72">
        <f>VLOOKUP(A84,'2022 CR and CMI'!$A$2:$T$210,19,FALSE)</f>
        <v>1.2323</v>
      </c>
      <c r="J84" s="139">
        <f>Inflation!$G$24</f>
        <v>1.0309999999999999</v>
      </c>
      <c r="K84" s="192">
        <f>VLOOKUP(E84,Limits!$B$2:$D$5,3,FALSE)</f>
        <v>166.26</v>
      </c>
      <c r="L84" s="192">
        <f t="shared" si="74"/>
        <v>171.41</v>
      </c>
      <c r="M84" s="140">
        <f>VLOOKUP(A84,'CMI Data'!$A$4:$C$208,3,FALSE)</f>
        <v>1.2784</v>
      </c>
      <c r="N84" s="68">
        <f t="shared" si="58"/>
        <v>146.36000000000001</v>
      </c>
      <c r="O84" s="68">
        <f t="shared" si="75"/>
        <v>151.84</v>
      </c>
      <c r="P84" s="75">
        <f t="shared" si="76"/>
        <v>144.25</v>
      </c>
      <c r="Q84" s="75">
        <v>138.94999999999999</v>
      </c>
      <c r="R84" s="75">
        <f t="shared" si="77"/>
        <v>143.26</v>
      </c>
      <c r="S84" s="68">
        <f t="shared" si="78"/>
        <v>148.62</v>
      </c>
      <c r="T84" s="75">
        <f t="shared" si="79"/>
        <v>0</v>
      </c>
      <c r="U84" s="68">
        <f t="shared" si="80"/>
        <v>151.84</v>
      </c>
      <c r="V84" s="68">
        <f>VLOOKUP($F84,Limits!$J$2:$L$5,3,FALSE)</f>
        <v>20.239999999999998</v>
      </c>
      <c r="W84" s="68">
        <f t="shared" si="81"/>
        <v>20.87</v>
      </c>
      <c r="X84" s="68">
        <f>VLOOKUP($F84,Limits!$R$2:$T$5,3,FALSE)</f>
        <v>89.55</v>
      </c>
      <c r="Y84" s="68">
        <f t="shared" si="82"/>
        <v>92.33</v>
      </c>
      <c r="Z84" s="75">
        <f>VLOOKUP(A84,FRV!$A$4:$U$208,21,FALSE)</f>
        <v>37.14</v>
      </c>
      <c r="AA84" s="141">
        <f>VLOOKUP(A84,'RE Tax'!$A$2:$G$206,3,FALSE)</f>
        <v>45292</v>
      </c>
      <c r="AB84" s="141">
        <f>VLOOKUP(A84,'RE Tax'!$A$2:$G$206,4,FALSE)</f>
        <v>45657</v>
      </c>
      <c r="AC84" s="4">
        <f>VLOOKUP(A84,'RE Tax'!$A$2:$G$206,7,FALSE)</f>
        <v>37733</v>
      </c>
      <c r="AD84" s="4">
        <f>VLOOKUP($A84,'RE Tax'!$A$2:$I$206,9,FALSE)</f>
        <v>24156</v>
      </c>
      <c r="AE84" s="4">
        <f>VLOOKUP($A84,'RE Tax'!$A$2:$I$206,8,FALSE)</f>
        <v>23471</v>
      </c>
      <c r="AF84" s="142">
        <f>IF(ISNA(VLOOKUP(A84&amp;AB84,'Days Exceptions'!$C$3:$I$7,6,FALSE)),ROUND(AC84/MAX(AE84,(AD84*Min_Occ)),2),ROUND(AC84/VLOOKUP(A84&amp;AB84,'Days Exceptions'!$C$3:$I$7,6,FALSE),2))</f>
        <v>1.61</v>
      </c>
      <c r="AG84" s="68">
        <v>0</v>
      </c>
      <c r="AH84" s="68">
        <f t="shared" si="83"/>
        <v>0</v>
      </c>
      <c r="AI84" s="4">
        <v>20562</v>
      </c>
      <c r="AJ84" s="4">
        <v>23491</v>
      </c>
      <c r="AK84" s="68">
        <f>IF(AI84=0,0,IF(ISNA(MATCH(A84,Documentation!$B$66:$B$71,0)),QA_Tax_reg,QA_Tax_5high))</f>
        <v>32.92</v>
      </c>
      <c r="AL84" s="75">
        <f t="shared" si="84"/>
        <v>28.82</v>
      </c>
      <c r="AM84" s="68">
        <f t="shared" si="85"/>
        <v>303.79000000000002</v>
      </c>
      <c r="AN84" s="68">
        <f t="shared" si="86"/>
        <v>227.87</v>
      </c>
      <c r="AO84" s="68">
        <f t="shared" si="87"/>
        <v>151.94999999999999</v>
      </c>
      <c r="AP84" s="37" t="s">
        <v>67</v>
      </c>
      <c r="AQ84" s="37" t="s">
        <v>176</v>
      </c>
      <c r="AR84" s="37" t="s">
        <v>1037</v>
      </c>
      <c r="AS84" s="66" t="e">
        <f>VLOOKUP(A84,'CMI Data'!$A$3:$J$209,10,FALSE)</f>
        <v>#DIV/0!</v>
      </c>
      <c r="AT84" s="68">
        <f t="shared" si="59"/>
        <v>141.96</v>
      </c>
      <c r="AU84" s="68" t="e">
        <f t="shared" si="60"/>
        <v>#DIV/0!</v>
      </c>
      <c r="AV84" s="75" t="e">
        <f t="shared" si="88"/>
        <v>#DIV/0!</v>
      </c>
      <c r="AW84" s="68" t="e">
        <f>IF($I84="NA","NA",ROUND(#REF!*$AS84/$I84,2))</f>
        <v>#REF!</v>
      </c>
      <c r="AX84" s="75" t="e">
        <f t="shared" si="57"/>
        <v>#REF!</v>
      </c>
      <c r="AY84" s="68" t="e">
        <f t="shared" si="89"/>
        <v>#REF!</v>
      </c>
      <c r="AZ84" s="4">
        <f t="shared" si="90"/>
        <v>37733</v>
      </c>
      <c r="BA84" s="4">
        <f t="shared" si="91"/>
        <v>24156</v>
      </c>
      <c r="BB84" s="4">
        <f t="shared" si="92"/>
        <v>23471</v>
      </c>
      <c r="BC84" s="142">
        <f>IF(ISNA(VLOOKUP($A84&amp;$AB84,'Days Exceptions'!$C$3:$I$7,6,FALSE)),ROUND(AZ84/MAX(BB84,(BA84*Min_Occ)),2),ROUND(AZ84/VLOOKUP($A84&amp;$AB84,'Days Exceptions'!$C$3:$I$7,6,FALSE),2))</f>
        <v>1.61</v>
      </c>
      <c r="BD84" s="143" t="e">
        <f t="shared" si="61"/>
        <v>#REF!</v>
      </c>
      <c r="BE84" s="143" t="e">
        <f t="shared" si="62"/>
        <v>#REF!</v>
      </c>
      <c r="BF84" s="143">
        <f t="shared" si="63"/>
        <v>148.54</v>
      </c>
      <c r="BG84" s="37" t="s">
        <v>67</v>
      </c>
      <c r="BH84" s="37" t="s">
        <v>176</v>
      </c>
      <c r="BI84" s="37" t="s">
        <v>1241</v>
      </c>
      <c r="BJ84" s="66" t="e">
        <f>VLOOKUP(A84,'CMI Data'!$A$3:$AZ$209,15,FALSE)</f>
        <v>#DIV/0!</v>
      </c>
      <c r="BK84" s="68">
        <f t="shared" si="64"/>
        <v>141.96</v>
      </c>
      <c r="BL84" s="68" t="e">
        <f t="shared" si="65"/>
        <v>#DIV/0!</v>
      </c>
      <c r="BM84" s="75" t="e">
        <f t="shared" si="93"/>
        <v>#DIV/0!</v>
      </c>
      <c r="BN84" s="68" t="e">
        <f>IF($I84="NA","NA",ROUND(#REF!*$BJ84/$I84,2))</f>
        <v>#REF!</v>
      </c>
      <c r="BO84" s="75" t="e">
        <f t="shared" si="94"/>
        <v>#REF!</v>
      </c>
      <c r="BP84" s="68" t="e">
        <f t="shared" si="95"/>
        <v>#REF!</v>
      </c>
      <c r="BQ84" s="4">
        <f t="shared" si="96"/>
        <v>37733</v>
      </c>
      <c r="BR84" s="4">
        <f t="shared" si="97"/>
        <v>24156</v>
      </c>
      <c r="BS84" s="4">
        <f t="shared" si="98"/>
        <v>23471</v>
      </c>
      <c r="BT84" s="142">
        <f>IF(ISNA(VLOOKUP($A84&amp;$AB84,'Days Exceptions'!$C$3:$I$7,6,FALSE)),ROUND(BQ84/MAX(BS84,(BR84*Min_Occ)),2),ROUND(BQ84/VLOOKUP($A84&amp;$AB84,'Days Exceptions'!$C$3:$I$7,6,FALSE),2))</f>
        <v>1.61</v>
      </c>
      <c r="BU84" s="143" t="e">
        <f t="shared" si="66"/>
        <v>#REF!</v>
      </c>
      <c r="BV84" s="143" t="e">
        <f t="shared" si="67"/>
        <v>#REF!</v>
      </c>
      <c r="BW84" s="143">
        <f t="shared" si="68"/>
        <v>148.54</v>
      </c>
      <c r="BX84" s="37" t="s">
        <v>67</v>
      </c>
      <c r="BY84" s="37" t="s">
        <v>176</v>
      </c>
      <c r="BZ84" s="37" t="s">
        <v>1526</v>
      </c>
      <c r="CA84" s="66" t="e">
        <f>VLOOKUP(A84,'CMI Data'!$A$3:$AZ$209,20,FALSE)</f>
        <v>#DIV/0!</v>
      </c>
      <c r="CB84" s="68">
        <f t="shared" si="69"/>
        <v>141.96</v>
      </c>
      <c r="CC84" s="68" t="e">
        <f t="shared" si="70"/>
        <v>#DIV/0!</v>
      </c>
      <c r="CD84" s="75" t="e">
        <f t="shared" si="99"/>
        <v>#DIV/0!</v>
      </c>
      <c r="CE84" s="68" t="e">
        <f>IF($I84="NA","NA",ROUND(#REF!*$CA84/$I84,2))</f>
        <v>#REF!</v>
      </c>
      <c r="CF84" s="75" t="e">
        <f t="shared" si="100"/>
        <v>#REF!</v>
      </c>
      <c r="CG84" s="68" t="e">
        <f t="shared" si="101"/>
        <v>#REF!</v>
      </c>
      <c r="CH84" s="4">
        <f t="shared" si="102"/>
        <v>37733</v>
      </c>
      <c r="CI84" s="4">
        <f t="shared" si="103"/>
        <v>24156</v>
      </c>
      <c r="CJ84" s="4">
        <f t="shared" si="104"/>
        <v>23471</v>
      </c>
      <c r="CK84" s="142">
        <f>IF(ISNA(VLOOKUP($A84&amp;$AB84,'Days Exceptions'!$C$3:$I$7,6,FALSE)),ROUND(CH84/MAX(CJ84,(CI84*Min_Occ)),2),ROUND(CH84/VLOOKUP($A84&amp;$AB84,'Days Exceptions'!$C$3:$I$7,6,FALSE),2))</f>
        <v>1.61</v>
      </c>
      <c r="CL84" s="143" t="e">
        <f t="shared" si="71"/>
        <v>#REF!</v>
      </c>
      <c r="CM84" s="143" t="e">
        <f t="shared" si="72"/>
        <v>#REF!</v>
      </c>
      <c r="CN84" s="143">
        <f t="shared" si="73"/>
        <v>148.54</v>
      </c>
      <c r="CO84" s="37" t="s">
        <v>67</v>
      </c>
      <c r="CP84" s="37" t="s">
        <v>176</v>
      </c>
      <c r="CQ84" s="37" t="s">
        <v>1527</v>
      </c>
    </row>
    <row r="85" spans="1:95" x14ac:dyDescent="0.15">
      <c r="A85" s="130">
        <v>434</v>
      </c>
      <c r="B85" s="37" t="s">
        <v>464</v>
      </c>
      <c r="C85" s="1" t="s">
        <v>148</v>
      </c>
      <c r="D85" s="1" t="s">
        <v>111</v>
      </c>
      <c r="E85" s="1" t="str">
        <f>VLOOKUP(D85,Documentation!$B$4:$D$27,3,FALSE)</f>
        <v>BALTIMORE METRO</v>
      </c>
      <c r="F85" s="1" t="str">
        <f>VLOOKUP(D85,Documentation!$B$4:$C$27,2,FALSE)</f>
        <v>NON METRO</v>
      </c>
      <c r="G85" s="82">
        <f>VLOOKUP(A85,'2022 CR and CMI'!$A$3:$D$207,3,FALSE)</f>
        <v>44562</v>
      </c>
      <c r="H85" s="82">
        <f>VLOOKUP(A85,'2022 CR and CMI'!$A$3:$D$207,4,FALSE)</f>
        <v>44926</v>
      </c>
      <c r="I85" s="72">
        <f>VLOOKUP(A85,'2022 CR and CMI'!$A$2:$T$210,19,FALSE)</f>
        <v>1.4695</v>
      </c>
      <c r="J85" s="139">
        <f>Inflation!$G$24</f>
        <v>1.0309999999999999</v>
      </c>
      <c r="K85" s="192">
        <f>VLOOKUP(E85,Limits!$B$2:$D$5,3,FALSE)</f>
        <v>195.33</v>
      </c>
      <c r="L85" s="192">
        <f t="shared" si="74"/>
        <v>201.39</v>
      </c>
      <c r="M85" s="140">
        <f>VLOOKUP(A85,'CMI Data'!$A$4:$C$208,3,FALSE)</f>
        <v>1.3819999999999999</v>
      </c>
      <c r="N85" s="68">
        <f t="shared" si="58"/>
        <v>205.06</v>
      </c>
      <c r="O85" s="68">
        <f t="shared" si="75"/>
        <v>192.85</v>
      </c>
      <c r="P85" s="75">
        <f t="shared" si="76"/>
        <v>183.21</v>
      </c>
      <c r="Q85" s="75">
        <v>164.21</v>
      </c>
      <c r="R85" s="75">
        <f t="shared" si="77"/>
        <v>169.3</v>
      </c>
      <c r="S85" s="68">
        <f t="shared" si="78"/>
        <v>159.22</v>
      </c>
      <c r="T85" s="75">
        <f t="shared" si="79"/>
        <v>-23.99</v>
      </c>
      <c r="U85" s="68">
        <f t="shared" si="80"/>
        <v>168.86</v>
      </c>
      <c r="V85" s="68">
        <f>VLOOKUP($F85,Limits!$J$2:$L$5,3,FALSE)</f>
        <v>20.239999999999998</v>
      </c>
      <c r="W85" s="68">
        <f t="shared" si="81"/>
        <v>20.87</v>
      </c>
      <c r="X85" s="68">
        <f>VLOOKUP($F85,Limits!$R$2:$T$5,3,FALSE)</f>
        <v>89.55</v>
      </c>
      <c r="Y85" s="68">
        <f t="shared" si="82"/>
        <v>92.33</v>
      </c>
      <c r="Z85" s="75">
        <f>VLOOKUP(A85,FRV!$A$4:$U$208,21,FALSE)</f>
        <v>27.92</v>
      </c>
      <c r="AA85" s="141">
        <f>VLOOKUP(A85,'RE Tax'!$A$2:$G$206,3,FALSE)</f>
        <v>45292</v>
      </c>
      <c r="AB85" s="141">
        <f>VLOOKUP(A85,'RE Tax'!$A$2:$G$206,4,FALSE)</f>
        <v>45657</v>
      </c>
      <c r="AC85" s="4">
        <f>VLOOKUP(A85,'RE Tax'!$A$2:$G$206,7,FALSE)</f>
        <v>226970</v>
      </c>
      <c r="AD85" s="4">
        <f>VLOOKUP($A85,'RE Tax'!$A$2:$I$206,9,FALSE)</f>
        <v>64782</v>
      </c>
      <c r="AE85" s="4">
        <f>VLOOKUP($A85,'RE Tax'!$A$2:$I$206,8,FALSE)</f>
        <v>62465</v>
      </c>
      <c r="AF85" s="142">
        <f>IF(ISNA(VLOOKUP(A85&amp;AB85,'Days Exceptions'!$C$3:$I$7,6,FALSE)),ROUND(AC85/MAX(AE85,(AD85*Min_Occ)),2),ROUND(AC85/VLOOKUP(A85&amp;AB85,'Days Exceptions'!$C$3:$I$7,6,FALSE),2))</f>
        <v>3.63</v>
      </c>
      <c r="AG85" s="68">
        <v>0</v>
      </c>
      <c r="AH85" s="68">
        <f t="shared" si="83"/>
        <v>0</v>
      </c>
      <c r="AI85" s="4">
        <v>49379</v>
      </c>
      <c r="AJ85" s="4">
        <v>62461</v>
      </c>
      <c r="AK85" s="68">
        <f>IF(AI85=0,0,IF(ISNA(MATCH(A85,Documentation!$B$66:$B$71,0)),QA_Tax_reg,QA_Tax_5high))</f>
        <v>32.92</v>
      </c>
      <c r="AL85" s="75">
        <f t="shared" si="84"/>
        <v>26.03</v>
      </c>
      <c r="AM85" s="68">
        <f t="shared" si="85"/>
        <v>313.61</v>
      </c>
      <c r="AN85" s="68">
        <f t="shared" si="86"/>
        <v>229.18</v>
      </c>
      <c r="AO85" s="68">
        <f t="shared" si="87"/>
        <v>144.75</v>
      </c>
      <c r="AP85" s="37" t="s">
        <v>463</v>
      </c>
      <c r="AQ85" s="37" t="s">
        <v>464</v>
      </c>
      <c r="AR85" s="37" t="s">
        <v>1038</v>
      </c>
      <c r="AS85" s="66" t="e">
        <f>VLOOKUP(A85,'CMI Data'!$A$3:$J$209,10,FALSE)</f>
        <v>#DIV/0!</v>
      </c>
      <c r="AT85" s="68">
        <f t="shared" si="59"/>
        <v>198.89</v>
      </c>
      <c r="AU85" s="68" t="e">
        <f t="shared" si="60"/>
        <v>#DIV/0!</v>
      </c>
      <c r="AV85" s="75" t="e">
        <f t="shared" si="88"/>
        <v>#DIV/0!</v>
      </c>
      <c r="AW85" s="68" t="e">
        <f>IF($I85="NA","NA",ROUND(#REF!*$AS85/$I85,2))</f>
        <v>#REF!</v>
      </c>
      <c r="AX85" s="75" t="e">
        <f t="shared" si="57"/>
        <v>#REF!</v>
      </c>
      <c r="AY85" s="68" t="e">
        <f t="shared" si="89"/>
        <v>#REF!</v>
      </c>
      <c r="AZ85" s="4">
        <f t="shared" si="90"/>
        <v>226970</v>
      </c>
      <c r="BA85" s="4">
        <f t="shared" si="91"/>
        <v>64782</v>
      </c>
      <c r="BB85" s="4">
        <f t="shared" si="92"/>
        <v>62465</v>
      </c>
      <c r="BC85" s="142">
        <f>IF(ISNA(VLOOKUP($A85&amp;$AB85,'Days Exceptions'!$C$3:$I$7,6,FALSE)),ROUND(AZ85/MAX(BB85,(BA85*Min_Occ)),2),ROUND(AZ85/VLOOKUP($A85&amp;$AB85,'Days Exceptions'!$C$3:$I$7,6,FALSE),2))</f>
        <v>3.63</v>
      </c>
      <c r="BD85" s="143" t="e">
        <f t="shared" si="61"/>
        <v>#REF!</v>
      </c>
      <c r="BE85" s="143" t="e">
        <f t="shared" si="62"/>
        <v>#REF!</v>
      </c>
      <c r="BF85" s="143">
        <f t="shared" si="63"/>
        <v>141.34</v>
      </c>
      <c r="BG85" s="37" t="s">
        <v>463</v>
      </c>
      <c r="BH85" s="37" t="s">
        <v>464</v>
      </c>
      <c r="BI85" s="37" t="s">
        <v>1242</v>
      </c>
      <c r="BJ85" s="66" t="e">
        <f>VLOOKUP(A85,'CMI Data'!$A$3:$AZ$209,15,FALSE)</f>
        <v>#DIV/0!</v>
      </c>
      <c r="BK85" s="68">
        <f t="shared" si="64"/>
        <v>198.89</v>
      </c>
      <c r="BL85" s="68" t="e">
        <f t="shared" si="65"/>
        <v>#DIV/0!</v>
      </c>
      <c r="BM85" s="75" t="e">
        <f t="shared" si="93"/>
        <v>#DIV/0!</v>
      </c>
      <c r="BN85" s="68" t="e">
        <f>IF($I85="NA","NA",ROUND(#REF!*$BJ85/$I85,2))</f>
        <v>#REF!</v>
      </c>
      <c r="BO85" s="75" t="e">
        <f t="shared" si="94"/>
        <v>#REF!</v>
      </c>
      <c r="BP85" s="68" t="e">
        <f t="shared" si="95"/>
        <v>#REF!</v>
      </c>
      <c r="BQ85" s="4">
        <f t="shared" si="96"/>
        <v>226970</v>
      </c>
      <c r="BR85" s="4">
        <f t="shared" si="97"/>
        <v>64782</v>
      </c>
      <c r="BS85" s="4">
        <f t="shared" si="98"/>
        <v>62465</v>
      </c>
      <c r="BT85" s="142">
        <f>IF(ISNA(VLOOKUP($A85&amp;$AB85,'Days Exceptions'!$C$3:$I$7,6,FALSE)),ROUND(BQ85/MAX(BS85,(BR85*Min_Occ)),2),ROUND(BQ85/VLOOKUP($A85&amp;$AB85,'Days Exceptions'!$C$3:$I$7,6,FALSE),2))</f>
        <v>3.63</v>
      </c>
      <c r="BU85" s="143" t="e">
        <f t="shared" si="66"/>
        <v>#REF!</v>
      </c>
      <c r="BV85" s="143" t="e">
        <f t="shared" si="67"/>
        <v>#REF!</v>
      </c>
      <c r="BW85" s="143">
        <f t="shared" si="68"/>
        <v>141.34</v>
      </c>
      <c r="BX85" s="37" t="s">
        <v>463</v>
      </c>
      <c r="BY85" s="37" t="s">
        <v>464</v>
      </c>
      <c r="BZ85" s="37" t="s">
        <v>1528</v>
      </c>
      <c r="CA85" s="66" t="e">
        <f>VLOOKUP(A85,'CMI Data'!$A$3:$AZ$209,20,FALSE)</f>
        <v>#DIV/0!</v>
      </c>
      <c r="CB85" s="68">
        <f t="shared" si="69"/>
        <v>198.89</v>
      </c>
      <c r="CC85" s="68" t="e">
        <f t="shared" si="70"/>
        <v>#DIV/0!</v>
      </c>
      <c r="CD85" s="75" t="e">
        <f t="shared" si="99"/>
        <v>#DIV/0!</v>
      </c>
      <c r="CE85" s="68" t="e">
        <f>IF($I85="NA","NA",ROUND(#REF!*$CA85/$I85,2))</f>
        <v>#REF!</v>
      </c>
      <c r="CF85" s="75" t="e">
        <f t="shared" si="100"/>
        <v>#REF!</v>
      </c>
      <c r="CG85" s="68" t="e">
        <f t="shared" si="101"/>
        <v>#REF!</v>
      </c>
      <c r="CH85" s="4">
        <f t="shared" si="102"/>
        <v>226970</v>
      </c>
      <c r="CI85" s="4">
        <f t="shared" si="103"/>
        <v>64782</v>
      </c>
      <c r="CJ85" s="4">
        <f t="shared" si="104"/>
        <v>62465</v>
      </c>
      <c r="CK85" s="142">
        <f>IF(ISNA(VLOOKUP($A85&amp;$AB85,'Days Exceptions'!$C$3:$I$7,6,FALSE)),ROUND(CH85/MAX(CJ85,(CI85*Min_Occ)),2),ROUND(CH85/VLOOKUP($A85&amp;$AB85,'Days Exceptions'!$C$3:$I$7,6,FALSE),2))</f>
        <v>3.63</v>
      </c>
      <c r="CL85" s="143" t="e">
        <f t="shared" si="71"/>
        <v>#REF!</v>
      </c>
      <c r="CM85" s="143" t="e">
        <f t="shared" si="72"/>
        <v>#REF!</v>
      </c>
      <c r="CN85" s="143">
        <f t="shared" si="73"/>
        <v>141.34</v>
      </c>
      <c r="CO85" s="37" t="s">
        <v>463</v>
      </c>
      <c r="CP85" s="37" t="s">
        <v>464</v>
      </c>
      <c r="CQ85" s="37" t="s">
        <v>1529</v>
      </c>
    </row>
    <row r="86" spans="1:95" x14ac:dyDescent="0.15">
      <c r="A86" s="130">
        <v>733</v>
      </c>
      <c r="B86" s="37" t="s">
        <v>211</v>
      </c>
      <c r="C86" s="1" t="s">
        <v>148</v>
      </c>
      <c r="D86" s="1" t="s">
        <v>117</v>
      </c>
      <c r="E86" s="1" t="str">
        <f>VLOOKUP(D86,Documentation!$B$4:$D$27,3,FALSE)</f>
        <v>BALTIMORE METRO</v>
      </c>
      <c r="F86" s="1" t="str">
        <f>VLOOKUP(D86,Documentation!$B$4:$C$27,2,FALSE)</f>
        <v>BALTIMORE METRO</v>
      </c>
      <c r="G86" s="82">
        <f>VLOOKUP(A86,'2022 CR and CMI'!$A$3:$D$207,3,FALSE)</f>
        <v>44378</v>
      </c>
      <c r="H86" s="82">
        <f>VLOOKUP(A86,'2022 CR and CMI'!$A$3:$D$207,4,FALSE)</f>
        <v>44742</v>
      </c>
      <c r="I86" s="72">
        <f>VLOOKUP(A86,'2022 CR and CMI'!$A$2:$T$210,19,FALSE)</f>
        <v>1.5281</v>
      </c>
      <c r="J86" s="139">
        <f>Inflation!$G$24</f>
        <v>1.0309999999999999</v>
      </c>
      <c r="K86" s="192">
        <f>VLOOKUP(E86,Limits!$B$2:$D$5,3,FALSE)</f>
        <v>195.33</v>
      </c>
      <c r="L86" s="192">
        <f t="shared" si="74"/>
        <v>201.39</v>
      </c>
      <c r="M86" s="140">
        <f>VLOOKUP(A86,'CMI Data'!$A$4:$C$208,3,FALSE)</f>
        <v>1.3103</v>
      </c>
      <c r="N86" s="68">
        <f t="shared" si="58"/>
        <v>213.24</v>
      </c>
      <c r="O86" s="68">
        <f t="shared" si="75"/>
        <v>182.85</v>
      </c>
      <c r="P86" s="75">
        <f t="shared" si="76"/>
        <v>173.71</v>
      </c>
      <c r="Q86" s="75">
        <v>144.72999999999999</v>
      </c>
      <c r="R86" s="75">
        <f t="shared" si="77"/>
        <v>149.22</v>
      </c>
      <c r="S86" s="68">
        <f t="shared" si="78"/>
        <v>127.95</v>
      </c>
      <c r="T86" s="75">
        <f t="shared" si="79"/>
        <v>-45.76</v>
      </c>
      <c r="U86" s="68">
        <f t="shared" si="80"/>
        <v>137.09</v>
      </c>
      <c r="V86" s="68">
        <f>VLOOKUP($F86,Limits!$J$2:$L$5,3,FALSE)</f>
        <v>20.85</v>
      </c>
      <c r="W86" s="68">
        <f t="shared" si="81"/>
        <v>21.5</v>
      </c>
      <c r="X86" s="68">
        <f>VLOOKUP($F86,Limits!$R$2:$T$5,3,FALSE)</f>
        <v>102.02</v>
      </c>
      <c r="Y86" s="68">
        <f t="shared" si="82"/>
        <v>105.18</v>
      </c>
      <c r="Z86" s="75">
        <f>VLOOKUP(A86,FRV!$A$4:$U$208,21,FALSE)</f>
        <v>32.92</v>
      </c>
      <c r="AA86" s="141">
        <f>VLOOKUP(A86,'RE Tax'!$A$2:$G$206,3,FALSE)</f>
        <v>45108</v>
      </c>
      <c r="AB86" s="141">
        <f>VLOOKUP(A86,'RE Tax'!$A$2:$G$206,4,FALSE)</f>
        <v>45473</v>
      </c>
      <c r="AC86" s="4">
        <f>VLOOKUP(A86,'RE Tax'!$A$2:$G$206,7,FALSE)</f>
        <v>192711</v>
      </c>
      <c r="AD86" s="4">
        <f>VLOOKUP($A86,'RE Tax'!$A$2:$I$206,9,FALSE)</f>
        <v>66612</v>
      </c>
      <c r="AE86" s="4">
        <f>VLOOKUP($A86,'RE Tax'!$A$2:$I$206,8,FALSE)</f>
        <v>58374</v>
      </c>
      <c r="AF86" s="142">
        <f>IF(ISNA(VLOOKUP(A86&amp;AB86,'Days Exceptions'!$C$3:$I$7,6,FALSE)),ROUND(AC86/MAX(AE86,(AD86*Min_Occ)),2),ROUND(AC86/VLOOKUP(A86&amp;AB86,'Days Exceptions'!$C$3:$I$7,6,FALSE),2))</f>
        <v>3.3</v>
      </c>
      <c r="AG86" s="68">
        <v>0</v>
      </c>
      <c r="AH86" s="68">
        <f t="shared" si="83"/>
        <v>0</v>
      </c>
      <c r="AI86" s="4">
        <v>56611</v>
      </c>
      <c r="AJ86" s="4">
        <v>61239</v>
      </c>
      <c r="AK86" s="68">
        <f>IF(AI86=0,0,IF(ISNA(MATCH(A86,Documentation!$B$66:$B$71,0)),QA_Tax_reg,QA_Tax_5high))</f>
        <v>32.92</v>
      </c>
      <c r="AL86" s="75">
        <f t="shared" si="84"/>
        <v>30.43</v>
      </c>
      <c r="AM86" s="68">
        <f t="shared" si="85"/>
        <v>299.99</v>
      </c>
      <c r="AN86" s="68">
        <f t="shared" si="86"/>
        <v>231.45</v>
      </c>
      <c r="AO86" s="68">
        <f t="shared" si="87"/>
        <v>162.9</v>
      </c>
      <c r="AP86" s="37" t="s">
        <v>11</v>
      </c>
      <c r="AQ86" s="37" t="s">
        <v>211</v>
      </c>
      <c r="AR86" s="37" t="s">
        <v>1039</v>
      </c>
      <c r="AS86" s="66" t="e">
        <f>VLOOKUP(A86,'CMI Data'!$A$3:$J$209,10,FALSE)</f>
        <v>#DIV/0!</v>
      </c>
      <c r="AT86" s="68">
        <f t="shared" si="59"/>
        <v>206.82</v>
      </c>
      <c r="AU86" s="68" t="e">
        <f t="shared" si="60"/>
        <v>#DIV/0!</v>
      </c>
      <c r="AV86" s="75" t="e">
        <f t="shared" si="88"/>
        <v>#DIV/0!</v>
      </c>
      <c r="AW86" s="68" t="e">
        <f>IF($I86="NA","NA",ROUND(#REF!*$AS86/$I86,2))</f>
        <v>#REF!</v>
      </c>
      <c r="AX86" s="75" t="e">
        <f t="shared" si="57"/>
        <v>#REF!</v>
      </c>
      <c r="AY86" s="68" t="e">
        <f t="shared" si="89"/>
        <v>#REF!</v>
      </c>
      <c r="AZ86" s="4">
        <f t="shared" si="90"/>
        <v>192711</v>
      </c>
      <c r="BA86" s="4">
        <f t="shared" si="91"/>
        <v>66612</v>
      </c>
      <c r="BB86" s="4">
        <f t="shared" si="92"/>
        <v>58374</v>
      </c>
      <c r="BC86" s="142">
        <f>IF(ISNA(VLOOKUP($A86&amp;$AB86,'Days Exceptions'!$C$3:$I$7,6,FALSE)),ROUND(AZ86/MAX(BB86,(BA86*Min_Occ)),2),ROUND(AZ86/VLOOKUP($A86&amp;$AB86,'Days Exceptions'!$C$3:$I$7,6,FALSE),2))</f>
        <v>3.3</v>
      </c>
      <c r="BD86" s="143" t="e">
        <f t="shared" si="61"/>
        <v>#REF!</v>
      </c>
      <c r="BE86" s="143" t="e">
        <f t="shared" si="62"/>
        <v>#REF!</v>
      </c>
      <c r="BF86" s="143">
        <f t="shared" si="63"/>
        <v>159.09</v>
      </c>
      <c r="BG86" s="37" t="s">
        <v>11</v>
      </c>
      <c r="BH86" s="37" t="s">
        <v>211</v>
      </c>
      <c r="BI86" s="37" t="s">
        <v>1243</v>
      </c>
      <c r="BJ86" s="66" t="e">
        <f>VLOOKUP(A86,'CMI Data'!$A$3:$AZ$209,15,FALSE)</f>
        <v>#DIV/0!</v>
      </c>
      <c r="BK86" s="68">
        <f t="shared" si="64"/>
        <v>206.82</v>
      </c>
      <c r="BL86" s="68" t="e">
        <f t="shared" si="65"/>
        <v>#DIV/0!</v>
      </c>
      <c r="BM86" s="75" t="e">
        <f t="shared" si="93"/>
        <v>#DIV/0!</v>
      </c>
      <c r="BN86" s="68" t="e">
        <f>IF($I86="NA","NA",ROUND(#REF!*$BJ86/$I86,2))</f>
        <v>#REF!</v>
      </c>
      <c r="BO86" s="75" t="e">
        <f t="shared" si="94"/>
        <v>#REF!</v>
      </c>
      <c r="BP86" s="68" t="e">
        <f t="shared" si="95"/>
        <v>#REF!</v>
      </c>
      <c r="BQ86" s="4">
        <f t="shared" si="96"/>
        <v>192711</v>
      </c>
      <c r="BR86" s="4">
        <f t="shared" si="97"/>
        <v>66612</v>
      </c>
      <c r="BS86" s="4">
        <f t="shared" si="98"/>
        <v>58374</v>
      </c>
      <c r="BT86" s="142">
        <f>IF(ISNA(VLOOKUP($A86&amp;$AB86,'Days Exceptions'!$C$3:$I$7,6,FALSE)),ROUND(BQ86/MAX(BS86,(BR86*Min_Occ)),2),ROUND(BQ86/VLOOKUP($A86&amp;$AB86,'Days Exceptions'!$C$3:$I$7,6,FALSE),2))</f>
        <v>3.3</v>
      </c>
      <c r="BU86" s="143" t="e">
        <f t="shared" si="66"/>
        <v>#REF!</v>
      </c>
      <c r="BV86" s="143" t="e">
        <f t="shared" si="67"/>
        <v>#REF!</v>
      </c>
      <c r="BW86" s="143">
        <f t="shared" si="68"/>
        <v>159.09</v>
      </c>
      <c r="BX86" s="37" t="s">
        <v>11</v>
      </c>
      <c r="BY86" s="37" t="s">
        <v>211</v>
      </c>
      <c r="BZ86" s="37" t="s">
        <v>1530</v>
      </c>
      <c r="CA86" s="66" t="e">
        <f>VLOOKUP(A86,'CMI Data'!$A$3:$AZ$209,20,FALSE)</f>
        <v>#DIV/0!</v>
      </c>
      <c r="CB86" s="68">
        <f t="shared" si="69"/>
        <v>206.82</v>
      </c>
      <c r="CC86" s="68" t="e">
        <f t="shared" si="70"/>
        <v>#DIV/0!</v>
      </c>
      <c r="CD86" s="75" t="e">
        <f t="shared" si="99"/>
        <v>#DIV/0!</v>
      </c>
      <c r="CE86" s="68" t="e">
        <f>IF($I86="NA","NA",ROUND(#REF!*$CA86/$I86,2))</f>
        <v>#REF!</v>
      </c>
      <c r="CF86" s="75" t="e">
        <f t="shared" si="100"/>
        <v>#REF!</v>
      </c>
      <c r="CG86" s="68" t="e">
        <f t="shared" si="101"/>
        <v>#REF!</v>
      </c>
      <c r="CH86" s="4">
        <f t="shared" si="102"/>
        <v>192711</v>
      </c>
      <c r="CI86" s="4">
        <f t="shared" si="103"/>
        <v>66612</v>
      </c>
      <c r="CJ86" s="4">
        <f t="shared" si="104"/>
        <v>58374</v>
      </c>
      <c r="CK86" s="142">
        <f>IF(ISNA(VLOOKUP($A86&amp;$AB86,'Days Exceptions'!$C$3:$I$7,6,FALSE)),ROUND(CH86/MAX(CJ86,(CI86*Min_Occ)),2),ROUND(CH86/VLOOKUP($A86&amp;$AB86,'Days Exceptions'!$C$3:$I$7,6,FALSE),2))</f>
        <v>3.3</v>
      </c>
      <c r="CL86" s="143" t="e">
        <f t="shared" si="71"/>
        <v>#REF!</v>
      </c>
      <c r="CM86" s="143" t="e">
        <f t="shared" si="72"/>
        <v>#REF!</v>
      </c>
      <c r="CN86" s="143">
        <f t="shared" si="73"/>
        <v>159.09</v>
      </c>
      <c r="CO86" s="37" t="s">
        <v>11</v>
      </c>
      <c r="CP86" s="37" t="s">
        <v>211</v>
      </c>
      <c r="CQ86" s="37" t="s">
        <v>1531</v>
      </c>
    </row>
    <row r="87" spans="1:95" x14ac:dyDescent="0.15">
      <c r="A87" s="130">
        <v>1132</v>
      </c>
      <c r="B87" s="37" t="s">
        <v>196</v>
      </c>
      <c r="C87" s="1" t="s">
        <v>148</v>
      </c>
      <c r="D87" s="1" t="s">
        <v>117</v>
      </c>
      <c r="E87" s="1" t="str">
        <f>VLOOKUP(D87,Documentation!$B$4:$D$27,3,FALSE)</f>
        <v>BALTIMORE METRO</v>
      </c>
      <c r="F87" s="1" t="str">
        <f>VLOOKUP(D87,Documentation!$B$4:$C$27,2,FALSE)</f>
        <v>BALTIMORE METRO</v>
      </c>
      <c r="G87" s="82">
        <f>VLOOKUP(A87,'2022 CR and CMI'!$A$3:$D$207,3,FALSE)</f>
        <v>44562</v>
      </c>
      <c r="H87" s="82">
        <f>VLOOKUP(A87,'2022 CR and CMI'!$A$3:$D$207,4,FALSE)</f>
        <v>44926</v>
      </c>
      <c r="I87" s="72">
        <f>VLOOKUP(A87,'2022 CR and CMI'!$A$2:$T$210,19,FALSE)</f>
        <v>1.5972</v>
      </c>
      <c r="J87" s="139">
        <f>Inflation!$G$24</f>
        <v>1.0309999999999999</v>
      </c>
      <c r="K87" s="192">
        <f>VLOOKUP(E87,Limits!$B$2:$D$5,3,FALSE)</f>
        <v>195.33</v>
      </c>
      <c r="L87" s="192">
        <f t="shared" si="74"/>
        <v>201.39</v>
      </c>
      <c r="M87" s="140">
        <f>VLOOKUP(A87,'CMI Data'!$A$4:$C$208,3,FALSE)</f>
        <v>1.5096000000000001</v>
      </c>
      <c r="N87" s="68">
        <f t="shared" si="58"/>
        <v>222.88</v>
      </c>
      <c r="O87" s="68">
        <f t="shared" si="75"/>
        <v>210.66</v>
      </c>
      <c r="P87" s="75">
        <f t="shared" si="76"/>
        <v>200.13</v>
      </c>
      <c r="Q87" s="75">
        <v>207.72</v>
      </c>
      <c r="R87" s="75">
        <f t="shared" si="77"/>
        <v>214.16</v>
      </c>
      <c r="S87" s="68">
        <f t="shared" si="78"/>
        <v>202.41</v>
      </c>
      <c r="T87" s="75">
        <f t="shared" si="79"/>
        <v>0</v>
      </c>
      <c r="U87" s="68">
        <f t="shared" si="80"/>
        <v>210.66</v>
      </c>
      <c r="V87" s="68">
        <f>VLOOKUP($F87,Limits!$J$2:$L$5,3,FALSE)</f>
        <v>20.85</v>
      </c>
      <c r="W87" s="68">
        <f t="shared" si="81"/>
        <v>21.5</v>
      </c>
      <c r="X87" s="68">
        <f>VLOOKUP($F87,Limits!$R$2:$T$5,3,FALSE)</f>
        <v>102.02</v>
      </c>
      <c r="Y87" s="68">
        <f t="shared" si="82"/>
        <v>105.18</v>
      </c>
      <c r="Z87" s="75">
        <f>VLOOKUP(A87,FRV!$A$4:$U$208,21,FALSE)</f>
        <v>40.020000000000003</v>
      </c>
      <c r="AA87" s="141">
        <f>VLOOKUP(A87,'RE Tax'!$A$2:$G$206,3,FALSE)</f>
        <v>45292</v>
      </c>
      <c r="AB87" s="141">
        <f>VLOOKUP(A87,'RE Tax'!$A$2:$G$206,4,FALSE)</f>
        <v>45657</v>
      </c>
      <c r="AC87" s="4">
        <f>VLOOKUP(A87,'RE Tax'!$A$2:$G$206,7,FALSE)</f>
        <v>73583</v>
      </c>
      <c r="AD87" s="4">
        <f>VLOOKUP($A87,'RE Tax'!$A$2:$I$206,9,FALSE)</f>
        <v>33306</v>
      </c>
      <c r="AE87" s="4">
        <f>VLOOKUP($A87,'RE Tax'!$A$2:$I$206,8,FALSE)</f>
        <v>29965</v>
      </c>
      <c r="AF87" s="142">
        <f>IF(ISNA(VLOOKUP(A87&amp;AB87,'Days Exceptions'!$C$3:$I$7,6,FALSE)),ROUND(AC87/MAX(AE87,(AD87*Min_Occ)),2),ROUND(AC87/VLOOKUP(A87&amp;AB87,'Days Exceptions'!$C$3:$I$7,6,FALSE),2))</f>
        <v>2.46</v>
      </c>
      <c r="AG87" s="68">
        <v>0</v>
      </c>
      <c r="AH87" s="68">
        <f t="shared" si="83"/>
        <v>0</v>
      </c>
      <c r="AI87" s="4">
        <v>21405</v>
      </c>
      <c r="AJ87" s="4">
        <v>29937</v>
      </c>
      <c r="AK87" s="68">
        <f>IF(AI87=0,0,IF(ISNA(MATCH(A87,Documentation!$B$66:$B$71,0)),QA_Tax_reg,QA_Tax_5high))</f>
        <v>32.92</v>
      </c>
      <c r="AL87" s="75">
        <f t="shared" si="84"/>
        <v>23.54</v>
      </c>
      <c r="AM87" s="68">
        <f t="shared" si="85"/>
        <v>379.82</v>
      </c>
      <c r="AN87" s="68">
        <f t="shared" si="86"/>
        <v>274.49</v>
      </c>
      <c r="AO87" s="68">
        <f t="shared" si="87"/>
        <v>169.16</v>
      </c>
      <c r="AP87" s="37" t="s">
        <v>16</v>
      </c>
      <c r="AQ87" s="37" t="s">
        <v>196</v>
      </c>
      <c r="AR87" s="37" t="s">
        <v>1040</v>
      </c>
      <c r="AS87" s="66" t="e">
        <f>VLOOKUP(A87,'CMI Data'!$A$3:$J$209,10,FALSE)</f>
        <v>#DIV/0!</v>
      </c>
      <c r="AT87" s="68">
        <f t="shared" si="59"/>
        <v>216.17</v>
      </c>
      <c r="AU87" s="68" t="e">
        <f t="shared" si="60"/>
        <v>#DIV/0!</v>
      </c>
      <c r="AV87" s="75" t="e">
        <f t="shared" si="88"/>
        <v>#DIV/0!</v>
      </c>
      <c r="AW87" s="68" t="e">
        <f>IF($I87="NA","NA",ROUND(#REF!*$AS87/$I87,2))</f>
        <v>#REF!</v>
      </c>
      <c r="AX87" s="75" t="e">
        <f t="shared" si="57"/>
        <v>#REF!</v>
      </c>
      <c r="AY87" s="68" t="e">
        <f t="shared" si="89"/>
        <v>#REF!</v>
      </c>
      <c r="AZ87" s="4">
        <f t="shared" si="90"/>
        <v>73583</v>
      </c>
      <c r="BA87" s="4">
        <f t="shared" si="91"/>
        <v>33306</v>
      </c>
      <c r="BB87" s="4">
        <f t="shared" si="92"/>
        <v>29965</v>
      </c>
      <c r="BC87" s="142">
        <f>IF(ISNA(VLOOKUP($A87&amp;$AB87,'Days Exceptions'!$C$3:$I$7,6,FALSE)),ROUND(AZ87/MAX(BB87,(BA87*Min_Occ)),2),ROUND(AZ87/VLOOKUP($A87&amp;$AB87,'Days Exceptions'!$C$3:$I$7,6,FALSE),2))</f>
        <v>2.46</v>
      </c>
      <c r="BD87" s="143" t="e">
        <f t="shared" si="61"/>
        <v>#REF!</v>
      </c>
      <c r="BE87" s="143" t="e">
        <f t="shared" si="62"/>
        <v>#REF!</v>
      </c>
      <c r="BF87" s="143">
        <f t="shared" si="63"/>
        <v>165.35</v>
      </c>
      <c r="BG87" s="37" t="s">
        <v>16</v>
      </c>
      <c r="BH87" s="37" t="s">
        <v>196</v>
      </c>
      <c r="BI87" s="37" t="s">
        <v>1244</v>
      </c>
      <c r="BJ87" s="66" t="e">
        <f>VLOOKUP(A87,'CMI Data'!$A$3:$AZ$209,15,FALSE)</f>
        <v>#DIV/0!</v>
      </c>
      <c r="BK87" s="68">
        <f t="shared" si="64"/>
        <v>216.17</v>
      </c>
      <c r="BL87" s="68" t="e">
        <f t="shared" si="65"/>
        <v>#DIV/0!</v>
      </c>
      <c r="BM87" s="75" t="e">
        <f t="shared" si="93"/>
        <v>#DIV/0!</v>
      </c>
      <c r="BN87" s="68" t="e">
        <f>IF($I87="NA","NA",ROUND(#REF!*$BJ87/$I87,2))</f>
        <v>#REF!</v>
      </c>
      <c r="BO87" s="75" t="e">
        <f t="shared" si="94"/>
        <v>#REF!</v>
      </c>
      <c r="BP87" s="68" t="e">
        <f t="shared" si="95"/>
        <v>#REF!</v>
      </c>
      <c r="BQ87" s="4">
        <f t="shared" si="96"/>
        <v>73583</v>
      </c>
      <c r="BR87" s="4">
        <f t="shared" si="97"/>
        <v>33306</v>
      </c>
      <c r="BS87" s="4">
        <f t="shared" si="98"/>
        <v>29965</v>
      </c>
      <c r="BT87" s="142">
        <f>IF(ISNA(VLOOKUP($A87&amp;$AB87,'Days Exceptions'!$C$3:$I$7,6,FALSE)),ROUND(BQ87/MAX(BS87,(BR87*Min_Occ)),2),ROUND(BQ87/VLOOKUP($A87&amp;$AB87,'Days Exceptions'!$C$3:$I$7,6,FALSE),2))</f>
        <v>2.46</v>
      </c>
      <c r="BU87" s="143" t="e">
        <f t="shared" si="66"/>
        <v>#REF!</v>
      </c>
      <c r="BV87" s="143" t="e">
        <f t="shared" si="67"/>
        <v>#REF!</v>
      </c>
      <c r="BW87" s="143">
        <f t="shared" si="68"/>
        <v>165.35</v>
      </c>
      <c r="BX87" s="37" t="s">
        <v>16</v>
      </c>
      <c r="BY87" s="37" t="s">
        <v>196</v>
      </c>
      <c r="BZ87" s="37" t="s">
        <v>1532</v>
      </c>
      <c r="CA87" s="66" t="e">
        <f>VLOOKUP(A87,'CMI Data'!$A$3:$AZ$209,20,FALSE)</f>
        <v>#DIV/0!</v>
      </c>
      <c r="CB87" s="68">
        <f t="shared" si="69"/>
        <v>216.17</v>
      </c>
      <c r="CC87" s="68" t="e">
        <f t="shared" si="70"/>
        <v>#DIV/0!</v>
      </c>
      <c r="CD87" s="75" t="e">
        <f t="shared" si="99"/>
        <v>#DIV/0!</v>
      </c>
      <c r="CE87" s="68" t="e">
        <f>IF($I87="NA","NA",ROUND(#REF!*$CA87/$I87,2))</f>
        <v>#REF!</v>
      </c>
      <c r="CF87" s="75" t="e">
        <f t="shared" si="100"/>
        <v>#REF!</v>
      </c>
      <c r="CG87" s="68" t="e">
        <f t="shared" si="101"/>
        <v>#REF!</v>
      </c>
      <c r="CH87" s="4">
        <f t="shared" si="102"/>
        <v>73583</v>
      </c>
      <c r="CI87" s="4">
        <f t="shared" si="103"/>
        <v>33306</v>
      </c>
      <c r="CJ87" s="4">
        <f t="shared" si="104"/>
        <v>29965</v>
      </c>
      <c r="CK87" s="142">
        <f>IF(ISNA(VLOOKUP($A87&amp;$AB87,'Days Exceptions'!$C$3:$I$7,6,FALSE)),ROUND(CH87/MAX(CJ87,(CI87*Min_Occ)),2),ROUND(CH87/VLOOKUP($A87&amp;$AB87,'Days Exceptions'!$C$3:$I$7,6,FALSE),2))</f>
        <v>2.46</v>
      </c>
      <c r="CL87" s="143" t="e">
        <f t="shared" si="71"/>
        <v>#REF!</v>
      </c>
      <c r="CM87" s="143" t="e">
        <f t="shared" si="72"/>
        <v>#REF!</v>
      </c>
      <c r="CN87" s="143">
        <f t="shared" si="73"/>
        <v>165.35</v>
      </c>
      <c r="CO87" s="37" t="s">
        <v>16</v>
      </c>
      <c r="CP87" s="37" t="s">
        <v>196</v>
      </c>
      <c r="CQ87" s="37" t="s">
        <v>1533</v>
      </c>
    </row>
    <row r="88" spans="1:95" x14ac:dyDescent="0.15">
      <c r="A88" s="130">
        <v>150</v>
      </c>
      <c r="B88" s="37" t="s">
        <v>224</v>
      </c>
      <c r="C88" s="1" t="s">
        <v>148</v>
      </c>
      <c r="D88" s="1" t="s">
        <v>125</v>
      </c>
      <c r="E88" s="1" t="str">
        <f>VLOOKUP(D88,Documentation!$B$4:$D$27,3,FALSE)</f>
        <v>WESTERN REGION</v>
      </c>
      <c r="F88" s="1" t="str">
        <f>VLOOKUP(D88,Documentation!$B$4:$C$27,2,FALSE)</f>
        <v>NON METRO</v>
      </c>
      <c r="G88" s="82">
        <f>VLOOKUP(A88,'2022 CR and CMI'!$A$3:$D$207,3,FALSE)</f>
        <v>44562</v>
      </c>
      <c r="H88" s="82">
        <f>VLOOKUP(A88,'2022 CR and CMI'!$A$3:$D$207,4,FALSE)</f>
        <v>44926</v>
      </c>
      <c r="I88" s="72">
        <f>VLOOKUP(A88,'2022 CR and CMI'!$A$2:$T$210,19,FALSE)</f>
        <v>1.4215</v>
      </c>
      <c r="J88" s="139">
        <f>Inflation!$G$24</f>
        <v>1.0309999999999999</v>
      </c>
      <c r="K88" s="192">
        <f>VLOOKUP(E88,Limits!$B$2:$D$5,3,FALSE)</f>
        <v>166.26</v>
      </c>
      <c r="L88" s="192">
        <f t="shared" si="74"/>
        <v>171.41</v>
      </c>
      <c r="M88" s="140">
        <f>VLOOKUP(A88,'CMI Data'!$A$4:$C$208,3,FALSE)</f>
        <v>1.3603000000000001</v>
      </c>
      <c r="N88" s="68">
        <f t="shared" si="58"/>
        <v>168.83</v>
      </c>
      <c r="O88" s="68">
        <f t="shared" si="75"/>
        <v>161.56</v>
      </c>
      <c r="P88" s="75">
        <f t="shared" si="76"/>
        <v>153.47999999999999</v>
      </c>
      <c r="Q88" s="75">
        <v>274.77</v>
      </c>
      <c r="R88" s="75">
        <f t="shared" si="77"/>
        <v>283.29000000000002</v>
      </c>
      <c r="S88" s="68">
        <f t="shared" si="78"/>
        <v>271.08999999999997</v>
      </c>
      <c r="T88" s="75">
        <f t="shared" si="79"/>
        <v>0</v>
      </c>
      <c r="U88" s="68">
        <f t="shared" si="80"/>
        <v>161.56</v>
      </c>
      <c r="V88" s="68">
        <f>VLOOKUP($F88,Limits!$J$2:$L$5,3,FALSE)</f>
        <v>20.239999999999998</v>
      </c>
      <c r="W88" s="68">
        <f t="shared" si="81"/>
        <v>20.87</v>
      </c>
      <c r="X88" s="68">
        <f>VLOOKUP($F88,Limits!$R$2:$T$5,3,FALSE)</f>
        <v>89.55</v>
      </c>
      <c r="Y88" s="68">
        <f t="shared" si="82"/>
        <v>92.33</v>
      </c>
      <c r="Z88" s="75">
        <f>VLOOKUP(A88,FRV!$A$4:$U$208,21,FALSE)</f>
        <v>34.76</v>
      </c>
      <c r="AA88" s="141">
        <f>VLOOKUP(A88,'RE Tax'!$A$2:$G$206,3,FALSE)</f>
        <v>45292</v>
      </c>
      <c r="AB88" s="141">
        <f>VLOOKUP(A88,'RE Tax'!$A$2:$G$206,4,FALSE)</f>
        <v>45657</v>
      </c>
      <c r="AC88" s="4">
        <f>VLOOKUP(A88,'RE Tax'!$A$2:$G$206,7,FALSE)</f>
        <v>0</v>
      </c>
      <c r="AD88" s="4">
        <f>VLOOKUP($A88,'RE Tax'!$A$2:$I$206,9,FALSE)</f>
        <v>36966</v>
      </c>
      <c r="AE88" s="4">
        <f>VLOOKUP($A88,'RE Tax'!$A$2:$I$206,8,FALSE)</f>
        <v>31194</v>
      </c>
      <c r="AF88" s="142">
        <f>IF(ISNA(VLOOKUP(A88&amp;AB88,'Days Exceptions'!$C$3:$I$7,6,FALSE)),ROUND(AC88/MAX(AE88,(AD88*Min_Occ)),2),ROUND(AC88/VLOOKUP(A88&amp;AB88,'Days Exceptions'!$C$3:$I$7,6,FALSE),2))</f>
        <v>0</v>
      </c>
      <c r="AG88" s="68">
        <v>0</v>
      </c>
      <c r="AH88" s="68">
        <f t="shared" si="83"/>
        <v>0</v>
      </c>
      <c r="AI88" s="4">
        <v>0</v>
      </c>
      <c r="AJ88" s="4">
        <v>0</v>
      </c>
      <c r="AK88" s="68">
        <f>IF(AI88=0,0,IF(ISNA(MATCH(A88,Documentation!$B$66:$B$71,0)),QA_Tax_reg,QA_Tax_5high))</f>
        <v>0</v>
      </c>
      <c r="AL88" s="75">
        <f t="shared" si="84"/>
        <v>0</v>
      </c>
      <c r="AM88" s="68">
        <f t="shared" si="85"/>
        <v>309.52</v>
      </c>
      <c r="AN88" s="68">
        <f t="shared" si="86"/>
        <v>228.74</v>
      </c>
      <c r="AO88" s="68">
        <f t="shared" si="87"/>
        <v>147.96</v>
      </c>
      <c r="AP88" s="37" t="s">
        <v>91</v>
      </c>
      <c r="AQ88" s="37" t="s">
        <v>224</v>
      </c>
      <c r="AR88" s="37" t="s">
        <v>1041</v>
      </c>
      <c r="AS88" s="66" t="e">
        <f>VLOOKUP(A88,'CMI Data'!$A$3:$J$209,10,FALSE)</f>
        <v>#DIV/0!</v>
      </c>
      <c r="AT88" s="68">
        <f t="shared" si="59"/>
        <v>163.76</v>
      </c>
      <c r="AU88" s="68" t="e">
        <f t="shared" si="60"/>
        <v>#DIV/0!</v>
      </c>
      <c r="AV88" s="75" t="e">
        <f t="shared" si="88"/>
        <v>#DIV/0!</v>
      </c>
      <c r="AW88" s="68" t="e">
        <f>IF($I88="NA","NA",ROUND(#REF!*$AS88/$I88,2))</f>
        <v>#REF!</v>
      </c>
      <c r="AX88" s="75" t="e">
        <f t="shared" si="57"/>
        <v>#REF!</v>
      </c>
      <c r="AY88" s="68" t="e">
        <f t="shared" si="89"/>
        <v>#REF!</v>
      </c>
      <c r="AZ88" s="4">
        <f t="shared" si="90"/>
        <v>0</v>
      </c>
      <c r="BA88" s="4">
        <f t="shared" si="91"/>
        <v>36966</v>
      </c>
      <c r="BB88" s="4">
        <f t="shared" si="92"/>
        <v>31194</v>
      </c>
      <c r="BC88" s="142">
        <f>IF(ISNA(VLOOKUP($A88&amp;$AB88,'Days Exceptions'!$C$3:$I$7,6,FALSE)),ROUND(AZ88/MAX(BB88,(BA88*Min_Occ)),2),ROUND(AZ88/VLOOKUP($A88&amp;$AB88,'Days Exceptions'!$C$3:$I$7,6,FALSE),2))</f>
        <v>0</v>
      </c>
      <c r="BD88" s="143" t="e">
        <f t="shared" si="61"/>
        <v>#REF!</v>
      </c>
      <c r="BE88" s="143" t="e">
        <f t="shared" si="62"/>
        <v>#REF!</v>
      </c>
      <c r="BF88" s="143">
        <f t="shared" si="63"/>
        <v>144.55000000000001</v>
      </c>
      <c r="BG88" s="37" t="s">
        <v>91</v>
      </c>
      <c r="BH88" s="37" t="s">
        <v>224</v>
      </c>
      <c r="BI88" s="37" t="s">
        <v>1245</v>
      </c>
      <c r="BJ88" s="66" t="e">
        <f>VLOOKUP(A88,'CMI Data'!$A$3:$AZ$209,15,FALSE)</f>
        <v>#DIV/0!</v>
      </c>
      <c r="BK88" s="68">
        <f t="shared" si="64"/>
        <v>163.76</v>
      </c>
      <c r="BL88" s="68" t="e">
        <f t="shared" si="65"/>
        <v>#DIV/0!</v>
      </c>
      <c r="BM88" s="75" t="e">
        <f t="shared" si="93"/>
        <v>#DIV/0!</v>
      </c>
      <c r="BN88" s="68" t="e">
        <f>IF($I88="NA","NA",ROUND(#REF!*$BJ88/$I88,2))</f>
        <v>#REF!</v>
      </c>
      <c r="BO88" s="75" t="e">
        <f t="shared" si="94"/>
        <v>#REF!</v>
      </c>
      <c r="BP88" s="68" t="e">
        <f t="shared" si="95"/>
        <v>#REF!</v>
      </c>
      <c r="BQ88" s="4">
        <f t="shared" si="96"/>
        <v>0</v>
      </c>
      <c r="BR88" s="4">
        <f t="shared" si="97"/>
        <v>36966</v>
      </c>
      <c r="BS88" s="4">
        <f t="shared" si="98"/>
        <v>31194</v>
      </c>
      <c r="BT88" s="142">
        <f>IF(ISNA(VLOOKUP($A88&amp;$AB88,'Days Exceptions'!$C$3:$I$7,6,FALSE)),ROUND(BQ88/MAX(BS88,(BR88*Min_Occ)),2),ROUND(BQ88/VLOOKUP($A88&amp;$AB88,'Days Exceptions'!$C$3:$I$7,6,FALSE),2))</f>
        <v>0</v>
      </c>
      <c r="BU88" s="143" t="e">
        <f t="shared" si="66"/>
        <v>#REF!</v>
      </c>
      <c r="BV88" s="143" t="e">
        <f t="shared" si="67"/>
        <v>#REF!</v>
      </c>
      <c r="BW88" s="143">
        <f t="shared" si="68"/>
        <v>144.55000000000001</v>
      </c>
      <c r="BX88" s="37" t="s">
        <v>91</v>
      </c>
      <c r="BY88" s="37" t="s">
        <v>224</v>
      </c>
      <c r="BZ88" s="37" t="s">
        <v>1534</v>
      </c>
      <c r="CA88" s="66" t="e">
        <f>VLOOKUP(A88,'CMI Data'!$A$3:$AZ$209,20,FALSE)</f>
        <v>#DIV/0!</v>
      </c>
      <c r="CB88" s="68">
        <f t="shared" si="69"/>
        <v>163.76</v>
      </c>
      <c r="CC88" s="68" t="e">
        <f t="shared" si="70"/>
        <v>#DIV/0!</v>
      </c>
      <c r="CD88" s="75" t="e">
        <f t="shared" si="99"/>
        <v>#DIV/0!</v>
      </c>
      <c r="CE88" s="68" t="e">
        <f>IF($I88="NA","NA",ROUND(#REF!*$CA88/$I88,2))</f>
        <v>#REF!</v>
      </c>
      <c r="CF88" s="75" t="e">
        <f t="shared" si="100"/>
        <v>#REF!</v>
      </c>
      <c r="CG88" s="68" t="e">
        <f t="shared" si="101"/>
        <v>#REF!</v>
      </c>
      <c r="CH88" s="4">
        <f t="shared" si="102"/>
        <v>0</v>
      </c>
      <c r="CI88" s="4">
        <f t="shared" si="103"/>
        <v>36966</v>
      </c>
      <c r="CJ88" s="4">
        <f t="shared" si="104"/>
        <v>31194</v>
      </c>
      <c r="CK88" s="142">
        <f>IF(ISNA(VLOOKUP($A88&amp;$AB88,'Days Exceptions'!$C$3:$I$7,6,FALSE)),ROUND(CH88/MAX(CJ88,(CI88*Min_Occ)),2),ROUND(CH88/VLOOKUP($A88&amp;$AB88,'Days Exceptions'!$C$3:$I$7,6,FALSE),2))</f>
        <v>0</v>
      </c>
      <c r="CL88" s="143" t="e">
        <f t="shared" si="71"/>
        <v>#REF!</v>
      </c>
      <c r="CM88" s="143" t="e">
        <f t="shared" si="72"/>
        <v>#REF!</v>
      </c>
      <c r="CN88" s="143">
        <f t="shared" si="73"/>
        <v>144.55000000000001</v>
      </c>
      <c r="CO88" s="37" t="s">
        <v>91</v>
      </c>
      <c r="CP88" s="37" t="s">
        <v>224</v>
      </c>
      <c r="CQ88" s="37" t="s">
        <v>1535</v>
      </c>
    </row>
    <row r="89" spans="1:95" x14ac:dyDescent="0.15">
      <c r="A89" s="130">
        <v>152</v>
      </c>
      <c r="B89" s="37" t="s">
        <v>383</v>
      </c>
      <c r="C89" s="1" t="s">
        <v>148</v>
      </c>
      <c r="D89" s="1" t="s">
        <v>106</v>
      </c>
      <c r="E89" s="1" t="str">
        <f>VLOOKUP(D89,Documentation!$B$4:$D$27,3,FALSE)</f>
        <v>BALTIMORE METRO</v>
      </c>
      <c r="F89" s="1" t="str">
        <f>VLOOKUP(D89,Documentation!$B$4:$C$27,2,FALSE)</f>
        <v>BALTIMORE METRO</v>
      </c>
      <c r="G89" s="82">
        <f>VLOOKUP(A89,'2022 CR and CMI'!$A$3:$D$207,3,FALSE)</f>
        <v>44562</v>
      </c>
      <c r="H89" s="82">
        <f>VLOOKUP(A89,'2022 CR and CMI'!$A$3:$D$207,4,FALSE)</f>
        <v>44926</v>
      </c>
      <c r="I89" s="72">
        <f>VLOOKUP(A89,'2022 CR and CMI'!$A$2:$T$210,19,FALSE)</f>
        <v>1.2948</v>
      </c>
      <c r="J89" s="139">
        <f>Inflation!$G$24</f>
        <v>1.0309999999999999</v>
      </c>
      <c r="K89" s="192">
        <f>VLOOKUP(E89,Limits!$B$2:$D$5,3,FALSE)</f>
        <v>195.33</v>
      </c>
      <c r="L89" s="192">
        <f t="shared" si="74"/>
        <v>201.39</v>
      </c>
      <c r="M89" s="140">
        <f>VLOOKUP(A89,'CMI Data'!$A$4:$C$208,3,FALSE)</f>
        <v>1.2233000000000001</v>
      </c>
      <c r="N89" s="68">
        <f t="shared" si="58"/>
        <v>180.68</v>
      </c>
      <c r="O89" s="68">
        <f t="shared" si="75"/>
        <v>170.7</v>
      </c>
      <c r="P89" s="75">
        <f t="shared" si="76"/>
        <v>162.16999999999999</v>
      </c>
      <c r="Q89" s="75">
        <v>151.13</v>
      </c>
      <c r="R89" s="75">
        <f t="shared" si="77"/>
        <v>155.82</v>
      </c>
      <c r="S89" s="68">
        <f t="shared" si="78"/>
        <v>147.22</v>
      </c>
      <c r="T89" s="75">
        <f t="shared" si="79"/>
        <v>-14.95</v>
      </c>
      <c r="U89" s="68">
        <f t="shared" si="80"/>
        <v>155.75</v>
      </c>
      <c r="V89" s="68">
        <f>VLOOKUP($F89,Limits!$J$2:$L$5,3,FALSE)</f>
        <v>20.85</v>
      </c>
      <c r="W89" s="68">
        <f t="shared" si="81"/>
        <v>21.5</v>
      </c>
      <c r="X89" s="68">
        <f>VLOOKUP($F89,Limits!$R$2:$T$5,3,FALSE)</f>
        <v>102.02</v>
      </c>
      <c r="Y89" s="68">
        <f t="shared" si="82"/>
        <v>105.18</v>
      </c>
      <c r="Z89" s="75">
        <f>VLOOKUP(A89,FRV!$A$4:$U$208,21,FALSE)</f>
        <v>44.29</v>
      </c>
      <c r="AA89" s="141">
        <f>VLOOKUP(A89,'RE Tax'!$A$2:$G$206,3,FALSE)</f>
        <v>45292</v>
      </c>
      <c r="AB89" s="141">
        <f>VLOOKUP(A89,'RE Tax'!$A$2:$G$206,4,FALSE)</f>
        <v>45657</v>
      </c>
      <c r="AC89" s="4">
        <f>VLOOKUP(A89,'RE Tax'!$A$2:$G$206,7,FALSE)</f>
        <v>88005</v>
      </c>
      <c r="AD89" s="4">
        <f>VLOOKUP($A89,'RE Tax'!$A$2:$I$206,9,FALSE)</f>
        <v>35136</v>
      </c>
      <c r="AE89" s="4">
        <f>VLOOKUP($A89,'RE Tax'!$A$2:$I$206,8,FALSE)</f>
        <v>26782</v>
      </c>
      <c r="AF89" s="142">
        <f>IF(ISNA(VLOOKUP(A89&amp;AB89,'Days Exceptions'!$C$3:$I$7,6,FALSE)),ROUND(AC89/MAX(AE89,(AD89*Min_Occ)),2),ROUND(AC89/VLOOKUP(A89&amp;AB89,'Days Exceptions'!$C$3:$I$7,6,FALSE),2))</f>
        <v>3.07</v>
      </c>
      <c r="AG89" s="68">
        <v>0</v>
      </c>
      <c r="AH89" s="68">
        <f t="shared" si="83"/>
        <v>0</v>
      </c>
      <c r="AI89" s="4">
        <v>20410</v>
      </c>
      <c r="AJ89" s="4">
        <v>26782</v>
      </c>
      <c r="AK89" s="68">
        <f>IF(AI89=0,0,IF(ISNA(MATCH(A89,Documentation!$B$66:$B$71,0)),QA_Tax_reg,QA_Tax_5high))</f>
        <v>32.92</v>
      </c>
      <c r="AL89" s="75">
        <f t="shared" si="84"/>
        <v>25.09</v>
      </c>
      <c r="AM89" s="68">
        <f t="shared" si="85"/>
        <v>329.79</v>
      </c>
      <c r="AN89" s="68">
        <f t="shared" si="86"/>
        <v>251.92</v>
      </c>
      <c r="AO89" s="68">
        <f t="shared" si="87"/>
        <v>174.04</v>
      </c>
      <c r="AP89" s="37" t="s">
        <v>382</v>
      </c>
      <c r="AQ89" s="37" t="s">
        <v>383</v>
      </c>
      <c r="AR89" s="37" t="s">
        <v>1042</v>
      </c>
      <c r="AS89" s="66" t="e">
        <f>VLOOKUP(A89,'CMI Data'!$A$3:$J$209,10,FALSE)</f>
        <v>#DIV/0!</v>
      </c>
      <c r="AT89" s="68">
        <f t="shared" si="59"/>
        <v>175.24</v>
      </c>
      <c r="AU89" s="68" t="e">
        <f t="shared" si="60"/>
        <v>#DIV/0!</v>
      </c>
      <c r="AV89" s="75" t="e">
        <f t="shared" si="88"/>
        <v>#DIV/0!</v>
      </c>
      <c r="AW89" s="68" t="e">
        <f>IF($I89="NA","NA",ROUND(#REF!*$AS89/$I89,2))</f>
        <v>#REF!</v>
      </c>
      <c r="AX89" s="75" t="e">
        <f t="shared" si="57"/>
        <v>#REF!</v>
      </c>
      <c r="AY89" s="68" t="e">
        <f t="shared" si="89"/>
        <v>#REF!</v>
      </c>
      <c r="AZ89" s="4">
        <f t="shared" si="90"/>
        <v>88005</v>
      </c>
      <c r="BA89" s="4">
        <f t="shared" si="91"/>
        <v>35136</v>
      </c>
      <c r="BB89" s="4">
        <f t="shared" si="92"/>
        <v>26782</v>
      </c>
      <c r="BC89" s="142">
        <f>IF(ISNA(VLOOKUP($A89&amp;$AB89,'Days Exceptions'!$C$3:$I$7,6,FALSE)),ROUND(AZ89/MAX(BB89,(BA89*Min_Occ)),2),ROUND(AZ89/VLOOKUP($A89&amp;$AB89,'Days Exceptions'!$C$3:$I$7,6,FALSE),2))</f>
        <v>3.07</v>
      </c>
      <c r="BD89" s="143" t="e">
        <f t="shared" si="61"/>
        <v>#REF!</v>
      </c>
      <c r="BE89" s="143" t="e">
        <f t="shared" si="62"/>
        <v>#REF!</v>
      </c>
      <c r="BF89" s="143">
        <f t="shared" si="63"/>
        <v>170.23</v>
      </c>
      <c r="BG89" s="37" t="s">
        <v>382</v>
      </c>
      <c r="BH89" s="37" t="s">
        <v>383</v>
      </c>
      <c r="BI89" s="37" t="s">
        <v>1246</v>
      </c>
      <c r="BJ89" s="66" t="e">
        <f>VLOOKUP(A89,'CMI Data'!$A$3:$AZ$209,15,FALSE)</f>
        <v>#DIV/0!</v>
      </c>
      <c r="BK89" s="68">
        <f t="shared" si="64"/>
        <v>175.24</v>
      </c>
      <c r="BL89" s="68" t="e">
        <f t="shared" si="65"/>
        <v>#DIV/0!</v>
      </c>
      <c r="BM89" s="75" t="e">
        <f t="shared" si="93"/>
        <v>#DIV/0!</v>
      </c>
      <c r="BN89" s="68" t="e">
        <f>IF($I89="NA","NA",ROUND(#REF!*$BJ89/$I89,2))</f>
        <v>#REF!</v>
      </c>
      <c r="BO89" s="75" t="e">
        <f t="shared" si="94"/>
        <v>#REF!</v>
      </c>
      <c r="BP89" s="68" t="e">
        <f t="shared" si="95"/>
        <v>#REF!</v>
      </c>
      <c r="BQ89" s="4">
        <f t="shared" si="96"/>
        <v>88005</v>
      </c>
      <c r="BR89" s="4">
        <f t="shared" si="97"/>
        <v>35136</v>
      </c>
      <c r="BS89" s="4">
        <f t="shared" si="98"/>
        <v>26782</v>
      </c>
      <c r="BT89" s="142">
        <f>IF(ISNA(VLOOKUP($A89&amp;$AB89,'Days Exceptions'!$C$3:$I$7,6,FALSE)),ROUND(BQ89/MAX(BS89,(BR89*Min_Occ)),2),ROUND(BQ89/VLOOKUP($A89&amp;$AB89,'Days Exceptions'!$C$3:$I$7,6,FALSE),2))</f>
        <v>3.07</v>
      </c>
      <c r="BU89" s="143" t="e">
        <f t="shared" si="66"/>
        <v>#REF!</v>
      </c>
      <c r="BV89" s="143" t="e">
        <f t="shared" si="67"/>
        <v>#REF!</v>
      </c>
      <c r="BW89" s="143">
        <f t="shared" si="68"/>
        <v>170.23</v>
      </c>
      <c r="BX89" s="37" t="s">
        <v>382</v>
      </c>
      <c r="BY89" s="37" t="s">
        <v>383</v>
      </c>
      <c r="BZ89" s="37" t="s">
        <v>1536</v>
      </c>
      <c r="CA89" s="66" t="e">
        <f>VLOOKUP(A89,'CMI Data'!$A$3:$AZ$209,20,FALSE)</f>
        <v>#DIV/0!</v>
      </c>
      <c r="CB89" s="68">
        <f t="shared" si="69"/>
        <v>175.24</v>
      </c>
      <c r="CC89" s="68" t="e">
        <f t="shared" si="70"/>
        <v>#DIV/0!</v>
      </c>
      <c r="CD89" s="75" t="e">
        <f t="shared" si="99"/>
        <v>#DIV/0!</v>
      </c>
      <c r="CE89" s="68" t="e">
        <f>IF($I89="NA","NA",ROUND(#REF!*$CA89/$I89,2))</f>
        <v>#REF!</v>
      </c>
      <c r="CF89" s="75" t="e">
        <f t="shared" si="100"/>
        <v>#REF!</v>
      </c>
      <c r="CG89" s="68" t="e">
        <f t="shared" si="101"/>
        <v>#REF!</v>
      </c>
      <c r="CH89" s="4">
        <f t="shared" si="102"/>
        <v>88005</v>
      </c>
      <c r="CI89" s="4">
        <f t="shared" si="103"/>
        <v>35136</v>
      </c>
      <c r="CJ89" s="4">
        <f t="shared" si="104"/>
        <v>26782</v>
      </c>
      <c r="CK89" s="142">
        <f>IF(ISNA(VLOOKUP($A89&amp;$AB89,'Days Exceptions'!$C$3:$I$7,6,FALSE)),ROUND(CH89/MAX(CJ89,(CI89*Min_Occ)),2),ROUND(CH89/VLOOKUP($A89&amp;$AB89,'Days Exceptions'!$C$3:$I$7,6,FALSE),2))</f>
        <v>3.07</v>
      </c>
      <c r="CL89" s="143" t="e">
        <f t="shared" si="71"/>
        <v>#REF!</v>
      </c>
      <c r="CM89" s="143" t="e">
        <f t="shared" si="72"/>
        <v>#REF!</v>
      </c>
      <c r="CN89" s="143">
        <f t="shared" si="73"/>
        <v>170.23</v>
      </c>
      <c r="CO89" s="37" t="s">
        <v>382</v>
      </c>
      <c r="CP89" s="37" t="s">
        <v>383</v>
      </c>
      <c r="CQ89" s="37" t="s">
        <v>1537</v>
      </c>
    </row>
    <row r="90" spans="1:95" x14ac:dyDescent="0.15">
      <c r="A90" s="130">
        <v>1324</v>
      </c>
      <c r="B90" s="37" t="s">
        <v>477</v>
      </c>
      <c r="C90" s="1" t="s">
        <v>148</v>
      </c>
      <c r="D90" s="1" t="s">
        <v>110</v>
      </c>
      <c r="E90" s="1" t="str">
        <f>VLOOKUP(D90,Documentation!$B$4:$D$27,3,FALSE)</f>
        <v>BALTIMORE METRO</v>
      </c>
      <c r="F90" s="1" t="str">
        <f>VLOOKUP(D90,Documentation!$B$4:$C$27,2,FALSE)</f>
        <v>BALTIMORE METRO</v>
      </c>
      <c r="G90" s="82">
        <f>VLOOKUP(A90,'2022 CR and CMI'!$A$3:$D$207,3,FALSE)</f>
        <v>44562</v>
      </c>
      <c r="H90" s="82">
        <f>VLOOKUP(A90,'2022 CR and CMI'!$A$3:$D$207,4,FALSE)</f>
        <v>44926</v>
      </c>
      <c r="I90" s="72">
        <f>VLOOKUP(A90,'2022 CR and CMI'!$A$2:$T$210,19,FALSE)</f>
        <v>1.2156</v>
      </c>
      <c r="J90" s="139">
        <f>Inflation!$G$24</f>
        <v>1.0309999999999999</v>
      </c>
      <c r="K90" s="192">
        <f>VLOOKUP(E90,Limits!$B$2:$D$5,3,FALSE)</f>
        <v>195.33</v>
      </c>
      <c r="L90" s="192">
        <f t="shared" si="74"/>
        <v>201.39</v>
      </c>
      <c r="M90" s="140">
        <f>VLOOKUP(A90,'CMI Data'!$A$4:$C$208,3,FALSE)</f>
        <v>0.93149999999999999</v>
      </c>
      <c r="N90" s="68">
        <f t="shared" si="58"/>
        <v>169.63</v>
      </c>
      <c r="O90" s="68">
        <f t="shared" si="75"/>
        <v>129.99</v>
      </c>
      <c r="P90" s="75">
        <f t="shared" si="76"/>
        <v>123.49</v>
      </c>
      <c r="Q90" s="75">
        <v>244.46</v>
      </c>
      <c r="R90" s="75">
        <f t="shared" si="77"/>
        <v>252.04</v>
      </c>
      <c r="S90" s="68">
        <f t="shared" si="78"/>
        <v>193.14</v>
      </c>
      <c r="T90" s="75">
        <f t="shared" si="79"/>
        <v>0</v>
      </c>
      <c r="U90" s="68">
        <f t="shared" si="80"/>
        <v>129.99</v>
      </c>
      <c r="V90" s="68">
        <f>VLOOKUP($F90,Limits!$J$2:$L$5,3,FALSE)</f>
        <v>20.85</v>
      </c>
      <c r="W90" s="68">
        <f t="shared" si="81"/>
        <v>21.5</v>
      </c>
      <c r="X90" s="68">
        <f>VLOOKUP($F90,Limits!$R$2:$T$5,3,FALSE)</f>
        <v>102.02</v>
      </c>
      <c r="Y90" s="68">
        <f t="shared" si="82"/>
        <v>105.18</v>
      </c>
      <c r="Z90" s="75">
        <f>VLOOKUP(A90,FRV!$A$4:$U$208,21,FALSE)</f>
        <v>33.93</v>
      </c>
      <c r="AA90" s="141">
        <f>VLOOKUP(A90,'RE Tax'!$A$2:$G$206,3,FALSE)</f>
        <v>45292</v>
      </c>
      <c r="AB90" s="141">
        <f>VLOOKUP(A90,'RE Tax'!$A$2:$G$206,4,FALSE)</f>
        <v>45657</v>
      </c>
      <c r="AC90" s="4">
        <f>VLOOKUP(A90,'RE Tax'!$A$2:$G$206,7,FALSE)</f>
        <v>22982</v>
      </c>
      <c r="AD90" s="4">
        <f>VLOOKUP($A90,'RE Tax'!$A$2:$I$206,9,FALSE)</f>
        <v>28914</v>
      </c>
      <c r="AE90" s="4">
        <f>VLOOKUP($A90,'RE Tax'!$A$2:$I$206,8,FALSE)</f>
        <v>13681</v>
      </c>
      <c r="AF90" s="142">
        <f>IF(ISNA(VLOOKUP(A90&amp;AB90,'Days Exceptions'!$C$3:$I$7,6,FALSE)),ROUND(AC90/MAX(AE90,(AD90*Min_Occ)),2),ROUND(AC90/VLOOKUP(A90&amp;AB90,'Days Exceptions'!$C$3:$I$7,6,FALSE),2))</f>
        <v>0.97</v>
      </c>
      <c r="AG90" s="68">
        <v>0</v>
      </c>
      <c r="AH90" s="68">
        <f t="shared" si="83"/>
        <v>0</v>
      </c>
      <c r="AI90" s="4">
        <v>0</v>
      </c>
      <c r="AJ90" s="4">
        <v>0</v>
      </c>
      <c r="AK90" s="68">
        <f>IF(AI90=0,0,IF(ISNA(MATCH(A90,Documentation!$B$66:$B$71,0)),QA_Tax_reg,QA_Tax_5high))</f>
        <v>0</v>
      </c>
      <c r="AL90" s="75">
        <f t="shared" si="84"/>
        <v>0</v>
      </c>
      <c r="AM90" s="68">
        <f t="shared" si="85"/>
        <v>291.57</v>
      </c>
      <c r="AN90" s="68">
        <f t="shared" si="86"/>
        <v>226.58</v>
      </c>
      <c r="AO90" s="68">
        <f t="shared" si="87"/>
        <v>161.58000000000001</v>
      </c>
      <c r="AP90" s="37" t="s">
        <v>515</v>
      </c>
      <c r="AQ90" s="37" t="s">
        <v>477</v>
      </c>
      <c r="AR90" s="37" t="s">
        <v>1043</v>
      </c>
      <c r="AS90" s="66" t="e">
        <f>VLOOKUP(A90,'CMI Data'!$A$3:$J$209,10,FALSE)</f>
        <v>#DIV/0!</v>
      </c>
      <c r="AT90" s="68">
        <f t="shared" si="59"/>
        <v>164.53</v>
      </c>
      <c r="AU90" s="68" t="e">
        <f t="shared" si="60"/>
        <v>#DIV/0!</v>
      </c>
      <c r="AV90" s="75" t="e">
        <f t="shared" si="88"/>
        <v>#DIV/0!</v>
      </c>
      <c r="AW90" s="68" t="e">
        <f>IF($I90="NA","NA",ROUND(#REF!*$AS90/$I90,2))</f>
        <v>#REF!</v>
      </c>
      <c r="AX90" s="75" t="e">
        <f t="shared" si="57"/>
        <v>#REF!</v>
      </c>
      <c r="AY90" s="68" t="e">
        <f t="shared" si="89"/>
        <v>#REF!</v>
      </c>
      <c r="AZ90" s="4">
        <f t="shared" si="90"/>
        <v>22982</v>
      </c>
      <c r="BA90" s="4">
        <f t="shared" si="91"/>
        <v>28914</v>
      </c>
      <c r="BB90" s="4">
        <f t="shared" si="92"/>
        <v>13681</v>
      </c>
      <c r="BC90" s="142">
        <f>IF(ISNA(VLOOKUP($A90&amp;$AB90,'Days Exceptions'!$C$3:$I$7,6,FALSE)),ROUND(AZ90/MAX(BB90,(BA90*Min_Occ)),2),ROUND(AZ90/VLOOKUP($A90&amp;$AB90,'Days Exceptions'!$C$3:$I$7,6,FALSE),2))</f>
        <v>0.97</v>
      </c>
      <c r="BD90" s="143" t="e">
        <f t="shared" si="61"/>
        <v>#REF!</v>
      </c>
      <c r="BE90" s="143" t="e">
        <f t="shared" si="62"/>
        <v>#REF!</v>
      </c>
      <c r="BF90" s="143">
        <f t="shared" si="63"/>
        <v>157.77000000000001</v>
      </c>
      <c r="BG90" s="37" t="s">
        <v>515</v>
      </c>
      <c r="BH90" s="37" t="s">
        <v>477</v>
      </c>
      <c r="BI90" s="37" t="s">
        <v>1247</v>
      </c>
      <c r="BJ90" s="66" t="e">
        <f>VLOOKUP(A90,'CMI Data'!$A$3:$AZ$209,15,FALSE)</f>
        <v>#DIV/0!</v>
      </c>
      <c r="BK90" s="68">
        <f t="shared" si="64"/>
        <v>164.53</v>
      </c>
      <c r="BL90" s="68" t="e">
        <f t="shared" si="65"/>
        <v>#DIV/0!</v>
      </c>
      <c r="BM90" s="75" t="e">
        <f t="shared" si="93"/>
        <v>#DIV/0!</v>
      </c>
      <c r="BN90" s="68" t="e">
        <f>IF($I90="NA","NA",ROUND(#REF!*$BJ90/$I90,2))</f>
        <v>#REF!</v>
      </c>
      <c r="BO90" s="75" t="e">
        <f t="shared" si="94"/>
        <v>#REF!</v>
      </c>
      <c r="BP90" s="68" t="e">
        <f t="shared" si="95"/>
        <v>#REF!</v>
      </c>
      <c r="BQ90" s="4">
        <f t="shared" si="96"/>
        <v>22982</v>
      </c>
      <c r="BR90" s="4">
        <f t="shared" si="97"/>
        <v>28914</v>
      </c>
      <c r="BS90" s="4">
        <f t="shared" si="98"/>
        <v>13681</v>
      </c>
      <c r="BT90" s="142">
        <f>IF(ISNA(VLOOKUP($A90&amp;$AB90,'Days Exceptions'!$C$3:$I$7,6,FALSE)),ROUND(BQ90/MAX(BS90,(BR90*Min_Occ)),2),ROUND(BQ90/VLOOKUP($A90&amp;$AB90,'Days Exceptions'!$C$3:$I$7,6,FALSE),2))</f>
        <v>0.97</v>
      </c>
      <c r="BU90" s="143" t="e">
        <f t="shared" si="66"/>
        <v>#REF!</v>
      </c>
      <c r="BV90" s="143" t="e">
        <f t="shared" si="67"/>
        <v>#REF!</v>
      </c>
      <c r="BW90" s="143">
        <f t="shared" si="68"/>
        <v>157.77000000000001</v>
      </c>
      <c r="BX90" s="37" t="s">
        <v>515</v>
      </c>
      <c r="BY90" s="37" t="s">
        <v>477</v>
      </c>
      <c r="BZ90" s="37" t="s">
        <v>1538</v>
      </c>
      <c r="CA90" s="66" t="e">
        <f>VLOOKUP(A90,'CMI Data'!$A$3:$AZ$209,20,FALSE)</f>
        <v>#DIV/0!</v>
      </c>
      <c r="CB90" s="68">
        <f t="shared" si="69"/>
        <v>164.53</v>
      </c>
      <c r="CC90" s="68" t="e">
        <f t="shared" si="70"/>
        <v>#DIV/0!</v>
      </c>
      <c r="CD90" s="75" t="e">
        <f t="shared" si="99"/>
        <v>#DIV/0!</v>
      </c>
      <c r="CE90" s="68" t="e">
        <f>IF($I90="NA","NA",ROUND(#REF!*$CA90/$I90,2))</f>
        <v>#REF!</v>
      </c>
      <c r="CF90" s="75" t="e">
        <f t="shared" si="100"/>
        <v>#REF!</v>
      </c>
      <c r="CG90" s="68" t="e">
        <f t="shared" si="101"/>
        <v>#REF!</v>
      </c>
      <c r="CH90" s="4">
        <f t="shared" si="102"/>
        <v>22982</v>
      </c>
      <c r="CI90" s="4">
        <f t="shared" si="103"/>
        <v>28914</v>
      </c>
      <c r="CJ90" s="4">
        <f t="shared" si="104"/>
        <v>13681</v>
      </c>
      <c r="CK90" s="142">
        <f>IF(ISNA(VLOOKUP($A90&amp;$AB90,'Days Exceptions'!$C$3:$I$7,6,FALSE)),ROUND(CH90/MAX(CJ90,(CI90*Min_Occ)),2),ROUND(CH90/VLOOKUP($A90&amp;$AB90,'Days Exceptions'!$C$3:$I$7,6,FALSE),2))</f>
        <v>0.97</v>
      </c>
      <c r="CL90" s="143" t="e">
        <f t="shared" si="71"/>
        <v>#REF!</v>
      </c>
      <c r="CM90" s="143" t="e">
        <f t="shared" si="72"/>
        <v>#REF!</v>
      </c>
      <c r="CN90" s="143">
        <f t="shared" si="73"/>
        <v>157.77000000000001</v>
      </c>
      <c r="CO90" s="37" t="s">
        <v>515</v>
      </c>
      <c r="CP90" s="37" t="s">
        <v>477</v>
      </c>
      <c r="CQ90" s="37" t="s">
        <v>1539</v>
      </c>
    </row>
    <row r="91" spans="1:95" x14ac:dyDescent="0.15">
      <c r="A91" s="130">
        <v>26</v>
      </c>
      <c r="B91" s="37" t="s">
        <v>199</v>
      </c>
      <c r="C91" s="1" t="s">
        <v>148</v>
      </c>
      <c r="D91" s="1" t="s">
        <v>119</v>
      </c>
      <c r="E91" s="1" t="str">
        <f>VLOOKUP(D91,Documentation!$B$4:$D$27,3,FALSE)</f>
        <v>WASHINGTON METRO</v>
      </c>
      <c r="F91" s="1" t="str">
        <f>VLOOKUP(D91,Documentation!$B$4:$C$27,2,FALSE)</f>
        <v>WASHINGTON METRO</v>
      </c>
      <c r="G91" s="82">
        <f>VLOOKUP(A91,'2022 CR and CMI'!$A$3:$D$207,3,FALSE)</f>
        <v>44562</v>
      </c>
      <c r="H91" s="82">
        <f>VLOOKUP(A91,'2022 CR and CMI'!$A$3:$D$207,4,FALSE)</f>
        <v>44926</v>
      </c>
      <c r="I91" s="72">
        <f>VLOOKUP(A91,'2022 CR and CMI'!$A$2:$T$210,19,FALSE)</f>
        <v>1.9835</v>
      </c>
      <c r="J91" s="139">
        <f>Inflation!$G$24</f>
        <v>1.0309999999999999</v>
      </c>
      <c r="K91" s="192">
        <f>VLOOKUP(E91,Limits!$B$2:$D$5,3,FALSE)</f>
        <v>176.01</v>
      </c>
      <c r="L91" s="192">
        <f t="shared" si="74"/>
        <v>181.47</v>
      </c>
      <c r="M91" s="140">
        <f>VLOOKUP(A91,'CMI Data'!$A$4:$C$208,3,FALSE)</f>
        <v>1.5150999999999999</v>
      </c>
      <c r="N91" s="68">
        <f t="shared" si="58"/>
        <v>249.41</v>
      </c>
      <c r="O91" s="68">
        <f t="shared" si="75"/>
        <v>190.51</v>
      </c>
      <c r="P91" s="75">
        <f t="shared" si="76"/>
        <v>180.98</v>
      </c>
      <c r="Q91" s="75">
        <v>256.24</v>
      </c>
      <c r="R91" s="75">
        <f t="shared" si="77"/>
        <v>264.18</v>
      </c>
      <c r="S91" s="68">
        <f t="shared" si="78"/>
        <v>201.79</v>
      </c>
      <c r="T91" s="75">
        <f t="shared" si="79"/>
        <v>0</v>
      </c>
      <c r="U91" s="68">
        <f t="shared" si="80"/>
        <v>190.51</v>
      </c>
      <c r="V91" s="68">
        <f>VLOOKUP($F91,Limits!$J$2:$L$5,3,FALSE)</f>
        <v>19.23</v>
      </c>
      <c r="W91" s="68">
        <f t="shared" si="81"/>
        <v>19.829999999999998</v>
      </c>
      <c r="X91" s="68">
        <f>VLOOKUP($F91,Limits!$R$2:$T$5,3,FALSE)</f>
        <v>100.61</v>
      </c>
      <c r="Y91" s="68">
        <f t="shared" si="82"/>
        <v>103.73</v>
      </c>
      <c r="Z91" s="75">
        <f>VLOOKUP(A91,FRV!$A$4:$U$208,21,FALSE)</f>
        <v>30.95</v>
      </c>
      <c r="AA91" s="141">
        <f>VLOOKUP(A91,'RE Tax'!$A$2:$G$206,3,FALSE)</f>
        <v>45292</v>
      </c>
      <c r="AB91" s="141">
        <f>VLOOKUP(A91,'RE Tax'!$A$2:$G$206,4,FALSE)</f>
        <v>45657</v>
      </c>
      <c r="AC91" s="4">
        <f>VLOOKUP(A91,'RE Tax'!$A$2:$G$206,7,FALSE)</f>
        <v>102106</v>
      </c>
      <c r="AD91" s="4">
        <f>VLOOKUP($A91,'RE Tax'!$A$2:$I$206,9,FALSE)</f>
        <v>33672</v>
      </c>
      <c r="AE91" s="4">
        <f>VLOOKUP($A91,'RE Tax'!$A$2:$I$206,8,FALSE)</f>
        <v>30581</v>
      </c>
      <c r="AF91" s="142">
        <f>IF(ISNA(VLOOKUP(A91&amp;AB91,'Days Exceptions'!$C$3:$I$7,6,FALSE)),ROUND(AC91/MAX(AE91,(AD91*Min_Occ)),2),ROUND(AC91/VLOOKUP(A91&amp;AB91,'Days Exceptions'!$C$3:$I$7,6,FALSE),2))</f>
        <v>3.34</v>
      </c>
      <c r="AG91" s="68">
        <v>0</v>
      </c>
      <c r="AH91" s="68">
        <f t="shared" si="83"/>
        <v>0</v>
      </c>
      <c r="AI91" s="4">
        <v>26860</v>
      </c>
      <c r="AJ91" s="4">
        <v>30574</v>
      </c>
      <c r="AK91" s="68">
        <f>IF(AI91=0,0,IF(ISNA(MATCH(A91,Documentation!$B$66:$B$71,0)),QA_Tax_reg,QA_Tax_5high))</f>
        <v>32.92</v>
      </c>
      <c r="AL91" s="75">
        <f t="shared" si="84"/>
        <v>28.92</v>
      </c>
      <c r="AM91" s="68">
        <f t="shared" si="85"/>
        <v>348.36</v>
      </c>
      <c r="AN91" s="68">
        <f t="shared" si="86"/>
        <v>253.11</v>
      </c>
      <c r="AO91" s="68">
        <f t="shared" si="87"/>
        <v>157.85</v>
      </c>
      <c r="AP91" s="37" t="s">
        <v>167</v>
      </c>
      <c r="AQ91" s="37" t="s">
        <v>199</v>
      </c>
      <c r="AR91" s="37" t="s">
        <v>1044</v>
      </c>
      <c r="AS91" s="66" t="e">
        <f>VLOOKUP(A91,'CMI Data'!$A$3:$J$209,10,FALSE)</f>
        <v>#DIV/0!</v>
      </c>
      <c r="AT91" s="68">
        <f t="shared" si="59"/>
        <v>241.9</v>
      </c>
      <c r="AU91" s="68" t="e">
        <f t="shared" si="60"/>
        <v>#DIV/0!</v>
      </c>
      <c r="AV91" s="75" t="e">
        <f t="shared" si="88"/>
        <v>#DIV/0!</v>
      </c>
      <c r="AW91" s="68" t="e">
        <f>IF($I91="NA","NA",ROUND(#REF!*$AS91/$I91,2))</f>
        <v>#REF!</v>
      </c>
      <c r="AX91" s="75" t="e">
        <f t="shared" si="57"/>
        <v>#REF!</v>
      </c>
      <c r="AY91" s="68" t="e">
        <f t="shared" si="89"/>
        <v>#REF!</v>
      </c>
      <c r="AZ91" s="4">
        <f t="shared" si="90"/>
        <v>102106</v>
      </c>
      <c r="BA91" s="4">
        <f t="shared" si="91"/>
        <v>33672</v>
      </c>
      <c r="BB91" s="4">
        <f t="shared" si="92"/>
        <v>30581</v>
      </c>
      <c r="BC91" s="142">
        <f>IF(ISNA(VLOOKUP($A91&amp;$AB91,'Days Exceptions'!$C$3:$I$7,6,FALSE)),ROUND(AZ91/MAX(BB91,(BA91*Min_Occ)),2),ROUND(AZ91/VLOOKUP($A91&amp;$AB91,'Days Exceptions'!$C$3:$I$7,6,FALSE),2))</f>
        <v>3.34</v>
      </c>
      <c r="BD91" s="143" t="e">
        <f t="shared" si="61"/>
        <v>#REF!</v>
      </c>
      <c r="BE91" s="143" t="e">
        <f t="shared" si="62"/>
        <v>#REF!</v>
      </c>
      <c r="BF91" s="143">
        <f t="shared" si="63"/>
        <v>154.13</v>
      </c>
      <c r="BG91" s="37" t="s">
        <v>167</v>
      </c>
      <c r="BH91" s="37" t="s">
        <v>199</v>
      </c>
      <c r="BI91" s="37" t="s">
        <v>1248</v>
      </c>
      <c r="BJ91" s="66" t="e">
        <f>VLOOKUP(A91,'CMI Data'!$A$3:$AZ$209,15,FALSE)</f>
        <v>#DIV/0!</v>
      </c>
      <c r="BK91" s="68">
        <f t="shared" si="64"/>
        <v>241.9</v>
      </c>
      <c r="BL91" s="68" t="e">
        <f t="shared" si="65"/>
        <v>#DIV/0!</v>
      </c>
      <c r="BM91" s="75" t="e">
        <f t="shared" si="93"/>
        <v>#DIV/0!</v>
      </c>
      <c r="BN91" s="68" t="e">
        <f>IF($I91="NA","NA",ROUND(#REF!*$BJ91/$I91,2))</f>
        <v>#REF!</v>
      </c>
      <c r="BO91" s="75" t="e">
        <f t="shared" si="94"/>
        <v>#REF!</v>
      </c>
      <c r="BP91" s="68" t="e">
        <f t="shared" si="95"/>
        <v>#REF!</v>
      </c>
      <c r="BQ91" s="4">
        <f t="shared" si="96"/>
        <v>102106</v>
      </c>
      <c r="BR91" s="4">
        <f t="shared" si="97"/>
        <v>33672</v>
      </c>
      <c r="BS91" s="4">
        <f t="shared" si="98"/>
        <v>30581</v>
      </c>
      <c r="BT91" s="142">
        <f>IF(ISNA(VLOOKUP($A91&amp;$AB91,'Days Exceptions'!$C$3:$I$7,6,FALSE)),ROUND(BQ91/MAX(BS91,(BR91*Min_Occ)),2),ROUND(BQ91/VLOOKUP($A91&amp;$AB91,'Days Exceptions'!$C$3:$I$7,6,FALSE),2))</f>
        <v>3.34</v>
      </c>
      <c r="BU91" s="143" t="e">
        <f t="shared" si="66"/>
        <v>#REF!</v>
      </c>
      <c r="BV91" s="143" t="e">
        <f t="shared" si="67"/>
        <v>#REF!</v>
      </c>
      <c r="BW91" s="143">
        <f t="shared" si="68"/>
        <v>154.13</v>
      </c>
      <c r="BX91" s="37" t="s">
        <v>167</v>
      </c>
      <c r="BY91" s="37" t="s">
        <v>199</v>
      </c>
      <c r="BZ91" s="37" t="s">
        <v>1540</v>
      </c>
      <c r="CA91" s="66" t="e">
        <f>VLOOKUP(A91,'CMI Data'!$A$3:$AZ$209,20,FALSE)</f>
        <v>#DIV/0!</v>
      </c>
      <c r="CB91" s="68">
        <f t="shared" si="69"/>
        <v>241.9</v>
      </c>
      <c r="CC91" s="68" t="e">
        <f t="shared" si="70"/>
        <v>#DIV/0!</v>
      </c>
      <c r="CD91" s="75" t="e">
        <f t="shared" si="99"/>
        <v>#DIV/0!</v>
      </c>
      <c r="CE91" s="68" t="e">
        <f>IF($I91="NA","NA",ROUND(#REF!*$CA91/$I91,2))</f>
        <v>#REF!</v>
      </c>
      <c r="CF91" s="75" t="e">
        <f t="shared" si="100"/>
        <v>#REF!</v>
      </c>
      <c r="CG91" s="68" t="e">
        <f t="shared" si="101"/>
        <v>#REF!</v>
      </c>
      <c r="CH91" s="4">
        <f t="shared" si="102"/>
        <v>102106</v>
      </c>
      <c r="CI91" s="4">
        <f t="shared" si="103"/>
        <v>33672</v>
      </c>
      <c r="CJ91" s="4">
        <f t="shared" si="104"/>
        <v>30581</v>
      </c>
      <c r="CK91" s="142">
        <f>IF(ISNA(VLOOKUP($A91&amp;$AB91,'Days Exceptions'!$C$3:$I$7,6,FALSE)),ROUND(CH91/MAX(CJ91,(CI91*Min_Occ)),2),ROUND(CH91/VLOOKUP($A91&amp;$AB91,'Days Exceptions'!$C$3:$I$7,6,FALSE),2))</f>
        <v>3.34</v>
      </c>
      <c r="CL91" s="143" t="e">
        <f t="shared" si="71"/>
        <v>#REF!</v>
      </c>
      <c r="CM91" s="143" t="e">
        <f t="shared" si="72"/>
        <v>#REF!</v>
      </c>
      <c r="CN91" s="143">
        <f t="shared" si="73"/>
        <v>154.13</v>
      </c>
      <c r="CO91" s="37" t="s">
        <v>167</v>
      </c>
      <c r="CP91" s="37" t="s">
        <v>199</v>
      </c>
      <c r="CQ91" s="37" t="s">
        <v>1541</v>
      </c>
    </row>
    <row r="92" spans="1:95" x14ac:dyDescent="0.15">
      <c r="A92" s="130">
        <v>729</v>
      </c>
      <c r="B92" s="37" t="s">
        <v>209</v>
      </c>
      <c r="C92" s="1" t="s">
        <v>148</v>
      </c>
      <c r="D92" s="1" t="s">
        <v>102</v>
      </c>
      <c r="E92" s="1" t="str">
        <f>VLOOKUP(D92,Documentation!$B$4:$D$27,3,FALSE)</f>
        <v>BALTIMORE METRO</v>
      </c>
      <c r="F92" s="1" t="str">
        <f>VLOOKUP(D92,Documentation!$B$4:$C$27,2,FALSE)</f>
        <v>BALTIMORE CITY</v>
      </c>
      <c r="G92" s="82">
        <f>VLOOKUP(A92,'2022 CR and CMI'!$A$3:$D$207,3,FALSE)</f>
        <v>44378</v>
      </c>
      <c r="H92" s="82">
        <f>VLOOKUP(A92,'2022 CR and CMI'!$A$3:$D$207,4,FALSE)</f>
        <v>44742</v>
      </c>
      <c r="I92" s="72">
        <f>VLOOKUP(A92,'2022 CR and CMI'!$A$2:$T$210,19,FALSE)</f>
        <v>1.5144</v>
      </c>
      <c r="J92" s="139">
        <f>Inflation!$G$24</f>
        <v>1.0309999999999999</v>
      </c>
      <c r="K92" s="192">
        <f>VLOOKUP(E92,Limits!$B$2:$D$5,3,FALSE)</f>
        <v>195.33</v>
      </c>
      <c r="L92" s="192">
        <f t="shared" si="74"/>
        <v>201.39</v>
      </c>
      <c r="M92" s="140">
        <f>VLOOKUP(A92,'CMI Data'!$A$4:$C$208,3,FALSE)</f>
        <v>1.2987</v>
      </c>
      <c r="N92" s="68">
        <f t="shared" si="58"/>
        <v>211.33</v>
      </c>
      <c r="O92" s="68">
        <f t="shared" si="75"/>
        <v>181.23</v>
      </c>
      <c r="P92" s="75">
        <f t="shared" si="76"/>
        <v>172.17</v>
      </c>
      <c r="Q92" s="75">
        <v>147.79</v>
      </c>
      <c r="R92" s="75">
        <f t="shared" si="77"/>
        <v>152.37</v>
      </c>
      <c r="S92" s="68">
        <f t="shared" si="78"/>
        <v>130.66999999999999</v>
      </c>
      <c r="T92" s="75">
        <f t="shared" si="79"/>
        <v>-41.5</v>
      </c>
      <c r="U92" s="68">
        <f t="shared" si="80"/>
        <v>139.72999999999999</v>
      </c>
      <c r="V92" s="68">
        <f>VLOOKUP($F92,Limits!$J$2:$L$5,3,FALSE)</f>
        <v>24.89</v>
      </c>
      <c r="W92" s="68">
        <f t="shared" si="81"/>
        <v>25.66</v>
      </c>
      <c r="X92" s="68">
        <f>VLOOKUP($F92,Limits!$R$2:$T$5,3,FALSE)</f>
        <v>114.15</v>
      </c>
      <c r="Y92" s="68">
        <f t="shared" si="82"/>
        <v>117.69</v>
      </c>
      <c r="Z92" s="75">
        <f>VLOOKUP(A92,FRV!$A$4:$U$208,21,FALSE)</f>
        <v>36.78</v>
      </c>
      <c r="AA92" s="141">
        <f>VLOOKUP(A92,'RE Tax'!$A$2:$G$206,3,FALSE)</f>
        <v>45108</v>
      </c>
      <c r="AB92" s="141">
        <f>VLOOKUP(A92,'RE Tax'!$A$2:$G$206,4,FALSE)</f>
        <v>45473</v>
      </c>
      <c r="AC92" s="4">
        <f>VLOOKUP(A92,'RE Tax'!$A$2:$G$206,7,FALSE)</f>
        <v>89086</v>
      </c>
      <c r="AD92" s="4">
        <f>VLOOKUP($A92,'RE Tax'!$A$2:$I$206,9,FALSE)</f>
        <v>57096</v>
      </c>
      <c r="AE92" s="4">
        <f>VLOOKUP($A92,'RE Tax'!$A$2:$I$206,8,FALSE)</f>
        <v>46892</v>
      </c>
      <c r="AF92" s="142">
        <f>IF(ISNA(VLOOKUP(A92&amp;AB92,'Days Exceptions'!$C$3:$I$7,6,FALSE)),ROUND(AC92/MAX(AE92,(AD92*Min_Occ)),2),ROUND(AC92/VLOOKUP(A92&amp;AB92,'Days Exceptions'!$C$3:$I$7,6,FALSE),2))</f>
        <v>1.9</v>
      </c>
      <c r="AG92" s="68">
        <v>0</v>
      </c>
      <c r="AH92" s="68">
        <f t="shared" si="83"/>
        <v>0</v>
      </c>
      <c r="AI92" s="4">
        <v>46148</v>
      </c>
      <c r="AJ92" s="4">
        <v>47508</v>
      </c>
      <c r="AK92" s="68">
        <f>IF(AI92=0,0,IF(ISNA(MATCH(A92,Documentation!$B$66:$B$71,0)),QA_Tax_reg,QA_Tax_5high))</f>
        <v>32.92</v>
      </c>
      <c r="AL92" s="75">
        <f t="shared" si="84"/>
        <v>31.98</v>
      </c>
      <c r="AM92" s="68">
        <f t="shared" si="85"/>
        <v>321.76</v>
      </c>
      <c r="AN92" s="68">
        <f t="shared" si="86"/>
        <v>251.9</v>
      </c>
      <c r="AO92" s="68">
        <f t="shared" si="87"/>
        <v>182.03</v>
      </c>
      <c r="AP92" s="37" t="s">
        <v>9</v>
      </c>
      <c r="AQ92" s="37" t="s">
        <v>209</v>
      </c>
      <c r="AR92" s="37" t="s">
        <v>1045</v>
      </c>
      <c r="AS92" s="66" t="e">
        <f>VLOOKUP(A92,'CMI Data'!$A$3:$J$209,10,FALSE)</f>
        <v>#DIV/0!</v>
      </c>
      <c r="AT92" s="68">
        <f t="shared" si="59"/>
        <v>204.97</v>
      </c>
      <c r="AU92" s="68" t="e">
        <f t="shared" si="60"/>
        <v>#DIV/0!</v>
      </c>
      <c r="AV92" s="75" t="e">
        <f t="shared" si="88"/>
        <v>#DIV/0!</v>
      </c>
      <c r="AW92" s="68" t="e">
        <f>IF($I92="NA","NA",ROUND(#REF!*$AS92/$I92,2))</f>
        <v>#REF!</v>
      </c>
      <c r="AX92" s="75" t="e">
        <f t="shared" si="57"/>
        <v>#REF!</v>
      </c>
      <c r="AY92" s="68" t="e">
        <f t="shared" si="89"/>
        <v>#REF!</v>
      </c>
      <c r="AZ92" s="4">
        <f t="shared" si="90"/>
        <v>89086</v>
      </c>
      <c r="BA92" s="4">
        <f t="shared" si="91"/>
        <v>57096</v>
      </c>
      <c r="BB92" s="4">
        <f t="shared" si="92"/>
        <v>46892</v>
      </c>
      <c r="BC92" s="142">
        <f>IF(ISNA(VLOOKUP($A92&amp;$AB92,'Days Exceptions'!$C$3:$I$7,6,FALSE)),ROUND(AZ92/MAX(BB92,(BA92*Min_Occ)),2),ROUND(AZ92/VLOOKUP($A92&amp;$AB92,'Days Exceptions'!$C$3:$I$7,6,FALSE),2))</f>
        <v>1.9</v>
      </c>
      <c r="BD92" s="143" t="e">
        <f t="shared" si="61"/>
        <v>#REF!</v>
      </c>
      <c r="BE92" s="143" t="e">
        <f t="shared" si="62"/>
        <v>#REF!</v>
      </c>
      <c r="BF92" s="143">
        <f t="shared" si="63"/>
        <v>177.72</v>
      </c>
      <c r="BG92" s="37" t="s">
        <v>9</v>
      </c>
      <c r="BH92" s="37" t="s">
        <v>209</v>
      </c>
      <c r="BI92" s="37" t="s">
        <v>1249</v>
      </c>
      <c r="BJ92" s="66" t="e">
        <f>VLOOKUP(A92,'CMI Data'!$A$3:$AZ$209,15,FALSE)</f>
        <v>#DIV/0!</v>
      </c>
      <c r="BK92" s="68">
        <f t="shared" si="64"/>
        <v>204.97</v>
      </c>
      <c r="BL92" s="68" t="e">
        <f t="shared" si="65"/>
        <v>#DIV/0!</v>
      </c>
      <c r="BM92" s="75" t="e">
        <f t="shared" si="93"/>
        <v>#DIV/0!</v>
      </c>
      <c r="BN92" s="68" t="e">
        <f>IF($I92="NA","NA",ROUND(#REF!*$BJ92/$I92,2))</f>
        <v>#REF!</v>
      </c>
      <c r="BO92" s="75" t="e">
        <f t="shared" si="94"/>
        <v>#REF!</v>
      </c>
      <c r="BP92" s="68" t="e">
        <f t="shared" si="95"/>
        <v>#REF!</v>
      </c>
      <c r="BQ92" s="4">
        <f t="shared" si="96"/>
        <v>89086</v>
      </c>
      <c r="BR92" s="4">
        <f t="shared" si="97"/>
        <v>57096</v>
      </c>
      <c r="BS92" s="4">
        <f t="shared" si="98"/>
        <v>46892</v>
      </c>
      <c r="BT92" s="142">
        <f>IF(ISNA(VLOOKUP($A92&amp;$AB92,'Days Exceptions'!$C$3:$I$7,6,FALSE)),ROUND(BQ92/MAX(BS92,(BR92*Min_Occ)),2),ROUND(BQ92/VLOOKUP($A92&amp;$AB92,'Days Exceptions'!$C$3:$I$7,6,FALSE),2))</f>
        <v>1.9</v>
      </c>
      <c r="BU92" s="143" t="e">
        <f t="shared" si="66"/>
        <v>#REF!</v>
      </c>
      <c r="BV92" s="143" t="e">
        <f t="shared" si="67"/>
        <v>#REF!</v>
      </c>
      <c r="BW92" s="143">
        <f t="shared" si="68"/>
        <v>177.72</v>
      </c>
      <c r="BX92" s="37" t="s">
        <v>9</v>
      </c>
      <c r="BY92" s="37" t="s">
        <v>209</v>
      </c>
      <c r="BZ92" s="37" t="s">
        <v>1542</v>
      </c>
      <c r="CA92" s="66" t="e">
        <f>VLOOKUP(A92,'CMI Data'!$A$3:$AZ$209,20,FALSE)</f>
        <v>#DIV/0!</v>
      </c>
      <c r="CB92" s="68">
        <f t="shared" si="69"/>
        <v>204.97</v>
      </c>
      <c r="CC92" s="68" t="e">
        <f t="shared" si="70"/>
        <v>#DIV/0!</v>
      </c>
      <c r="CD92" s="75" t="e">
        <f t="shared" si="99"/>
        <v>#DIV/0!</v>
      </c>
      <c r="CE92" s="68" t="e">
        <f>IF($I92="NA","NA",ROUND(#REF!*$CA92/$I92,2))</f>
        <v>#REF!</v>
      </c>
      <c r="CF92" s="75" t="e">
        <f t="shared" si="100"/>
        <v>#REF!</v>
      </c>
      <c r="CG92" s="68" t="e">
        <f t="shared" si="101"/>
        <v>#REF!</v>
      </c>
      <c r="CH92" s="4">
        <f t="shared" si="102"/>
        <v>89086</v>
      </c>
      <c r="CI92" s="4">
        <f t="shared" si="103"/>
        <v>57096</v>
      </c>
      <c r="CJ92" s="4">
        <f t="shared" si="104"/>
        <v>46892</v>
      </c>
      <c r="CK92" s="142">
        <f>IF(ISNA(VLOOKUP($A92&amp;$AB92,'Days Exceptions'!$C$3:$I$7,6,FALSE)),ROUND(CH92/MAX(CJ92,(CI92*Min_Occ)),2),ROUND(CH92/VLOOKUP($A92&amp;$AB92,'Days Exceptions'!$C$3:$I$7,6,FALSE),2))</f>
        <v>1.9</v>
      </c>
      <c r="CL92" s="143" t="e">
        <f t="shared" si="71"/>
        <v>#REF!</v>
      </c>
      <c r="CM92" s="143" t="e">
        <f t="shared" si="72"/>
        <v>#REF!</v>
      </c>
      <c r="CN92" s="143">
        <f t="shared" si="73"/>
        <v>177.72</v>
      </c>
      <c r="CO92" s="37" t="s">
        <v>9</v>
      </c>
      <c r="CP92" s="37" t="s">
        <v>209</v>
      </c>
      <c r="CQ92" s="37" t="s">
        <v>1543</v>
      </c>
    </row>
    <row r="93" spans="1:95" x14ac:dyDescent="0.15">
      <c r="A93" s="130">
        <v>156</v>
      </c>
      <c r="B93" s="37" t="s">
        <v>413</v>
      </c>
      <c r="C93" s="1" t="s">
        <v>148</v>
      </c>
      <c r="D93" s="1" t="s">
        <v>107</v>
      </c>
      <c r="E93" s="1" t="str">
        <f>VLOOKUP(D93,Documentation!$B$4:$D$27,3,FALSE)</f>
        <v>BALTIMORE METRO</v>
      </c>
      <c r="F93" s="1" t="str">
        <f>VLOOKUP(D93,Documentation!$B$4:$C$27,2,FALSE)</f>
        <v>BALTIMORE METRO</v>
      </c>
      <c r="G93" s="82">
        <f>VLOOKUP(A93,'2022 CR and CMI'!$A$3:$D$207,3,FALSE)</f>
        <v>44562</v>
      </c>
      <c r="H93" s="82">
        <f>VLOOKUP(A93,'2022 CR and CMI'!$A$3:$D$207,4,FALSE)</f>
        <v>44926</v>
      </c>
      <c r="I93" s="72">
        <f>VLOOKUP(A93,'2022 CR and CMI'!$A$2:$T$210,19,FALSE)</f>
        <v>1.0639000000000001</v>
      </c>
      <c r="J93" s="139">
        <f>Inflation!$G$24</f>
        <v>1.0309999999999999</v>
      </c>
      <c r="K93" s="192">
        <f>VLOOKUP(E93,Limits!$B$2:$D$5,3,FALSE)</f>
        <v>195.33</v>
      </c>
      <c r="L93" s="192">
        <f t="shared" si="74"/>
        <v>201.39</v>
      </c>
      <c r="M93" s="140">
        <f>VLOOKUP(A93,'CMI Data'!$A$4:$C$208,3,FALSE)</f>
        <v>1.1306</v>
      </c>
      <c r="N93" s="68">
        <f t="shared" si="58"/>
        <v>148.46</v>
      </c>
      <c r="O93" s="68">
        <f t="shared" si="75"/>
        <v>157.77000000000001</v>
      </c>
      <c r="P93" s="75">
        <f t="shared" si="76"/>
        <v>149.88</v>
      </c>
      <c r="Q93" s="75">
        <v>152.01</v>
      </c>
      <c r="R93" s="75">
        <f t="shared" si="77"/>
        <v>156.72</v>
      </c>
      <c r="S93" s="68">
        <f t="shared" si="78"/>
        <v>166.55</v>
      </c>
      <c r="T93" s="75">
        <f t="shared" si="79"/>
        <v>0</v>
      </c>
      <c r="U93" s="68">
        <f t="shared" si="80"/>
        <v>157.77000000000001</v>
      </c>
      <c r="V93" s="68">
        <f>VLOOKUP($F93,Limits!$J$2:$L$5,3,FALSE)</f>
        <v>20.85</v>
      </c>
      <c r="W93" s="68">
        <f t="shared" si="81"/>
        <v>21.5</v>
      </c>
      <c r="X93" s="68">
        <f>VLOOKUP($F93,Limits!$R$2:$T$5,3,FALSE)</f>
        <v>102.02</v>
      </c>
      <c r="Y93" s="68">
        <f t="shared" si="82"/>
        <v>105.18</v>
      </c>
      <c r="Z93" s="75">
        <f>VLOOKUP(A93,FRV!$A$4:$U$208,21,FALSE)</f>
        <v>27.77</v>
      </c>
      <c r="AA93" s="141">
        <f>VLOOKUP(A93,'RE Tax'!$A$2:$G$206,3,FALSE)</f>
        <v>45292</v>
      </c>
      <c r="AB93" s="141">
        <f>VLOOKUP(A93,'RE Tax'!$A$2:$G$206,4,FALSE)</f>
        <v>45657</v>
      </c>
      <c r="AC93" s="4">
        <f>VLOOKUP(A93,'RE Tax'!$A$2:$G$206,7,FALSE)</f>
        <v>43134</v>
      </c>
      <c r="AD93" s="4">
        <f>VLOOKUP($A93,'RE Tax'!$A$2:$I$206,9,FALSE)</f>
        <v>61122</v>
      </c>
      <c r="AE93" s="4">
        <f>VLOOKUP($A93,'RE Tax'!$A$2:$I$206,8,FALSE)</f>
        <v>48148</v>
      </c>
      <c r="AF93" s="142">
        <f>IF(ISNA(VLOOKUP(A93&amp;AB93,'Days Exceptions'!$C$3:$I$7,6,FALSE)),ROUND(AC93/MAX(AE93,(AD93*Min_Occ)),2),ROUND(AC93/VLOOKUP(A93&amp;AB93,'Days Exceptions'!$C$3:$I$7,6,FALSE),2))</f>
        <v>0.87</v>
      </c>
      <c r="AG93" s="68">
        <v>0</v>
      </c>
      <c r="AH93" s="68">
        <f t="shared" si="83"/>
        <v>0</v>
      </c>
      <c r="AI93" s="4">
        <v>47239</v>
      </c>
      <c r="AJ93" s="4">
        <v>48148</v>
      </c>
      <c r="AK93" s="68">
        <f>IF(AI93=0,0,IF(ISNA(MATCH(A93,Documentation!$B$66:$B$71,0)),QA_Tax_reg,QA_Tax_5high))</f>
        <v>32.92</v>
      </c>
      <c r="AL93" s="75">
        <f t="shared" si="84"/>
        <v>32.299999999999997</v>
      </c>
      <c r="AM93" s="68">
        <f t="shared" si="85"/>
        <v>313.08999999999997</v>
      </c>
      <c r="AN93" s="68">
        <f t="shared" si="86"/>
        <v>234.21</v>
      </c>
      <c r="AO93" s="68">
        <f t="shared" si="87"/>
        <v>155.32</v>
      </c>
      <c r="AP93" s="37" t="s">
        <v>375</v>
      </c>
      <c r="AQ93" s="37" t="s">
        <v>413</v>
      </c>
      <c r="AR93" s="37" t="s">
        <v>1046</v>
      </c>
      <c r="AS93" s="66" t="e">
        <f>VLOOKUP(A93,'CMI Data'!$A$3:$J$209,10,FALSE)</f>
        <v>#DIV/0!</v>
      </c>
      <c r="AT93" s="68">
        <f t="shared" si="59"/>
        <v>143.99</v>
      </c>
      <c r="AU93" s="68" t="e">
        <f t="shared" si="60"/>
        <v>#DIV/0!</v>
      </c>
      <c r="AV93" s="75" t="e">
        <f t="shared" si="88"/>
        <v>#DIV/0!</v>
      </c>
      <c r="AW93" s="68" t="e">
        <f>IF($I93="NA","NA",ROUND(#REF!*$AS93/$I93,2))</f>
        <v>#REF!</v>
      </c>
      <c r="AX93" s="75" t="e">
        <f t="shared" si="57"/>
        <v>#REF!</v>
      </c>
      <c r="AY93" s="68" t="e">
        <f t="shared" si="89"/>
        <v>#REF!</v>
      </c>
      <c r="AZ93" s="4">
        <f t="shared" si="90"/>
        <v>43134</v>
      </c>
      <c r="BA93" s="4">
        <f t="shared" si="91"/>
        <v>61122</v>
      </c>
      <c r="BB93" s="4">
        <f t="shared" si="92"/>
        <v>48148</v>
      </c>
      <c r="BC93" s="142">
        <f>IF(ISNA(VLOOKUP($A93&amp;$AB93,'Days Exceptions'!$C$3:$I$7,6,FALSE)),ROUND(AZ93/MAX(BB93,(BA93*Min_Occ)),2),ROUND(AZ93/VLOOKUP($A93&amp;$AB93,'Days Exceptions'!$C$3:$I$7,6,FALSE),2))</f>
        <v>0.87</v>
      </c>
      <c r="BD93" s="143" t="e">
        <f t="shared" si="61"/>
        <v>#REF!</v>
      </c>
      <c r="BE93" s="143" t="e">
        <f t="shared" si="62"/>
        <v>#REF!</v>
      </c>
      <c r="BF93" s="143">
        <f t="shared" si="63"/>
        <v>151.51</v>
      </c>
      <c r="BG93" s="37" t="s">
        <v>375</v>
      </c>
      <c r="BH93" s="37" t="s">
        <v>413</v>
      </c>
      <c r="BI93" s="37" t="s">
        <v>1250</v>
      </c>
      <c r="BJ93" s="66" t="e">
        <f>VLOOKUP(A93,'CMI Data'!$A$3:$AZ$209,15,FALSE)</f>
        <v>#DIV/0!</v>
      </c>
      <c r="BK93" s="68">
        <f t="shared" si="64"/>
        <v>143.99</v>
      </c>
      <c r="BL93" s="68" t="e">
        <f t="shared" si="65"/>
        <v>#DIV/0!</v>
      </c>
      <c r="BM93" s="75" t="e">
        <f t="shared" si="93"/>
        <v>#DIV/0!</v>
      </c>
      <c r="BN93" s="68" t="e">
        <f>IF($I93="NA","NA",ROUND(#REF!*$BJ93/$I93,2))</f>
        <v>#REF!</v>
      </c>
      <c r="BO93" s="75" t="e">
        <f t="shared" si="94"/>
        <v>#REF!</v>
      </c>
      <c r="BP93" s="68" t="e">
        <f t="shared" si="95"/>
        <v>#REF!</v>
      </c>
      <c r="BQ93" s="4">
        <f t="shared" si="96"/>
        <v>43134</v>
      </c>
      <c r="BR93" s="4">
        <f t="shared" si="97"/>
        <v>61122</v>
      </c>
      <c r="BS93" s="4">
        <f t="shared" si="98"/>
        <v>48148</v>
      </c>
      <c r="BT93" s="142">
        <f>IF(ISNA(VLOOKUP($A93&amp;$AB93,'Days Exceptions'!$C$3:$I$7,6,FALSE)),ROUND(BQ93/MAX(BS93,(BR93*Min_Occ)),2),ROUND(BQ93/VLOOKUP($A93&amp;$AB93,'Days Exceptions'!$C$3:$I$7,6,FALSE),2))</f>
        <v>0.87</v>
      </c>
      <c r="BU93" s="143" t="e">
        <f t="shared" si="66"/>
        <v>#REF!</v>
      </c>
      <c r="BV93" s="143" t="e">
        <f t="shared" si="67"/>
        <v>#REF!</v>
      </c>
      <c r="BW93" s="143">
        <f t="shared" si="68"/>
        <v>151.51</v>
      </c>
      <c r="BX93" s="37" t="s">
        <v>375</v>
      </c>
      <c r="BY93" s="37" t="s">
        <v>413</v>
      </c>
      <c r="BZ93" s="37" t="s">
        <v>1544</v>
      </c>
      <c r="CA93" s="66" t="e">
        <f>VLOOKUP(A93,'CMI Data'!$A$3:$AZ$209,20,FALSE)</f>
        <v>#DIV/0!</v>
      </c>
      <c r="CB93" s="68">
        <f t="shared" si="69"/>
        <v>143.99</v>
      </c>
      <c r="CC93" s="68" t="e">
        <f t="shared" si="70"/>
        <v>#DIV/0!</v>
      </c>
      <c r="CD93" s="75" t="e">
        <f t="shared" si="99"/>
        <v>#DIV/0!</v>
      </c>
      <c r="CE93" s="68" t="e">
        <f>IF($I93="NA","NA",ROUND(#REF!*$CA93/$I93,2))</f>
        <v>#REF!</v>
      </c>
      <c r="CF93" s="75" t="e">
        <f t="shared" si="100"/>
        <v>#REF!</v>
      </c>
      <c r="CG93" s="68" t="e">
        <f t="shared" si="101"/>
        <v>#REF!</v>
      </c>
      <c r="CH93" s="4">
        <f t="shared" si="102"/>
        <v>43134</v>
      </c>
      <c r="CI93" s="4">
        <f t="shared" si="103"/>
        <v>61122</v>
      </c>
      <c r="CJ93" s="4">
        <f t="shared" si="104"/>
        <v>48148</v>
      </c>
      <c r="CK93" s="142">
        <f>IF(ISNA(VLOOKUP($A93&amp;$AB93,'Days Exceptions'!$C$3:$I$7,6,FALSE)),ROUND(CH93/MAX(CJ93,(CI93*Min_Occ)),2),ROUND(CH93/VLOOKUP($A93&amp;$AB93,'Days Exceptions'!$C$3:$I$7,6,FALSE),2))</f>
        <v>0.87</v>
      </c>
      <c r="CL93" s="143" t="e">
        <f t="shared" si="71"/>
        <v>#REF!</v>
      </c>
      <c r="CM93" s="143" t="e">
        <f t="shared" si="72"/>
        <v>#REF!</v>
      </c>
      <c r="CN93" s="143">
        <f t="shared" si="73"/>
        <v>151.51</v>
      </c>
      <c r="CO93" s="37" t="s">
        <v>375</v>
      </c>
      <c r="CP93" s="37" t="s">
        <v>413</v>
      </c>
      <c r="CQ93" s="37" t="s">
        <v>1545</v>
      </c>
    </row>
    <row r="94" spans="1:95" x14ac:dyDescent="0.15">
      <c r="A94" s="130">
        <v>697</v>
      </c>
      <c r="B94" s="37" t="s">
        <v>215</v>
      </c>
      <c r="C94" s="1" t="s">
        <v>148</v>
      </c>
      <c r="D94" s="1" t="s">
        <v>120</v>
      </c>
      <c r="E94" s="1" t="str">
        <f>VLOOKUP(D94,Documentation!$B$4:$D$27,3,FALSE)</f>
        <v>WASHINGTON METRO</v>
      </c>
      <c r="F94" s="1" t="str">
        <f>VLOOKUP(D94,Documentation!$B$4:$C$27,2,FALSE)</f>
        <v>WASHINGTON METRO</v>
      </c>
      <c r="G94" s="82">
        <f>VLOOKUP(A94,'2022 CR and CMI'!$A$3:$D$207,3,FALSE)</f>
        <v>44378</v>
      </c>
      <c r="H94" s="82">
        <f>VLOOKUP(A94,'2022 CR and CMI'!$A$3:$D$207,4,FALSE)</f>
        <v>44742</v>
      </c>
      <c r="I94" s="72">
        <f>VLOOKUP(A94,'2022 CR and CMI'!$A$2:$T$210,19,FALSE)</f>
        <v>1.3947000000000001</v>
      </c>
      <c r="J94" s="139">
        <f>Inflation!$G$24</f>
        <v>1.0309999999999999</v>
      </c>
      <c r="K94" s="192">
        <f>VLOOKUP(E94,Limits!$B$2:$D$5,3,FALSE)</f>
        <v>176.01</v>
      </c>
      <c r="L94" s="192">
        <f t="shared" si="74"/>
        <v>181.47</v>
      </c>
      <c r="M94" s="140">
        <f>VLOOKUP(A94,'CMI Data'!$A$4:$C$208,3,FALSE)</f>
        <v>1.2648999999999999</v>
      </c>
      <c r="N94" s="68">
        <f t="shared" si="58"/>
        <v>175.37</v>
      </c>
      <c r="O94" s="68">
        <f t="shared" si="75"/>
        <v>159.05000000000001</v>
      </c>
      <c r="P94" s="75">
        <f t="shared" si="76"/>
        <v>151.1</v>
      </c>
      <c r="Q94" s="75">
        <v>136.54</v>
      </c>
      <c r="R94" s="75">
        <f t="shared" si="77"/>
        <v>140.77000000000001</v>
      </c>
      <c r="S94" s="68">
        <f t="shared" si="78"/>
        <v>127.67</v>
      </c>
      <c r="T94" s="75">
        <f t="shared" si="79"/>
        <v>-23.43</v>
      </c>
      <c r="U94" s="68">
        <f t="shared" si="80"/>
        <v>135.62</v>
      </c>
      <c r="V94" s="68">
        <f>VLOOKUP($F94,Limits!$J$2:$L$5,3,FALSE)</f>
        <v>19.23</v>
      </c>
      <c r="W94" s="68">
        <f t="shared" si="81"/>
        <v>19.829999999999998</v>
      </c>
      <c r="X94" s="68">
        <f>VLOOKUP($F94,Limits!$R$2:$T$5,3,FALSE)</f>
        <v>100.61</v>
      </c>
      <c r="Y94" s="68">
        <f t="shared" si="82"/>
        <v>103.73</v>
      </c>
      <c r="Z94" s="75">
        <f>VLOOKUP(A94,FRV!$A$4:$U$208,21,FALSE)</f>
        <v>25.34</v>
      </c>
      <c r="AA94" s="141">
        <f>VLOOKUP(A94,'RE Tax'!$A$2:$G$206,3,FALSE)</f>
        <v>45108</v>
      </c>
      <c r="AB94" s="141">
        <f>VLOOKUP(A94,'RE Tax'!$A$2:$G$206,4,FALSE)</f>
        <v>45473</v>
      </c>
      <c r="AC94" s="4">
        <f>VLOOKUP(A94,'RE Tax'!$A$2:$G$206,7,FALSE)</f>
        <v>153152</v>
      </c>
      <c r="AD94" s="4">
        <f>VLOOKUP($A94,'RE Tax'!$A$2:$I$206,9,FALSE)</f>
        <v>59292</v>
      </c>
      <c r="AE94" s="4">
        <f>VLOOKUP($A94,'RE Tax'!$A$2:$I$206,8,FALSE)</f>
        <v>57219</v>
      </c>
      <c r="AF94" s="142">
        <f>IF(ISNA(VLOOKUP(A94&amp;AB94,'Days Exceptions'!$C$3:$I$7,6,FALSE)),ROUND(AC94/MAX(AE94,(AD94*Min_Occ)),2),ROUND(AC94/VLOOKUP(A94&amp;AB94,'Days Exceptions'!$C$3:$I$7,6,FALSE),2))</f>
        <v>2.68</v>
      </c>
      <c r="AG94" s="68">
        <v>0</v>
      </c>
      <c r="AH94" s="68">
        <f t="shared" si="83"/>
        <v>0</v>
      </c>
      <c r="AI94" s="4">
        <v>54349</v>
      </c>
      <c r="AJ94" s="4">
        <v>57112</v>
      </c>
      <c r="AK94" s="68">
        <f>IF(AI94=0,0,IF(ISNA(MATCH(A94,Documentation!$B$66:$B$71,0)),QA_Tax_reg,QA_Tax_5high))</f>
        <v>32.92</v>
      </c>
      <c r="AL94" s="75">
        <f t="shared" si="84"/>
        <v>31.33</v>
      </c>
      <c r="AM94" s="68">
        <f t="shared" si="85"/>
        <v>287.2</v>
      </c>
      <c r="AN94" s="68">
        <f t="shared" si="86"/>
        <v>219.39</v>
      </c>
      <c r="AO94" s="68">
        <f t="shared" si="87"/>
        <v>151.58000000000001</v>
      </c>
      <c r="AP94" s="37" t="s">
        <v>15</v>
      </c>
      <c r="AQ94" s="37" t="s">
        <v>215</v>
      </c>
      <c r="AR94" s="37" t="s">
        <v>1047</v>
      </c>
      <c r="AS94" s="66" t="e">
        <f>VLOOKUP(A94,'CMI Data'!$A$3:$J$209,10,FALSE)</f>
        <v>#DIV/0!</v>
      </c>
      <c r="AT94" s="68">
        <f t="shared" si="59"/>
        <v>170.1</v>
      </c>
      <c r="AU94" s="68" t="e">
        <f t="shared" si="60"/>
        <v>#DIV/0!</v>
      </c>
      <c r="AV94" s="75" t="e">
        <f t="shared" si="88"/>
        <v>#DIV/0!</v>
      </c>
      <c r="AW94" s="68" t="e">
        <f>IF($I94="NA","NA",ROUND(#REF!*$AS94/$I94,2))</f>
        <v>#REF!</v>
      </c>
      <c r="AX94" s="75" t="e">
        <f t="shared" si="57"/>
        <v>#REF!</v>
      </c>
      <c r="AY94" s="68" t="e">
        <f t="shared" si="89"/>
        <v>#REF!</v>
      </c>
      <c r="AZ94" s="4">
        <f t="shared" si="90"/>
        <v>153152</v>
      </c>
      <c r="BA94" s="4">
        <f t="shared" si="91"/>
        <v>59292</v>
      </c>
      <c r="BB94" s="4">
        <f t="shared" si="92"/>
        <v>57219</v>
      </c>
      <c r="BC94" s="142">
        <f>IF(ISNA(VLOOKUP($A94&amp;$AB94,'Days Exceptions'!$C$3:$I$7,6,FALSE)),ROUND(AZ94/MAX(BB94,(BA94*Min_Occ)),2),ROUND(AZ94/VLOOKUP($A94&amp;$AB94,'Days Exceptions'!$C$3:$I$7,6,FALSE),2))</f>
        <v>2.68</v>
      </c>
      <c r="BD94" s="143" t="e">
        <f t="shared" si="61"/>
        <v>#REF!</v>
      </c>
      <c r="BE94" s="143" t="e">
        <f t="shared" si="62"/>
        <v>#REF!</v>
      </c>
      <c r="BF94" s="143">
        <f t="shared" si="63"/>
        <v>147.86000000000001</v>
      </c>
      <c r="BG94" s="37" t="s">
        <v>15</v>
      </c>
      <c r="BH94" s="37" t="s">
        <v>215</v>
      </c>
      <c r="BI94" s="37" t="s">
        <v>1251</v>
      </c>
      <c r="BJ94" s="66" t="e">
        <f>VLOOKUP(A94,'CMI Data'!$A$3:$AZ$209,15,FALSE)</f>
        <v>#DIV/0!</v>
      </c>
      <c r="BK94" s="68">
        <f t="shared" si="64"/>
        <v>170.1</v>
      </c>
      <c r="BL94" s="68" t="e">
        <f t="shared" si="65"/>
        <v>#DIV/0!</v>
      </c>
      <c r="BM94" s="75" t="e">
        <f t="shared" si="93"/>
        <v>#DIV/0!</v>
      </c>
      <c r="BN94" s="68" t="e">
        <f>IF($I94="NA","NA",ROUND(#REF!*$BJ94/$I94,2))</f>
        <v>#REF!</v>
      </c>
      <c r="BO94" s="75" t="e">
        <f t="shared" si="94"/>
        <v>#REF!</v>
      </c>
      <c r="BP94" s="68" t="e">
        <f t="shared" si="95"/>
        <v>#REF!</v>
      </c>
      <c r="BQ94" s="4">
        <f t="shared" si="96"/>
        <v>153152</v>
      </c>
      <c r="BR94" s="4">
        <f t="shared" si="97"/>
        <v>59292</v>
      </c>
      <c r="BS94" s="4">
        <f t="shared" si="98"/>
        <v>57219</v>
      </c>
      <c r="BT94" s="142">
        <f>IF(ISNA(VLOOKUP($A94&amp;$AB94,'Days Exceptions'!$C$3:$I$7,6,FALSE)),ROUND(BQ94/MAX(BS94,(BR94*Min_Occ)),2),ROUND(BQ94/VLOOKUP($A94&amp;$AB94,'Days Exceptions'!$C$3:$I$7,6,FALSE),2))</f>
        <v>2.68</v>
      </c>
      <c r="BU94" s="143" t="e">
        <f t="shared" si="66"/>
        <v>#REF!</v>
      </c>
      <c r="BV94" s="143" t="e">
        <f t="shared" si="67"/>
        <v>#REF!</v>
      </c>
      <c r="BW94" s="143">
        <f t="shared" si="68"/>
        <v>147.86000000000001</v>
      </c>
      <c r="BX94" s="37" t="s">
        <v>15</v>
      </c>
      <c r="BY94" s="37" t="s">
        <v>215</v>
      </c>
      <c r="BZ94" s="37" t="s">
        <v>1546</v>
      </c>
      <c r="CA94" s="66" t="e">
        <f>VLOOKUP(A94,'CMI Data'!$A$3:$AZ$209,20,FALSE)</f>
        <v>#DIV/0!</v>
      </c>
      <c r="CB94" s="68">
        <f t="shared" si="69"/>
        <v>170.1</v>
      </c>
      <c r="CC94" s="68" t="e">
        <f t="shared" si="70"/>
        <v>#DIV/0!</v>
      </c>
      <c r="CD94" s="75" t="e">
        <f t="shared" si="99"/>
        <v>#DIV/0!</v>
      </c>
      <c r="CE94" s="68" t="e">
        <f>IF($I94="NA","NA",ROUND(#REF!*$CA94/$I94,2))</f>
        <v>#REF!</v>
      </c>
      <c r="CF94" s="75" t="e">
        <f t="shared" si="100"/>
        <v>#REF!</v>
      </c>
      <c r="CG94" s="68" t="e">
        <f t="shared" si="101"/>
        <v>#REF!</v>
      </c>
      <c r="CH94" s="4">
        <f t="shared" si="102"/>
        <v>153152</v>
      </c>
      <c r="CI94" s="4">
        <f t="shared" si="103"/>
        <v>59292</v>
      </c>
      <c r="CJ94" s="4">
        <f t="shared" si="104"/>
        <v>57219</v>
      </c>
      <c r="CK94" s="142">
        <f>IF(ISNA(VLOOKUP($A94&amp;$AB94,'Days Exceptions'!$C$3:$I$7,6,FALSE)),ROUND(CH94/MAX(CJ94,(CI94*Min_Occ)),2),ROUND(CH94/VLOOKUP($A94&amp;$AB94,'Days Exceptions'!$C$3:$I$7,6,FALSE),2))</f>
        <v>2.68</v>
      </c>
      <c r="CL94" s="143" t="e">
        <f t="shared" si="71"/>
        <v>#REF!</v>
      </c>
      <c r="CM94" s="143" t="e">
        <f t="shared" si="72"/>
        <v>#REF!</v>
      </c>
      <c r="CN94" s="143">
        <f t="shared" si="73"/>
        <v>147.86000000000001</v>
      </c>
      <c r="CO94" s="37" t="s">
        <v>15</v>
      </c>
      <c r="CP94" s="37" t="s">
        <v>215</v>
      </c>
      <c r="CQ94" s="37" t="s">
        <v>1547</v>
      </c>
    </row>
    <row r="95" spans="1:95" x14ac:dyDescent="0.15">
      <c r="A95" s="130">
        <v>727</v>
      </c>
      <c r="B95" s="37" t="s">
        <v>214</v>
      </c>
      <c r="C95" s="1" t="s">
        <v>148</v>
      </c>
      <c r="D95" s="1" t="s">
        <v>120</v>
      </c>
      <c r="E95" s="1" t="str">
        <f>VLOOKUP(D95,Documentation!$B$4:$D$27,3,FALSE)</f>
        <v>WASHINGTON METRO</v>
      </c>
      <c r="F95" s="1" t="str">
        <f>VLOOKUP(D95,Documentation!$B$4:$C$27,2,FALSE)</f>
        <v>WASHINGTON METRO</v>
      </c>
      <c r="G95" s="82">
        <f>VLOOKUP(A95,'2022 CR and CMI'!$A$3:$D$207,3,FALSE)</f>
        <v>44378</v>
      </c>
      <c r="H95" s="82">
        <f>VLOOKUP(A95,'2022 CR and CMI'!$A$3:$D$207,4,FALSE)</f>
        <v>44742</v>
      </c>
      <c r="I95" s="72">
        <f>VLOOKUP(A95,'2022 CR and CMI'!$A$2:$T$210,19,FALSE)</f>
        <v>1.3194999999999999</v>
      </c>
      <c r="J95" s="139">
        <f>Inflation!$G$24</f>
        <v>1.0309999999999999</v>
      </c>
      <c r="K95" s="192">
        <f>VLOOKUP(E95,Limits!$B$2:$D$5,3,FALSE)</f>
        <v>176.01</v>
      </c>
      <c r="L95" s="192">
        <f t="shared" si="74"/>
        <v>181.47</v>
      </c>
      <c r="M95" s="140">
        <f>VLOOKUP(A95,'CMI Data'!$A$4:$C$208,3,FALSE)</f>
        <v>1.32</v>
      </c>
      <c r="N95" s="68">
        <f t="shared" si="58"/>
        <v>165.92</v>
      </c>
      <c r="O95" s="68">
        <f t="shared" si="75"/>
        <v>165.98</v>
      </c>
      <c r="P95" s="75">
        <f t="shared" si="76"/>
        <v>157.68</v>
      </c>
      <c r="Q95" s="75">
        <v>157.01</v>
      </c>
      <c r="R95" s="75">
        <f t="shared" si="77"/>
        <v>161.88</v>
      </c>
      <c r="S95" s="68">
        <f t="shared" si="78"/>
        <v>161.94</v>
      </c>
      <c r="T95" s="75">
        <f t="shared" si="79"/>
        <v>0</v>
      </c>
      <c r="U95" s="68">
        <f t="shared" si="80"/>
        <v>165.98</v>
      </c>
      <c r="V95" s="68">
        <f>VLOOKUP($F95,Limits!$J$2:$L$5,3,FALSE)</f>
        <v>19.23</v>
      </c>
      <c r="W95" s="68">
        <f t="shared" si="81"/>
        <v>19.829999999999998</v>
      </c>
      <c r="X95" s="68">
        <f>VLOOKUP($F95,Limits!$R$2:$T$5,3,FALSE)</f>
        <v>100.61</v>
      </c>
      <c r="Y95" s="68">
        <f t="shared" si="82"/>
        <v>103.73</v>
      </c>
      <c r="Z95" s="75">
        <f>VLOOKUP(A95,FRV!$A$4:$U$208,21,FALSE)</f>
        <v>26.51</v>
      </c>
      <c r="AA95" s="141">
        <f>VLOOKUP(A95,'RE Tax'!$A$2:$G$206,3,FALSE)</f>
        <v>45108</v>
      </c>
      <c r="AB95" s="141">
        <f>VLOOKUP(A95,'RE Tax'!$A$2:$G$206,4,FALSE)</f>
        <v>45473</v>
      </c>
      <c r="AC95" s="4">
        <f>VLOOKUP(A95,'RE Tax'!$A$2:$G$206,7,FALSE)</f>
        <v>184464</v>
      </c>
      <c r="AD95" s="4">
        <f>VLOOKUP($A95,'RE Tax'!$A$2:$I$206,9,FALSE)</f>
        <v>54900</v>
      </c>
      <c r="AE95" s="4">
        <f>VLOOKUP($A95,'RE Tax'!$A$2:$I$206,8,FALSE)</f>
        <v>52187</v>
      </c>
      <c r="AF95" s="142">
        <f>IF(ISNA(VLOOKUP(A95&amp;AB95,'Days Exceptions'!$C$3:$I$7,6,FALSE)),ROUND(AC95/MAX(AE95,(AD95*Min_Occ)),2),ROUND(AC95/VLOOKUP(A95&amp;AB95,'Days Exceptions'!$C$3:$I$7,6,FALSE),2))</f>
        <v>3.53</v>
      </c>
      <c r="AG95" s="68">
        <v>0</v>
      </c>
      <c r="AH95" s="68">
        <f t="shared" si="83"/>
        <v>0</v>
      </c>
      <c r="AI95" s="4">
        <v>47524</v>
      </c>
      <c r="AJ95" s="4">
        <v>51529</v>
      </c>
      <c r="AK95" s="68">
        <f>IF(AI95=0,0,IF(ISNA(MATCH(A95,Documentation!$B$66:$B$71,0)),QA_Tax_reg,QA_Tax_5high))</f>
        <v>32.92</v>
      </c>
      <c r="AL95" s="75">
        <f t="shared" si="84"/>
        <v>30.36</v>
      </c>
      <c r="AM95" s="68">
        <f t="shared" si="85"/>
        <v>319.58</v>
      </c>
      <c r="AN95" s="68">
        <f t="shared" si="86"/>
        <v>236.59</v>
      </c>
      <c r="AO95" s="68">
        <f t="shared" si="87"/>
        <v>153.6</v>
      </c>
      <c r="AP95" s="37" t="s">
        <v>14</v>
      </c>
      <c r="AQ95" s="37" t="s">
        <v>214</v>
      </c>
      <c r="AR95" s="37" t="s">
        <v>1048</v>
      </c>
      <c r="AS95" s="66" t="e">
        <f>VLOOKUP(A95,'CMI Data'!$A$3:$J$209,10,FALSE)</f>
        <v>#DIV/0!</v>
      </c>
      <c r="AT95" s="68">
        <f t="shared" si="59"/>
        <v>160.91999999999999</v>
      </c>
      <c r="AU95" s="68" t="e">
        <f t="shared" si="60"/>
        <v>#DIV/0!</v>
      </c>
      <c r="AV95" s="75" t="e">
        <f t="shared" si="88"/>
        <v>#DIV/0!</v>
      </c>
      <c r="AW95" s="68" t="e">
        <f>IF($I95="NA","NA",ROUND(#REF!*$AS95/$I95,2))</f>
        <v>#REF!</v>
      </c>
      <c r="AX95" s="75" t="e">
        <f t="shared" si="57"/>
        <v>#REF!</v>
      </c>
      <c r="AY95" s="68" t="e">
        <f t="shared" si="89"/>
        <v>#REF!</v>
      </c>
      <c r="AZ95" s="4">
        <f t="shared" si="90"/>
        <v>184464</v>
      </c>
      <c r="BA95" s="4">
        <f t="shared" si="91"/>
        <v>54900</v>
      </c>
      <c r="BB95" s="4">
        <f t="shared" si="92"/>
        <v>52187</v>
      </c>
      <c r="BC95" s="142">
        <f>IF(ISNA(VLOOKUP($A95&amp;$AB95,'Days Exceptions'!$C$3:$I$7,6,FALSE)),ROUND(AZ95/MAX(BB95,(BA95*Min_Occ)),2),ROUND(AZ95/VLOOKUP($A95&amp;$AB95,'Days Exceptions'!$C$3:$I$7,6,FALSE),2))</f>
        <v>3.53</v>
      </c>
      <c r="BD95" s="143" t="e">
        <f t="shared" si="61"/>
        <v>#REF!</v>
      </c>
      <c r="BE95" s="143" t="e">
        <f t="shared" si="62"/>
        <v>#REF!</v>
      </c>
      <c r="BF95" s="143">
        <f t="shared" si="63"/>
        <v>149.88</v>
      </c>
      <c r="BG95" s="37" t="s">
        <v>14</v>
      </c>
      <c r="BH95" s="37" t="s">
        <v>214</v>
      </c>
      <c r="BI95" s="37" t="s">
        <v>1252</v>
      </c>
      <c r="BJ95" s="66" t="e">
        <f>VLOOKUP(A95,'CMI Data'!$A$3:$AZ$209,15,FALSE)</f>
        <v>#DIV/0!</v>
      </c>
      <c r="BK95" s="68">
        <f t="shared" si="64"/>
        <v>160.91999999999999</v>
      </c>
      <c r="BL95" s="68" t="e">
        <f t="shared" si="65"/>
        <v>#DIV/0!</v>
      </c>
      <c r="BM95" s="75" t="e">
        <f t="shared" si="93"/>
        <v>#DIV/0!</v>
      </c>
      <c r="BN95" s="68" t="e">
        <f>IF($I95="NA","NA",ROUND(#REF!*$BJ95/$I95,2))</f>
        <v>#REF!</v>
      </c>
      <c r="BO95" s="75" t="e">
        <f t="shared" si="94"/>
        <v>#REF!</v>
      </c>
      <c r="BP95" s="68" t="e">
        <f t="shared" si="95"/>
        <v>#REF!</v>
      </c>
      <c r="BQ95" s="4">
        <f t="shared" si="96"/>
        <v>184464</v>
      </c>
      <c r="BR95" s="4">
        <f t="shared" si="97"/>
        <v>54900</v>
      </c>
      <c r="BS95" s="4">
        <f t="shared" si="98"/>
        <v>52187</v>
      </c>
      <c r="BT95" s="142">
        <f>IF(ISNA(VLOOKUP($A95&amp;$AB95,'Days Exceptions'!$C$3:$I$7,6,FALSE)),ROUND(BQ95/MAX(BS95,(BR95*Min_Occ)),2),ROUND(BQ95/VLOOKUP($A95&amp;$AB95,'Days Exceptions'!$C$3:$I$7,6,FALSE),2))</f>
        <v>3.53</v>
      </c>
      <c r="BU95" s="143" t="e">
        <f t="shared" si="66"/>
        <v>#REF!</v>
      </c>
      <c r="BV95" s="143" t="e">
        <f t="shared" si="67"/>
        <v>#REF!</v>
      </c>
      <c r="BW95" s="143">
        <f t="shared" si="68"/>
        <v>149.88</v>
      </c>
      <c r="BX95" s="37" t="s">
        <v>14</v>
      </c>
      <c r="BY95" s="37" t="s">
        <v>214</v>
      </c>
      <c r="BZ95" s="37" t="s">
        <v>1548</v>
      </c>
      <c r="CA95" s="66" t="e">
        <f>VLOOKUP(A95,'CMI Data'!$A$3:$AZ$209,20,FALSE)</f>
        <v>#DIV/0!</v>
      </c>
      <c r="CB95" s="68">
        <f t="shared" si="69"/>
        <v>160.91999999999999</v>
      </c>
      <c r="CC95" s="68" t="e">
        <f t="shared" si="70"/>
        <v>#DIV/0!</v>
      </c>
      <c r="CD95" s="75" t="e">
        <f t="shared" si="99"/>
        <v>#DIV/0!</v>
      </c>
      <c r="CE95" s="68" t="e">
        <f>IF($I95="NA","NA",ROUND(#REF!*$CA95/$I95,2))</f>
        <v>#REF!</v>
      </c>
      <c r="CF95" s="75" t="e">
        <f t="shared" si="100"/>
        <v>#REF!</v>
      </c>
      <c r="CG95" s="68" t="e">
        <f t="shared" si="101"/>
        <v>#REF!</v>
      </c>
      <c r="CH95" s="4">
        <f t="shared" si="102"/>
        <v>184464</v>
      </c>
      <c r="CI95" s="4">
        <f t="shared" si="103"/>
        <v>54900</v>
      </c>
      <c r="CJ95" s="4">
        <f t="shared" si="104"/>
        <v>52187</v>
      </c>
      <c r="CK95" s="142">
        <f>IF(ISNA(VLOOKUP($A95&amp;$AB95,'Days Exceptions'!$C$3:$I$7,6,FALSE)),ROUND(CH95/MAX(CJ95,(CI95*Min_Occ)),2),ROUND(CH95/VLOOKUP($A95&amp;$AB95,'Days Exceptions'!$C$3:$I$7,6,FALSE),2))</f>
        <v>3.53</v>
      </c>
      <c r="CL95" s="143" t="e">
        <f t="shared" si="71"/>
        <v>#REF!</v>
      </c>
      <c r="CM95" s="143" t="e">
        <f t="shared" si="72"/>
        <v>#REF!</v>
      </c>
      <c r="CN95" s="143">
        <f t="shared" si="73"/>
        <v>149.88</v>
      </c>
      <c r="CO95" s="37" t="s">
        <v>14</v>
      </c>
      <c r="CP95" s="37" t="s">
        <v>214</v>
      </c>
      <c r="CQ95" s="37" t="s">
        <v>1549</v>
      </c>
    </row>
    <row r="96" spans="1:95" x14ac:dyDescent="0.15">
      <c r="A96" s="130">
        <v>164</v>
      </c>
      <c r="B96" s="37" t="s">
        <v>712</v>
      </c>
      <c r="C96" s="1" t="s">
        <v>148</v>
      </c>
      <c r="D96" s="1" t="s">
        <v>119</v>
      </c>
      <c r="E96" s="1" t="str">
        <f>VLOOKUP(D96,Documentation!$B$4:$D$27,3,FALSE)</f>
        <v>WASHINGTON METRO</v>
      </c>
      <c r="F96" s="1" t="str">
        <f>VLOOKUP(D96,Documentation!$B$4:$C$27,2,FALSE)</f>
        <v>WASHINGTON METRO</v>
      </c>
      <c r="G96" s="82">
        <f>VLOOKUP(A96,'2022 CR and CMI'!$A$3:$D$207,3,FALSE)</f>
        <v>44562</v>
      </c>
      <c r="H96" s="82">
        <f>VLOOKUP(A96,'2022 CR and CMI'!$A$3:$D$207,4,FALSE)</f>
        <v>44926</v>
      </c>
      <c r="I96" s="72">
        <f>VLOOKUP(A96,'2022 CR and CMI'!$A$2:$T$210,19,FALSE)</f>
        <v>1.3505</v>
      </c>
      <c r="J96" s="139">
        <f>Inflation!$G$24</f>
        <v>1.0309999999999999</v>
      </c>
      <c r="K96" s="192">
        <f>VLOOKUP(E96,Limits!$B$2:$D$5,3,FALSE)</f>
        <v>176.01</v>
      </c>
      <c r="L96" s="192">
        <f t="shared" si="74"/>
        <v>181.47</v>
      </c>
      <c r="M96" s="140">
        <f>VLOOKUP(A96,'CMI Data'!$A$4:$C$208,3,FALSE)</f>
        <v>1.0709</v>
      </c>
      <c r="N96" s="68">
        <f t="shared" si="58"/>
        <v>169.81</v>
      </c>
      <c r="O96" s="68">
        <f t="shared" si="75"/>
        <v>134.65</v>
      </c>
      <c r="P96" s="75">
        <f t="shared" si="76"/>
        <v>127.92</v>
      </c>
      <c r="Q96" s="75">
        <v>123.37</v>
      </c>
      <c r="R96" s="75">
        <f t="shared" si="77"/>
        <v>127.19</v>
      </c>
      <c r="S96" s="68">
        <f t="shared" si="78"/>
        <v>100.86</v>
      </c>
      <c r="T96" s="75">
        <f t="shared" si="79"/>
        <v>-27.06</v>
      </c>
      <c r="U96" s="68">
        <f t="shared" si="80"/>
        <v>107.59</v>
      </c>
      <c r="V96" s="68">
        <f>VLOOKUP($F96,Limits!$J$2:$L$5,3,FALSE)</f>
        <v>19.23</v>
      </c>
      <c r="W96" s="68">
        <f t="shared" si="81"/>
        <v>19.829999999999998</v>
      </c>
      <c r="X96" s="68">
        <f>VLOOKUP($F96,Limits!$R$2:$T$5,3,FALSE)</f>
        <v>100.61</v>
      </c>
      <c r="Y96" s="68">
        <f t="shared" si="82"/>
        <v>103.73</v>
      </c>
      <c r="Z96" s="75">
        <f>VLOOKUP(A96,FRV!$A$4:$U$208,21,FALSE)</f>
        <v>37.96</v>
      </c>
      <c r="AA96" s="141">
        <f>VLOOKUP(A96,'RE Tax'!$A$2:$G$206,3,FALSE)</f>
        <v>45292</v>
      </c>
      <c r="AB96" s="141">
        <f>VLOOKUP(A96,'RE Tax'!$A$2:$G$206,4,FALSE)</f>
        <v>45657</v>
      </c>
      <c r="AC96" s="4">
        <f>VLOOKUP(A96,'RE Tax'!$A$2:$G$206,7,FALSE)</f>
        <v>71799</v>
      </c>
      <c r="AD96" s="4">
        <f>VLOOKUP($A96,'RE Tax'!$A$2:$I$206,9,FALSE)</f>
        <v>27084</v>
      </c>
      <c r="AE96" s="4">
        <f>VLOOKUP($A96,'RE Tax'!$A$2:$I$206,8,FALSE)</f>
        <v>24804</v>
      </c>
      <c r="AF96" s="142">
        <f>IF(ISNA(VLOOKUP(A96&amp;AB96,'Days Exceptions'!$C$3:$I$7,6,FALSE)),ROUND(AC96/MAX(AE96,(AD96*Min_Occ)),2),ROUND(AC96/VLOOKUP(A96&amp;AB96,'Days Exceptions'!$C$3:$I$7,6,FALSE),2))</f>
        <v>2.89</v>
      </c>
      <c r="AG96" s="68">
        <v>0</v>
      </c>
      <c r="AH96" s="68">
        <f t="shared" si="83"/>
        <v>0</v>
      </c>
      <c r="AI96" s="4">
        <v>21912</v>
      </c>
      <c r="AJ96" s="4">
        <v>24807</v>
      </c>
      <c r="AK96" s="68">
        <f>IF(AI96=0,0,IF(ISNA(MATCH(A96,Documentation!$B$66:$B$71,0)),QA_Tax_reg,QA_Tax_5high))</f>
        <v>32.92</v>
      </c>
      <c r="AL96" s="75">
        <f t="shared" si="84"/>
        <v>29.08</v>
      </c>
      <c r="AM96" s="68">
        <f t="shared" si="85"/>
        <v>272</v>
      </c>
      <c r="AN96" s="68">
        <f t="shared" si="86"/>
        <v>218.21</v>
      </c>
      <c r="AO96" s="68">
        <f t="shared" si="87"/>
        <v>164.41</v>
      </c>
      <c r="AP96" s="37" t="s">
        <v>748</v>
      </c>
      <c r="AQ96" s="37" t="s">
        <v>712</v>
      </c>
      <c r="AR96" s="37" t="s">
        <v>1049</v>
      </c>
      <c r="AS96" s="66" t="e">
        <f>VLOOKUP(A96,'CMI Data'!$A$3:$J$209,10,FALSE)</f>
        <v>#DIV/0!</v>
      </c>
      <c r="AT96" s="68">
        <f t="shared" si="59"/>
        <v>164.7</v>
      </c>
      <c r="AU96" s="68" t="e">
        <f t="shared" si="60"/>
        <v>#DIV/0!</v>
      </c>
      <c r="AV96" s="75" t="e">
        <f t="shared" si="88"/>
        <v>#DIV/0!</v>
      </c>
      <c r="AW96" s="68" t="e">
        <f>IF($I96="NA","NA",ROUND(#REF!*$AS96/$I96,2))</f>
        <v>#REF!</v>
      </c>
      <c r="AX96" s="75" t="e">
        <f t="shared" si="57"/>
        <v>#REF!</v>
      </c>
      <c r="AY96" s="68" t="e">
        <f t="shared" si="89"/>
        <v>#REF!</v>
      </c>
      <c r="AZ96" s="4">
        <f t="shared" si="90"/>
        <v>71799</v>
      </c>
      <c r="BA96" s="4">
        <f t="shared" si="91"/>
        <v>27084</v>
      </c>
      <c r="BB96" s="4">
        <f t="shared" si="92"/>
        <v>24804</v>
      </c>
      <c r="BC96" s="142">
        <f>IF(ISNA(VLOOKUP($A96&amp;$AB96,'Days Exceptions'!$C$3:$I$7,6,FALSE)),ROUND(AZ96/MAX(BB96,(BA96*Min_Occ)),2),ROUND(AZ96/VLOOKUP($A96&amp;$AB96,'Days Exceptions'!$C$3:$I$7,6,FALSE),2))</f>
        <v>2.89</v>
      </c>
      <c r="BD96" s="143" t="e">
        <f t="shared" si="61"/>
        <v>#REF!</v>
      </c>
      <c r="BE96" s="143" t="e">
        <f t="shared" si="62"/>
        <v>#REF!</v>
      </c>
      <c r="BF96" s="143">
        <f t="shared" si="63"/>
        <v>160.69</v>
      </c>
      <c r="BG96" s="37" t="s">
        <v>748</v>
      </c>
      <c r="BH96" s="37" t="s">
        <v>712</v>
      </c>
      <c r="BI96" s="37" t="s">
        <v>1253</v>
      </c>
      <c r="BJ96" s="66" t="e">
        <f>VLOOKUP(A96,'CMI Data'!$A$3:$AZ$209,15,FALSE)</f>
        <v>#DIV/0!</v>
      </c>
      <c r="BK96" s="68">
        <f t="shared" si="64"/>
        <v>164.7</v>
      </c>
      <c r="BL96" s="68" t="e">
        <f t="shared" si="65"/>
        <v>#DIV/0!</v>
      </c>
      <c r="BM96" s="75" t="e">
        <f t="shared" si="93"/>
        <v>#DIV/0!</v>
      </c>
      <c r="BN96" s="68" t="e">
        <f>IF($I96="NA","NA",ROUND(#REF!*$BJ96/$I96,2))</f>
        <v>#REF!</v>
      </c>
      <c r="BO96" s="75" t="e">
        <f t="shared" si="94"/>
        <v>#REF!</v>
      </c>
      <c r="BP96" s="68" t="e">
        <f t="shared" si="95"/>
        <v>#REF!</v>
      </c>
      <c r="BQ96" s="4">
        <f t="shared" si="96"/>
        <v>71799</v>
      </c>
      <c r="BR96" s="4">
        <f t="shared" si="97"/>
        <v>27084</v>
      </c>
      <c r="BS96" s="4">
        <f t="shared" si="98"/>
        <v>24804</v>
      </c>
      <c r="BT96" s="142">
        <f>IF(ISNA(VLOOKUP($A96&amp;$AB96,'Days Exceptions'!$C$3:$I$7,6,FALSE)),ROUND(BQ96/MAX(BS96,(BR96*Min_Occ)),2),ROUND(BQ96/VLOOKUP($A96&amp;$AB96,'Days Exceptions'!$C$3:$I$7,6,FALSE),2))</f>
        <v>2.89</v>
      </c>
      <c r="BU96" s="143" t="e">
        <f t="shared" si="66"/>
        <v>#REF!</v>
      </c>
      <c r="BV96" s="143" t="e">
        <f t="shared" si="67"/>
        <v>#REF!</v>
      </c>
      <c r="BW96" s="143">
        <f t="shared" si="68"/>
        <v>160.69</v>
      </c>
      <c r="BX96" s="37" t="s">
        <v>748</v>
      </c>
      <c r="BY96" s="37" t="s">
        <v>712</v>
      </c>
      <c r="BZ96" s="37" t="s">
        <v>1550</v>
      </c>
      <c r="CA96" s="66" t="e">
        <f>VLOOKUP(A96,'CMI Data'!$A$3:$AZ$209,20,FALSE)</f>
        <v>#DIV/0!</v>
      </c>
      <c r="CB96" s="68">
        <f t="shared" si="69"/>
        <v>164.7</v>
      </c>
      <c r="CC96" s="68" t="e">
        <f t="shared" si="70"/>
        <v>#DIV/0!</v>
      </c>
      <c r="CD96" s="75" t="e">
        <f t="shared" si="99"/>
        <v>#DIV/0!</v>
      </c>
      <c r="CE96" s="68" t="e">
        <f>IF($I96="NA","NA",ROUND(#REF!*$CA96/$I96,2))</f>
        <v>#REF!</v>
      </c>
      <c r="CF96" s="75" t="e">
        <f t="shared" si="100"/>
        <v>#REF!</v>
      </c>
      <c r="CG96" s="68" t="e">
        <f t="shared" si="101"/>
        <v>#REF!</v>
      </c>
      <c r="CH96" s="4">
        <f t="shared" si="102"/>
        <v>71799</v>
      </c>
      <c r="CI96" s="4">
        <f t="shared" si="103"/>
        <v>27084</v>
      </c>
      <c r="CJ96" s="4">
        <f t="shared" si="104"/>
        <v>24804</v>
      </c>
      <c r="CK96" s="142">
        <f>IF(ISNA(VLOOKUP($A96&amp;$AB96,'Days Exceptions'!$C$3:$I$7,6,FALSE)),ROUND(CH96/MAX(CJ96,(CI96*Min_Occ)),2),ROUND(CH96/VLOOKUP($A96&amp;$AB96,'Days Exceptions'!$C$3:$I$7,6,FALSE),2))</f>
        <v>2.89</v>
      </c>
      <c r="CL96" s="143" t="e">
        <f t="shared" si="71"/>
        <v>#REF!</v>
      </c>
      <c r="CM96" s="143" t="e">
        <f t="shared" si="72"/>
        <v>#REF!</v>
      </c>
      <c r="CN96" s="143">
        <f t="shared" si="73"/>
        <v>160.69</v>
      </c>
      <c r="CO96" s="37" t="s">
        <v>748</v>
      </c>
      <c r="CP96" s="37" t="s">
        <v>712</v>
      </c>
      <c r="CQ96" s="37" t="s">
        <v>1551</v>
      </c>
    </row>
    <row r="97" spans="1:95" x14ac:dyDescent="0.15">
      <c r="A97" s="130">
        <v>168</v>
      </c>
      <c r="B97" s="37" t="s">
        <v>177</v>
      </c>
      <c r="C97" s="1" t="s">
        <v>148</v>
      </c>
      <c r="D97" s="1" t="s">
        <v>107</v>
      </c>
      <c r="E97" s="1" t="str">
        <f>VLOOKUP(D97,Documentation!$B$4:$D$27,3,FALSE)</f>
        <v>BALTIMORE METRO</v>
      </c>
      <c r="F97" s="1" t="str">
        <f>VLOOKUP(D97,Documentation!$B$4:$C$27,2,FALSE)</f>
        <v>BALTIMORE METRO</v>
      </c>
      <c r="G97" s="82">
        <f>VLOOKUP(A97,'2022 CR and CMI'!$A$3:$D$207,3,FALSE)</f>
        <v>44562</v>
      </c>
      <c r="H97" s="82">
        <f>VLOOKUP(A97,'2022 CR and CMI'!$A$3:$D$207,4,FALSE)</f>
        <v>44926</v>
      </c>
      <c r="I97" s="72">
        <f>VLOOKUP(A97,'2022 CR and CMI'!$A$2:$T$210,19,FALSE)</f>
        <v>1.4438</v>
      </c>
      <c r="J97" s="139">
        <f>Inflation!$G$24</f>
        <v>1.0309999999999999</v>
      </c>
      <c r="K97" s="192">
        <f>VLOOKUP(E97,Limits!$B$2:$D$5,3,FALSE)</f>
        <v>195.33</v>
      </c>
      <c r="L97" s="192">
        <f t="shared" si="74"/>
        <v>201.39</v>
      </c>
      <c r="M97" s="140">
        <f>VLOOKUP(A97,'CMI Data'!$A$4:$C$208,3,FALSE)</f>
        <v>1.4778</v>
      </c>
      <c r="N97" s="68">
        <f t="shared" si="58"/>
        <v>201.47</v>
      </c>
      <c r="O97" s="68">
        <f t="shared" si="75"/>
        <v>206.21</v>
      </c>
      <c r="P97" s="75">
        <f t="shared" si="76"/>
        <v>195.9</v>
      </c>
      <c r="Q97" s="75">
        <v>185.84</v>
      </c>
      <c r="R97" s="75">
        <f t="shared" si="77"/>
        <v>191.6</v>
      </c>
      <c r="S97" s="68">
        <f t="shared" si="78"/>
        <v>196.11</v>
      </c>
      <c r="T97" s="75">
        <f t="shared" si="79"/>
        <v>0</v>
      </c>
      <c r="U97" s="68">
        <f t="shared" si="80"/>
        <v>206.21</v>
      </c>
      <c r="V97" s="68">
        <f>VLOOKUP($F97,Limits!$J$2:$L$5,3,FALSE)</f>
        <v>20.85</v>
      </c>
      <c r="W97" s="68">
        <f t="shared" si="81"/>
        <v>21.5</v>
      </c>
      <c r="X97" s="68">
        <f>VLOOKUP($F97,Limits!$R$2:$T$5,3,FALSE)</f>
        <v>102.02</v>
      </c>
      <c r="Y97" s="68">
        <f t="shared" si="82"/>
        <v>105.18</v>
      </c>
      <c r="Z97" s="75">
        <f>VLOOKUP(A97,FRV!$A$4:$U$208,21,FALSE)</f>
        <v>38.65</v>
      </c>
      <c r="AA97" s="141">
        <f>VLOOKUP(A97,'RE Tax'!$A$2:$G$206,3,FALSE)</f>
        <v>45292</v>
      </c>
      <c r="AB97" s="141">
        <f>VLOOKUP(A97,'RE Tax'!$A$2:$G$206,4,FALSE)</f>
        <v>45657</v>
      </c>
      <c r="AC97" s="4">
        <f>VLOOKUP(A97,'RE Tax'!$A$2:$G$206,7,FALSE)</f>
        <v>73457</v>
      </c>
      <c r="AD97" s="4">
        <f>VLOOKUP($A97,'RE Tax'!$A$2:$I$206,9,FALSE)</f>
        <v>42822</v>
      </c>
      <c r="AE97" s="4">
        <f>VLOOKUP($A97,'RE Tax'!$A$2:$I$206,8,FALSE)</f>
        <v>39345</v>
      </c>
      <c r="AF97" s="142">
        <f>IF(ISNA(VLOOKUP(A97&amp;AB97,'Days Exceptions'!$C$3:$I$7,6,FALSE)),ROUND(AC97/MAX(AE97,(AD97*Min_Occ)),2),ROUND(AC97/VLOOKUP(A97&amp;AB97,'Days Exceptions'!$C$3:$I$7,6,FALSE),2))</f>
        <v>1.87</v>
      </c>
      <c r="AG97" s="68">
        <v>0</v>
      </c>
      <c r="AH97" s="68">
        <f t="shared" si="83"/>
        <v>0</v>
      </c>
      <c r="AI97" s="4">
        <v>19347</v>
      </c>
      <c r="AJ97" s="4">
        <v>39313</v>
      </c>
      <c r="AK97" s="68">
        <f>IF(AI97=0,0,IF(ISNA(MATCH(A97,Documentation!$B$66:$B$71,0)),QA_Tax_reg,QA_Tax_5high))</f>
        <v>32.92</v>
      </c>
      <c r="AL97" s="75">
        <f t="shared" si="84"/>
        <v>16.2</v>
      </c>
      <c r="AM97" s="68">
        <f t="shared" si="85"/>
        <v>373.41</v>
      </c>
      <c r="AN97" s="68">
        <f t="shared" si="86"/>
        <v>270.31</v>
      </c>
      <c r="AO97" s="68">
        <f t="shared" si="87"/>
        <v>167.2</v>
      </c>
      <c r="AP97" s="37" t="s">
        <v>68</v>
      </c>
      <c r="AQ97" s="37" t="s">
        <v>177</v>
      </c>
      <c r="AR97" s="37" t="s">
        <v>1050</v>
      </c>
      <c r="AS97" s="66" t="e">
        <f>VLOOKUP(A97,'CMI Data'!$A$3:$J$209,10,FALSE)</f>
        <v>#DIV/0!</v>
      </c>
      <c r="AT97" s="68">
        <f t="shared" si="59"/>
        <v>195.41</v>
      </c>
      <c r="AU97" s="68" t="e">
        <f t="shared" si="60"/>
        <v>#DIV/0!</v>
      </c>
      <c r="AV97" s="75" t="e">
        <f t="shared" si="88"/>
        <v>#DIV/0!</v>
      </c>
      <c r="AW97" s="68" t="e">
        <f>IF($I97="NA","NA",ROUND(#REF!*$AS97/$I97,2))</f>
        <v>#REF!</v>
      </c>
      <c r="AX97" s="75" t="e">
        <f t="shared" si="57"/>
        <v>#REF!</v>
      </c>
      <c r="AY97" s="68" t="e">
        <f t="shared" si="89"/>
        <v>#REF!</v>
      </c>
      <c r="AZ97" s="4">
        <f t="shared" si="90"/>
        <v>73457</v>
      </c>
      <c r="BA97" s="4">
        <f t="shared" si="91"/>
        <v>42822</v>
      </c>
      <c r="BB97" s="4">
        <f t="shared" si="92"/>
        <v>39345</v>
      </c>
      <c r="BC97" s="142">
        <f>IF(ISNA(VLOOKUP($A97&amp;$AB97,'Days Exceptions'!$C$3:$I$7,6,FALSE)),ROUND(AZ97/MAX(BB97,(BA97*Min_Occ)),2),ROUND(AZ97/VLOOKUP($A97&amp;$AB97,'Days Exceptions'!$C$3:$I$7,6,FALSE),2))</f>
        <v>1.87</v>
      </c>
      <c r="BD97" s="143" t="e">
        <f t="shared" si="61"/>
        <v>#REF!</v>
      </c>
      <c r="BE97" s="143" t="e">
        <f t="shared" si="62"/>
        <v>#REF!</v>
      </c>
      <c r="BF97" s="143">
        <f t="shared" si="63"/>
        <v>163.38999999999999</v>
      </c>
      <c r="BG97" s="37" t="s">
        <v>68</v>
      </c>
      <c r="BH97" s="37" t="s">
        <v>177</v>
      </c>
      <c r="BI97" s="37" t="s">
        <v>1254</v>
      </c>
      <c r="BJ97" s="66" t="e">
        <f>VLOOKUP(A97,'CMI Data'!$A$3:$AZ$209,15,FALSE)</f>
        <v>#DIV/0!</v>
      </c>
      <c r="BK97" s="68">
        <f t="shared" si="64"/>
        <v>195.41</v>
      </c>
      <c r="BL97" s="68" t="e">
        <f t="shared" si="65"/>
        <v>#DIV/0!</v>
      </c>
      <c r="BM97" s="75" t="e">
        <f t="shared" si="93"/>
        <v>#DIV/0!</v>
      </c>
      <c r="BN97" s="68" t="e">
        <f>IF($I97="NA","NA",ROUND(#REF!*$BJ97/$I97,2))</f>
        <v>#REF!</v>
      </c>
      <c r="BO97" s="75" t="e">
        <f t="shared" si="94"/>
        <v>#REF!</v>
      </c>
      <c r="BP97" s="68" t="e">
        <f t="shared" si="95"/>
        <v>#REF!</v>
      </c>
      <c r="BQ97" s="4">
        <f t="shared" si="96"/>
        <v>73457</v>
      </c>
      <c r="BR97" s="4">
        <f t="shared" si="97"/>
        <v>42822</v>
      </c>
      <c r="BS97" s="4">
        <f t="shared" si="98"/>
        <v>39345</v>
      </c>
      <c r="BT97" s="142">
        <f>IF(ISNA(VLOOKUP($A97&amp;$AB97,'Days Exceptions'!$C$3:$I$7,6,FALSE)),ROUND(BQ97/MAX(BS97,(BR97*Min_Occ)),2),ROUND(BQ97/VLOOKUP($A97&amp;$AB97,'Days Exceptions'!$C$3:$I$7,6,FALSE),2))</f>
        <v>1.87</v>
      </c>
      <c r="BU97" s="143" t="e">
        <f t="shared" si="66"/>
        <v>#REF!</v>
      </c>
      <c r="BV97" s="143" t="e">
        <f t="shared" si="67"/>
        <v>#REF!</v>
      </c>
      <c r="BW97" s="143">
        <f t="shared" si="68"/>
        <v>163.38999999999999</v>
      </c>
      <c r="BX97" s="37" t="s">
        <v>68</v>
      </c>
      <c r="BY97" s="37" t="s">
        <v>177</v>
      </c>
      <c r="BZ97" s="37" t="s">
        <v>1552</v>
      </c>
      <c r="CA97" s="66" t="e">
        <f>VLOOKUP(A97,'CMI Data'!$A$3:$AZ$209,20,FALSE)</f>
        <v>#DIV/0!</v>
      </c>
      <c r="CB97" s="68">
        <f t="shared" si="69"/>
        <v>195.41</v>
      </c>
      <c r="CC97" s="68" t="e">
        <f t="shared" si="70"/>
        <v>#DIV/0!</v>
      </c>
      <c r="CD97" s="75" t="e">
        <f t="shared" si="99"/>
        <v>#DIV/0!</v>
      </c>
      <c r="CE97" s="68" t="e">
        <f>IF($I97="NA","NA",ROUND(#REF!*$CA97/$I97,2))</f>
        <v>#REF!</v>
      </c>
      <c r="CF97" s="75" t="e">
        <f t="shared" si="100"/>
        <v>#REF!</v>
      </c>
      <c r="CG97" s="68" t="e">
        <f t="shared" si="101"/>
        <v>#REF!</v>
      </c>
      <c r="CH97" s="4">
        <f t="shared" si="102"/>
        <v>73457</v>
      </c>
      <c r="CI97" s="4">
        <f t="shared" si="103"/>
        <v>42822</v>
      </c>
      <c r="CJ97" s="4">
        <f t="shared" si="104"/>
        <v>39345</v>
      </c>
      <c r="CK97" s="142">
        <f>IF(ISNA(VLOOKUP($A97&amp;$AB97,'Days Exceptions'!$C$3:$I$7,6,FALSE)),ROUND(CH97/MAX(CJ97,(CI97*Min_Occ)),2),ROUND(CH97/VLOOKUP($A97&amp;$AB97,'Days Exceptions'!$C$3:$I$7,6,FALSE),2))</f>
        <v>1.87</v>
      </c>
      <c r="CL97" s="143" t="e">
        <f t="shared" si="71"/>
        <v>#REF!</v>
      </c>
      <c r="CM97" s="143" t="e">
        <f t="shared" si="72"/>
        <v>#REF!</v>
      </c>
      <c r="CN97" s="143">
        <f t="shared" si="73"/>
        <v>163.38999999999999</v>
      </c>
      <c r="CO97" s="37" t="s">
        <v>68</v>
      </c>
      <c r="CP97" s="37" t="s">
        <v>177</v>
      </c>
      <c r="CQ97" s="37" t="s">
        <v>1553</v>
      </c>
    </row>
    <row r="98" spans="1:95" x14ac:dyDescent="0.15">
      <c r="A98" s="130">
        <v>62</v>
      </c>
      <c r="B98" s="37" t="s">
        <v>816</v>
      </c>
      <c r="C98" s="1" t="s">
        <v>148</v>
      </c>
      <c r="D98" s="1" t="s">
        <v>114</v>
      </c>
      <c r="E98" s="1" t="str">
        <f>VLOOKUP(D98,Documentation!$B$4:$D$27,3,FALSE)</f>
        <v>WASHINGTON METRO</v>
      </c>
      <c r="F98" s="1" t="str">
        <f>VLOOKUP(D98,Documentation!$B$4:$C$27,2,FALSE)</f>
        <v>NON METRO</v>
      </c>
      <c r="G98" s="82">
        <f>VLOOKUP(A98,'2022 CR and CMI'!$A$3:$D$207,3,FALSE)</f>
        <v>44593</v>
      </c>
      <c r="H98" s="82">
        <f>VLOOKUP(A98,'2022 CR and CMI'!$A$3:$D$207,4,FALSE)</f>
        <v>44926</v>
      </c>
      <c r="I98" s="72">
        <f>VLOOKUP(A98,'2022 CR and CMI'!$A$2:$T$210,19,FALSE)</f>
        <v>1.4196</v>
      </c>
      <c r="J98" s="139">
        <f>Inflation!$G$24</f>
        <v>1.0309999999999999</v>
      </c>
      <c r="K98" s="192">
        <f>VLOOKUP(E98,Limits!$B$2:$D$5,3,FALSE)</f>
        <v>176.01</v>
      </c>
      <c r="L98" s="192">
        <f t="shared" si="74"/>
        <v>181.47</v>
      </c>
      <c r="M98" s="140">
        <f>VLOOKUP(A98,'CMI Data'!$A$4:$C$208,3,FALSE)</f>
        <v>1.2977000000000001</v>
      </c>
      <c r="N98" s="68">
        <f t="shared" si="58"/>
        <v>178.5</v>
      </c>
      <c r="O98" s="68">
        <f t="shared" si="75"/>
        <v>163.16999999999999</v>
      </c>
      <c r="P98" s="75">
        <f t="shared" si="76"/>
        <v>155.01</v>
      </c>
      <c r="Q98" s="75">
        <v>167.92</v>
      </c>
      <c r="R98" s="75">
        <f t="shared" si="77"/>
        <v>173.13</v>
      </c>
      <c r="S98" s="68">
        <f t="shared" si="78"/>
        <v>158.26</v>
      </c>
      <c r="T98" s="75">
        <f t="shared" si="79"/>
        <v>0</v>
      </c>
      <c r="U98" s="68">
        <f t="shared" si="80"/>
        <v>163.16999999999999</v>
      </c>
      <c r="V98" s="68">
        <f>VLOOKUP($F98,Limits!$J$2:$L$5,3,FALSE)</f>
        <v>20.239999999999998</v>
      </c>
      <c r="W98" s="68">
        <f t="shared" si="81"/>
        <v>20.87</v>
      </c>
      <c r="X98" s="68">
        <f>VLOOKUP($F98,Limits!$R$2:$T$5,3,FALSE)</f>
        <v>89.55</v>
      </c>
      <c r="Y98" s="68">
        <f t="shared" si="82"/>
        <v>92.33</v>
      </c>
      <c r="Z98" s="75">
        <f>VLOOKUP(A98,FRV!$A$4:$U$208,21,FALSE)</f>
        <v>26.66</v>
      </c>
      <c r="AA98" s="141">
        <f>VLOOKUP(A98,'RE Tax'!$A$2:$G$206,3,FALSE)</f>
        <v>45536</v>
      </c>
      <c r="AB98" s="141">
        <f>VLOOKUP(A98,'RE Tax'!$A$2:$G$206,4,FALSE)</f>
        <v>45657</v>
      </c>
      <c r="AC98" s="4">
        <f>VLOOKUP(A98,'RE Tax'!$A$2:$G$206,7,FALSE)</f>
        <v>29818</v>
      </c>
      <c r="AD98" s="4">
        <f>VLOOKUP($A98,'RE Tax'!$A$2:$I$206,9,FALSE)</f>
        <v>14640</v>
      </c>
      <c r="AE98" s="4">
        <f>VLOOKUP($A98,'RE Tax'!$A$2:$I$206,8,FALSE)</f>
        <v>11492</v>
      </c>
      <c r="AF98" s="142">
        <f>IF(ISNA(VLOOKUP(A98&amp;AB98,'Days Exceptions'!$C$3:$I$7,6,FALSE)),ROUND(AC98/MAX(AE98,(AD98*Min_Occ)),2),ROUND(AC98/VLOOKUP(A98&amp;AB98,'Days Exceptions'!$C$3:$I$7,6,FALSE),2))</f>
        <v>2.5</v>
      </c>
      <c r="AG98" s="68">
        <v>0</v>
      </c>
      <c r="AH98" s="68">
        <f t="shared" si="83"/>
        <v>0</v>
      </c>
      <c r="AI98" s="4">
        <v>31761</v>
      </c>
      <c r="AJ98" s="4">
        <v>34970</v>
      </c>
      <c r="AK98" s="68">
        <f>IF(AI98=0,0,IF(ISNA(MATCH(A98,Documentation!$B$66:$B$71,0)),QA_Tax_reg,QA_Tax_5high))</f>
        <v>32.92</v>
      </c>
      <c r="AL98" s="75">
        <f t="shared" si="84"/>
        <v>29.9</v>
      </c>
      <c r="AM98" s="68">
        <f t="shared" si="85"/>
        <v>305.52999999999997</v>
      </c>
      <c r="AN98" s="68">
        <f t="shared" si="86"/>
        <v>223.95</v>
      </c>
      <c r="AO98" s="68">
        <f t="shared" si="87"/>
        <v>142.36000000000001</v>
      </c>
      <c r="AP98" s="37" t="s">
        <v>933</v>
      </c>
      <c r="AQ98" s="37" t="s">
        <v>816</v>
      </c>
      <c r="AR98" s="37" t="s">
        <v>1051</v>
      </c>
      <c r="AS98" s="66" t="e">
        <f>VLOOKUP(A98,'CMI Data'!$A$3:$J$209,10,FALSE)</f>
        <v>#DIV/0!</v>
      </c>
      <c r="AT98" s="68">
        <f t="shared" si="59"/>
        <v>173.13</v>
      </c>
      <c r="AU98" s="68" t="e">
        <f t="shared" si="60"/>
        <v>#DIV/0!</v>
      </c>
      <c r="AV98" s="75" t="e">
        <f t="shared" si="88"/>
        <v>#DIV/0!</v>
      </c>
      <c r="AW98" s="68" t="e">
        <f>IF($I98="NA","NA",ROUND(#REF!*$AS98/$I98,2))</f>
        <v>#REF!</v>
      </c>
      <c r="AX98" s="75" t="e">
        <f t="shared" si="57"/>
        <v>#REF!</v>
      </c>
      <c r="AY98" s="68" t="e">
        <f t="shared" si="89"/>
        <v>#REF!</v>
      </c>
      <c r="AZ98" s="4">
        <f t="shared" si="90"/>
        <v>29818</v>
      </c>
      <c r="BA98" s="4">
        <f t="shared" si="91"/>
        <v>14640</v>
      </c>
      <c r="BB98" s="4">
        <f t="shared" si="92"/>
        <v>11492</v>
      </c>
      <c r="BC98" s="142">
        <f>IF(ISNA(VLOOKUP($A98&amp;$AB98,'Days Exceptions'!$C$3:$I$7,6,FALSE)),ROUND(AZ98/MAX(BB98,(BA98*Min_Occ)),2),ROUND(AZ98/VLOOKUP($A98&amp;$AB98,'Days Exceptions'!$C$3:$I$7,6,FALSE),2))</f>
        <v>2.5</v>
      </c>
      <c r="BD98" s="143" t="e">
        <f t="shared" si="61"/>
        <v>#REF!</v>
      </c>
      <c r="BE98" s="143" t="e">
        <f t="shared" si="62"/>
        <v>#REF!</v>
      </c>
      <c r="BF98" s="143">
        <f t="shared" si="63"/>
        <v>138.94999999999999</v>
      </c>
      <c r="BG98" s="37" t="s">
        <v>610</v>
      </c>
      <c r="BH98" s="37" t="s">
        <v>604</v>
      </c>
      <c r="BI98" s="37" t="s">
        <v>1255</v>
      </c>
      <c r="BJ98" s="66" t="e">
        <f>VLOOKUP(A98,'CMI Data'!$A$3:$AZ$209,15,FALSE)</f>
        <v>#DIV/0!</v>
      </c>
      <c r="BK98" s="68">
        <f t="shared" si="64"/>
        <v>173.13</v>
      </c>
      <c r="BL98" s="68" t="e">
        <f t="shared" si="65"/>
        <v>#DIV/0!</v>
      </c>
      <c r="BM98" s="75" t="e">
        <f t="shared" si="93"/>
        <v>#DIV/0!</v>
      </c>
      <c r="BN98" s="68" t="e">
        <f>IF($I98="NA","NA",ROUND(#REF!*$BJ98/$I98,2))</f>
        <v>#REF!</v>
      </c>
      <c r="BO98" s="75" t="e">
        <f t="shared" si="94"/>
        <v>#REF!</v>
      </c>
      <c r="BP98" s="68" t="e">
        <f t="shared" si="95"/>
        <v>#REF!</v>
      </c>
      <c r="BQ98" s="4">
        <f t="shared" si="96"/>
        <v>29818</v>
      </c>
      <c r="BR98" s="4">
        <f t="shared" si="97"/>
        <v>14640</v>
      </c>
      <c r="BS98" s="4">
        <f t="shared" si="98"/>
        <v>11492</v>
      </c>
      <c r="BT98" s="142">
        <f>IF(ISNA(VLOOKUP($A98&amp;$AB98,'Days Exceptions'!$C$3:$I$7,6,FALSE)),ROUND(BQ98/MAX(BS98,(BR98*Min_Occ)),2),ROUND(BQ98/VLOOKUP($A98&amp;$AB98,'Days Exceptions'!$C$3:$I$7,6,FALSE),2))</f>
        <v>2.5</v>
      </c>
      <c r="BU98" s="143" t="e">
        <f t="shared" si="66"/>
        <v>#REF!</v>
      </c>
      <c r="BV98" s="143" t="e">
        <f t="shared" si="67"/>
        <v>#REF!</v>
      </c>
      <c r="BW98" s="143">
        <f t="shared" si="68"/>
        <v>138.94999999999999</v>
      </c>
      <c r="BX98" s="37" t="s">
        <v>610</v>
      </c>
      <c r="BY98" s="37" t="s">
        <v>604</v>
      </c>
      <c r="BZ98" s="37" t="s">
        <v>1554</v>
      </c>
      <c r="CA98" s="66" t="e">
        <f>VLOOKUP(A98,'CMI Data'!$A$3:$AZ$209,20,FALSE)</f>
        <v>#DIV/0!</v>
      </c>
      <c r="CB98" s="68">
        <f t="shared" si="69"/>
        <v>173.13</v>
      </c>
      <c r="CC98" s="68" t="e">
        <f t="shared" si="70"/>
        <v>#DIV/0!</v>
      </c>
      <c r="CD98" s="75" t="e">
        <f t="shared" si="99"/>
        <v>#DIV/0!</v>
      </c>
      <c r="CE98" s="68" t="e">
        <f>IF($I98="NA","NA",ROUND(#REF!*$CA98/$I98,2))</f>
        <v>#REF!</v>
      </c>
      <c r="CF98" s="75" t="e">
        <f t="shared" si="100"/>
        <v>#REF!</v>
      </c>
      <c r="CG98" s="68" t="e">
        <f t="shared" si="101"/>
        <v>#REF!</v>
      </c>
      <c r="CH98" s="4">
        <f t="shared" si="102"/>
        <v>29818</v>
      </c>
      <c r="CI98" s="4">
        <f t="shared" si="103"/>
        <v>14640</v>
      </c>
      <c r="CJ98" s="4">
        <f t="shared" si="104"/>
        <v>11492</v>
      </c>
      <c r="CK98" s="142">
        <f>IF(ISNA(VLOOKUP($A98&amp;$AB98,'Days Exceptions'!$C$3:$I$7,6,FALSE)),ROUND(CH98/MAX(CJ98,(CI98*Min_Occ)),2),ROUND(CH98/VLOOKUP($A98&amp;$AB98,'Days Exceptions'!$C$3:$I$7,6,FALSE),2))</f>
        <v>2.5</v>
      </c>
      <c r="CL98" s="143" t="e">
        <f t="shared" si="71"/>
        <v>#REF!</v>
      </c>
      <c r="CM98" s="143" t="e">
        <f t="shared" si="72"/>
        <v>#REF!</v>
      </c>
      <c r="CN98" s="143">
        <f t="shared" si="73"/>
        <v>138.94999999999999</v>
      </c>
      <c r="CO98" s="37" t="s">
        <v>610</v>
      </c>
      <c r="CP98" s="37" t="s">
        <v>604</v>
      </c>
      <c r="CQ98" s="37" t="s">
        <v>1555</v>
      </c>
    </row>
    <row r="99" spans="1:95" x14ac:dyDescent="0.15">
      <c r="A99" s="130">
        <v>172</v>
      </c>
      <c r="B99" s="37" t="s">
        <v>709</v>
      </c>
      <c r="C99" s="1" t="s">
        <v>148</v>
      </c>
      <c r="D99" s="1" t="s">
        <v>107</v>
      </c>
      <c r="E99" s="1" t="str">
        <f>VLOOKUP(D99,Documentation!$B$4:$D$27,3,FALSE)</f>
        <v>BALTIMORE METRO</v>
      </c>
      <c r="F99" s="1" t="str">
        <f>VLOOKUP(D99,Documentation!$B$4:$C$27,2,FALSE)</f>
        <v>BALTIMORE METRO</v>
      </c>
      <c r="G99" s="82">
        <f>VLOOKUP(A99,'2022 CR and CMI'!$A$3:$D$207,3,FALSE)</f>
        <v>44562</v>
      </c>
      <c r="H99" s="82">
        <f>VLOOKUP(A99,'2022 CR and CMI'!$A$3:$D$207,4,FALSE)</f>
        <v>44926</v>
      </c>
      <c r="I99" s="72">
        <f>VLOOKUP(A99,'2022 CR and CMI'!$A$2:$T$210,19,FALSE)</f>
        <v>1.4167000000000001</v>
      </c>
      <c r="J99" s="139">
        <f>Inflation!$G$24</f>
        <v>1.0309999999999999</v>
      </c>
      <c r="K99" s="192">
        <f>VLOOKUP(E99,Limits!$B$2:$D$5,3,FALSE)</f>
        <v>195.33</v>
      </c>
      <c r="L99" s="192">
        <f t="shared" si="74"/>
        <v>201.39</v>
      </c>
      <c r="M99" s="140">
        <f>VLOOKUP(A99,'CMI Data'!$A$4:$C$208,3,FALSE)</f>
        <v>1.2310000000000001</v>
      </c>
      <c r="N99" s="68">
        <f t="shared" si="58"/>
        <v>197.69</v>
      </c>
      <c r="O99" s="68">
        <f t="shared" si="75"/>
        <v>171.78</v>
      </c>
      <c r="P99" s="75">
        <f t="shared" si="76"/>
        <v>163.19</v>
      </c>
      <c r="Q99" s="75">
        <v>140.79</v>
      </c>
      <c r="R99" s="75">
        <f t="shared" si="77"/>
        <v>145.15</v>
      </c>
      <c r="S99" s="68">
        <f t="shared" si="78"/>
        <v>126.12</v>
      </c>
      <c r="T99" s="75">
        <f t="shared" si="79"/>
        <v>-37.07</v>
      </c>
      <c r="U99" s="68">
        <f t="shared" si="80"/>
        <v>134.71</v>
      </c>
      <c r="V99" s="68">
        <f>VLOOKUP($F99,Limits!$J$2:$L$5,3,FALSE)</f>
        <v>20.85</v>
      </c>
      <c r="W99" s="68">
        <f t="shared" si="81"/>
        <v>21.5</v>
      </c>
      <c r="X99" s="68">
        <f>VLOOKUP($F99,Limits!$R$2:$T$5,3,FALSE)</f>
        <v>102.02</v>
      </c>
      <c r="Y99" s="68">
        <f t="shared" si="82"/>
        <v>105.18</v>
      </c>
      <c r="Z99" s="75">
        <f>VLOOKUP(A99,FRV!$A$4:$U$208,21,FALSE)</f>
        <v>27.06</v>
      </c>
      <c r="AA99" s="141">
        <f>VLOOKUP(A99,'RE Tax'!$A$2:$G$206,3,FALSE)</f>
        <v>45292</v>
      </c>
      <c r="AB99" s="141">
        <f>VLOOKUP(A99,'RE Tax'!$A$2:$G$206,4,FALSE)</f>
        <v>45657</v>
      </c>
      <c r="AC99" s="4">
        <f>VLOOKUP(A99,'RE Tax'!$A$2:$G$206,7,FALSE)</f>
        <v>51552</v>
      </c>
      <c r="AD99" s="4">
        <f>VLOOKUP($A99,'RE Tax'!$A$2:$I$206,9,FALSE)</f>
        <v>45750</v>
      </c>
      <c r="AE99" s="4">
        <f>VLOOKUP($A99,'RE Tax'!$A$2:$I$206,8,FALSE)</f>
        <v>39630</v>
      </c>
      <c r="AF99" s="142">
        <f>IF(ISNA(VLOOKUP(A99&amp;AB99,'Days Exceptions'!$C$3:$I$7,6,FALSE)),ROUND(AC99/MAX(AE99,(AD99*Min_Occ)),2),ROUND(AC99/VLOOKUP(A99&amp;AB99,'Days Exceptions'!$C$3:$I$7,6,FALSE),2))</f>
        <v>1.3</v>
      </c>
      <c r="AG99" s="68">
        <v>0</v>
      </c>
      <c r="AH99" s="68">
        <f t="shared" si="83"/>
        <v>0</v>
      </c>
      <c r="AI99" s="4">
        <v>36264</v>
      </c>
      <c r="AJ99" s="4">
        <v>39663</v>
      </c>
      <c r="AK99" s="68">
        <f>IF(AI99=0,0,IF(ISNA(MATCH(A99,Documentation!$B$66:$B$71,0)),QA_Tax_reg,QA_Tax_5high))</f>
        <v>32.92</v>
      </c>
      <c r="AL99" s="75">
        <f t="shared" si="84"/>
        <v>30.1</v>
      </c>
      <c r="AM99" s="68">
        <f t="shared" si="85"/>
        <v>289.75</v>
      </c>
      <c r="AN99" s="68">
        <f t="shared" si="86"/>
        <v>222.4</v>
      </c>
      <c r="AO99" s="68">
        <f t="shared" si="87"/>
        <v>155.04</v>
      </c>
      <c r="AP99" s="37" t="s">
        <v>708</v>
      </c>
      <c r="AQ99" s="37" t="s">
        <v>709</v>
      </c>
      <c r="AR99" s="37" t="s">
        <v>1052</v>
      </c>
      <c r="AS99" s="66" t="e">
        <f>VLOOKUP(A99,'CMI Data'!$A$3:$J$209,10,FALSE)</f>
        <v>#DIV/0!</v>
      </c>
      <c r="AT99" s="68">
        <f t="shared" si="59"/>
        <v>191.74</v>
      </c>
      <c r="AU99" s="68" t="e">
        <f t="shared" si="60"/>
        <v>#DIV/0!</v>
      </c>
      <c r="AV99" s="75" t="e">
        <f t="shared" si="88"/>
        <v>#DIV/0!</v>
      </c>
      <c r="AW99" s="68" t="e">
        <f>IF($I99="NA","NA",ROUND(#REF!*$AS99/$I99,2))</f>
        <v>#REF!</v>
      </c>
      <c r="AX99" s="75" t="e">
        <f t="shared" si="57"/>
        <v>#REF!</v>
      </c>
      <c r="AY99" s="68" t="e">
        <f t="shared" si="89"/>
        <v>#REF!</v>
      </c>
      <c r="AZ99" s="4">
        <f t="shared" si="90"/>
        <v>51552</v>
      </c>
      <c r="BA99" s="4">
        <f t="shared" si="91"/>
        <v>45750</v>
      </c>
      <c r="BB99" s="4">
        <f t="shared" si="92"/>
        <v>39630</v>
      </c>
      <c r="BC99" s="142">
        <f>IF(ISNA(VLOOKUP($A99&amp;$AB99,'Days Exceptions'!$C$3:$I$7,6,FALSE)),ROUND(AZ99/MAX(BB99,(BA99*Min_Occ)),2),ROUND(AZ99/VLOOKUP($A99&amp;$AB99,'Days Exceptions'!$C$3:$I$7,6,FALSE),2))</f>
        <v>1.3</v>
      </c>
      <c r="BD99" s="143" t="e">
        <f t="shared" si="61"/>
        <v>#REF!</v>
      </c>
      <c r="BE99" s="143" t="e">
        <f t="shared" si="62"/>
        <v>#REF!</v>
      </c>
      <c r="BF99" s="143">
        <f t="shared" si="63"/>
        <v>151.22999999999999</v>
      </c>
      <c r="BG99" s="37" t="s">
        <v>708</v>
      </c>
      <c r="BH99" s="37" t="s">
        <v>709</v>
      </c>
      <c r="BI99" s="37" t="s">
        <v>1256</v>
      </c>
      <c r="BJ99" s="66" t="e">
        <f>VLOOKUP(A99,'CMI Data'!$A$3:$AZ$209,15,FALSE)</f>
        <v>#DIV/0!</v>
      </c>
      <c r="BK99" s="68">
        <f t="shared" si="64"/>
        <v>191.74</v>
      </c>
      <c r="BL99" s="68" t="e">
        <f t="shared" si="65"/>
        <v>#DIV/0!</v>
      </c>
      <c r="BM99" s="75" t="e">
        <f t="shared" si="93"/>
        <v>#DIV/0!</v>
      </c>
      <c r="BN99" s="68" t="e">
        <f>IF($I99="NA","NA",ROUND(#REF!*$BJ99/$I99,2))</f>
        <v>#REF!</v>
      </c>
      <c r="BO99" s="75" t="e">
        <f t="shared" si="94"/>
        <v>#REF!</v>
      </c>
      <c r="BP99" s="68" t="e">
        <f t="shared" si="95"/>
        <v>#REF!</v>
      </c>
      <c r="BQ99" s="4">
        <f t="shared" si="96"/>
        <v>51552</v>
      </c>
      <c r="BR99" s="4">
        <f t="shared" si="97"/>
        <v>45750</v>
      </c>
      <c r="BS99" s="4">
        <f t="shared" si="98"/>
        <v>39630</v>
      </c>
      <c r="BT99" s="142">
        <f>IF(ISNA(VLOOKUP($A99&amp;$AB99,'Days Exceptions'!$C$3:$I$7,6,FALSE)),ROUND(BQ99/MAX(BS99,(BR99*Min_Occ)),2),ROUND(BQ99/VLOOKUP($A99&amp;$AB99,'Days Exceptions'!$C$3:$I$7,6,FALSE),2))</f>
        <v>1.3</v>
      </c>
      <c r="BU99" s="143" t="e">
        <f t="shared" si="66"/>
        <v>#REF!</v>
      </c>
      <c r="BV99" s="143" t="e">
        <f t="shared" si="67"/>
        <v>#REF!</v>
      </c>
      <c r="BW99" s="143">
        <f t="shared" si="68"/>
        <v>151.22999999999999</v>
      </c>
      <c r="BX99" s="37" t="s">
        <v>708</v>
      </c>
      <c r="BY99" s="37" t="s">
        <v>709</v>
      </c>
      <c r="BZ99" s="37" t="s">
        <v>1556</v>
      </c>
      <c r="CA99" s="66" t="e">
        <f>VLOOKUP(A99,'CMI Data'!$A$3:$AZ$209,20,FALSE)</f>
        <v>#DIV/0!</v>
      </c>
      <c r="CB99" s="68">
        <f t="shared" si="69"/>
        <v>191.74</v>
      </c>
      <c r="CC99" s="68" t="e">
        <f t="shared" si="70"/>
        <v>#DIV/0!</v>
      </c>
      <c r="CD99" s="75" t="e">
        <f t="shared" si="99"/>
        <v>#DIV/0!</v>
      </c>
      <c r="CE99" s="68" t="e">
        <f>IF($I99="NA","NA",ROUND(#REF!*$CA99/$I99,2))</f>
        <v>#REF!</v>
      </c>
      <c r="CF99" s="75" t="e">
        <f t="shared" si="100"/>
        <v>#REF!</v>
      </c>
      <c r="CG99" s="68" t="e">
        <f t="shared" si="101"/>
        <v>#REF!</v>
      </c>
      <c r="CH99" s="4">
        <f t="shared" si="102"/>
        <v>51552</v>
      </c>
      <c r="CI99" s="4">
        <f t="shared" si="103"/>
        <v>45750</v>
      </c>
      <c r="CJ99" s="4">
        <f t="shared" si="104"/>
        <v>39630</v>
      </c>
      <c r="CK99" s="142">
        <f>IF(ISNA(VLOOKUP($A99&amp;$AB99,'Days Exceptions'!$C$3:$I$7,6,FALSE)),ROUND(CH99/MAX(CJ99,(CI99*Min_Occ)),2),ROUND(CH99/VLOOKUP($A99&amp;$AB99,'Days Exceptions'!$C$3:$I$7,6,FALSE),2))</f>
        <v>1.3</v>
      </c>
      <c r="CL99" s="143" t="e">
        <f t="shared" si="71"/>
        <v>#REF!</v>
      </c>
      <c r="CM99" s="143" t="e">
        <f t="shared" si="72"/>
        <v>#REF!</v>
      </c>
      <c r="CN99" s="143">
        <f t="shared" si="73"/>
        <v>151.22999999999999</v>
      </c>
      <c r="CO99" s="37" t="s">
        <v>708</v>
      </c>
      <c r="CP99" s="37" t="s">
        <v>709</v>
      </c>
      <c r="CQ99" s="37" t="s">
        <v>1557</v>
      </c>
    </row>
    <row r="100" spans="1:95" x14ac:dyDescent="0.15">
      <c r="A100" s="130">
        <v>174</v>
      </c>
      <c r="B100" s="37" t="s">
        <v>221</v>
      </c>
      <c r="C100" s="1" t="s">
        <v>148</v>
      </c>
      <c r="D100" s="1" t="s">
        <v>119</v>
      </c>
      <c r="E100" s="1" t="str">
        <f>VLOOKUP(D100,Documentation!$B$4:$D$27,3,FALSE)</f>
        <v>WASHINGTON METRO</v>
      </c>
      <c r="F100" s="1" t="str">
        <f>VLOOKUP(D100,Documentation!$B$4:$C$27,2,FALSE)</f>
        <v>WASHINGTON METRO</v>
      </c>
      <c r="G100" s="82">
        <f>VLOOKUP(A100,'2022 CR and CMI'!$A$3:$D$207,3,FALSE)</f>
        <v>44378</v>
      </c>
      <c r="H100" s="82">
        <f>VLOOKUP(A100,'2022 CR and CMI'!$A$3:$D$207,4,FALSE)</f>
        <v>44742</v>
      </c>
      <c r="I100" s="72">
        <f>VLOOKUP(A100,'2022 CR and CMI'!$A$2:$T$210,19,FALSE)</f>
        <v>1.3363</v>
      </c>
      <c r="J100" s="139">
        <f>Inflation!$G$24</f>
        <v>1.0309999999999999</v>
      </c>
      <c r="K100" s="192">
        <f>VLOOKUP(E100,Limits!$B$2:$D$5,3,FALSE)</f>
        <v>176.01</v>
      </c>
      <c r="L100" s="192">
        <f t="shared" si="74"/>
        <v>181.47</v>
      </c>
      <c r="M100" s="140">
        <f>VLOOKUP(A100,'CMI Data'!$A$4:$C$208,3,FALSE)</f>
        <v>1.1257999999999999</v>
      </c>
      <c r="N100" s="68">
        <f t="shared" si="58"/>
        <v>168.03</v>
      </c>
      <c r="O100" s="68">
        <f t="shared" si="75"/>
        <v>141.56</v>
      </c>
      <c r="P100" s="75">
        <f t="shared" si="76"/>
        <v>134.47999999999999</v>
      </c>
      <c r="Q100" s="75">
        <v>194.99</v>
      </c>
      <c r="R100" s="75">
        <f t="shared" si="77"/>
        <v>201.03</v>
      </c>
      <c r="S100" s="68">
        <f t="shared" si="78"/>
        <v>169.36</v>
      </c>
      <c r="T100" s="75">
        <f t="shared" si="79"/>
        <v>0</v>
      </c>
      <c r="U100" s="68">
        <f t="shared" si="80"/>
        <v>141.56</v>
      </c>
      <c r="V100" s="68">
        <f>VLOOKUP($F100,Limits!$J$2:$L$5,3,FALSE)</f>
        <v>19.23</v>
      </c>
      <c r="W100" s="68">
        <f t="shared" si="81"/>
        <v>19.829999999999998</v>
      </c>
      <c r="X100" s="68">
        <f>VLOOKUP($F100,Limits!$R$2:$T$5,3,FALSE)</f>
        <v>100.61</v>
      </c>
      <c r="Y100" s="68">
        <f t="shared" si="82"/>
        <v>103.73</v>
      </c>
      <c r="Z100" s="75">
        <f>VLOOKUP(A100,FRV!$A$4:$U$208,21,FALSE)</f>
        <v>44.29</v>
      </c>
      <c r="AA100" s="141">
        <f>VLOOKUP(A100,'RE Tax'!$A$2:$G$206,3,FALSE)</f>
        <v>45108</v>
      </c>
      <c r="AB100" s="141">
        <f>VLOOKUP(A100,'RE Tax'!$A$2:$G$206,4,FALSE)</f>
        <v>45473</v>
      </c>
      <c r="AC100" s="4">
        <f>VLOOKUP(A100,'RE Tax'!$A$2:$G$206,7,FALSE)</f>
        <v>20750</v>
      </c>
      <c r="AD100" s="4">
        <f>VLOOKUP($A100,'RE Tax'!$A$2:$I$206,9,FALSE)</f>
        <v>30012</v>
      </c>
      <c r="AE100" s="4">
        <f>VLOOKUP($A100,'RE Tax'!$A$2:$I$206,8,FALSE)</f>
        <v>23917</v>
      </c>
      <c r="AF100" s="142">
        <f>IF(ISNA(VLOOKUP(A100&amp;AB100,'Days Exceptions'!$C$3:$I$7,6,FALSE)),ROUND(AC100/MAX(AE100,(AD100*Min_Occ)),2),ROUND(AC100/VLOOKUP(A100&amp;AB100,'Days Exceptions'!$C$3:$I$7,6,FALSE),2))</f>
        <v>0.85</v>
      </c>
      <c r="AG100" s="68">
        <v>0</v>
      </c>
      <c r="AH100" s="68">
        <f t="shared" si="83"/>
        <v>0</v>
      </c>
      <c r="AI100" s="4">
        <v>0</v>
      </c>
      <c r="AJ100" s="4">
        <v>0</v>
      </c>
      <c r="AK100" s="68">
        <f>IF(AI100=0,0,IF(ISNA(MATCH(A100,Documentation!$B$66:$B$71,0)),QA_Tax_reg,QA_Tax_5high))</f>
        <v>0</v>
      </c>
      <c r="AL100" s="75">
        <f t="shared" si="84"/>
        <v>0</v>
      </c>
      <c r="AM100" s="68">
        <f t="shared" si="85"/>
        <v>310.26</v>
      </c>
      <c r="AN100" s="68">
        <f t="shared" si="86"/>
        <v>239.48</v>
      </c>
      <c r="AO100" s="68">
        <f t="shared" si="87"/>
        <v>168.7</v>
      </c>
      <c r="AP100" s="37" t="s">
        <v>82</v>
      </c>
      <c r="AQ100" s="37" t="s">
        <v>221</v>
      </c>
      <c r="AR100" s="37" t="s">
        <v>1053</v>
      </c>
      <c r="AS100" s="66" t="e">
        <f>VLOOKUP(A100,'CMI Data'!$A$3:$J$209,10,FALSE)</f>
        <v>#DIV/0!</v>
      </c>
      <c r="AT100" s="68">
        <f t="shared" si="59"/>
        <v>162.97</v>
      </c>
      <c r="AU100" s="68" t="e">
        <f t="shared" si="60"/>
        <v>#DIV/0!</v>
      </c>
      <c r="AV100" s="75" t="e">
        <f t="shared" si="88"/>
        <v>#DIV/0!</v>
      </c>
      <c r="AW100" s="68" t="e">
        <f>IF($I100="NA","NA",ROUND(#REF!*$AS100/$I100,2))</f>
        <v>#REF!</v>
      </c>
      <c r="AX100" s="75" t="e">
        <f t="shared" si="57"/>
        <v>#REF!</v>
      </c>
      <c r="AY100" s="68" t="e">
        <f t="shared" si="89"/>
        <v>#REF!</v>
      </c>
      <c r="AZ100" s="4">
        <f t="shared" si="90"/>
        <v>20750</v>
      </c>
      <c r="BA100" s="4">
        <f t="shared" si="91"/>
        <v>30012</v>
      </c>
      <c r="BB100" s="4">
        <f t="shared" si="92"/>
        <v>23917</v>
      </c>
      <c r="BC100" s="142">
        <f>IF(ISNA(VLOOKUP($A100&amp;$AB100,'Days Exceptions'!$C$3:$I$7,6,FALSE)),ROUND(AZ100/MAX(BB100,(BA100*Min_Occ)),2),ROUND(AZ100/VLOOKUP($A100&amp;$AB100,'Days Exceptions'!$C$3:$I$7,6,FALSE),2))</f>
        <v>0.85</v>
      </c>
      <c r="BD100" s="143" t="e">
        <f t="shared" si="61"/>
        <v>#REF!</v>
      </c>
      <c r="BE100" s="143" t="e">
        <f t="shared" si="62"/>
        <v>#REF!</v>
      </c>
      <c r="BF100" s="143">
        <f t="shared" si="63"/>
        <v>164.98</v>
      </c>
      <c r="BG100" s="37" t="s">
        <v>82</v>
      </c>
      <c r="BH100" s="37" t="s">
        <v>221</v>
      </c>
      <c r="BI100" s="37" t="s">
        <v>1257</v>
      </c>
      <c r="BJ100" s="66" t="e">
        <f>VLOOKUP(A100,'CMI Data'!$A$3:$AZ$209,15,FALSE)</f>
        <v>#DIV/0!</v>
      </c>
      <c r="BK100" s="68">
        <f t="shared" si="64"/>
        <v>162.97</v>
      </c>
      <c r="BL100" s="68" t="e">
        <f t="shared" si="65"/>
        <v>#DIV/0!</v>
      </c>
      <c r="BM100" s="75" t="e">
        <f t="shared" si="93"/>
        <v>#DIV/0!</v>
      </c>
      <c r="BN100" s="68" t="e">
        <f>IF($I100="NA","NA",ROUND(#REF!*$BJ100/$I100,2))</f>
        <v>#REF!</v>
      </c>
      <c r="BO100" s="75" t="e">
        <f t="shared" si="94"/>
        <v>#REF!</v>
      </c>
      <c r="BP100" s="68" t="e">
        <f t="shared" si="95"/>
        <v>#REF!</v>
      </c>
      <c r="BQ100" s="4">
        <f t="shared" si="96"/>
        <v>20750</v>
      </c>
      <c r="BR100" s="4">
        <f t="shared" si="97"/>
        <v>30012</v>
      </c>
      <c r="BS100" s="4">
        <f t="shared" si="98"/>
        <v>23917</v>
      </c>
      <c r="BT100" s="142">
        <f>IF(ISNA(VLOOKUP($A100&amp;$AB100,'Days Exceptions'!$C$3:$I$7,6,FALSE)),ROUND(BQ100/MAX(BS100,(BR100*Min_Occ)),2),ROUND(BQ100/VLOOKUP($A100&amp;$AB100,'Days Exceptions'!$C$3:$I$7,6,FALSE),2))</f>
        <v>0.85</v>
      </c>
      <c r="BU100" s="143" t="e">
        <f t="shared" si="66"/>
        <v>#REF!</v>
      </c>
      <c r="BV100" s="143" t="e">
        <f t="shared" si="67"/>
        <v>#REF!</v>
      </c>
      <c r="BW100" s="143">
        <f t="shared" si="68"/>
        <v>164.98</v>
      </c>
      <c r="BX100" s="37" t="s">
        <v>82</v>
      </c>
      <c r="BY100" s="37" t="s">
        <v>221</v>
      </c>
      <c r="BZ100" s="37" t="s">
        <v>1558</v>
      </c>
      <c r="CA100" s="66" t="e">
        <f>VLOOKUP(A100,'CMI Data'!$A$3:$AZ$209,20,FALSE)</f>
        <v>#DIV/0!</v>
      </c>
      <c r="CB100" s="68">
        <f t="shared" si="69"/>
        <v>162.97</v>
      </c>
      <c r="CC100" s="68" t="e">
        <f t="shared" si="70"/>
        <v>#DIV/0!</v>
      </c>
      <c r="CD100" s="75" t="e">
        <f t="shared" si="99"/>
        <v>#DIV/0!</v>
      </c>
      <c r="CE100" s="68" t="e">
        <f>IF($I100="NA","NA",ROUND(#REF!*$CA100/$I100,2))</f>
        <v>#REF!</v>
      </c>
      <c r="CF100" s="75" t="e">
        <f t="shared" si="100"/>
        <v>#REF!</v>
      </c>
      <c r="CG100" s="68" t="e">
        <f t="shared" si="101"/>
        <v>#REF!</v>
      </c>
      <c r="CH100" s="4">
        <f t="shared" si="102"/>
        <v>20750</v>
      </c>
      <c r="CI100" s="4">
        <f t="shared" si="103"/>
        <v>30012</v>
      </c>
      <c r="CJ100" s="4">
        <f t="shared" si="104"/>
        <v>23917</v>
      </c>
      <c r="CK100" s="142">
        <f>IF(ISNA(VLOOKUP($A100&amp;$AB100,'Days Exceptions'!$C$3:$I$7,6,FALSE)),ROUND(CH100/MAX(CJ100,(CI100*Min_Occ)),2),ROUND(CH100/VLOOKUP($A100&amp;$AB100,'Days Exceptions'!$C$3:$I$7,6,FALSE),2))</f>
        <v>0.85</v>
      </c>
      <c r="CL100" s="143" t="e">
        <f t="shared" si="71"/>
        <v>#REF!</v>
      </c>
      <c r="CM100" s="143" t="e">
        <f t="shared" si="72"/>
        <v>#REF!</v>
      </c>
      <c r="CN100" s="143">
        <f t="shared" si="73"/>
        <v>164.98</v>
      </c>
      <c r="CO100" s="37" t="s">
        <v>82</v>
      </c>
      <c r="CP100" s="37" t="s">
        <v>221</v>
      </c>
      <c r="CQ100" s="37" t="s">
        <v>1559</v>
      </c>
    </row>
    <row r="101" spans="1:95" x14ac:dyDescent="0.15">
      <c r="A101" s="130">
        <v>178</v>
      </c>
      <c r="B101" s="37" t="s">
        <v>185</v>
      </c>
      <c r="C101" s="1" t="s">
        <v>148</v>
      </c>
      <c r="D101" s="1" t="s">
        <v>102</v>
      </c>
      <c r="E101" s="1" t="str">
        <f>VLOOKUP(D101,Documentation!$B$4:$D$27,3,FALSE)</f>
        <v>BALTIMORE METRO</v>
      </c>
      <c r="F101" s="1" t="str">
        <f>VLOOKUP(D101,Documentation!$B$4:$C$27,2,FALSE)</f>
        <v>BALTIMORE CITY</v>
      </c>
      <c r="G101" s="82">
        <f>VLOOKUP(A101,'2022 CR and CMI'!$A$3:$D$207,3,FALSE)</f>
        <v>44562</v>
      </c>
      <c r="H101" s="82">
        <f>VLOOKUP(A101,'2022 CR and CMI'!$A$3:$D$207,4,FALSE)</f>
        <v>44926</v>
      </c>
      <c r="I101" s="72">
        <f>VLOOKUP(A101,'2022 CR and CMI'!$A$2:$T$210,19,FALSE)</f>
        <v>1.397</v>
      </c>
      <c r="J101" s="139">
        <f>Inflation!$G$24</f>
        <v>1.0309999999999999</v>
      </c>
      <c r="K101" s="192">
        <f>VLOOKUP(E101,Limits!$B$2:$D$5,3,FALSE)</f>
        <v>195.33</v>
      </c>
      <c r="L101" s="192">
        <f t="shared" si="74"/>
        <v>201.39</v>
      </c>
      <c r="M101" s="140">
        <f>VLOOKUP(A101,'CMI Data'!$A$4:$C$208,3,FALSE)</f>
        <v>1.4630000000000001</v>
      </c>
      <c r="N101" s="68">
        <f t="shared" si="58"/>
        <v>194.94</v>
      </c>
      <c r="O101" s="68">
        <f t="shared" si="75"/>
        <v>204.15</v>
      </c>
      <c r="P101" s="75">
        <f t="shared" si="76"/>
        <v>193.94</v>
      </c>
      <c r="Q101" s="75">
        <v>194.27</v>
      </c>
      <c r="R101" s="75">
        <f t="shared" si="77"/>
        <v>200.29</v>
      </c>
      <c r="S101" s="68">
        <f t="shared" si="78"/>
        <v>209.75</v>
      </c>
      <c r="T101" s="75">
        <f t="shared" si="79"/>
        <v>0</v>
      </c>
      <c r="U101" s="68">
        <f t="shared" si="80"/>
        <v>204.15</v>
      </c>
      <c r="V101" s="68">
        <f>VLOOKUP($F101,Limits!$J$2:$L$5,3,FALSE)</f>
        <v>24.89</v>
      </c>
      <c r="W101" s="68">
        <f t="shared" si="81"/>
        <v>25.66</v>
      </c>
      <c r="X101" s="68">
        <f>VLOOKUP($F101,Limits!$R$2:$T$5,3,FALSE)</f>
        <v>114.15</v>
      </c>
      <c r="Y101" s="68">
        <f t="shared" si="82"/>
        <v>117.69</v>
      </c>
      <c r="Z101" s="75">
        <f>VLOOKUP(A101,FRV!$A$4:$U$208,21,FALSE)</f>
        <v>46.56</v>
      </c>
      <c r="AA101" s="141">
        <f>VLOOKUP(A101,'RE Tax'!$A$2:$G$206,3,FALSE)</f>
        <v>45292</v>
      </c>
      <c r="AB101" s="141">
        <f>VLOOKUP(A101,'RE Tax'!$A$2:$G$206,4,FALSE)</f>
        <v>45657</v>
      </c>
      <c r="AC101" s="4">
        <f>VLOOKUP(A101,'RE Tax'!$A$2:$G$206,7,FALSE)</f>
        <v>185154</v>
      </c>
      <c r="AD101" s="4">
        <f>VLOOKUP($A101,'RE Tax'!$A$2:$I$206,9,FALSE)</f>
        <v>58560</v>
      </c>
      <c r="AE101" s="4">
        <f>VLOOKUP($A101,'RE Tax'!$A$2:$I$206,8,FALSE)</f>
        <v>55429</v>
      </c>
      <c r="AF101" s="142">
        <f>IF(ISNA(VLOOKUP(A101&amp;AB101,'Days Exceptions'!$C$3:$I$7,6,FALSE)),ROUND(AC101/MAX(AE101,(AD101*Min_Occ)),2),ROUND(AC101/VLOOKUP(A101&amp;AB101,'Days Exceptions'!$C$3:$I$7,6,FALSE),2))</f>
        <v>3.34</v>
      </c>
      <c r="AG101" s="68">
        <v>0</v>
      </c>
      <c r="AH101" s="68">
        <f t="shared" si="83"/>
        <v>0</v>
      </c>
      <c r="AI101" s="4">
        <v>48753</v>
      </c>
      <c r="AJ101" s="4">
        <v>55452</v>
      </c>
      <c r="AK101" s="68">
        <f>IF(AI101=0,0,IF(ISNA(MATCH(A101,Documentation!$B$66:$B$71,0)),QA_Tax_reg,QA_Tax_5high))</f>
        <v>32.92</v>
      </c>
      <c r="AL101" s="75">
        <f t="shared" si="84"/>
        <v>28.94</v>
      </c>
      <c r="AM101" s="68">
        <f t="shared" si="85"/>
        <v>397.4</v>
      </c>
      <c r="AN101" s="68">
        <f t="shared" si="86"/>
        <v>295.33</v>
      </c>
      <c r="AO101" s="68">
        <f t="shared" si="87"/>
        <v>193.25</v>
      </c>
      <c r="AP101" s="37" t="s">
        <v>88</v>
      </c>
      <c r="AQ101" s="37" t="s">
        <v>185</v>
      </c>
      <c r="AR101" s="37" t="s">
        <v>1054</v>
      </c>
      <c r="AS101" s="66" t="e">
        <f>VLOOKUP(A101,'CMI Data'!$A$3:$J$209,10,FALSE)</f>
        <v>#DIV/0!</v>
      </c>
      <c r="AT101" s="68">
        <f t="shared" si="59"/>
        <v>189.08</v>
      </c>
      <c r="AU101" s="68" t="e">
        <f t="shared" si="60"/>
        <v>#DIV/0!</v>
      </c>
      <c r="AV101" s="75" t="e">
        <f t="shared" si="88"/>
        <v>#DIV/0!</v>
      </c>
      <c r="AW101" s="68" t="e">
        <f>IF($I101="NA","NA",ROUND(#REF!*$AS101/$I101,2))</f>
        <v>#REF!</v>
      </c>
      <c r="AX101" s="75" t="e">
        <f t="shared" si="57"/>
        <v>#REF!</v>
      </c>
      <c r="AY101" s="68" t="e">
        <f t="shared" si="89"/>
        <v>#REF!</v>
      </c>
      <c r="AZ101" s="4">
        <f t="shared" si="90"/>
        <v>185154</v>
      </c>
      <c r="BA101" s="4">
        <f t="shared" si="91"/>
        <v>58560</v>
      </c>
      <c r="BB101" s="4">
        <f t="shared" si="92"/>
        <v>55429</v>
      </c>
      <c r="BC101" s="142">
        <f>IF(ISNA(VLOOKUP($A101&amp;$AB101,'Days Exceptions'!$C$3:$I$7,6,FALSE)),ROUND(AZ101/MAX(BB101,(BA101*Min_Occ)),2),ROUND(AZ101/VLOOKUP($A101&amp;$AB101,'Days Exceptions'!$C$3:$I$7,6,FALSE),2))</f>
        <v>3.34</v>
      </c>
      <c r="BD101" s="143" t="e">
        <f t="shared" si="61"/>
        <v>#REF!</v>
      </c>
      <c r="BE101" s="143" t="e">
        <f t="shared" si="62"/>
        <v>#REF!</v>
      </c>
      <c r="BF101" s="143">
        <f t="shared" si="63"/>
        <v>188.94</v>
      </c>
      <c r="BG101" s="37" t="s">
        <v>88</v>
      </c>
      <c r="BH101" s="37" t="s">
        <v>185</v>
      </c>
      <c r="BI101" s="37" t="s">
        <v>1258</v>
      </c>
      <c r="BJ101" s="66" t="e">
        <f>VLOOKUP(A101,'CMI Data'!$A$3:$AZ$209,15,FALSE)</f>
        <v>#DIV/0!</v>
      </c>
      <c r="BK101" s="68">
        <f t="shared" si="64"/>
        <v>189.08</v>
      </c>
      <c r="BL101" s="68" t="e">
        <f t="shared" si="65"/>
        <v>#DIV/0!</v>
      </c>
      <c r="BM101" s="75" t="e">
        <f t="shared" si="93"/>
        <v>#DIV/0!</v>
      </c>
      <c r="BN101" s="68" t="e">
        <f>IF($I101="NA","NA",ROUND(#REF!*$BJ101/$I101,2))</f>
        <v>#REF!</v>
      </c>
      <c r="BO101" s="75" t="e">
        <f t="shared" si="94"/>
        <v>#REF!</v>
      </c>
      <c r="BP101" s="68" t="e">
        <f t="shared" si="95"/>
        <v>#REF!</v>
      </c>
      <c r="BQ101" s="4">
        <f t="shared" si="96"/>
        <v>185154</v>
      </c>
      <c r="BR101" s="4">
        <f t="shared" si="97"/>
        <v>58560</v>
      </c>
      <c r="BS101" s="4">
        <f t="shared" si="98"/>
        <v>55429</v>
      </c>
      <c r="BT101" s="142">
        <f>IF(ISNA(VLOOKUP($A101&amp;$AB101,'Days Exceptions'!$C$3:$I$7,6,FALSE)),ROUND(BQ101/MAX(BS101,(BR101*Min_Occ)),2),ROUND(BQ101/VLOOKUP($A101&amp;$AB101,'Days Exceptions'!$C$3:$I$7,6,FALSE),2))</f>
        <v>3.34</v>
      </c>
      <c r="BU101" s="143" t="e">
        <f t="shared" si="66"/>
        <v>#REF!</v>
      </c>
      <c r="BV101" s="143" t="e">
        <f t="shared" si="67"/>
        <v>#REF!</v>
      </c>
      <c r="BW101" s="143">
        <f t="shared" si="68"/>
        <v>188.94</v>
      </c>
      <c r="BX101" s="37" t="s">
        <v>88</v>
      </c>
      <c r="BY101" s="37" t="s">
        <v>185</v>
      </c>
      <c r="BZ101" s="37" t="s">
        <v>1560</v>
      </c>
      <c r="CA101" s="66" t="e">
        <f>VLOOKUP(A101,'CMI Data'!$A$3:$AZ$209,20,FALSE)</f>
        <v>#DIV/0!</v>
      </c>
      <c r="CB101" s="68">
        <f t="shared" si="69"/>
        <v>189.08</v>
      </c>
      <c r="CC101" s="68" t="e">
        <f t="shared" si="70"/>
        <v>#DIV/0!</v>
      </c>
      <c r="CD101" s="75" t="e">
        <f t="shared" si="99"/>
        <v>#DIV/0!</v>
      </c>
      <c r="CE101" s="68" t="e">
        <f>IF($I101="NA","NA",ROUND(#REF!*$CA101/$I101,2))</f>
        <v>#REF!</v>
      </c>
      <c r="CF101" s="75" t="e">
        <f t="shared" si="100"/>
        <v>#REF!</v>
      </c>
      <c r="CG101" s="68" t="e">
        <f t="shared" si="101"/>
        <v>#REF!</v>
      </c>
      <c r="CH101" s="4">
        <f t="shared" si="102"/>
        <v>185154</v>
      </c>
      <c r="CI101" s="4">
        <f t="shared" si="103"/>
        <v>58560</v>
      </c>
      <c r="CJ101" s="4">
        <f t="shared" si="104"/>
        <v>55429</v>
      </c>
      <c r="CK101" s="142">
        <f>IF(ISNA(VLOOKUP($A101&amp;$AB101,'Days Exceptions'!$C$3:$I$7,6,FALSE)),ROUND(CH101/MAX(CJ101,(CI101*Min_Occ)),2),ROUND(CH101/VLOOKUP($A101&amp;$AB101,'Days Exceptions'!$C$3:$I$7,6,FALSE),2))</f>
        <v>3.34</v>
      </c>
      <c r="CL101" s="143" t="e">
        <f t="shared" si="71"/>
        <v>#REF!</v>
      </c>
      <c r="CM101" s="143" t="e">
        <f t="shared" si="72"/>
        <v>#REF!</v>
      </c>
      <c r="CN101" s="143">
        <f t="shared" si="73"/>
        <v>188.94</v>
      </c>
      <c r="CO101" s="37" t="s">
        <v>88</v>
      </c>
      <c r="CP101" s="37" t="s">
        <v>185</v>
      </c>
      <c r="CQ101" s="37" t="s">
        <v>1561</v>
      </c>
    </row>
    <row r="102" spans="1:95" x14ac:dyDescent="0.15">
      <c r="A102" s="130">
        <v>1366</v>
      </c>
      <c r="B102" s="37" t="s">
        <v>438</v>
      </c>
      <c r="C102" s="1" t="s">
        <v>148</v>
      </c>
      <c r="D102" s="1" t="s">
        <v>120</v>
      </c>
      <c r="E102" s="1" t="str">
        <f>VLOOKUP(D102,Documentation!$B$4:$D$27,3,FALSE)</f>
        <v>WASHINGTON METRO</v>
      </c>
      <c r="F102" s="1" t="str">
        <f>VLOOKUP(D102,Documentation!$B$4:$C$27,2,FALSE)</f>
        <v>WASHINGTON METRO</v>
      </c>
      <c r="G102" s="82">
        <f>VLOOKUP(A102,'2022 CR and CMI'!$A$3:$D$207,3,FALSE)</f>
        <v>44562</v>
      </c>
      <c r="H102" s="82">
        <f>VLOOKUP(A102,'2022 CR and CMI'!$A$3:$D$207,4,FALSE)</f>
        <v>44926</v>
      </c>
      <c r="I102" s="72">
        <f>VLOOKUP(A102,'2022 CR and CMI'!$A$2:$T$210,19,FALSE)</f>
        <v>1.9762999999999999</v>
      </c>
      <c r="J102" s="139">
        <f>Inflation!$G$24</f>
        <v>1.0309999999999999</v>
      </c>
      <c r="K102" s="192">
        <f>VLOOKUP(E102,Limits!$B$2:$D$5,3,FALSE)</f>
        <v>176.01</v>
      </c>
      <c r="L102" s="192">
        <f t="shared" si="74"/>
        <v>181.47</v>
      </c>
      <c r="M102" s="140">
        <f>VLOOKUP(A102,'CMI Data'!$A$4:$C$208,3,FALSE)</f>
        <v>1.6023000000000001</v>
      </c>
      <c r="N102" s="68">
        <f t="shared" si="58"/>
        <v>248.5</v>
      </c>
      <c r="O102" s="68">
        <f t="shared" si="75"/>
        <v>201.47</v>
      </c>
      <c r="P102" s="75">
        <f t="shared" si="76"/>
        <v>191.4</v>
      </c>
      <c r="Q102" s="75">
        <v>283.92</v>
      </c>
      <c r="R102" s="75">
        <f t="shared" si="77"/>
        <v>292.72000000000003</v>
      </c>
      <c r="S102" s="68">
        <f t="shared" si="78"/>
        <v>237.32</v>
      </c>
      <c r="T102" s="75">
        <f t="shared" si="79"/>
        <v>0</v>
      </c>
      <c r="U102" s="68">
        <f t="shared" si="80"/>
        <v>201.47</v>
      </c>
      <c r="V102" s="68">
        <f>VLOOKUP($F102,Limits!$J$2:$L$5,3,FALSE)</f>
        <v>19.23</v>
      </c>
      <c r="W102" s="68">
        <f t="shared" si="81"/>
        <v>19.829999999999998</v>
      </c>
      <c r="X102" s="68">
        <f>VLOOKUP($F102,Limits!$R$2:$T$5,3,FALSE)</f>
        <v>100.61</v>
      </c>
      <c r="Y102" s="68">
        <f t="shared" si="82"/>
        <v>103.73</v>
      </c>
      <c r="Z102" s="75">
        <f>VLOOKUP(A102,FRV!$A$4:$U$208,21,FALSE)</f>
        <v>38.64</v>
      </c>
      <c r="AA102" s="141">
        <f>VLOOKUP(A102,'RE Tax'!$A$2:$G$206,3,FALSE)</f>
        <v>45292</v>
      </c>
      <c r="AB102" s="141">
        <f>VLOOKUP(A102,'RE Tax'!$A$2:$G$206,4,FALSE)</f>
        <v>45657</v>
      </c>
      <c r="AC102" s="4">
        <f>VLOOKUP(A102,'RE Tax'!$A$2:$G$206,7,FALSE)</f>
        <v>291027</v>
      </c>
      <c r="AD102" s="4">
        <f>VLOOKUP($A102,'RE Tax'!$A$2:$I$206,9,FALSE)</f>
        <v>54900</v>
      </c>
      <c r="AE102" s="4">
        <f>VLOOKUP($A102,'RE Tax'!$A$2:$I$206,8,FALSE)</f>
        <v>51757</v>
      </c>
      <c r="AF102" s="142">
        <f>IF(ISNA(VLOOKUP(A102&amp;AB102,'Days Exceptions'!$C$3:$I$7,6,FALSE)),ROUND(AC102/MAX(AE102,(AD102*Min_Occ)),2),ROUND(AC102/VLOOKUP(A102&amp;AB102,'Days Exceptions'!$C$3:$I$7,6,FALSE),2))</f>
        <v>5.62</v>
      </c>
      <c r="AG102" s="68">
        <v>0</v>
      </c>
      <c r="AH102" s="68">
        <f t="shared" si="83"/>
        <v>0</v>
      </c>
      <c r="AI102" s="4">
        <v>27327</v>
      </c>
      <c r="AJ102" s="4">
        <v>51757</v>
      </c>
      <c r="AK102" s="68">
        <f>IF(AI102=0,0,IF(ISNA(MATCH(A102,Documentation!$B$66:$B$71,0)),QA_Tax_reg,QA_Tax_5high))</f>
        <v>32.92</v>
      </c>
      <c r="AL102" s="75">
        <f t="shared" si="84"/>
        <v>17.38</v>
      </c>
      <c r="AM102" s="68">
        <f t="shared" si="85"/>
        <v>369.29</v>
      </c>
      <c r="AN102" s="68">
        <f t="shared" si="86"/>
        <v>268.56</v>
      </c>
      <c r="AO102" s="68">
        <f t="shared" si="87"/>
        <v>167.82</v>
      </c>
      <c r="AP102" s="37" t="s">
        <v>441</v>
      </c>
      <c r="AQ102" s="37" t="s">
        <v>438</v>
      </c>
      <c r="AR102" s="37" t="s">
        <v>1055</v>
      </c>
      <c r="AS102" s="66" t="e">
        <f>VLOOKUP(A102,'CMI Data'!$A$3:$J$209,10,FALSE)</f>
        <v>#DIV/0!</v>
      </c>
      <c r="AT102" s="68">
        <f t="shared" si="59"/>
        <v>241.03</v>
      </c>
      <c r="AU102" s="68" t="e">
        <f t="shared" si="60"/>
        <v>#DIV/0!</v>
      </c>
      <c r="AV102" s="75" t="e">
        <f t="shared" si="88"/>
        <v>#DIV/0!</v>
      </c>
      <c r="AW102" s="68" t="e">
        <f>IF($I102="NA","NA",ROUND(#REF!*$AS102/$I102,2))</f>
        <v>#REF!</v>
      </c>
      <c r="AX102" s="75" t="e">
        <f t="shared" si="57"/>
        <v>#REF!</v>
      </c>
      <c r="AY102" s="68" t="e">
        <f t="shared" si="89"/>
        <v>#REF!</v>
      </c>
      <c r="AZ102" s="4">
        <f t="shared" si="90"/>
        <v>291027</v>
      </c>
      <c r="BA102" s="4">
        <f t="shared" si="91"/>
        <v>54900</v>
      </c>
      <c r="BB102" s="4">
        <f t="shared" si="92"/>
        <v>51757</v>
      </c>
      <c r="BC102" s="142">
        <f>IF(ISNA(VLOOKUP($A102&amp;$AB102,'Days Exceptions'!$C$3:$I$7,6,FALSE)),ROUND(AZ102/MAX(BB102,(BA102*Min_Occ)),2),ROUND(AZ102/VLOOKUP($A102&amp;$AB102,'Days Exceptions'!$C$3:$I$7,6,FALSE),2))</f>
        <v>5.62</v>
      </c>
      <c r="BD102" s="143" t="e">
        <f t="shared" si="61"/>
        <v>#REF!</v>
      </c>
      <c r="BE102" s="143" t="e">
        <f t="shared" si="62"/>
        <v>#REF!</v>
      </c>
      <c r="BF102" s="143">
        <f t="shared" si="63"/>
        <v>164.1</v>
      </c>
      <c r="BG102" s="37" t="s">
        <v>441</v>
      </c>
      <c r="BH102" s="37" t="s">
        <v>438</v>
      </c>
      <c r="BI102" s="37" t="s">
        <v>1259</v>
      </c>
      <c r="BJ102" s="66" t="e">
        <f>VLOOKUP(A102,'CMI Data'!$A$3:$AZ$209,15,FALSE)</f>
        <v>#DIV/0!</v>
      </c>
      <c r="BK102" s="68">
        <f t="shared" si="64"/>
        <v>241.03</v>
      </c>
      <c r="BL102" s="68" t="e">
        <f t="shared" si="65"/>
        <v>#DIV/0!</v>
      </c>
      <c r="BM102" s="75" t="e">
        <f t="shared" si="93"/>
        <v>#DIV/0!</v>
      </c>
      <c r="BN102" s="68" t="e">
        <f>IF($I102="NA","NA",ROUND(#REF!*$BJ102/$I102,2))</f>
        <v>#REF!</v>
      </c>
      <c r="BO102" s="75" t="e">
        <f t="shared" si="94"/>
        <v>#REF!</v>
      </c>
      <c r="BP102" s="68" t="e">
        <f t="shared" si="95"/>
        <v>#REF!</v>
      </c>
      <c r="BQ102" s="4">
        <f t="shared" si="96"/>
        <v>291027</v>
      </c>
      <c r="BR102" s="4">
        <f t="shared" si="97"/>
        <v>54900</v>
      </c>
      <c r="BS102" s="4">
        <f t="shared" si="98"/>
        <v>51757</v>
      </c>
      <c r="BT102" s="142">
        <f>IF(ISNA(VLOOKUP($A102&amp;$AB102,'Days Exceptions'!$C$3:$I$7,6,FALSE)),ROUND(BQ102/MAX(BS102,(BR102*Min_Occ)),2),ROUND(BQ102/VLOOKUP($A102&amp;$AB102,'Days Exceptions'!$C$3:$I$7,6,FALSE),2))</f>
        <v>5.62</v>
      </c>
      <c r="BU102" s="143" t="e">
        <f t="shared" si="66"/>
        <v>#REF!</v>
      </c>
      <c r="BV102" s="143" t="e">
        <f t="shared" si="67"/>
        <v>#REF!</v>
      </c>
      <c r="BW102" s="143">
        <f t="shared" si="68"/>
        <v>164.1</v>
      </c>
      <c r="BX102" s="37" t="s">
        <v>441</v>
      </c>
      <c r="BY102" s="37" t="s">
        <v>438</v>
      </c>
      <c r="BZ102" s="37" t="s">
        <v>1562</v>
      </c>
      <c r="CA102" s="66" t="e">
        <f>VLOOKUP(A102,'CMI Data'!$A$3:$AZ$209,20,FALSE)</f>
        <v>#DIV/0!</v>
      </c>
      <c r="CB102" s="68">
        <f t="shared" si="69"/>
        <v>241.03</v>
      </c>
      <c r="CC102" s="68" t="e">
        <f t="shared" si="70"/>
        <v>#DIV/0!</v>
      </c>
      <c r="CD102" s="75" t="e">
        <f t="shared" si="99"/>
        <v>#DIV/0!</v>
      </c>
      <c r="CE102" s="68" t="e">
        <f>IF($I102="NA","NA",ROUND(#REF!*$CA102/$I102,2))</f>
        <v>#REF!</v>
      </c>
      <c r="CF102" s="75" t="e">
        <f t="shared" si="100"/>
        <v>#REF!</v>
      </c>
      <c r="CG102" s="68" t="e">
        <f t="shared" si="101"/>
        <v>#REF!</v>
      </c>
      <c r="CH102" s="4">
        <f t="shared" si="102"/>
        <v>291027</v>
      </c>
      <c r="CI102" s="4">
        <f t="shared" si="103"/>
        <v>54900</v>
      </c>
      <c r="CJ102" s="4">
        <f t="shared" si="104"/>
        <v>51757</v>
      </c>
      <c r="CK102" s="142">
        <f>IF(ISNA(VLOOKUP($A102&amp;$AB102,'Days Exceptions'!$C$3:$I$7,6,FALSE)),ROUND(CH102/MAX(CJ102,(CI102*Min_Occ)),2),ROUND(CH102/VLOOKUP($A102&amp;$AB102,'Days Exceptions'!$C$3:$I$7,6,FALSE),2))</f>
        <v>5.62</v>
      </c>
      <c r="CL102" s="143" t="e">
        <f t="shared" si="71"/>
        <v>#REF!</v>
      </c>
      <c r="CM102" s="143" t="e">
        <f t="shared" si="72"/>
        <v>#REF!</v>
      </c>
      <c r="CN102" s="143">
        <f t="shared" si="73"/>
        <v>164.1</v>
      </c>
      <c r="CO102" s="37" t="s">
        <v>441</v>
      </c>
      <c r="CP102" s="37" t="s">
        <v>438</v>
      </c>
      <c r="CQ102" s="37" t="s">
        <v>1563</v>
      </c>
    </row>
    <row r="103" spans="1:95" x14ac:dyDescent="0.15">
      <c r="A103" s="130">
        <v>723</v>
      </c>
      <c r="B103" s="37" t="s">
        <v>188</v>
      </c>
      <c r="C103" s="1" t="s">
        <v>148</v>
      </c>
      <c r="D103" s="1" t="s">
        <v>102</v>
      </c>
      <c r="E103" s="1" t="str">
        <f>VLOOKUP(D103,Documentation!$B$4:$D$27,3,FALSE)</f>
        <v>BALTIMORE METRO</v>
      </c>
      <c r="F103" s="1" t="str">
        <f>VLOOKUP(D103,Documentation!$B$4:$C$27,2,FALSE)</f>
        <v>BALTIMORE CITY</v>
      </c>
      <c r="G103" s="82">
        <f>VLOOKUP(A103,'2022 CR and CMI'!$A$3:$D$207,3,FALSE)</f>
        <v>44562</v>
      </c>
      <c r="H103" s="82">
        <f>VLOOKUP(A103,'2022 CR and CMI'!$A$3:$D$207,4,FALSE)</f>
        <v>44926</v>
      </c>
      <c r="I103" s="72">
        <f>VLOOKUP(A103,'2022 CR and CMI'!$A$2:$T$210,19,FALSE)</f>
        <v>1.4529000000000001</v>
      </c>
      <c r="J103" s="139">
        <f>Inflation!$G$24</f>
        <v>1.0309999999999999</v>
      </c>
      <c r="K103" s="192">
        <f>VLOOKUP(E103,Limits!$B$2:$D$5,3,FALSE)</f>
        <v>195.33</v>
      </c>
      <c r="L103" s="192">
        <f t="shared" si="74"/>
        <v>201.39</v>
      </c>
      <c r="M103" s="140">
        <f>VLOOKUP(A103,'CMI Data'!$A$4:$C$208,3,FALSE)</f>
        <v>1.3108</v>
      </c>
      <c r="N103" s="68">
        <f t="shared" si="58"/>
        <v>202.74</v>
      </c>
      <c r="O103" s="68">
        <f t="shared" si="75"/>
        <v>182.91</v>
      </c>
      <c r="P103" s="75">
        <f t="shared" si="76"/>
        <v>173.76</v>
      </c>
      <c r="Q103" s="75">
        <v>177.2</v>
      </c>
      <c r="R103" s="75">
        <f t="shared" si="77"/>
        <v>182.69</v>
      </c>
      <c r="S103" s="68">
        <f t="shared" si="78"/>
        <v>164.82</v>
      </c>
      <c r="T103" s="75">
        <f t="shared" si="79"/>
        <v>-8.94</v>
      </c>
      <c r="U103" s="68">
        <f t="shared" si="80"/>
        <v>173.97</v>
      </c>
      <c r="V103" s="68">
        <f>VLOOKUP($F103,Limits!$J$2:$L$5,3,FALSE)</f>
        <v>24.89</v>
      </c>
      <c r="W103" s="68">
        <f t="shared" si="81"/>
        <v>25.66</v>
      </c>
      <c r="X103" s="68">
        <f>VLOOKUP($F103,Limits!$R$2:$T$5,3,FALSE)</f>
        <v>114.15</v>
      </c>
      <c r="Y103" s="68">
        <f t="shared" si="82"/>
        <v>117.69</v>
      </c>
      <c r="Z103" s="75">
        <f>VLOOKUP(A103,FRV!$A$4:$U$208,21,FALSE)</f>
        <v>37.96</v>
      </c>
      <c r="AA103" s="141">
        <f>VLOOKUP(A103,'RE Tax'!$A$2:$G$206,3,FALSE)</f>
        <v>45292</v>
      </c>
      <c r="AB103" s="141">
        <f>VLOOKUP(A103,'RE Tax'!$A$2:$G$206,4,FALSE)</f>
        <v>45657</v>
      </c>
      <c r="AC103" s="4">
        <f>VLOOKUP(A103,'RE Tax'!$A$2:$G$206,7,FALSE)</f>
        <v>124733</v>
      </c>
      <c r="AD103" s="4">
        <f>VLOOKUP($A103,'RE Tax'!$A$2:$I$206,9,FALSE)</f>
        <v>39894</v>
      </c>
      <c r="AE103" s="4">
        <f>VLOOKUP($A103,'RE Tax'!$A$2:$I$206,8,FALSE)</f>
        <v>36615</v>
      </c>
      <c r="AF103" s="142">
        <f>IF(ISNA(VLOOKUP(A103&amp;AB103,'Days Exceptions'!$C$3:$I$7,6,FALSE)),ROUND(AC103/MAX(AE103,(AD103*Min_Occ)),2),ROUND(AC103/VLOOKUP(A103&amp;AB103,'Days Exceptions'!$C$3:$I$7,6,FALSE),2))</f>
        <v>3.41</v>
      </c>
      <c r="AG103" s="68">
        <v>0</v>
      </c>
      <c r="AH103" s="68">
        <f t="shared" si="83"/>
        <v>0</v>
      </c>
      <c r="AI103" s="4">
        <v>30314</v>
      </c>
      <c r="AJ103" s="4">
        <v>36666</v>
      </c>
      <c r="AK103" s="68">
        <f>IF(AI103=0,0,IF(ISNA(MATCH(A103,Documentation!$B$66:$B$71,0)),QA_Tax_reg,QA_Tax_5high))</f>
        <v>32.92</v>
      </c>
      <c r="AL103" s="75">
        <f t="shared" si="84"/>
        <v>27.22</v>
      </c>
      <c r="AM103" s="68">
        <f t="shared" si="85"/>
        <v>358.69</v>
      </c>
      <c r="AN103" s="68">
        <f t="shared" si="86"/>
        <v>271.70999999999998</v>
      </c>
      <c r="AO103" s="68">
        <f t="shared" si="87"/>
        <v>184.72</v>
      </c>
      <c r="AP103" s="37" t="s">
        <v>99</v>
      </c>
      <c r="AQ103" s="37" t="s">
        <v>188</v>
      </c>
      <c r="AR103" s="37" t="s">
        <v>1056</v>
      </c>
      <c r="AS103" s="66" t="e">
        <f>VLOOKUP(A103,'CMI Data'!$A$3:$J$209,10,FALSE)</f>
        <v>#DIV/0!</v>
      </c>
      <c r="AT103" s="68">
        <f t="shared" si="59"/>
        <v>196.64</v>
      </c>
      <c r="AU103" s="68" t="e">
        <f t="shared" si="60"/>
        <v>#DIV/0!</v>
      </c>
      <c r="AV103" s="75" t="e">
        <f t="shared" si="88"/>
        <v>#DIV/0!</v>
      </c>
      <c r="AW103" s="68" t="e">
        <f>IF($I103="NA","NA",ROUND(#REF!*$AS103/$I103,2))</f>
        <v>#REF!</v>
      </c>
      <c r="AX103" s="75" t="e">
        <f t="shared" si="57"/>
        <v>#REF!</v>
      </c>
      <c r="AY103" s="68" t="e">
        <f t="shared" si="89"/>
        <v>#REF!</v>
      </c>
      <c r="AZ103" s="4">
        <f t="shared" si="90"/>
        <v>124733</v>
      </c>
      <c r="BA103" s="4">
        <f t="shared" si="91"/>
        <v>39894</v>
      </c>
      <c r="BB103" s="4">
        <f t="shared" si="92"/>
        <v>36615</v>
      </c>
      <c r="BC103" s="142">
        <f>IF(ISNA(VLOOKUP($A103&amp;$AB103,'Days Exceptions'!$C$3:$I$7,6,FALSE)),ROUND(AZ103/MAX(BB103,(BA103*Min_Occ)),2),ROUND(AZ103/VLOOKUP($A103&amp;$AB103,'Days Exceptions'!$C$3:$I$7,6,FALSE),2))</f>
        <v>3.41</v>
      </c>
      <c r="BD103" s="143" t="e">
        <f t="shared" si="61"/>
        <v>#REF!</v>
      </c>
      <c r="BE103" s="143" t="e">
        <f t="shared" si="62"/>
        <v>#REF!</v>
      </c>
      <c r="BF103" s="143">
        <f t="shared" si="63"/>
        <v>180.41</v>
      </c>
      <c r="BG103" s="37" t="s">
        <v>99</v>
      </c>
      <c r="BH103" s="37" t="s">
        <v>188</v>
      </c>
      <c r="BI103" s="37" t="s">
        <v>1260</v>
      </c>
      <c r="BJ103" s="66" t="e">
        <f>VLOOKUP(A103,'CMI Data'!$A$3:$AZ$209,15,FALSE)</f>
        <v>#DIV/0!</v>
      </c>
      <c r="BK103" s="68">
        <f t="shared" si="64"/>
        <v>196.64</v>
      </c>
      <c r="BL103" s="68" t="e">
        <f t="shared" si="65"/>
        <v>#DIV/0!</v>
      </c>
      <c r="BM103" s="75" t="e">
        <f t="shared" si="93"/>
        <v>#DIV/0!</v>
      </c>
      <c r="BN103" s="68" t="e">
        <f>IF($I103="NA","NA",ROUND(#REF!*$BJ103/$I103,2))</f>
        <v>#REF!</v>
      </c>
      <c r="BO103" s="75" t="e">
        <f t="shared" si="94"/>
        <v>#REF!</v>
      </c>
      <c r="BP103" s="68" t="e">
        <f t="shared" si="95"/>
        <v>#REF!</v>
      </c>
      <c r="BQ103" s="4">
        <f t="shared" si="96"/>
        <v>124733</v>
      </c>
      <c r="BR103" s="4">
        <f t="shared" si="97"/>
        <v>39894</v>
      </c>
      <c r="BS103" s="4">
        <f t="shared" si="98"/>
        <v>36615</v>
      </c>
      <c r="BT103" s="142">
        <f>IF(ISNA(VLOOKUP($A103&amp;$AB103,'Days Exceptions'!$C$3:$I$7,6,FALSE)),ROUND(BQ103/MAX(BS103,(BR103*Min_Occ)),2),ROUND(BQ103/VLOOKUP($A103&amp;$AB103,'Days Exceptions'!$C$3:$I$7,6,FALSE),2))</f>
        <v>3.41</v>
      </c>
      <c r="BU103" s="143" t="e">
        <f t="shared" si="66"/>
        <v>#REF!</v>
      </c>
      <c r="BV103" s="143" t="e">
        <f t="shared" si="67"/>
        <v>#REF!</v>
      </c>
      <c r="BW103" s="143">
        <f t="shared" si="68"/>
        <v>180.41</v>
      </c>
      <c r="BX103" s="37" t="s">
        <v>99</v>
      </c>
      <c r="BY103" s="37" t="s">
        <v>188</v>
      </c>
      <c r="BZ103" s="37" t="s">
        <v>1564</v>
      </c>
      <c r="CA103" s="66" t="e">
        <f>VLOOKUP(A103,'CMI Data'!$A$3:$AZ$209,20,FALSE)</f>
        <v>#DIV/0!</v>
      </c>
      <c r="CB103" s="68">
        <f t="shared" si="69"/>
        <v>196.64</v>
      </c>
      <c r="CC103" s="68" t="e">
        <f t="shared" si="70"/>
        <v>#DIV/0!</v>
      </c>
      <c r="CD103" s="75" t="e">
        <f t="shared" si="99"/>
        <v>#DIV/0!</v>
      </c>
      <c r="CE103" s="68" t="e">
        <f>IF($I103="NA","NA",ROUND(#REF!*$CA103/$I103,2))</f>
        <v>#REF!</v>
      </c>
      <c r="CF103" s="75" t="e">
        <f t="shared" si="100"/>
        <v>#REF!</v>
      </c>
      <c r="CG103" s="68" t="e">
        <f t="shared" si="101"/>
        <v>#REF!</v>
      </c>
      <c r="CH103" s="4">
        <f t="shared" si="102"/>
        <v>124733</v>
      </c>
      <c r="CI103" s="4">
        <f t="shared" si="103"/>
        <v>39894</v>
      </c>
      <c r="CJ103" s="4">
        <f t="shared" si="104"/>
        <v>36615</v>
      </c>
      <c r="CK103" s="142">
        <f>IF(ISNA(VLOOKUP($A103&amp;$AB103,'Days Exceptions'!$C$3:$I$7,6,FALSE)),ROUND(CH103/MAX(CJ103,(CI103*Min_Occ)),2),ROUND(CH103/VLOOKUP($A103&amp;$AB103,'Days Exceptions'!$C$3:$I$7,6,FALSE),2))</f>
        <v>3.41</v>
      </c>
      <c r="CL103" s="143" t="e">
        <f t="shared" si="71"/>
        <v>#REF!</v>
      </c>
      <c r="CM103" s="143" t="e">
        <f t="shared" si="72"/>
        <v>#REF!</v>
      </c>
      <c r="CN103" s="143">
        <f t="shared" si="73"/>
        <v>180.41</v>
      </c>
      <c r="CO103" s="37" t="s">
        <v>99</v>
      </c>
      <c r="CP103" s="37" t="s">
        <v>188</v>
      </c>
      <c r="CQ103" s="37" t="s">
        <v>1565</v>
      </c>
    </row>
    <row r="104" spans="1:95" x14ac:dyDescent="0.15">
      <c r="A104" s="130">
        <v>182</v>
      </c>
      <c r="B104" s="37" t="s">
        <v>219</v>
      </c>
      <c r="C104" s="1" t="s">
        <v>148</v>
      </c>
      <c r="D104" s="1" t="s">
        <v>107</v>
      </c>
      <c r="E104" s="1" t="str">
        <f>VLOOKUP(D104,Documentation!$B$4:$D$27,3,FALSE)</f>
        <v>BALTIMORE METRO</v>
      </c>
      <c r="F104" s="1" t="str">
        <f>VLOOKUP(D104,Documentation!$B$4:$C$27,2,FALSE)</f>
        <v>BALTIMORE METRO</v>
      </c>
      <c r="G104" s="82">
        <f>VLOOKUP(A104,'2022 CR and CMI'!$A$3:$D$207,3,FALSE)</f>
        <v>44562</v>
      </c>
      <c r="H104" s="82">
        <f>VLOOKUP(A104,'2022 CR and CMI'!$A$3:$D$207,4,FALSE)</f>
        <v>44926</v>
      </c>
      <c r="I104" s="72">
        <f>VLOOKUP(A104,'2022 CR and CMI'!$A$2:$T$210,19,FALSE)</f>
        <v>1.5004999999999999</v>
      </c>
      <c r="J104" s="139">
        <f>Inflation!$G$24</f>
        <v>1.0309999999999999</v>
      </c>
      <c r="K104" s="192">
        <f>VLOOKUP(E104,Limits!$B$2:$D$5,3,FALSE)</f>
        <v>195.33</v>
      </c>
      <c r="L104" s="192">
        <f t="shared" si="74"/>
        <v>201.39</v>
      </c>
      <c r="M104" s="140">
        <f>VLOOKUP(A104,'CMI Data'!$A$4:$C$208,3,FALSE)</f>
        <v>1.3729</v>
      </c>
      <c r="N104" s="68">
        <f t="shared" si="58"/>
        <v>209.39</v>
      </c>
      <c r="O104" s="68">
        <f t="shared" si="75"/>
        <v>191.58</v>
      </c>
      <c r="P104" s="75">
        <f t="shared" si="76"/>
        <v>182</v>
      </c>
      <c r="Q104" s="75">
        <v>176.69</v>
      </c>
      <c r="R104" s="75">
        <f t="shared" si="77"/>
        <v>182.17</v>
      </c>
      <c r="S104" s="68">
        <f t="shared" si="78"/>
        <v>166.68</v>
      </c>
      <c r="T104" s="75">
        <f t="shared" si="79"/>
        <v>-15.32</v>
      </c>
      <c r="U104" s="68">
        <f t="shared" si="80"/>
        <v>176.26</v>
      </c>
      <c r="V104" s="68">
        <f>VLOOKUP($F104,Limits!$J$2:$L$5,3,FALSE)</f>
        <v>20.85</v>
      </c>
      <c r="W104" s="68">
        <f t="shared" si="81"/>
        <v>21.5</v>
      </c>
      <c r="X104" s="68">
        <f>VLOOKUP($F104,Limits!$R$2:$T$5,3,FALSE)</f>
        <v>102.02</v>
      </c>
      <c r="Y104" s="68">
        <f t="shared" si="82"/>
        <v>105.18</v>
      </c>
      <c r="Z104" s="75">
        <f>VLOOKUP(A104,FRV!$A$4:$U$208,21,FALSE)</f>
        <v>31.79</v>
      </c>
      <c r="AA104" s="141">
        <f>VLOOKUP(A104,'RE Tax'!$A$2:$G$206,3,FALSE)</f>
        <v>45292</v>
      </c>
      <c r="AB104" s="141">
        <f>VLOOKUP(A104,'RE Tax'!$A$2:$G$206,4,FALSE)</f>
        <v>45657</v>
      </c>
      <c r="AC104" s="4">
        <f>VLOOKUP(A104,'RE Tax'!$A$2:$G$206,7,FALSE)</f>
        <v>76413</v>
      </c>
      <c r="AD104" s="4">
        <f>VLOOKUP($A104,'RE Tax'!$A$2:$I$206,9,FALSE)</f>
        <v>61122</v>
      </c>
      <c r="AE104" s="4">
        <f>VLOOKUP($A104,'RE Tax'!$A$2:$I$206,8,FALSE)</f>
        <v>56156</v>
      </c>
      <c r="AF104" s="142">
        <f>IF(ISNA(VLOOKUP(A104&amp;AB104,'Days Exceptions'!$C$3:$I$7,6,FALSE)),ROUND(AC104/MAX(AE104,(AD104*Min_Occ)),2),ROUND(AC104/VLOOKUP(A104&amp;AB104,'Days Exceptions'!$C$3:$I$7,6,FALSE),2))</f>
        <v>1.36</v>
      </c>
      <c r="AG104" s="68">
        <v>0</v>
      </c>
      <c r="AH104" s="68">
        <f t="shared" si="83"/>
        <v>0</v>
      </c>
      <c r="AI104" s="4">
        <v>47589</v>
      </c>
      <c r="AJ104" s="4">
        <v>56151</v>
      </c>
      <c r="AK104" s="68">
        <f>IF(AI104=0,0,IF(ISNA(MATCH(A104,Documentation!$B$66:$B$71,0)),QA_Tax_reg,QA_Tax_5high))</f>
        <v>32.92</v>
      </c>
      <c r="AL104" s="75">
        <f t="shared" si="84"/>
        <v>27.9</v>
      </c>
      <c r="AM104" s="68">
        <f t="shared" si="85"/>
        <v>336.09</v>
      </c>
      <c r="AN104" s="68">
        <f t="shared" si="86"/>
        <v>247.96</v>
      </c>
      <c r="AO104" s="68">
        <f t="shared" si="87"/>
        <v>159.83000000000001</v>
      </c>
      <c r="AP104" s="37" t="s">
        <v>70</v>
      </c>
      <c r="AQ104" s="37" t="s">
        <v>219</v>
      </c>
      <c r="AR104" s="37" t="s">
        <v>1057</v>
      </c>
      <c r="AS104" s="66" t="e">
        <f>VLOOKUP(A104,'CMI Data'!$A$3:$J$209,10,FALSE)</f>
        <v>#DIV/0!</v>
      </c>
      <c r="AT104" s="68">
        <f t="shared" si="59"/>
        <v>203.09</v>
      </c>
      <c r="AU104" s="68" t="e">
        <f t="shared" si="60"/>
        <v>#DIV/0!</v>
      </c>
      <c r="AV104" s="75" t="e">
        <f t="shared" si="88"/>
        <v>#DIV/0!</v>
      </c>
      <c r="AW104" s="68" t="e">
        <f>IF($I104="NA","NA",ROUND(#REF!*$AS104/$I104,2))</f>
        <v>#REF!</v>
      </c>
      <c r="AX104" s="75" t="e">
        <f t="shared" si="57"/>
        <v>#REF!</v>
      </c>
      <c r="AY104" s="68" t="e">
        <f t="shared" si="89"/>
        <v>#REF!</v>
      </c>
      <c r="AZ104" s="4">
        <f t="shared" si="90"/>
        <v>76413</v>
      </c>
      <c r="BA104" s="4">
        <f t="shared" si="91"/>
        <v>61122</v>
      </c>
      <c r="BB104" s="4">
        <f t="shared" si="92"/>
        <v>56156</v>
      </c>
      <c r="BC104" s="142">
        <f>IF(ISNA(VLOOKUP($A104&amp;$AB104,'Days Exceptions'!$C$3:$I$7,6,FALSE)),ROUND(AZ104/MAX(BB104,(BA104*Min_Occ)),2),ROUND(AZ104/VLOOKUP($A104&amp;$AB104,'Days Exceptions'!$C$3:$I$7,6,FALSE),2))</f>
        <v>1.36</v>
      </c>
      <c r="BD104" s="143" t="e">
        <f t="shared" si="61"/>
        <v>#REF!</v>
      </c>
      <c r="BE104" s="143" t="e">
        <f t="shared" si="62"/>
        <v>#REF!</v>
      </c>
      <c r="BF104" s="143">
        <f t="shared" si="63"/>
        <v>156.02000000000001</v>
      </c>
      <c r="BG104" s="37" t="s">
        <v>70</v>
      </c>
      <c r="BH104" s="37" t="s">
        <v>219</v>
      </c>
      <c r="BI104" s="37" t="s">
        <v>1261</v>
      </c>
      <c r="BJ104" s="66" t="e">
        <f>VLOOKUP(A104,'CMI Data'!$A$3:$AZ$209,15,FALSE)</f>
        <v>#DIV/0!</v>
      </c>
      <c r="BK104" s="68">
        <f t="shared" si="64"/>
        <v>203.09</v>
      </c>
      <c r="BL104" s="68" t="e">
        <f t="shared" si="65"/>
        <v>#DIV/0!</v>
      </c>
      <c r="BM104" s="75" t="e">
        <f t="shared" si="93"/>
        <v>#DIV/0!</v>
      </c>
      <c r="BN104" s="68" t="e">
        <f>IF($I104="NA","NA",ROUND(#REF!*$BJ104/$I104,2))</f>
        <v>#REF!</v>
      </c>
      <c r="BO104" s="75" t="e">
        <f t="shared" si="94"/>
        <v>#REF!</v>
      </c>
      <c r="BP104" s="68" t="e">
        <f t="shared" si="95"/>
        <v>#REF!</v>
      </c>
      <c r="BQ104" s="4">
        <f t="shared" si="96"/>
        <v>76413</v>
      </c>
      <c r="BR104" s="4">
        <f t="shared" si="97"/>
        <v>61122</v>
      </c>
      <c r="BS104" s="4">
        <f t="shared" si="98"/>
        <v>56156</v>
      </c>
      <c r="BT104" s="142">
        <f>IF(ISNA(VLOOKUP($A104&amp;$AB104,'Days Exceptions'!$C$3:$I$7,6,FALSE)),ROUND(BQ104/MAX(BS104,(BR104*Min_Occ)),2),ROUND(BQ104/VLOOKUP($A104&amp;$AB104,'Days Exceptions'!$C$3:$I$7,6,FALSE),2))</f>
        <v>1.36</v>
      </c>
      <c r="BU104" s="143" t="e">
        <f t="shared" si="66"/>
        <v>#REF!</v>
      </c>
      <c r="BV104" s="143" t="e">
        <f t="shared" si="67"/>
        <v>#REF!</v>
      </c>
      <c r="BW104" s="143">
        <f t="shared" si="68"/>
        <v>156.02000000000001</v>
      </c>
      <c r="BX104" s="37" t="s">
        <v>70</v>
      </c>
      <c r="BY104" s="37" t="s">
        <v>219</v>
      </c>
      <c r="BZ104" s="37" t="s">
        <v>1566</v>
      </c>
      <c r="CA104" s="66" t="e">
        <f>VLOOKUP(A104,'CMI Data'!$A$3:$AZ$209,20,FALSE)</f>
        <v>#DIV/0!</v>
      </c>
      <c r="CB104" s="68">
        <f t="shared" si="69"/>
        <v>203.09</v>
      </c>
      <c r="CC104" s="68" t="e">
        <f t="shared" si="70"/>
        <v>#DIV/0!</v>
      </c>
      <c r="CD104" s="75" t="e">
        <f t="shared" si="99"/>
        <v>#DIV/0!</v>
      </c>
      <c r="CE104" s="68" t="e">
        <f>IF($I104="NA","NA",ROUND(#REF!*$CA104/$I104,2))</f>
        <v>#REF!</v>
      </c>
      <c r="CF104" s="75" t="e">
        <f t="shared" si="100"/>
        <v>#REF!</v>
      </c>
      <c r="CG104" s="68" t="e">
        <f t="shared" si="101"/>
        <v>#REF!</v>
      </c>
      <c r="CH104" s="4">
        <f t="shared" si="102"/>
        <v>76413</v>
      </c>
      <c r="CI104" s="4">
        <f t="shared" si="103"/>
        <v>61122</v>
      </c>
      <c r="CJ104" s="4">
        <f t="shared" si="104"/>
        <v>56156</v>
      </c>
      <c r="CK104" s="142">
        <f>IF(ISNA(VLOOKUP($A104&amp;$AB104,'Days Exceptions'!$C$3:$I$7,6,FALSE)),ROUND(CH104/MAX(CJ104,(CI104*Min_Occ)),2),ROUND(CH104/VLOOKUP($A104&amp;$AB104,'Days Exceptions'!$C$3:$I$7,6,FALSE),2))</f>
        <v>1.36</v>
      </c>
      <c r="CL104" s="143" t="e">
        <f t="shared" si="71"/>
        <v>#REF!</v>
      </c>
      <c r="CM104" s="143" t="e">
        <f t="shared" si="72"/>
        <v>#REF!</v>
      </c>
      <c r="CN104" s="143">
        <f t="shared" si="73"/>
        <v>156.02000000000001</v>
      </c>
      <c r="CO104" s="37" t="s">
        <v>70</v>
      </c>
      <c r="CP104" s="37" t="s">
        <v>219</v>
      </c>
      <c r="CQ104" s="37" t="s">
        <v>1567</v>
      </c>
    </row>
    <row r="105" spans="1:95" x14ac:dyDescent="0.15">
      <c r="A105" s="130">
        <v>184</v>
      </c>
      <c r="B105" s="37" t="s">
        <v>175</v>
      </c>
      <c r="C105" s="1" t="s">
        <v>148</v>
      </c>
      <c r="D105" s="1" t="s">
        <v>106</v>
      </c>
      <c r="E105" s="1" t="str">
        <f>VLOOKUP(D105,Documentation!$B$4:$D$27,3,FALSE)</f>
        <v>BALTIMORE METRO</v>
      </c>
      <c r="F105" s="1" t="str">
        <f>VLOOKUP(D105,Documentation!$B$4:$C$27,2,FALSE)</f>
        <v>BALTIMORE METRO</v>
      </c>
      <c r="G105" s="82">
        <f>VLOOKUP(A105,'2022 CR and CMI'!$A$3:$D$207,3,FALSE)</f>
        <v>44562</v>
      </c>
      <c r="H105" s="82">
        <f>VLOOKUP(A105,'2022 CR and CMI'!$A$3:$D$207,4,FALSE)</f>
        <v>44926</v>
      </c>
      <c r="I105" s="72">
        <f>VLOOKUP(A105,'2022 CR and CMI'!$A$2:$T$210,19,FALSE)</f>
        <v>1.4894000000000001</v>
      </c>
      <c r="J105" s="139">
        <f>Inflation!$G$24</f>
        <v>1.0309999999999999</v>
      </c>
      <c r="K105" s="192">
        <f>VLOOKUP(E105,Limits!$B$2:$D$5,3,FALSE)</f>
        <v>195.33</v>
      </c>
      <c r="L105" s="192">
        <f t="shared" si="74"/>
        <v>201.39</v>
      </c>
      <c r="M105" s="140">
        <f>VLOOKUP(A105,'CMI Data'!$A$4:$C$208,3,FALSE)</f>
        <v>1.3447</v>
      </c>
      <c r="N105" s="68">
        <f t="shared" si="58"/>
        <v>207.84</v>
      </c>
      <c r="O105" s="68">
        <f t="shared" si="75"/>
        <v>187.65</v>
      </c>
      <c r="P105" s="75">
        <f t="shared" si="76"/>
        <v>178.27</v>
      </c>
      <c r="Q105" s="75">
        <v>230.01</v>
      </c>
      <c r="R105" s="75">
        <f t="shared" si="77"/>
        <v>237.14</v>
      </c>
      <c r="S105" s="68">
        <f t="shared" si="78"/>
        <v>214.1</v>
      </c>
      <c r="T105" s="75">
        <f t="shared" si="79"/>
        <v>0</v>
      </c>
      <c r="U105" s="68">
        <f t="shared" si="80"/>
        <v>187.65</v>
      </c>
      <c r="V105" s="68">
        <f>VLOOKUP($F105,Limits!$J$2:$L$5,3,FALSE)</f>
        <v>20.85</v>
      </c>
      <c r="W105" s="68">
        <f t="shared" si="81"/>
        <v>21.5</v>
      </c>
      <c r="X105" s="68">
        <f>VLOOKUP($F105,Limits!$R$2:$T$5,3,FALSE)</f>
        <v>102.02</v>
      </c>
      <c r="Y105" s="68">
        <f t="shared" si="82"/>
        <v>105.18</v>
      </c>
      <c r="Z105" s="75">
        <f>VLOOKUP(A105,FRV!$A$4:$U$208,21,FALSE)</f>
        <v>26.95</v>
      </c>
      <c r="AA105" s="141">
        <f>VLOOKUP(A105,'RE Tax'!$A$2:$G$206,3,FALSE)</f>
        <v>45292</v>
      </c>
      <c r="AB105" s="141">
        <f>VLOOKUP(A105,'RE Tax'!$A$2:$G$206,4,FALSE)</f>
        <v>45657</v>
      </c>
      <c r="AC105" s="4">
        <f>VLOOKUP(A105,'RE Tax'!$A$2:$G$206,7,FALSE)</f>
        <v>94475</v>
      </c>
      <c r="AD105" s="4">
        <f>VLOOKUP($A105,'RE Tax'!$A$2:$I$206,9,FALSE)</f>
        <v>55632</v>
      </c>
      <c r="AE105" s="4">
        <f>VLOOKUP($A105,'RE Tax'!$A$2:$I$206,8,FALSE)</f>
        <v>39712</v>
      </c>
      <c r="AF105" s="142">
        <f>IF(ISNA(VLOOKUP(A105&amp;AB105,'Days Exceptions'!$C$3:$I$7,6,FALSE)),ROUND(AC105/MAX(AE105,(AD105*Min_Occ)),2),ROUND(AC105/VLOOKUP(A105&amp;AB105,'Days Exceptions'!$C$3:$I$7,6,FALSE),2))</f>
        <v>2.08</v>
      </c>
      <c r="AG105" s="68">
        <v>0</v>
      </c>
      <c r="AH105" s="68">
        <f t="shared" si="83"/>
        <v>0</v>
      </c>
      <c r="AI105" s="4">
        <v>30801</v>
      </c>
      <c r="AJ105" s="4">
        <v>39511</v>
      </c>
      <c r="AK105" s="68">
        <f>IF(AI105=0,0,IF(ISNA(MATCH(A105,Documentation!$B$66:$B$71,0)),QA_Tax_reg,QA_Tax_5high))</f>
        <v>32.92</v>
      </c>
      <c r="AL105" s="75">
        <f t="shared" si="84"/>
        <v>25.66</v>
      </c>
      <c r="AM105" s="68">
        <f t="shared" si="85"/>
        <v>343.36</v>
      </c>
      <c r="AN105" s="68">
        <f t="shared" si="86"/>
        <v>249.54</v>
      </c>
      <c r="AO105" s="68">
        <f t="shared" si="87"/>
        <v>155.71</v>
      </c>
      <c r="AP105" s="37" t="s">
        <v>66</v>
      </c>
      <c r="AQ105" s="37" t="s">
        <v>175</v>
      </c>
      <c r="AR105" s="37" t="s">
        <v>1058</v>
      </c>
      <c r="AS105" s="66" t="e">
        <f>VLOOKUP(A105,'CMI Data'!$A$3:$J$209,10,FALSE)</f>
        <v>#DIV/0!</v>
      </c>
      <c r="AT105" s="68">
        <f t="shared" si="59"/>
        <v>201.58</v>
      </c>
      <c r="AU105" s="68" t="e">
        <f t="shared" si="60"/>
        <v>#DIV/0!</v>
      </c>
      <c r="AV105" s="75" t="e">
        <f t="shared" si="88"/>
        <v>#DIV/0!</v>
      </c>
      <c r="AW105" s="68" t="e">
        <f>IF($I105="NA","NA",ROUND(#REF!*$AS105/$I105,2))</f>
        <v>#REF!</v>
      </c>
      <c r="AX105" s="75" t="e">
        <f t="shared" si="57"/>
        <v>#REF!</v>
      </c>
      <c r="AY105" s="68" t="e">
        <f t="shared" si="89"/>
        <v>#REF!</v>
      </c>
      <c r="AZ105" s="4">
        <f t="shared" si="90"/>
        <v>94475</v>
      </c>
      <c r="BA105" s="4">
        <f t="shared" si="91"/>
        <v>55632</v>
      </c>
      <c r="BB105" s="4">
        <f t="shared" si="92"/>
        <v>39712</v>
      </c>
      <c r="BC105" s="142">
        <f>IF(ISNA(VLOOKUP($A105&amp;$AB105,'Days Exceptions'!$C$3:$I$7,6,FALSE)),ROUND(AZ105/MAX(BB105,(BA105*Min_Occ)),2),ROUND(AZ105/VLOOKUP($A105&amp;$AB105,'Days Exceptions'!$C$3:$I$7,6,FALSE),2))</f>
        <v>2.08</v>
      </c>
      <c r="BD105" s="143" t="e">
        <f t="shared" si="61"/>
        <v>#REF!</v>
      </c>
      <c r="BE105" s="143" t="e">
        <f t="shared" si="62"/>
        <v>#REF!</v>
      </c>
      <c r="BF105" s="143">
        <f t="shared" si="63"/>
        <v>151.9</v>
      </c>
      <c r="BG105" s="37" t="s">
        <v>66</v>
      </c>
      <c r="BH105" s="37" t="s">
        <v>175</v>
      </c>
      <c r="BI105" s="37" t="s">
        <v>1262</v>
      </c>
      <c r="BJ105" s="66" t="e">
        <f>VLOOKUP(A105,'CMI Data'!$A$3:$AZ$209,15,FALSE)</f>
        <v>#DIV/0!</v>
      </c>
      <c r="BK105" s="68">
        <f t="shared" si="64"/>
        <v>201.58</v>
      </c>
      <c r="BL105" s="68" t="e">
        <f t="shared" si="65"/>
        <v>#DIV/0!</v>
      </c>
      <c r="BM105" s="75" t="e">
        <f t="shared" si="93"/>
        <v>#DIV/0!</v>
      </c>
      <c r="BN105" s="68" t="e">
        <f>IF($I105="NA","NA",ROUND(#REF!*$BJ105/$I105,2))</f>
        <v>#REF!</v>
      </c>
      <c r="BO105" s="75" t="e">
        <f t="shared" si="94"/>
        <v>#REF!</v>
      </c>
      <c r="BP105" s="68" t="e">
        <f t="shared" si="95"/>
        <v>#REF!</v>
      </c>
      <c r="BQ105" s="4">
        <f t="shared" si="96"/>
        <v>94475</v>
      </c>
      <c r="BR105" s="4">
        <f t="shared" si="97"/>
        <v>55632</v>
      </c>
      <c r="BS105" s="4">
        <f t="shared" si="98"/>
        <v>39712</v>
      </c>
      <c r="BT105" s="142">
        <f>IF(ISNA(VLOOKUP($A105&amp;$AB105,'Days Exceptions'!$C$3:$I$7,6,FALSE)),ROUND(BQ105/MAX(BS105,(BR105*Min_Occ)),2),ROUND(BQ105/VLOOKUP($A105&amp;$AB105,'Days Exceptions'!$C$3:$I$7,6,FALSE),2))</f>
        <v>2.08</v>
      </c>
      <c r="BU105" s="143" t="e">
        <f t="shared" si="66"/>
        <v>#REF!</v>
      </c>
      <c r="BV105" s="143" t="e">
        <f t="shared" si="67"/>
        <v>#REF!</v>
      </c>
      <c r="BW105" s="143">
        <f t="shared" si="68"/>
        <v>151.9</v>
      </c>
      <c r="BX105" s="37" t="s">
        <v>66</v>
      </c>
      <c r="BY105" s="37" t="s">
        <v>175</v>
      </c>
      <c r="BZ105" s="37" t="s">
        <v>1568</v>
      </c>
      <c r="CA105" s="66" t="e">
        <f>VLOOKUP(A105,'CMI Data'!$A$3:$AZ$209,20,FALSE)</f>
        <v>#DIV/0!</v>
      </c>
      <c r="CB105" s="68">
        <f t="shared" si="69"/>
        <v>201.58</v>
      </c>
      <c r="CC105" s="68" t="e">
        <f t="shared" si="70"/>
        <v>#DIV/0!</v>
      </c>
      <c r="CD105" s="75" t="e">
        <f t="shared" si="99"/>
        <v>#DIV/0!</v>
      </c>
      <c r="CE105" s="68" t="e">
        <f>IF($I105="NA","NA",ROUND(#REF!*$CA105/$I105,2))</f>
        <v>#REF!</v>
      </c>
      <c r="CF105" s="75" t="e">
        <f t="shared" si="100"/>
        <v>#REF!</v>
      </c>
      <c r="CG105" s="68" t="e">
        <f t="shared" si="101"/>
        <v>#REF!</v>
      </c>
      <c r="CH105" s="4">
        <f t="shared" si="102"/>
        <v>94475</v>
      </c>
      <c r="CI105" s="4">
        <f t="shared" si="103"/>
        <v>55632</v>
      </c>
      <c r="CJ105" s="4">
        <f t="shared" si="104"/>
        <v>39712</v>
      </c>
      <c r="CK105" s="142">
        <f>IF(ISNA(VLOOKUP($A105&amp;$AB105,'Days Exceptions'!$C$3:$I$7,6,FALSE)),ROUND(CH105/MAX(CJ105,(CI105*Min_Occ)),2),ROUND(CH105/VLOOKUP($A105&amp;$AB105,'Days Exceptions'!$C$3:$I$7,6,FALSE),2))</f>
        <v>2.08</v>
      </c>
      <c r="CL105" s="143" t="e">
        <f t="shared" si="71"/>
        <v>#REF!</v>
      </c>
      <c r="CM105" s="143" t="e">
        <f t="shared" si="72"/>
        <v>#REF!</v>
      </c>
      <c r="CN105" s="143">
        <f t="shared" si="73"/>
        <v>151.9</v>
      </c>
      <c r="CO105" s="37" t="s">
        <v>66</v>
      </c>
      <c r="CP105" s="37" t="s">
        <v>175</v>
      </c>
      <c r="CQ105" s="37" t="s">
        <v>1569</v>
      </c>
    </row>
    <row r="106" spans="1:95" x14ac:dyDescent="0.15">
      <c r="A106" s="130">
        <v>220</v>
      </c>
      <c r="B106" s="37" t="s">
        <v>198</v>
      </c>
      <c r="C106" s="1" t="s">
        <v>148</v>
      </c>
      <c r="D106" s="1" t="s">
        <v>102</v>
      </c>
      <c r="E106" s="1" t="str">
        <f>VLOOKUP(D106,Documentation!$B$4:$D$27,3,FALSE)</f>
        <v>BALTIMORE METRO</v>
      </c>
      <c r="F106" s="1" t="str">
        <f>VLOOKUP(D106,Documentation!$B$4:$C$27,2,FALSE)</f>
        <v>BALTIMORE CITY</v>
      </c>
      <c r="G106" s="82">
        <f>VLOOKUP(A106,'2022 CR and CMI'!$A$3:$D$207,3,FALSE)</f>
        <v>44562</v>
      </c>
      <c r="H106" s="82">
        <f>VLOOKUP(A106,'2022 CR and CMI'!$A$3:$D$207,4,FALSE)</f>
        <v>44926</v>
      </c>
      <c r="I106" s="72">
        <f>VLOOKUP(A106,'2022 CR and CMI'!$A$2:$T$210,19,FALSE)</f>
        <v>1.4371</v>
      </c>
      <c r="J106" s="139">
        <f>Inflation!$G$24</f>
        <v>1.0309999999999999</v>
      </c>
      <c r="K106" s="192">
        <f>VLOOKUP(E106,Limits!$B$2:$D$5,3,FALSE)</f>
        <v>195.33</v>
      </c>
      <c r="L106" s="192">
        <f t="shared" si="74"/>
        <v>201.39</v>
      </c>
      <c r="M106" s="140">
        <f>VLOOKUP(A106,'CMI Data'!$A$4:$C$208,3,FALSE)</f>
        <v>1.4093</v>
      </c>
      <c r="N106" s="68">
        <f t="shared" si="58"/>
        <v>200.54</v>
      </c>
      <c r="O106" s="68">
        <f t="shared" si="75"/>
        <v>196.66</v>
      </c>
      <c r="P106" s="75">
        <f t="shared" si="76"/>
        <v>186.83</v>
      </c>
      <c r="Q106" s="75">
        <v>180.03</v>
      </c>
      <c r="R106" s="75">
        <f t="shared" si="77"/>
        <v>185.61</v>
      </c>
      <c r="S106" s="68">
        <f t="shared" si="78"/>
        <v>182.02</v>
      </c>
      <c r="T106" s="75">
        <f t="shared" si="79"/>
        <v>-4.8099999999999996</v>
      </c>
      <c r="U106" s="68">
        <f t="shared" si="80"/>
        <v>191.85</v>
      </c>
      <c r="V106" s="68">
        <f>VLOOKUP($F106,Limits!$J$2:$L$5,3,FALSE)</f>
        <v>24.89</v>
      </c>
      <c r="W106" s="68">
        <f t="shared" si="81"/>
        <v>25.66</v>
      </c>
      <c r="X106" s="68">
        <f>VLOOKUP($F106,Limits!$R$2:$T$5,3,FALSE)</f>
        <v>114.15</v>
      </c>
      <c r="Y106" s="68">
        <f t="shared" si="82"/>
        <v>117.69</v>
      </c>
      <c r="Z106" s="75">
        <f>VLOOKUP(A106,FRV!$A$4:$U$208,21,FALSE)</f>
        <v>39.06</v>
      </c>
      <c r="AA106" s="141">
        <f>VLOOKUP(A106,'RE Tax'!$A$2:$G$206,3,FALSE)</f>
        <v>45292</v>
      </c>
      <c r="AB106" s="141">
        <f>VLOOKUP(A106,'RE Tax'!$A$2:$G$206,4,FALSE)</f>
        <v>45657</v>
      </c>
      <c r="AC106" s="4">
        <f>VLOOKUP(A106,'RE Tax'!$A$2:$G$206,7,FALSE)</f>
        <v>143394</v>
      </c>
      <c r="AD106" s="4">
        <f>VLOOKUP($A106,'RE Tax'!$A$2:$I$206,9,FALSE)</f>
        <v>50142</v>
      </c>
      <c r="AE106" s="4">
        <f>VLOOKUP($A106,'RE Tax'!$A$2:$I$206,8,FALSE)</f>
        <v>46302</v>
      </c>
      <c r="AF106" s="142">
        <f>IF(ISNA(VLOOKUP(A106&amp;AB106,'Days Exceptions'!$C$3:$I$7,6,FALSE)),ROUND(AC106/MAX(AE106,(AD106*Min_Occ)),2),ROUND(AC106/VLOOKUP(A106&amp;AB106,'Days Exceptions'!$C$3:$I$7,6,FALSE),2))</f>
        <v>3.1</v>
      </c>
      <c r="AG106" s="68">
        <v>0</v>
      </c>
      <c r="AH106" s="68">
        <f t="shared" si="83"/>
        <v>0</v>
      </c>
      <c r="AI106" s="4">
        <v>36118</v>
      </c>
      <c r="AJ106" s="4">
        <v>46301</v>
      </c>
      <c r="AK106" s="68">
        <f>IF(AI106=0,0,IF(ISNA(MATCH(A106,Documentation!$B$66:$B$71,0)),QA_Tax_reg,QA_Tax_5high))</f>
        <v>32.92</v>
      </c>
      <c r="AL106" s="75">
        <f t="shared" si="84"/>
        <v>25.68</v>
      </c>
      <c r="AM106" s="68">
        <f t="shared" si="85"/>
        <v>377.36</v>
      </c>
      <c r="AN106" s="68">
        <f t="shared" si="86"/>
        <v>281.44</v>
      </c>
      <c r="AO106" s="68">
        <f t="shared" si="87"/>
        <v>185.51</v>
      </c>
      <c r="AP106" s="37" t="s">
        <v>136</v>
      </c>
      <c r="AQ106" s="37" t="s">
        <v>198</v>
      </c>
      <c r="AR106" s="37" t="s">
        <v>1059</v>
      </c>
      <c r="AS106" s="66" t="e">
        <f>VLOOKUP(A106,'CMI Data'!$A$3:$J$209,10,FALSE)</f>
        <v>#DIV/0!</v>
      </c>
      <c r="AT106" s="68">
        <f t="shared" si="59"/>
        <v>194.5</v>
      </c>
      <c r="AU106" s="68" t="e">
        <f t="shared" si="60"/>
        <v>#DIV/0!</v>
      </c>
      <c r="AV106" s="75" t="e">
        <f t="shared" si="88"/>
        <v>#DIV/0!</v>
      </c>
      <c r="AW106" s="68" t="e">
        <f>IF($I106="NA","NA",ROUND(#REF!*$AS106/$I106,2))</f>
        <v>#REF!</v>
      </c>
      <c r="AX106" s="75" t="e">
        <f t="shared" si="57"/>
        <v>#REF!</v>
      </c>
      <c r="AY106" s="68" t="e">
        <f t="shared" si="89"/>
        <v>#REF!</v>
      </c>
      <c r="AZ106" s="4">
        <f t="shared" si="90"/>
        <v>143394</v>
      </c>
      <c r="BA106" s="4">
        <f t="shared" si="91"/>
        <v>50142</v>
      </c>
      <c r="BB106" s="4">
        <f t="shared" si="92"/>
        <v>46302</v>
      </c>
      <c r="BC106" s="142">
        <f>IF(ISNA(VLOOKUP($A106&amp;$AB106,'Days Exceptions'!$C$3:$I$7,6,FALSE)),ROUND(AZ106/MAX(BB106,(BA106*Min_Occ)),2),ROUND(AZ106/VLOOKUP($A106&amp;$AB106,'Days Exceptions'!$C$3:$I$7,6,FALSE),2))</f>
        <v>3.1</v>
      </c>
      <c r="BD106" s="143" t="e">
        <f t="shared" si="61"/>
        <v>#REF!</v>
      </c>
      <c r="BE106" s="143" t="e">
        <f t="shared" si="62"/>
        <v>#REF!</v>
      </c>
      <c r="BF106" s="143">
        <f t="shared" si="63"/>
        <v>181.2</v>
      </c>
      <c r="BG106" s="37" t="s">
        <v>136</v>
      </c>
      <c r="BH106" s="37" t="s">
        <v>198</v>
      </c>
      <c r="BI106" s="37" t="s">
        <v>1263</v>
      </c>
      <c r="BJ106" s="66" t="e">
        <f>VLOOKUP(A106,'CMI Data'!$A$3:$AZ$209,15,FALSE)</f>
        <v>#DIV/0!</v>
      </c>
      <c r="BK106" s="68">
        <f t="shared" si="64"/>
        <v>194.5</v>
      </c>
      <c r="BL106" s="68" t="e">
        <f t="shared" si="65"/>
        <v>#DIV/0!</v>
      </c>
      <c r="BM106" s="75" t="e">
        <f t="shared" si="93"/>
        <v>#DIV/0!</v>
      </c>
      <c r="BN106" s="68" t="e">
        <f>IF($I106="NA","NA",ROUND(#REF!*$BJ106/$I106,2))</f>
        <v>#REF!</v>
      </c>
      <c r="BO106" s="75" t="e">
        <f t="shared" si="94"/>
        <v>#REF!</v>
      </c>
      <c r="BP106" s="68" t="e">
        <f t="shared" si="95"/>
        <v>#REF!</v>
      </c>
      <c r="BQ106" s="4">
        <f t="shared" si="96"/>
        <v>143394</v>
      </c>
      <c r="BR106" s="4">
        <f t="shared" si="97"/>
        <v>50142</v>
      </c>
      <c r="BS106" s="4">
        <f t="shared" si="98"/>
        <v>46302</v>
      </c>
      <c r="BT106" s="142">
        <f>IF(ISNA(VLOOKUP($A106&amp;$AB106,'Days Exceptions'!$C$3:$I$7,6,FALSE)),ROUND(BQ106/MAX(BS106,(BR106*Min_Occ)),2),ROUND(BQ106/VLOOKUP($A106&amp;$AB106,'Days Exceptions'!$C$3:$I$7,6,FALSE),2))</f>
        <v>3.1</v>
      </c>
      <c r="BU106" s="143" t="e">
        <f t="shared" si="66"/>
        <v>#REF!</v>
      </c>
      <c r="BV106" s="143" t="e">
        <f t="shared" si="67"/>
        <v>#REF!</v>
      </c>
      <c r="BW106" s="143">
        <f t="shared" si="68"/>
        <v>181.2</v>
      </c>
      <c r="BX106" s="37" t="s">
        <v>136</v>
      </c>
      <c r="BY106" s="37" t="s">
        <v>198</v>
      </c>
      <c r="BZ106" s="37" t="s">
        <v>1570</v>
      </c>
      <c r="CA106" s="66" t="e">
        <f>VLOOKUP(A106,'CMI Data'!$A$3:$AZ$209,20,FALSE)</f>
        <v>#DIV/0!</v>
      </c>
      <c r="CB106" s="68">
        <f t="shared" si="69"/>
        <v>194.5</v>
      </c>
      <c r="CC106" s="68" t="e">
        <f t="shared" si="70"/>
        <v>#DIV/0!</v>
      </c>
      <c r="CD106" s="75" t="e">
        <f t="shared" si="99"/>
        <v>#DIV/0!</v>
      </c>
      <c r="CE106" s="68" t="e">
        <f>IF($I106="NA","NA",ROUND(#REF!*$CA106/$I106,2))</f>
        <v>#REF!</v>
      </c>
      <c r="CF106" s="75" t="e">
        <f t="shared" si="100"/>
        <v>#REF!</v>
      </c>
      <c r="CG106" s="68" t="e">
        <f t="shared" si="101"/>
        <v>#REF!</v>
      </c>
      <c r="CH106" s="4">
        <f t="shared" si="102"/>
        <v>143394</v>
      </c>
      <c r="CI106" s="4">
        <f t="shared" si="103"/>
        <v>50142</v>
      </c>
      <c r="CJ106" s="4">
        <f t="shared" si="104"/>
        <v>46302</v>
      </c>
      <c r="CK106" s="142">
        <f>IF(ISNA(VLOOKUP($A106&amp;$AB106,'Days Exceptions'!$C$3:$I$7,6,FALSE)),ROUND(CH106/MAX(CJ106,(CI106*Min_Occ)),2),ROUND(CH106/VLOOKUP($A106&amp;$AB106,'Days Exceptions'!$C$3:$I$7,6,FALSE),2))</f>
        <v>3.1</v>
      </c>
      <c r="CL106" s="143" t="e">
        <f t="shared" si="71"/>
        <v>#REF!</v>
      </c>
      <c r="CM106" s="143" t="e">
        <f t="shared" si="72"/>
        <v>#REF!</v>
      </c>
      <c r="CN106" s="143">
        <f t="shared" si="73"/>
        <v>181.2</v>
      </c>
      <c r="CO106" s="37" t="s">
        <v>136</v>
      </c>
      <c r="CP106" s="37" t="s">
        <v>198</v>
      </c>
      <c r="CQ106" s="37" t="s">
        <v>1571</v>
      </c>
    </row>
    <row r="107" spans="1:95" x14ac:dyDescent="0.15">
      <c r="A107" s="130">
        <v>250</v>
      </c>
      <c r="B107" s="37" t="s">
        <v>319</v>
      </c>
      <c r="C107" s="1" t="s">
        <v>148</v>
      </c>
      <c r="D107" s="1" t="s">
        <v>107</v>
      </c>
      <c r="E107" s="1" t="str">
        <f>VLOOKUP(D107,Documentation!$B$4:$D$27,3,FALSE)</f>
        <v>BALTIMORE METRO</v>
      </c>
      <c r="F107" s="1" t="str">
        <f>VLOOKUP(D107,Documentation!$B$4:$C$27,2,FALSE)</f>
        <v>BALTIMORE METRO</v>
      </c>
      <c r="G107" s="82">
        <f>VLOOKUP(A107,'2022 CR and CMI'!$A$3:$D$207,3,FALSE)</f>
        <v>44562</v>
      </c>
      <c r="H107" s="82">
        <f>VLOOKUP(A107,'2022 CR and CMI'!$A$3:$D$207,4,FALSE)</f>
        <v>44926</v>
      </c>
      <c r="I107" s="72">
        <f>VLOOKUP(A107,'2022 CR and CMI'!$A$2:$T$210,19,FALSE)</f>
        <v>1.4458</v>
      </c>
      <c r="J107" s="139">
        <f>Inflation!$G$24</f>
        <v>1.0309999999999999</v>
      </c>
      <c r="K107" s="192">
        <f>VLOOKUP(E107,Limits!$B$2:$D$5,3,FALSE)</f>
        <v>195.33</v>
      </c>
      <c r="L107" s="192">
        <f t="shared" si="74"/>
        <v>201.39</v>
      </c>
      <c r="M107" s="140">
        <f>VLOOKUP(A107,'CMI Data'!$A$4:$C$208,3,FALSE)</f>
        <v>1.4328000000000001</v>
      </c>
      <c r="N107" s="68">
        <f t="shared" si="58"/>
        <v>201.75</v>
      </c>
      <c r="O107" s="68">
        <f t="shared" si="75"/>
        <v>199.94</v>
      </c>
      <c r="P107" s="75">
        <f t="shared" si="76"/>
        <v>189.94</v>
      </c>
      <c r="Q107" s="75">
        <v>181.45</v>
      </c>
      <c r="R107" s="75">
        <f t="shared" si="77"/>
        <v>187.07</v>
      </c>
      <c r="S107" s="68">
        <f t="shared" si="78"/>
        <v>185.39</v>
      </c>
      <c r="T107" s="75">
        <f t="shared" si="79"/>
        <v>-4.55</v>
      </c>
      <c r="U107" s="68">
        <f t="shared" si="80"/>
        <v>195.39</v>
      </c>
      <c r="V107" s="68">
        <f>VLOOKUP($F107,Limits!$J$2:$L$5,3,FALSE)</f>
        <v>20.85</v>
      </c>
      <c r="W107" s="68">
        <f t="shared" si="81"/>
        <v>21.5</v>
      </c>
      <c r="X107" s="68">
        <f>VLOOKUP($F107,Limits!$R$2:$T$5,3,FALSE)</f>
        <v>102.02</v>
      </c>
      <c r="Y107" s="68">
        <f t="shared" si="82"/>
        <v>105.18</v>
      </c>
      <c r="Z107" s="75">
        <f>VLOOKUP(A107,FRV!$A$4:$U$208,21,FALSE)</f>
        <v>36.479999999999997</v>
      </c>
      <c r="AA107" s="141">
        <f>VLOOKUP(A107,'RE Tax'!$A$2:$G$206,3,FALSE)</f>
        <v>45292</v>
      </c>
      <c r="AB107" s="141">
        <f>VLOOKUP(A107,'RE Tax'!$A$2:$G$206,4,FALSE)</f>
        <v>45657</v>
      </c>
      <c r="AC107" s="4">
        <f>VLOOKUP(A107,'RE Tax'!$A$2:$G$206,7,FALSE)</f>
        <v>87326</v>
      </c>
      <c r="AD107" s="4">
        <f>VLOOKUP($A107,'RE Tax'!$A$2:$I$206,9,FALSE)</f>
        <v>55266</v>
      </c>
      <c r="AE107" s="4">
        <f>VLOOKUP($A107,'RE Tax'!$A$2:$I$206,8,FALSE)</f>
        <v>51801</v>
      </c>
      <c r="AF107" s="142">
        <f>IF(ISNA(VLOOKUP(A107&amp;AB107,'Days Exceptions'!$C$3:$I$7,6,FALSE)),ROUND(AC107/MAX(AE107,(AD107*Min_Occ)),2),ROUND(AC107/VLOOKUP(A107&amp;AB107,'Days Exceptions'!$C$3:$I$7,6,FALSE),2))</f>
        <v>1.69</v>
      </c>
      <c r="AG107" s="68">
        <v>0</v>
      </c>
      <c r="AH107" s="68">
        <f t="shared" si="83"/>
        <v>0</v>
      </c>
      <c r="AI107" s="4">
        <v>46185</v>
      </c>
      <c r="AJ107" s="4">
        <v>51794</v>
      </c>
      <c r="AK107" s="68">
        <f>IF(AI107=0,0,IF(ISNA(MATCH(A107,Documentation!$B$66:$B$71,0)),QA_Tax_reg,QA_Tax_5high))</f>
        <v>32.92</v>
      </c>
      <c r="AL107" s="75">
        <f t="shared" si="84"/>
        <v>29.35</v>
      </c>
      <c r="AM107" s="68">
        <f t="shared" si="85"/>
        <v>360.24</v>
      </c>
      <c r="AN107" s="68">
        <f t="shared" si="86"/>
        <v>262.55</v>
      </c>
      <c r="AO107" s="68">
        <f t="shared" si="87"/>
        <v>164.85</v>
      </c>
      <c r="AP107" s="37" t="s">
        <v>264</v>
      </c>
      <c r="AQ107" s="37" t="s">
        <v>319</v>
      </c>
      <c r="AR107" s="37" t="s">
        <v>1060</v>
      </c>
      <c r="AS107" s="66" t="e">
        <f>VLOOKUP(A107,'CMI Data'!$A$3:$J$209,10,FALSE)</f>
        <v>#DIV/0!</v>
      </c>
      <c r="AT107" s="68">
        <f t="shared" si="59"/>
        <v>195.68</v>
      </c>
      <c r="AU107" s="68" t="e">
        <f t="shared" si="60"/>
        <v>#DIV/0!</v>
      </c>
      <c r="AV107" s="75" t="e">
        <f t="shared" si="88"/>
        <v>#DIV/0!</v>
      </c>
      <c r="AW107" s="68" t="e">
        <f>IF($I107="NA","NA",ROUND(#REF!*$AS107/$I107,2))</f>
        <v>#REF!</v>
      </c>
      <c r="AX107" s="75" t="e">
        <f t="shared" si="57"/>
        <v>#REF!</v>
      </c>
      <c r="AY107" s="68" t="e">
        <f t="shared" si="89"/>
        <v>#REF!</v>
      </c>
      <c r="AZ107" s="4">
        <f t="shared" si="90"/>
        <v>87326</v>
      </c>
      <c r="BA107" s="4">
        <f t="shared" si="91"/>
        <v>55266</v>
      </c>
      <c r="BB107" s="4">
        <f t="shared" si="92"/>
        <v>51801</v>
      </c>
      <c r="BC107" s="142">
        <f>IF(ISNA(VLOOKUP($A107&amp;$AB107,'Days Exceptions'!$C$3:$I$7,6,FALSE)),ROUND(AZ107/MAX(BB107,(BA107*Min_Occ)),2),ROUND(AZ107/VLOOKUP($A107&amp;$AB107,'Days Exceptions'!$C$3:$I$7,6,FALSE),2))</f>
        <v>1.69</v>
      </c>
      <c r="BD107" s="143" t="e">
        <f t="shared" si="61"/>
        <v>#REF!</v>
      </c>
      <c r="BE107" s="143" t="e">
        <f t="shared" si="62"/>
        <v>#REF!</v>
      </c>
      <c r="BF107" s="143">
        <f t="shared" si="63"/>
        <v>161.04</v>
      </c>
      <c r="BG107" s="37" t="s">
        <v>264</v>
      </c>
      <c r="BH107" s="37" t="s">
        <v>319</v>
      </c>
      <c r="BI107" s="37" t="s">
        <v>1264</v>
      </c>
      <c r="BJ107" s="66" t="e">
        <f>VLOOKUP(A107,'CMI Data'!$A$3:$AZ$209,15,FALSE)</f>
        <v>#DIV/0!</v>
      </c>
      <c r="BK107" s="68">
        <f t="shared" si="64"/>
        <v>195.68</v>
      </c>
      <c r="BL107" s="68" t="e">
        <f t="shared" si="65"/>
        <v>#DIV/0!</v>
      </c>
      <c r="BM107" s="75" t="e">
        <f t="shared" si="93"/>
        <v>#DIV/0!</v>
      </c>
      <c r="BN107" s="68" t="e">
        <f>IF($I107="NA","NA",ROUND(#REF!*$BJ107/$I107,2))</f>
        <v>#REF!</v>
      </c>
      <c r="BO107" s="75" t="e">
        <f t="shared" si="94"/>
        <v>#REF!</v>
      </c>
      <c r="BP107" s="68" t="e">
        <f t="shared" si="95"/>
        <v>#REF!</v>
      </c>
      <c r="BQ107" s="4">
        <f t="shared" si="96"/>
        <v>87326</v>
      </c>
      <c r="BR107" s="4">
        <f t="shared" si="97"/>
        <v>55266</v>
      </c>
      <c r="BS107" s="4">
        <f t="shared" si="98"/>
        <v>51801</v>
      </c>
      <c r="BT107" s="142">
        <f>IF(ISNA(VLOOKUP($A107&amp;$AB107,'Days Exceptions'!$C$3:$I$7,6,FALSE)),ROUND(BQ107/MAX(BS107,(BR107*Min_Occ)),2),ROUND(BQ107/VLOOKUP($A107&amp;$AB107,'Days Exceptions'!$C$3:$I$7,6,FALSE),2))</f>
        <v>1.69</v>
      </c>
      <c r="BU107" s="143" t="e">
        <f t="shared" si="66"/>
        <v>#REF!</v>
      </c>
      <c r="BV107" s="143" t="e">
        <f t="shared" si="67"/>
        <v>#REF!</v>
      </c>
      <c r="BW107" s="143">
        <f t="shared" si="68"/>
        <v>161.04</v>
      </c>
      <c r="BX107" s="37" t="s">
        <v>264</v>
      </c>
      <c r="BY107" s="37" t="s">
        <v>319</v>
      </c>
      <c r="BZ107" s="37" t="s">
        <v>1572</v>
      </c>
      <c r="CA107" s="66" t="e">
        <f>VLOOKUP(A107,'CMI Data'!$A$3:$AZ$209,20,FALSE)</f>
        <v>#DIV/0!</v>
      </c>
      <c r="CB107" s="68">
        <f t="shared" si="69"/>
        <v>195.68</v>
      </c>
      <c r="CC107" s="68" t="e">
        <f t="shared" si="70"/>
        <v>#DIV/0!</v>
      </c>
      <c r="CD107" s="75" t="e">
        <f t="shared" si="99"/>
        <v>#DIV/0!</v>
      </c>
      <c r="CE107" s="68" t="e">
        <f>IF($I107="NA","NA",ROUND(#REF!*$CA107/$I107,2))</f>
        <v>#REF!</v>
      </c>
      <c r="CF107" s="75" t="e">
        <f t="shared" si="100"/>
        <v>#REF!</v>
      </c>
      <c r="CG107" s="68" t="e">
        <f t="shared" si="101"/>
        <v>#REF!</v>
      </c>
      <c r="CH107" s="4">
        <f t="shared" si="102"/>
        <v>87326</v>
      </c>
      <c r="CI107" s="4">
        <f t="shared" si="103"/>
        <v>55266</v>
      </c>
      <c r="CJ107" s="4">
        <f t="shared" si="104"/>
        <v>51801</v>
      </c>
      <c r="CK107" s="142">
        <f>IF(ISNA(VLOOKUP($A107&amp;$AB107,'Days Exceptions'!$C$3:$I$7,6,FALSE)),ROUND(CH107/MAX(CJ107,(CI107*Min_Occ)),2),ROUND(CH107/VLOOKUP($A107&amp;$AB107,'Days Exceptions'!$C$3:$I$7,6,FALSE),2))</f>
        <v>1.69</v>
      </c>
      <c r="CL107" s="143" t="e">
        <f t="shared" si="71"/>
        <v>#REF!</v>
      </c>
      <c r="CM107" s="143" t="e">
        <f t="shared" si="72"/>
        <v>#REF!</v>
      </c>
      <c r="CN107" s="143">
        <f t="shared" si="73"/>
        <v>161.04</v>
      </c>
      <c r="CO107" s="37" t="s">
        <v>264</v>
      </c>
      <c r="CP107" s="37" t="s">
        <v>319</v>
      </c>
      <c r="CQ107" s="37" t="s">
        <v>1573</v>
      </c>
    </row>
    <row r="108" spans="1:95" x14ac:dyDescent="0.15">
      <c r="A108" s="130">
        <v>186</v>
      </c>
      <c r="B108" s="37" t="s">
        <v>44</v>
      </c>
      <c r="C108" s="1" t="s">
        <v>148</v>
      </c>
      <c r="D108" s="1" t="s">
        <v>102</v>
      </c>
      <c r="E108" s="1" t="str">
        <f>VLOOKUP(D108,Documentation!$B$4:$D$27,3,FALSE)</f>
        <v>BALTIMORE METRO</v>
      </c>
      <c r="F108" s="1" t="str">
        <f>VLOOKUP(D108,Documentation!$B$4:$C$27,2,FALSE)</f>
        <v>BALTIMORE CITY</v>
      </c>
      <c r="G108" s="82">
        <f>VLOOKUP(A108,'2022 CR and CMI'!$A$3:$D$207,3,FALSE)</f>
        <v>44562</v>
      </c>
      <c r="H108" s="82">
        <f>VLOOKUP(A108,'2022 CR and CMI'!$A$3:$D$207,4,FALSE)</f>
        <v>44926</v>
      </c>
      <c r="I108" s="72">
        <f>VLOOKUP(A108,'2022 CR and CMI'!$A$2:$T$210,19,FALSE)</f>
        <v>1.9034</v>
      </c>
      <c r="J108" s="139">
        <f>Inflation!$G$24</f>
        <v>1.0309999999999999</v>
      </c>
      <c r="K108" s="192">
        <f>VLOOKUP(E108,Limits!$B$2:$D$5,3,FALSE)</f>
        <v>195.33</v>
      </c>
      <c r="L108" s="192">
        <f t="shared" si="74"/>
        <v>201.39</v>
      </c>
      <c r="M108" s="140">
        <f>VLOOKUP(A108,'CMI Data'!$A$4:$C$208,3,FALSE)</f>
        <v>1.5326</v>
      </c>
      <c r="N108" s="68">
        <f t="shared" si="58"/>
        <v>265.61</v>
      </c>
      <c r="O108" s="68">
        <f t="shared" si="75"/>
        <v>213.87</v>
      </c>
      <c r="P108" s="75">
        <f t="shared" si="76"/>
        <v>203.18</v>
      </c>
      <c r="Q108" s="75">
        <v>287.73</v>
      </c>
      <c r="R108" s="75">
        <f t="shared" si="77"/>
        <v>296.64999999999998</v>
      </c>
      <c r="S108" s="68">
        <f t="shared" si="78"/>
        <v>238.86</v>
      </c>
      <c r="T108" s="75">
        <f t="shared" si="79"/>
        <v>0</v>
      </c>
      <c r="U108" s="68">
        <f t="shared" si="80"/>
        <v>213.87</v>
      </c>
      <c r="V108" s="68">
        <f>VLOOKUP($F108,Limits!$J$2:$L$5,3,FALSE)</f>
        <v>24.89</v>
      </c>
      <c r="W108" s="68">
        <f t="shared" si="81"/>
        <v>25.66</v>
      </c>
      <c r="X108" s="68">
        <f>VLOOKUP($F108,Limits!$R$2:$T$5,3,FALSE)</f>
        <v>114.15</v>
      </c>
      <c r="Y108" s="68">
        <f t="shared" si="82"/>
        <v>117.69</v>
      </c>
      <c r="Z108" s="75">
        <f>VLOOKUP(A108,FRV!$A$4:$U$208,21,FALSE)</f>
        <v>54.03</v>
      </c>
      <c r="AA108" s="141">
        <f>VLOOKUP(A108,'RE Tax'!$A$2:$G$206,3,FALSE)</f>
        <v>45292</v>
      </c>
      <c r="AB108" s="141">
        <f>VLOOKUP(A108,'RE Tax'!$A$2:$G$206,4,FALSE)</f>
        <v>45657</v>
      </c>
      <c r="AC108" s="4">
        <f>VLOOKUP(A108,'RE Tax'!$A$2:$G$206,7,FALSE)</f>
        <v>149998</v>
      </c>
      <c r="AD108" s="4">
        <f>VLOOKUP($A108,'RE Tax'!$A$2:$I$206,9,FALSE)</f>
        <v>54168</v>
      </c>
      <c r="AE108" s="4">
        <f>VLOOKUP($A108,'RE Tax'!$A$2:$I$206,8,FALSE)</f>
        <v>48223</v>
      </c>
      <c r="AF108" s="142">
        <f>IF(ISNA(VLOOKUP(A108&amp;AB108,'Days Exceptions'!$C$3:$I$7,6,FALSE)),ROUND(AC108/MAX(AE108,(AD108*Min_Occ)),2),ROUND(AC108/VLOOKUP(A108&amp;AB108,'Days Exceptions'!$C$3:$I$7,6,FALSE),2))</f>
        <v>3.11</v>
      </c>
      <c r="AG108" s="68">
        <v>0</v>
      </c>
      <c r="AH108" s="68">
        <f t="shared" si="83"/>
        <v>0</v>
      </c>
      <c r="AI108" s="4">
        <v>38478</v>
      </c>
      <c r="AJ108" s="4">
        <v>48228</v>
      </c>
      <c r="AK108" s="68">
        <f>IF(AI108=0,0,IF(ISNA(MATCH(A108,Documentation!$B$66:$B$71,0)),QA_Tax_reg,QA_Tax_5high))</f>
        <v>32.92</v>
      </c>
      <c r="AL108" s="75">
        <f t="shared" si="84"/>
        <v>26.26</v>
      </c>
      <c r="AM108" s="68">
        <f t="shared" si="85"/>
        <v>414.36</v>
      </c>
      <c r="AN108" s="68">
        <f t="shared" si="86"/>
        <v>307.43</v>
      </c>
      <c r="AO108" s="68">
        <f t="shared" si="87"/>
        <v>200.49</v>
      </c>
      <c r="AP108" s="37" t="s">
        <v>20</v>
      </c>
      <c r="AQ108" s="37" t="s">
        <v>44</v>
      </c>
      <c r="AR108" s="37" t="s">
        <v>1061</v>
      </c>
      <c r="AS108" s="66" t="e">
        <f>VLOOKUP(A108,'CMI Data'!$A$3:$J$209,10,FALSE)</f>
        <v>#DIV/0!</v>
      </c>
      <c r="AT108" s="68">
        <f t="shared" si="59"/>
        <v>257.62</v>
      </c>
      <c r="AU108" s="68" t="e">
        <f t="shared" si="60"/>
        <v>#DIV/0!</v>
      </c>
      <c r="AV108" s="75" t="e">
        <f t="shared" si="88"/>
        <v>#DIV/0!</v>
      </c>
      <c r="AW108" s="68" t="e">
        <f>IF($I108="NA","NA",ROUND(#REF!*$AS108/$I108,2))</f>
        <v>#REF!</v>
      </c>
      <c r="AX108" s="75" t="e">
        <f t="shared" si="57"/>
        <v>#REF!</v>
      </c>
      <c r="AY108" s="68" t="e">
        <f t="shared" si="89"/>
        <v>#REF!</v>
      </c>
      <c r="AZ108" s="4">
        <f t="shared" si="90"/>
        <v>149998</v>
      </c>
      <c r="BA108" s="4">
        <f t="shared" si="91"/>
        <v>54168</v>
      </c>
      <c r="BB108" s="4">
        <f t="shared" si="92"/>
        <v>48223</v>
      </c>
      <c r="BC108" s="142">
        <f>IF(ISNA(VLOOKUP($A108&amp;$AB108,'Days Exceptions'!$C$3:$I$7,6,FALSE)),ROUND(AZ108/MAX(BB108,(BA108*Min_Occ)),2),ROUND(AZ108/VLOOKUP($A108&amp;$AB108,'Days Exceptions'!$C$3:$I$7,6,FALSE),2))</f>
        <v>3.11</v>
      </c>
      <c r="BD108" s="143" t="e">
        <f t="shared" si="61"/>
        <v>#REF!</v>
      </c>
      <c r="BE108" s="143" t="e">
        <f t="shared" si="62"/>
        <v>#REF!</v>
      </c>
      <c r="BF108" s="143">
        <f t="shared" si="63"/>
        <v>196.18</v>
      </c>
      <c r="BG108" s="37" t="s">
        <v>20</v>
      </c>
      <c r="BH108" s="37" t="s">
        <v>44</v>
      </c>
      <c r="BI108" s="37" t="s">
        <v>1265</v>
      </c>
      <c r="BJ108" s="66" t="e">
        <f>VLOOKUP(A108,'CMI Data'!$A$3:$AZ$209,15,FALSE)</f>
        <v>#DIV/0!</v>
      </c>
      <c r="BK108" s="68">
        <f t="shared" si="64"/>
        <v>257.62</v>
      </c>
      <c r="BL108" s="68" t="e">
        <f t="shared" si="65"/>
        <v>#DIV/0!</v>
      </c>
      <c r="BM108" s="75" t="e">
        <f t="shared" si="93"/>
        <v>#DIV/0!</v>
      </c>
      <c r="BN108" s="68" t="e">
        <f>IF($I108="NA","NA",ROUND(#REF!*$BJ108/$I108,2))</f>
        <v>#REF!</v>
      </c>
      <c r="BO108" s="75" t="e">
        <f t="shared" si="94"/>
        <v>#REF!</v>
      </c>
      <c r="BP108" s="68" t="e">
        <f t="shared" si="95"/>
        <v>#REF!</v>
      </c>
      <c r="BQ108" s="4">
        <f t="shared" si="96"/>
        <v>149998</v>
      </c>
      <c r="BR108" s="4">
        <f t="shared" si="97"/>
        <v>54168</v>
      </c>
      <c r="BS108" s="4">
        <f t="shared" si="98"/>
        <v>48223</v>
      </c>
      <c r="BT108" s="142">
        <f>IF(ISNA(VLOOKUP($A108&amp;$AB108,'Days Exceptions'!$C$3:$I$7,6,FALSE)),ROUND(BQ108/MAX(BS108,(BR108*Min_Occ)),2),ROUND(BQ108/VLOOKUP($A108&amp;$AB108,'Days Exceptions'!$C$3:$I$7,6,FALSE),2))</f>
        <v>3.11</v>
      </c>
      <c r="BU108" s="143" t="e">
        <f t="shared" si="66"/>
        <v>#REF!</v>
      </c>
      <c r="BV108" s="143" t="e">
        <f t="shared" si="67"/>
        <v>#REF!</v>
      </c>
      <c r="BW108" s="143">
        <f t="shared" si="68"/>
        <v>196.18</v>
      </c>
      <c r="BX108" s="37" t="s">
        <v>20</v>
      </c>
      <c r="BY108" s="37" t="s">
        <v>44</v>
      </c>
      <c r="BZ108" s="37" t="s">
        <v>1574</v>
      </c>
      <c r="CA108" s="66" t="e">
        <f>VLOOKUP(A108,'CMI Data'!$A$3:$AZ$209,20,FALSE)</f>
        <v>#DIV/0!</v>
      </c>
      <c r="CB108" s="68">
        <f t="shared" si="69"/>
        <v>257.62</v>
      </c>
      <c r="CC108" s="68" t="e">
        <f t="shared" si="70"/>
        <v>#DIV/0!</v>
      </c>
      <c r="CD108" s="75" t="e">
        <f t="shared" si="99"/>
        <v>#DIV/0!</v>
      </c>
      <c r="CE108" s="68" t="e">
        <f>IF($I108="NA","NA",ROUND(#REF!*$CA108/$I108,2))</f>
        <v>#REF!</v>
      </c>
      <c r="CF108" s="75" t="e">
        <f t="shared" si="100"/>
        <v>#REF!</v>
      </c>
      <c r="CG108" s="68" t="e">
        <f t="shared" si="101"/>
        <v>#REF!</v>
      </c>
      <c r="CH108" s="4">
        <f t="shared" si="102"/>
        <v>149998</v>
      </c>
      <c r="CI108" s="4">
        <f t="shared" si="103"/>
        <v>54168</v>
      </c>
      <c r="CJ108" s="4">
        <f t="shared" si="104"/>
        <v>48223</v>
      </c>
      <c r="CK108" s="142">
        <f>IF(ISNA(VLOOKUP($A108&amp;$AB108,'Days Exceptions'!$C$3:$I$7,6,FALSE)),ROUND(CH108/MAX(CJ108,(CI108*Min_Occ)),2),ROUND(CH108/VLOOKUP($A108&amp;$AB108,'Days Exceptions'!$C$3:$I$7,6,FALSE),2))</f>
        <v>3.11</v>
      </c>
      <c r="CL108" s="143" t="e">
        <f t="shared" si="71"/>
        <v>#REF!</v>
      </c>
      <c r="CM108" s="143" t="e">
        <f t="shared" si="72"/>
        <v>#REF!</v>
      </c>
      <c r="CN108" s="143">
        <f t="shared" si="73"/>
        <v>196.18</v>
      </c>
      <c r="CO108" s="37" t="s">
        <v>20</v>
      </c>
      <c r="CP108" s="37" t="s">
        <v>44</v>
      </c>
      <c r="CQ108" s="37" t="s">
        <v>1575</v>
      </c>
    </row>
    <row r="109" spans="1:95" x14ac:dyDescent="0.15">
      <c r="A109" s="130">
        <v>713</v>
      </c>
      <c r="B109" s="37" t="s">
        <v>41</v>
      </c>
      <c r="C109" s="1" t="s">
        <v>148</v>
      </c>
      <c r="D109" s="1" t="s">
        <v>102</v>
      </c>
      <c r="E109" s="1" t="str">
        <f>VLOOKUP(D109,Documentation!$B$4:$D$27,3,FALSE)</f>
        <v>BALTIMORE METRO</v>
      </c>
      <c r="F109" s="1" t="str">
        <f>VLOOKUP(D109,Documentation!$B$4:$C$27,2,FALSE)</f>
        <v>BALTIMORE CITY</v>
      </c>
      <c r="G109" s="82">
        <f>VLOOKUP(A109,'2022 CR and CMI'!$A$3:$D$207,3,FALSE)</f>
        <v>44562</v>
      </c>
      <c r="H109" s="82">
        <f>VLOOKUP(A109,'2022 CR and CMI'!$A$3:$D$207,4,FALSE)</f>
        <v>44926</v>
      </c>
      <c r="I109" s="72">
        <f>VLOOKUP(A109,'2022 CR and CMI'!$A$2:$T$210,19,FALSE)</f>
        <v>1.968</v>
      </c>
      <c r="J109" s="139">
        <f>Inflation!$G$24</f>
        <v>1.0309999999999999</v>
      </c>
      <c r="K109" s="192">
        <f>VLOOKUP(E109,Limits!$B$2:$D$5,3,FALSE)</f>
        <v>195.33</v>
      </c>
      <c r="L109" s="192">
        <f t="shared" si="74"/>
        <v>201.39</v>
      </c>
      <c r="M109" s="140">
        <f>VLOOKUP(A109,'CMI Data'!$A$4:$C$208,3,FALSE)</f>
        <v>1.595</v>
      </c>
      <c r="N109" s="68">
        <f t="shared" si="58"/>
        <v>274.62</v>
      </c>
      <c r="O109" s="68">
        <f t="shared" si="75"/>
        <v>222.57</v>
      </c>
      <c r="P109" s="75">
        <f t="shared" si="76"/>
        <v>211.44</v>
      </c>
      <c r="Q109" s="75">
        <v>246.03</v>
      </c>
      <c r="R109" s="75">
        <f t="shared" si="77"/>
        <v>253.66</v>
      </c>
      <c r="S109" s="68">
        <f t="shared" si="78"/>
        <v>205.58</v>
      </c>
      <c r="T109" s="75">
        <f t="shared" si="79"/>
        <v>-5.86</v>
      </c>
      <c r="U109" s="68">
        <f t="shared" si="80"/>
        <v>216.71</v>
      </c>
      <c r="V109" s="68">
        <f>VLOOKUP($F109,Limits!$J$2:$L$5,3,FALSE)</f>
        <v>24.89</v>
      </c>
      <c r="W109" s="68">
        <f t="shared" si="81"/>
        <v>25.66</v>
      </c>
      <c r="X109" s="68">
        <f>VLOOKUP($F109,Limits!$R$2:$T$5,3,FALSE)</f>
        <v>114.15</v>
      </c>
      <c r="Y109" s="68">
        <f t="shared" si="82"/>
        <v>117.69</v>
      </c>
      <c r="Z109" s="75">
        <f>VLOOKUP(A109,FRV!$A$4:$U$208,21,FALSE)</f>
        <v>50.12</v>
      </c>
      <c r="AA109" s="141">
        <f>VLOOKUP(A109,'RE Tax'!$A$2:$G$206,3,FALSE)</f>
        <v>45292</v>
      </c>
      <c r="AB109" s="141">
        <f>VLOOKUP(A109,'RE Tax'!$A$2:$G$206,4,FALSE)</f>
        <v>45657</v>
      </c>
      <c r="AC109" s="4">
        <f>VLOOKUP(A109,'RE Tax'!$A$2:$G$206,7,FALSE)</f>
        <v>72127</v>
      </c>
      <c r="AD109" s="4">
        <f>VLOOKUP($A109,'RE Tax'!$A$2:$I$206,9,FALSE)</f>
        <v>73200</v>
      </c>
      <c r="AE109" s="4">
        <f>VLOOKUP($A109,'RE Tax'!$A$2:$I$206,8,FALSE)</f>
        <v>64744</v>
      </c>
      <c r="AF109" s="142">
        <f>IF(ISNA(VLOOKUP(A109&amp;AB109,'Days Exceptions'!$C$3:$I$7,6,FALSE)),ROUND(AC109/MAX(AE109,(AD109*Min_Occ)),2),ROUND(AC109/VLOOKUP(A109&amp;AB109,'Days Exceptions'!$C$3:$I$7,6,FALSE),2))</f>
        <v>1.1100000000000001</v>
      </c>
      <c r="AG109" s="68">
        <v>0</v>
      </c>
      <c r="AH109" s="68">
        <f t="shared" si="83"/>
        <v>0</v>
      </c>
      <c r="AI109" s="4">
        <v>56395</v>
      </c>
      <c r="AJ109" s="4">
        <v>64744</v>
      </c>
      <c r="AK109" s="68">
        <f>IF(AI109=0,0,IF(ISNA(MATCH(A109,Documentation!$B$66:$B$71,0)),QA_Tax_reg,QA_Tax_5high))</f>
        <v>32.92</v>
      </c>
      <c r="AL109" s="75">
        <f t="shared" si="84"/>
        <v>28.67</v>
      </c>
      <c r="AM109" s="68">
        <f t="shared" si="85"/>
        <v>411.29</v>
      </c>
      <c r="AN109" s="68">
        <f t="shared" si="86"/>
        <v>302.94</v>
      </c>
      <c r="AO109" s="68">
        <f t="shared" si="87"/>
        <v>194.58</v>
      </c>
      <c r="AP109" s="37" t="s">
        <v>98</v>
      </c>
      <c r="AQ109" s="37" t="s">
        <v>41</v>
      </c>
      <c r="AR109" s="37" t="s">
        <v>1062</v>
      </c>
      <c r="AS109" s="66" t="e">
        <f>VLOOKUP(A109,'CMI Data'!$A$3:$J$209,10,FALSE)</f>
        <v>#DIV/0!</v>
      </c>
      <c r="AT109" s="68">
        <f t="shared" si="59"/>
        <v>266.36</v>
      </c>
      <c r="AU109" s="68" t="e">
        <f t="shared" si="60"/>
        <v>#DIV/0!</v>
      </c>
      <c r="AV109" s="75" t="e">
        <f t="shared" si="88"/>
        <v>#DIV/0!</v>
      </c>
      <c r="AW109" s="68" t="e">
        <f>IF($I109="NA","NA",ROUND(#REF!*$AS109/$I109,2))</f>
        <v>#REF!</v>
      </c>
      <c r="AX109" s="75" t="e">
        <f t="shared" si="57"/>
        <v>#REF!</v>
      </c>
      <c r="AY109" s="68" t="e">
        <f t="shared" si="89"/>
        <v>#REF!</v>
      </c>
      <c r="AZ109" s="4">
        <f t="shared" si="90"/>
        <v>72127</v>
      </c>
      <c r="BA109" s="4">
        <f t="shared" si="91"/>
        <v>73200</v>
      </c>
      <c r="BB109" s="4">
        <f t="shared" si="92"/>
        <v>64744</v>
      </c>
      <c r="BC109" s="142">
        <f>IF(ISNA(VLOOKUP($A109&amp;$AB109,'Days Exceptions'!$C$3:$I$7,6,FALSE)),ROUND(AZ109/MAX(BB109,(BA109*Min_Occ)),2),ROUND(AZ109/VLOOKUP($A109&amp;$AB109,'Days Exceptions'!$C$3:$I$7,6,FALSE),2))</f>
        <v>1.1100000000000001</v>
      </c>
      <c r="BD109" s="143" t="e">
        <f t="shared" si="61"/>
        <v>#REF!</v>
      </c>
      <c r="BE109" s="143" t="e">
        <f t="shared" si="62"/>
        <v>#REF!</v>
      </c>
      <c r="BF109" s="143">
        <f t="shared" si="63"/>
        <v>190.27</v>
      </c>
      <c r="BG109" s="37" t="s">
        <v>98</v>
      </c>
      <c r="BH109" s="37" t="s">
        <v>41</v>
      </c>
      <c r="BI109" s="37" t="s">
        <v>1266</v>
      </c>
      <c r="BJ109" s="66" t="e">
        <f>VLOOKUP(A109,'CMI Data'!$A$3:$AZ$209,15,FALSE)</f>
        <v>#DIV/0!</v>
      </c>
      <c r="BK109" s="68">
        <f t="shared" si="64"/>
        <v>266.36</v>
      </c>
      <c r="BL109" s="68" t="e">
        <f t="shared" si="65"/>
        <v>#DIV/0!</v>
      </c>
      <c r="BM109" s="75" t="e">
        <f t="shared" si="93"/>
        <v>#DIV/0!</v>
      </c>
      <c r="BN109" s="68" t="e">
        <f>IF($I109="NA","NA",ROUND(#REF!*$BJ109/$I109,2))</f>
        <v>#REF!</v>
      </c>
      <c r="BO109" s="75" t="e">
        <f t="shared" si="94"/>
        <v>#REF!</v>
      </c>
      <c r="BP109" s="68" t="e">
        <f t="shared" si="95"/>
        <v>#REF!</v>
      </c>
      <c r="BQ109" s="4">
        <f t="shared" si="96"/>
        <v>72127</v>
      </c>
      <c r="BR109" s="4">
        <f t="shared" si="97"/>
        <v>73200</v>
      </c>
      <c r="BS109" s="4">
        <f t="shared" si="98"/>
        <v>64744</v>
      </c>
      <c r="BT109" s="142">
        <f>IF(ISNA(VLOOKUP($A109&amp;$AB109,'Days Exceptions'!$C$3:$I$7,6,FALSE)),ROUND(BQ109/MAX(BS109,(BR109*Min_Occ)),2),ROUND(BQ109/VLOOKUP($A109&amp;$AB109,'Days Exceptions'!$C$3:$I$7,6,FALSE),2))</f>
        <v>1.1100000000000001</v>
      </c>
      <c r="BU109" s="143" t="e">
        <f t="shared" si="66"/>
        <v>#REF!</v>
      </c>
      <c r="BV109" s="143" t="e">
        <f t="shared" si="67"/>
        <v>#REF!</v>
      </c>
      <c r="BW109" s="143">
        <f t="shared" si="68"/>
        <v>190.27</v>
      </c>
      <c r="BX109" s="37" t="s">
        <v>98</v>
      </c>
      <c r="BY109" s="37" t="s">
        <v>41</v>
      </c>
      <c r="BZ109" s="37" t="s">
        <v>1576</v>
      </c>
      <c r="CA109" s="66" t="e">
        <f>VLOOKUP(A109,'CMI Data'!$A$3:$AZ$209,20,FALSE)</f>
        <v>#DIV/0!</v>
      </c>
      <c r="CB109" s="68">
        <f t="shared" si="69"/>
        <v>266.36</v>
      </c>
      <c r="CC109" s="68" t="e">
        <f t="shared" si="70"/>
        <v>#DIV/0!</v>
      </c>
      <c r="CD109" s="75" t="e">
        <f t="shared" si="99"/>
        <v>#DIV/0!</v>
      </c>
      <c r="CE109" s="68" t="e">
        <f>IF($I109="NA","NA",ROUND(#REF!*$CA109/$I109,2))</f>
        <v>#REF!</v>
      </c>
      <c r="CF109" s="75" t="e">
        <f t="shared" si="100"/>
        <v>#REF!</v>
      </c>
      <c r="CG109" s="68" t="e">
        <f t="shared" si="101"/>
        <v>#REF!</v>
      </c>
      <c r="CH109" s="4">
        <f t="shared" si="102"/>
        <v>72127</v>
      </c>
      <c r="CI109" s="4">
        <f t="shared" si="103"/>
        <v>73200</v>
      </c>
      <c r="CJ109" s="4">
        <f t="shared" si="104"/>
        <v>64744</v>
      </c>
      <c r="CK109" s="142">
        <f>IF(ISNA(VLOOKUP($A109&amp;$AB109,'Days Exceptions'!$C$3:$I$7,6,FALSE)),ROUND(CH109/MAX(CJ109,(CI109*Min_Occ)),2),ROUND(CH109/VLOOKUP($A109&amp;$AB109,'Days Exceptions'!$C$3:$I$7,6,FALSE),2))</f>
        <v>1.1100000000000001</v>
      </c>
      <c r="CL109" s="143" t="e">
        <f t="shared" si="71"/>
        <v>#REF!</v>
      </c>
      <c r="CM109" s="143" t="e">
        <f t="shared" si="72"/>
        <v>#REF!</v>
      </c>
      <c r="CN109" s="143">
        <f t="shared" si="73"/>
        <v>190.27</v>
      </c>
      <c r="CO109" s="37" t="s">
        <v>98</v>
      </c>
      <c r="CP109" s="37" t="s">
        <v>41</v>
      </c>
      <c r="CQ109" s="37" t="s">
        <v>1577</v>
      </c>
    </row>
    <row r="110" spans="1:95" x14ac:dyDescent="0.15">
      <c r="A110" s="130">
        <v>717</v>
      </c>
      <c r="B110" s="37" t="s">
        <v>190</v>
      </c>
      <c r="C110" s="1" t="s">
        <v>148</v>
      </c>
      <c r="D110" s="1" t="s">
        <v>102</v>
      </c>
      <c r="E110" s="1" t="str">
        <f>VLOOKUP(D110,Documentation!$B$4:$D$27,3,FALSE)</f>
        <v>BALTIMORE METRO</v>
      </c>
      <c r="F110" s="1" t="str">
        <f>VLOOKUP(D110,Documentation!$B$4:$C$27,2,FALSE)</f>
        <v>BALTIMORE CITY</v>
      </c>
      <c r="G110" s="82">
        <f>VLOOKUP(A110,'2022 CR and CMI'!$A$3:$D$207,3,FALSE)</f>
        <v>44562</v>
      </c>
      <c r="H110" s="82">
        <f>VLOOKUP(A110,'2022 CR and CMI'!$A$3:$D$207,4,FALSE)</f>
        <v>44926</v>
      </c>
      <c r="I110" s="72">
        <f>VLOOKUP(A110,'2022 CR and CMI'!$A$2:$T$210,19,FALSE)</f>
        <v>1.4358</v>
      </c>
      <c r="J110" s="139">
        <f>Inflation!$G$24</f>
        <v>1.0309999999999999</v>
      </c>
      <c r="K110" s="192">
        <f>VLOOKUP(E110,Limits!$B$2:$D$5,3,FALSE)</f>
        <v>195.33</v>
      </c>
      <c r="L110" s="192">
        <f t="shared" si="74"/>
        <v>201.39</v>
      </c>
      <c r="M110" s="140">
        <f>VLOOKUP(A110,'CMI Data'!$A$4:$C$208,3,FALSE)</f>
        <v>1.419</v>
      </c>
      <c r="N110" s="68">
        <f t="shared" si="58"/>
        <v>200.36</v>
      </c>
      <c r="O110" s="68">
        <f t="shared" si="75"/>
        <v>198.02</v>
      </c>
      <c r="P110" s="75">
        <f t="shared" si="76"/>
        <v>188.12</v>
      </c>
      <c r="Q110" s="75">
        <v>189.43</v>
      </c>
      <c r="R110" s="75">
        <f t="shared" si="77"/>
        <v>195.3</v>
      </c>
      <c r="S110" s="68">
        <f t="shared" si="78"/>
        <v>193.01</v>
      </c>
      <c r="T110" s="75">
        <f t="shared" si="79"/>
        <v>0</v>
      </c>
      <c r="U110" s="68">
        <f t="shared" si="80"/>
        <v>198.02</v>
      </c>
      <c r="V110" s="68">
        <f>VLOOKUP($F110,Limits!$J$2:$L$5,3,FALSE)</f>
        <v>24.89</v>
      </c>
      <c r="W110" s="68">
        <f t="shared" si="81"/>
        <v>25.66</v>
      </c>
      <c r="X110" s="68">
        <f>VLOOKUP($F110,Limits!$R$2:$T$5,3,FALSE)</f>
        <v>114.15</v>
      </c>
      <c r="Y110" s="68">
        <f t="shared" si="82"/>
        <v>117.69</v>
      </c>
      <c r="Z110" s="75">
        <f>VLOOKUP(A110,FRV!$A$4:$U$208,21,FALSE)</f>
        <v>44.82</v>
      </c>
      <c r="AA110" s="141">
        <f>VLOOKUP(A110,'RE Tax'!$A$2:$G$206,3,FALSE)</f>
        <v>45292</v>
      </c>
      <c r="AB110" s="141">
        <f>VLOOKUP(A110,'RE Tax'!$A$2:$G$206,4,FALSE)</f>
        <v>45657</v>
      </c>
      <c r="AC110" s="4">
        <f>VLOOKUP(A110,'RE Tax'!$A$2:$G$206,7,FALSE)</f>
        <v>98290</v>
      </c>
      <c r="AD110" s="4">
        <f>VLOOKUP($A110,'RE Tax'!$A$2:$I$206,9,FALSE)</f>
        <v>73200</v>
      </c>
      <c r="AE110" s="4">
        <f>VLOOKUP($A110,'RE Tax'!$A$2:$I$206,8,FALSE)</f>
        <v>70440</v>
      </c>
      <c r="AF110" s="142">
        <f>IF(ISNA(VLOOKUP(A110&amp;AB110,'Days Exceptions'!$C$3:$I$7,6,FALSE)),ROUND(AC110/MAX(AE110,(AD110*Min_Occ)),2),ROUND(AC110/VLOOKUP(A110&amp;AB110,'Days Exceptions'!$C$3:$I$7,6,FALSE),2))</f>
        <v>1.4</v>
      </c>
      <c r="AG110" s="68">
        <v>0</v>
      </c>
      <c r="AH110" s="68">
        <f t="shared" si="83"/>
        <v>0</v>
      </c>
      <c r="AI110" s="4">
        <v>59179</v>
      </c>
      <c r="AJ110" s="4">
        <v>70421</v>
      </c>
      <c r="AK110" s="68">
        <f>IF(AI110=0,0,IF(ISNA(MATCH(A110,Documentation!$B$66:$B$71,0)),QA_Tax_reg,QA_Tax_5high))</f>
        <v>3.04</v>
      </c>
      <c r="AL110" s="75">
        <f t="shared" si="84"/>
        <v>2.5499999999999998</v>
      </c>
      <c r="AM110" s="68">
        <f t="shared" si="85"/>
        <v>387.59</v>
      </c>
      <c r="AN110" s="68">
        <f t="shared" si="86"/>
        <v>288.58</v>
      </c>
      <c r="AO110" s="68">
        <f t="shared" si="87"/>
        <v>189.57</v>
      </c>
      <c r="AP110" s="37" t="s">
        <v>2</v>
      </c>
      <c r="AQ110" s="37" t="s">
        <v>190</v>
      </c>
      <c r="AR110" s="37" t="s">
        <v>1063</v>
      </c>
      <c r="AS110" s="66" t="e">
        <f>VLOOKUP(A110,'CMI Data'!$A$3:$J$209,10,FALSE)</f>
        <v>#DIV/0!</v>
      </c>
      <c r="AT110" s="68">
        <f t="shared" si="59"/>
        <v>194.33</v>
      </c>
      <c r="AU110" s="68" t="e">
        <f t="shared" si="60"/>
        <v>#DIV/0!</v>
      </c>
      <c r="AV110" s="75" t="e">
        <f t="shared" si="88"/>
        <v>#DIV/0!</v>
      </c>
      <c r="AW110" s="68" t="e">
        <f>IF($I110="NA","NA",ROUND(#REF!*$AS110/$I110,2))</f>
        <v>#REF!</v>
      </c>
      <c r="AX110" s="75" t="e">
        <f t="shared" si="57"/>
        <v>#REF!</v>
      </c>
      <c r="AY110" s="68" t="e">
        <f t="shared" si="89"/>
        <v>#REF!</v>
      </c>
      <c r="AZ110" s="4">
        <f t="shared" si="90"/>
        <v>98290</v>
      </c>
      <c r="BA110" s="4">
        <f t="shared" si="91"/>
        <v>73200</v>
      </c>
      <c r="BB110" s="4">
        <f t="shared" si="92"/>
        <v>70440</v>
      </c>
      <c r="BC110" s="142">
        <f>IF(ISNA(VLOOKUP($A110&amp;$AB110,'Days Exceptions'!$C$3:$I$7,6,FALSE)),ROUND(AZ110/MAX(BB110,(BA110*Min_Occ)),2),ROUND(AZ110/VLOOKUP($A110&amp;$AB110,'Days Exceptions'!$C$3:$I$7,6,FALSE),2))</f>
        <v>1.4</v>
      </c>
      <c r="BD110" s="143" t="e">
        <f t="shared" si="61"/>
        <v>#REF!</v>
      </c>
      <c r="BE110" s="143" t="e">
        <f t="shared" si="62"/>
        <v>#REF!</v>
      </c>
      <c r="BF110" s="143">
        <f t="shared" si="63"/>
        <v>185.26</v>
      </c>
      <c r="BG110" s="37" t="s">
        <v>2</v>
      </c>
      <c r="BH110" s="37" t="s">
        <v>190</v>
      </c>
      <c r="BI110" s="37" t="s">
        <v>1267</v>
      </c>
      <c r="BJ110" s="66" t="e">
        <f>VLOOKUP(A110,'CMI Data'!$A$3:$AZ$209,15,FALSE)</f>
        <v>#DIV/0!</v>
      </c>
      <c r="BK110" s="68">
        <f t="shared" si="64"/>
        <v>194.33</v>
      </c>
      <c r="BL110" s="68" t="e">
        <f t="shared" si="65"/>
        <v>#DIV/0!</v>
      </c>
      <c r="BM110" s="75" t="e">
        <f t="shared" si="93"/>
        <v>#DIV/0!</v>
      </c>
      <c r="BN110" s="68" t="e">
        <f>IF($I110="NA","NA",ROUND(#REF!*$BJ110/$I110,2))</f>
        <v>#REF!</v>
      </c>
      <c r="BO110" s="75" t="e">
        <f t="shared" si="94"/>
        <v>#REF!</v>
      </c>
      <c r="BP110" s="68" t="e">
        <f t="shared" si="95"/>
        <v>#REF!</v>
      </c>
      <c r="BQ110" s="4">
        <f t="shared" si="96"/>
        <v>98290</v>
      </c>
      <c r="BR110" s="4">
        <f t="shared" si="97"/>
        <v>73200</v>
      </c>
      <c r="BS110" s="4">
        <f t="shared" si="98"/>
        <v>70440</v>
      </c>
      <c r="BT110" s="142">
        <f>IF(ISNA(VLOOKUP($A110&amp;$AB110,'Days Exceptions'!$C$3:$I$7,6,FALSE)),ROUND(BQ110/MAX(BS110,(BR110*Min_Occ)),2),ROUND(BQ110/VLOOKUP($A110&amp;$AB110,'Days Exceptions'!$C$3:$I$7,6,FALSE),2))</f>
        <v>1.4</v>
      </c>
      <c r="BU110" s="143" t="e">
        <f t="shared" si="66"/>
        <v>#REF!</v>
      </c>
      <c r="BV110" s="143" t="e">
        <f t="shared" si="67"/>
        <v>#REF!</v>
      </c>
      <c r="BW110" s="143">
        <f t="shared" si="68"/>
        <v>185.26</v>
      </c>
      <c r="BX110" s="37" t="s">
        <v>2</v>
      </c>
      <c r="BY110" s="37" t="s">
        <v>190</v>
      </c>
      <c r="BZ110" s="37" t="s">
        <v>1578</v>
      </c>
      <c r="CA110" s="66" t="e">
        <f>VLOOKUP(A110,'CMI Data'!$A$3:$AZ$209,20,FALSE)</f>
        <v>#DIV/0!</v>
      </c>
      <c r="CB110" s="68">
        <f t="shared" si="69"/>
        <v>194.33</v>
      </c>
      <c r="CC110" s="68" t="e">
        <f t="shared" si="70"/>
        <v>#DIV/0!</v>
      </c>
      <c r="CD110" s="75" t="e">
        <f t="shared" si="99"/>
        <v>#DIV/0!</v>
      </c>
      <c r="CE110" s="68" t="e">
        <f>IF($I110="NA","NA",ROUND(#REF!*$CA110/$I110,2))</f>
        <v>#REF!</v>
      </c>
      <c r="CF110" s="75" t="e">
        <f t="shared" si="100"/>
        <v>#REF!</v>
      </c>
      <c r="CG110" s="68" t="e">
        <f t="shared" si="101"/>
        <v>#REF!</v>
      </c>
      <c r="CH110" s="4">
        <f t="shared" si="102"/>
        <v>98290</v>
      </c>
      <c r="CI110" s="4">
        <f t="shared" si="103"/>
        <v>73200</v>
      </c>
      <c r="CJ110" s="4">
        <f t="shared" si="104"/>
        <v>70440</v>
      </c>
      <c r="CK110" s="142">
        <f>IF(ISNA(VLOOKUP($A110&amp;$AB110,'Days Exceptions'!$C$3:$I$7,6,FALSE)),ROUND(CH110/MAX(CJ110,(CI110*Min_Occ)),2),ROUND(CH110/VLOOKUP($A110&amp;$AB110,'Days Exceptions'!$C$3:$I$7,6,FALSE),2))</f>
        <v>1.4</v>
      </c>
      <c r="CL110" s="143" t="e">
        <f t="shared" si="71"/>
        <v>#REF!</v>
      </c>
      <c r="CM110" s="143" t="e">
        <f t="shared" si="72"/>
        <v>#REF!</v>
      </c>
      <c r="CN110" s="143">
        <f t="shared" si="73"/>
        <v>185.26</v>
      </c>
      <c r="CO110" s="37" t="s">
        <v>2</v>
      </c>
      <c r="CP110" s="37" t="s">
        <v>190</v>
      </c>
      <c r="CQ110" s="37" t="s">
        <v>1579</v>
      </c>
    </row>
    <row r="111" spans="1:95" x14ac:dyDescent="0.15">
      <c r="A111" s="130">
        <v>144</v>
      </c>
      <c r="B111" s="37" t="s">
        <v>193</v>
      </c>
      <c r="C111" s="1" t="s">
        <v>148</v>
      </c>
      <c r="D111" s="1" t="s">
        <v>107</v>
      </c>
      <c r="E111" s="1" t="str">
        <f>VLOOKUP(D111,Documentation!$B$4:$D$27,3,FALSE)</f>
        <v>BALTIMORE METRO</v>
      </c>
      <c r="F111" s="1" t="str">
        <f>VLOOKUP(D111,Documentation!$B$4:$C$27,2,FALSE)</f>
        <v>BALTIMORE METRO</v>
      </c>
      <c r="G111" s="82">
        <f>VLOOKUP(A111,'2022 CR and CMI'!$A$3:$D$207,3,FALSE)</f>
        <v>44562</v>
      </c>
      <c r="H111" s="82">
        <f>VLOOKUP(A111,'2022 CR and CMI'!$A$3:$D$207,4,FALSE)</f>
        <v>44926</v>
      </c>
      <c r="I111" s="72">
        <f>VLOOKUP(A111,'2022 CR and CMI'!$A$2:$T$210,19,FALSE)</f>
        <v>1.5086999999999999</v>
      </c>
      <c r="J111" s="139">
        <f>Inflation!$G$24</f>
        <v>1.0309999999999999</v>
      </c>
      <c r="K111" s="192">
        <f>VLOOKUP(E111,Limits!$B$2:$D$5,3,FALSE)</f>
        <v>195.33</v>
      </c>
      <c r="L111" s="192">
        <f t="shared" si="74"/>
        <v>201.39</v>
      </c>
      <c r="M111" s="140">
        <f>VLOOKUP(A111,'CMI Data'!$A$4:$C$208,3,FALSE)</f>
        <v>1.5223</v>
      </c>
      <c r="N111" s="68">
        <f t="shared" si="58"/>
        <v>210.53</v>
      </c>
      <c r="O111" s="68">
        <f t="shared" si="75"/>
        <v>212.43</v>
      </c>
      <c r="P111" s="75">
        <f t="shared" si="76"/>
        <v>201.81</v>
      </c>
      <c r="Q111" s="75">
        <v>179.03</v>
      </c>
      <c r="R111" s="75">
        <f t="shared" si="77"/>
        <v>184.58</v>
      </c>
      <c r="S111" s="68">
        <f t="shared" si="78"/>
        <v>186.24</v>
      </c>
      <c r="T111" s="75">
        <f t="shared" si="79"/>
        <v>-15.57</v>
      </c>
      <c r="U111" s="68">
        <f t="shared" si="80"/>
        <v>196.86</v>
      </c>
      <c r="V111" s="68">
        <f>VLOOKUP($F111,Limits!$J$2:$L$5,3,FALSE)</f>
        <v>20.85</v>
      </c>
      <c r="W111" s="68">
        <f t="shared" si="81"/>
        <v>21.5</v>
      </c>
      <c r="X111" s="68">
        <f>VLOOKUP($F111,Limits!$R$2:$T$5,3,FALSE)</f>
        <v>102.02</v>
      </c>
      <c r="Y111" s="68">
        <f t="shared" si="82"/>
        <v>105.18</v>
      </c>
      <c r="Z111" s="75">
        <f>VLOOKUP(A111,FRV!$A$4:$U$208,21,FALSE)</f>
        <v>32.200000000000003</v>
      </c>
      <c r="AA111" s="141">
        <f>VLOOKUP(A111,'RE Tax'!$A$2:$G$206,3,FALSE)</f>
        <v>45292</v>
      </c>
      <c r="AB111" s="141">
        <f>VLOOKUP(A111,'RE Tax'!$A$2:$G$206,4,FALSE)</f>
        <v>45657</v>
      </c>
      <c r="AC111" s="4">
        <f>VLOOKUP(A111,'RE Tax'!$A$2:$G$206,7,FALSE)</f>
        <v>50395</v>
      </c>
      <c r="AD111" s="4">
        <f>VLOOKUP($A111,'RE Tax'!$A$2:$I$206,9,FALSE)</f>
        <v>56730</v>
      </c>
      <c r="AE111" s="4">
        <f>VLOOKUP($A111,'RE Tax'!$A$2:$I$206,8,FALSE)</f>
        <v>50989</v>
      </c>
      <c r="AF111" s="142">
        <f>IF(ISNA(VLOOKUP(A111&amp;AB111,'Days Exceptions'!$C$3:$I$7,6,FALSE)),ROUND(AC111/MAX(AE111,(AD111*Min_Occ)),2),ROUND(AC111/VLOOKUP(A111&amp;AB111,'Days Exceptions'!$C$3:$I$7,6,FALSE),2))</f>
        <v>0.99</v>
      </c>
      <c r="AG111" s="68">
        <v>0</v>
      </c>
      <c r="AH111" s="68">
        <f t="shared" si="83"/>
        <v>0</v>
      </c>
      <c r="AI111" s="4">
        <v>38698</v>
      </c>
      <c r="AJ111" s="4">
        <v>51012</v>
      </c>
      <c r="AK111" s="68">
        <f>IF(AI111=0,0,IF(ISNA(MATCH(A111,Documentation!$B$66:$B$71,0)),QA_Tax_reg,QA_Tax_5high))</f>
        <v>32.92</v>
      </c>
      <c r="AL111" s="75">
        <f t="shared" si="84"/>
        <v>24.97</v>
      </c>
      <c r="AM111" s="68">
        <f t="shared" si="85"/>
        <v>356.73</v>
      </c>
      <c r="AN111" s="68">
        <f t="shared" si="86"/>
        <v>258.3</v>
      </c>
      <c r="AO111" s="68">
        <f t="shared" si="87"/>
        <v>159.87</v>
      </c>
      <c r="AP111" s="37" t="s">
        <v>7</v>
      </c>
      <c r="AQ111" s="37" t="s">
        <v>193</v>
      </c>
      <c r="AR111" s="37" t="s">
        <v>1064</v>
      </c>
      <c r="AS111" s="66" t="e">
        <f>VLOOKUP(A111,'CMI Data'!$A$3:$J$209,10,FALSE)</f>
        <v>#DIV/0!</v>
      </c>
      <c r="AT111" s="68">
        <f t="shared" si="59"/>
        <v>204.2</v>
      </c>
      <c r="AU111" s="68" t="e">
        <f t="shared" si="60"/>
        <v>#DIV/0!</v>
      </c>
      <c r="AV111" s="75" t="e">
        <f t="shared" si="88"/>
        <v>#DIV/0!</v>
      </c>
      <c r="AW111" s="68" t="e">
        <f>IF($I111="NA","NA",ROUND(#REF!*$AS111/$I111,2))</f>
        <v>#REF!</v>
      </c>
      <c r="AX111" s="75" t="e">
        <f t="shared" si="57"/>
        <v>#REF!</v>
      </c>
      <c r="AY111" s="68" t="e">
        <f t="shared" si="89"/>
        <v>#REF!</v>
      </c>
      <c r="AZ111" s="4">
        <f t="shared" si="90"/>
        <v>50395</v>
      </c>
      <c r="BA111" s="4">
        <f t="shared" si="91"/>
        <v>56730</v>
      </c>
      <c r="BB111" s="4">
        <f t="shared" si="92"/>
        <v>50989</v>
      </c>
      <c r="BC111" s="142">
        <f>IF(ISNA(VLOOKUP($A111&amp;$AB111,'Days Exceptions'!$C$3:$I$7,6,FALSE)),ROUND(AZ111/MAX(BB111,(BA111*Min_Occ)),2),ROUND(AZ111/VLOOKUP($A111&amp;$AB111,'Days Exceptions'!$C$3:$I$7,6,FALSE),2))</f>
        <v>0.99</v>
      </c>
      <c r="BD111" s="143" t="e">
        <f t="shared" si="61"/>
        <v>#REF!</v>
      </c>
      <c r="BE111" s="143" t="e">
        <f t="shared" si="62"/>
        <v>#REF!</v>
      </c>
      <c r="BF111" s="143">
        <f t="shared" si="63"/>
        <v>156.06</v>
      </c>
      <c r="BG111" s="37" t="s">
        <v>7</v>
      </c>
      <c r="BH111" s="37" t="s">
        <v>193</v>
      </c>
      <c r="BI111" s="37" t="s">
        <v>1268</v>
      </c>
      <c r="BJ111" s="66" t="e">
        <f>VLOOKUP(A111,'CMI Data'!$A$3:$AZ$209,15,FALSE)</f>
        <v>#DIV/0!</v>
      </c>
      <c r="BK111" s="68">
        <f t="shared" si="64"/>
        <v>204.2</v>
      </c>
      <c r="BL111" s="68" t="e">
        <f t="shared" si="65"/>
        <v>#DIV/0!</v>
      </c>
      <c r="BM111" s="75" t="e">
        <f t="shared" si="93"/>
        <v>#DIV/0!</v>
      </c>
      <c r="BN111" s="68" t="e">
        <f>IF($I111="NA","NA",ROUND(#REF!*$BJ111/$I111,2))</f>
        <v>#REF!</v>
      </c>
      <c r="BO111" s="75" t="e">
        <f t="shared" si="94"/>
        <v>#REF!</v>
      </c>
      <c r="BP111" s="68" t="e">
        <f t="shared" si="95"/>
        <v>#REF!</v>
      </c>
      <c r="BQ111" s="4">
        <f t="shared" si="96"/>
        <v>50395</v>
      </c>
      <c r="BR111" s="4">
        <f t="shared" si="97"/>
        <v>56730</v>
      </c>
      <c r="BS111" s="4">
        <f t="shared" si="98"/>
        <v>50989</v>
      </c>
      <c r="BT111" s="142">
        <f>IF(ISNA(VLOOKUP($A111&amp;$AB111,'Days Exceptions'!$C$3:$I$7,6,FALSE)),ROUND(BQ111/MAX(BS111,(BR111*Min_Occ)),2),ROUND(BQ111/VLOOKUP($A111&amp;$AB111,'Days Exceptions'!$C$3:$I$7,6,FALSE),2))</f>
        <v>0.99</v>
      </c>
      <c r="BU111" s="143" t="e">
        <f t="shared" si="66"/>
        <v>#REF!</v>
      </c>
      <c r="BV111" s="143" t="e">
        <f t="shared" si="67"/>
        <v>#REF!</v>
      </c>
      <c r="BW111" s="143">
        <f t="shared" si="68"/>
        <v>156.06</v>
      </c>
      <c r="BX111" s="37" t="s">
        <v>7</v>
      </c>
      <c r="BY111" s="37" t="s">
        <v>193</v>
      </c>
      <c r="BZ111" s="37" t="s">
        <v>1580</v>
      </c>
      <c r="CA111" s="66" t="e">
        <f>VLOOKUP(A111,'CMI Data'!$A$3:$AZ$209,20,FALSE)</f>
        <v>#DIV/0!</v>
      </c>
      <c r="CB111" s="68">
        <f t="shared" si="69"/>
        <v>204.2</v>
      </c>
      <c r="CC111" s="68" t="e">
        <f t="shared" si="70"/>
        <v>#DIV/0!</v>
      </c>
      <c r="CD111" s="75" t="e">
        <f t="shared" si="99"/>
        <v>#DIV/0!</v>
      </c>
      <c r="CE111" s="68" t="e">
        <f>IF($I111="NA","NA",ROUND(#REF!*$CA111/$I111,2))</f>
        <v>#REF!</v>
      </c>
      <c r="CF111" s="75" t="e">
        <f t="shared" si="100"/>
        <v>#REF!</v>
      </c>
      <c r="CG111" s="68" t="e">
        <f t="shared" si="101"/>
        <v>#REF!</v>
      </c>
      <c r="CH111" s="4">
        <f t="shared" si="102"/>
        <v>50395</v>
      </c>
      <c r="CI111" s="4">
        <f t="shared" si="103"/>
        <v>56730</v>
      </c>
      <c r="CJ111" s="4">
        <f t="shared" si="104"/>
        <v>50989</v>
      </c>
      <c r="CK111" s="142">
        <f>IF(ISNA(VLOOKUP($A111&amp;$AB111,'Days Exceptions'!$C$3:$I$7,6,FALSE)),ROUND(CH111/MAX(CJ111,(CI111*Min_Occ)),2),ROUND(CH111/VLOOKUP($A111&amp;$AB111,'Days Exceptions'!$C$3:$I$7,6,FALSE),2))</f>
        <v>0.99</v>
      </c>
      <c r="CL111" s="143" t="e">
        <f t="shared" si="71"/>
        <v>#REF!</v>
      </c>
      <c r="CM111" s="143" t="e">
        <f t="shared" si="72"/>
        <v>#REF!</v>
      </c>
      <c r="CN111" s="143">
        <f t="shared" si="73"/>
        <v>156.06</v>
      </c>
      <c r="CO111" s="37" t="s">
        <v>7</v>
      </c>
      <c r="CP111" s="37" t="s">
        <v>193</v>
      </c>
      <c r="CQ111" s="37" t="s">
        <v>1581</v>
      </c>
    </row>
    <row r="112" spans="1:95" x14ac:dyDescent="0.15">
      <c r="A112" s="130">
        <v>190</v>
      </c>
      <c r="B112" s="37" t="s">
        <v>376</v>
      </c>
      <c r="C112" s="1" t="s">
        <v>148</v>
      </c>
      <c r="D112" s="1" t="s">
        <v>107</v>
      </c>
      <c r="E112" s="1" t="str">
        <f>VLOOKUP(D112,Documentation!$B$4:$D$27,3,FALSE)</f>
        <v>BALTIMORE METRO</v>
      </c>
      <c r="F112" s="1" t="str">
        <f>VLOOKUP(D112,Documentation!$B$4:$C$27,2,FALSE)</f>
        <v>BALTIMORE METRO</v>
      </c>
      <c r="G112" s="82">
        <f>VLOOKUP(A112,'2022 CR and CMI'!$A$3:$D$207,3,FALSE)</f>
        <v>44562</v>
      </c>
      <c r="H112" s="82">
        <f>VLOOKUP(A112,'2022 CR and CMI'!$A$3:$D$207,4,FALSE)</f>
        <v>44926</v>
      </c>
      <c r="I112" s="72">
        <f>VLOOKUP(A112,'2022 CR and CMI'!$A$2:$T$210,19,FALSE)</f>
        <v>1.4160999999999999</v>
      </c>
      <c r="J112" s="139">
        <f>Inflation!$G$24</f>
        <v>1.0309999999999999</v>
      </c>
      <c r="K112" s="192">
        <f>VLOOKUP(E112,Limits!$B$2:$D$5,3,FALSE)</f>
        <v>195.33</v>
      </c>
      <c r="L112" s="192">
        <f t="shared" si="74"/>
        <v>201.39</v>
      </c>
      <c r="M112" s="140">
        <f>VLOOKUP(A112,'CMI Data'!$A$4:$C$208,3,FALSE)</f>
        <v>1.3391999999999999</v>
      </c>
      <c r="N112" s="68">
        <f t="shared" si="58"/>
        <v>197.61</v>
      </c>
      <c r="O112" s="68">
        <f t="shared" si="75"/>
        <v>186.88</v>
      </c>
      <c r="P112" s="75">
        <f t="shared" si="76"/>
        <v>177.54</v>
      </c>
      <c r="Q112" s="75">
        <v>177.8</v>
      </c>
      <c r="R112" s="75">
        <f t="shared" si="77"/>
        <v>183.31</v>
      </c>
      <c r="S112" s="68">
        <f t="shared" si="78"/>
        <v>173.36</v>
      </c>
      <c r="T112" s="75">
        <f t="shared" si="79"/>
        <v>-4.18</v>
      </c>
      <c r="U112" s="68">
        <f t="shared" si="80"/>
        <v>182.7</v>
      </c>
      <c r="V112" s="68">
        <f>VLOOKUP($F112,Limits!$J$2:$L$5,3,FALSE)</f>
        <v>20.85</v>
      </c>
      <c r="W112" s="68">
        <f t="shared" si="81"/>
        <v>21.5</v>
      </c>
      <c r="X112" s="68">
        <f>VLOOKUP($F112,Limits!$R$2:$T$5,3,FALSE)</f>
        <v>102.02</v>
      </c>
      <c r="Y112" s="68">
        <f t="shared" si="82"/>
        <v>105.18</v>
      </c>
      <c r="Z112" s="75">
        <f>VLOOKUP(A112,FRV!$A$4:$U$208,21,FALSE)</f>
        <v>22.29</v>
      </c>
      <c r="AA112" s="141">
        <f>VLOOKUP(A112,'RE Tax'!$A$2:$G$206,3,FALSE)</f>
        <v>45292</v>
      </c>
      <c r="AB112" s="141">
        <f>VLOOKUP(A112,'RE Tax'!$A$2:$G$206,4,FALSE)</f>
        <v>45657</v>
      </c>
      <c r="AC112" s="4">
        <f>VLOOKUP(A112,'RE Tax'!$A$2:$G$206,7,FALSE)</f>
        <v>78959</v>
      </c>
      <c r="AD112" s="4">
        <f>VLOOKUP($A112,'RE Tax'!$A$2:$I$206,9,FALSE)</f>
        <v>51606</v>
      </c>
      <c r="AE112" s="4">
        <f>VLOOKUP($A112,'RE Tax'!$A$2:$I$206,8,FALSE)</f>
        <v>48478</v>
      </c>
      <c r="AF112" s="142">
        <f>IF(ISNA(VLOOKUP(A112&amp;AB112,'Days Exceptions'!$C$3:$I$7,6,FALSE)),ROUND(AC112/MAX(AE112,(AD112*Min_Occ)),2),ROUND(AC112/VLOOKUP(A112&amp;AB112,'Days Exceptions'!$C$3:$I$7,6,FALSE),2))</f>
        <v>1.63</v>
      </c>
      <c r="AG112" s="68">
        <v>0</v>
      </c>
      <c r="AH112" s="68">
        <f t="shared" si="83"/>
        <v>0</v>
      </c>
      <c r="AI112" s="4">
        <v>40426</v>
      </c>
      <c r="AJ112" s="4">
        <v>48503</v>
      </c>
      <c r="AK112" s="68">
        <f>IF(AI112=0,0,IF(ISNA(MATCH(A112,Documentation!$B$66:$B$71,0)),QA_Tax_reg,QA_Tax_5high))</f>
        <v>32.92</v>
      </c>
      <c r="AL112" s="75">
        <f t="shared" si="84"/>
        <v>27.44</v>
      </c>
      <c r="AM112" s="68">
        <f t="shared" si="85"/>
        <v>333.3</v>
      </c>
      <c r="AN112" s="68">
        <f t="shared" si="86"/>
        <v>241.95</v>
      </c>
      <c r="AO112" s="68">
        <f t="shared" si="87"/>
        <v>150.6</v>
      </c>
      <c r="AP112" s="37" t="s">
        <v>365</v>
      </c>
      <c r="AQ112" s="37" t="s">
        <v>376</v>
      </c>
      <c r="AR112" s="37" t="s">
        <v>1065</v>
      </c>
      <c r="AS112" s="66" t="e">
        <f>VLOOKUP(A112,'CMI Data'!$A$3:$J$209,10,FALSE)</f>
        <v>#DIV/0!</v>
      </c>
      <c r="AT112" s="68">
        <f t="shared" si="59"/>
        <v>191.66</v>
      </c>
      <c r="AU112" s="68" t="e">
        <f t="shared" si="60"/>
        <v>#DIV/0!</v>
      </c>
      <c r="AV112" s="75" t="e">
        <f t="shared" si="88"/>
        <v>#DIV/0!</v>
      </c>
      <c r="AW112" s="68" t="e">
        <f>IF($I112="NA","NA",ROUND(#REF!*$AS112/$I112,2))</f>
        <v>#REF!</v>
      </c>
      <c r="AX112" s="75" t="e">
        <f t="shared" si="57"/>
        <v>#REF!</v>
      </c>
      <c r="AY112" s="68" t="e">
        <f t="shared" si="89"/>
        <v>#REF!</v>
      </c>
      <c r="AZ112" s="4">
        <f t="shared" si="90"/>
        <v>78959</v>
      </c>
      <c r="BA112" s="4">
        <f t="shared" si="91"/>
        <v>51606</v>
      </c>
      <c r="BB112" s="4">
        <f t="shared" si="92"/>
        <v>48478</v>
      </c>
      <c r="BC112" s="142">
        <f>IF(ISNA(VLOOKUP($A112&amp;$AB112,'Days Exceptions'!$C$3:$I$7,6,FALSE)),ROUND(AZ112/MAX(BB112,(BA112*Min_Occ)),2),ROUND(AZ112/VLOOKUP($A112&amp;$AB112,'Days Exceptions'!$C$3:$I$7,6,FALSE),2))</f>
        <v>1.63</v>
      </c>
      <c r="BD112" s="143" t="e">
        <f t="shared" si="61"/>
        <v>#REF!</v>
      </c>
      <c r="BE112" s="143" t="e">
        <f t="shared" si="62"/>
        <v>#REF!</v>
      </c>
      <c r="BF112" s="143">
        <f t="shared" si="63"/>
        <v>146.79</v>
      </c>
      <c r="BG112" s="37" t="s">
        <v>365</v>
      </c>
      <c r="BH112" s="37" t="s">
        <v>376</v>
      </c>
      <c r="BI112" s="37" t="s">
        <v>1269</v>
      </c>
      <c r="BJ112" s="66" t="e">
        <f>VLOOKUP(A112,'CMI Data'!$A$3:$AZ$209,15,FALSE)</f>
        <v>#DIV/0!</v>
      </c>
      <c r="BK112" s="68">
        <f t="shared" si="64"/>
        <v>191.66</v>
      </c>
      <c r="BL112" s="68" t="e">
        <f t="shared" si="65"/>
        <v>#DIV/0!</v>
      </c>
      <c r="BM112" s="75" t="e">
        <f t="shared" si="93"/>
        <v>#DIV/0!</v>
      </c>
      <c r="BN112" s="68" t="e">
        <f>IF($I112="NA","NA",ROUND(#REF!*$BJ112/$I112,2))</f>
        <v>#REF!</v>
      </c>
      <c r="BO112" s="75" t="e">
        <f t="shared" si="94"/>
        <v>#REF!</v>
      </c>
      <c r="BP112" s="68" t="e">
        <f t="shared" si="95"/>
        <v>#REF!</v>
      </c>
      <c r="BQ112" s="4">
        <f t="shared" si="96"/>
        <v>78959</v>
      </c>
      <c r="BR112" s="4">
        <f t="shared" si="97"/>
        <v>51606</v>
      </c>
      <c r="BS112" s="4">
        <f t="shared" si="98"/>
        <v>48478</v>
      </c>
      <c r="BT112" s="142">
        <f>IF(ISNA(VLOOKUP($A112&amp;$AB112,'Days Exceptions'!$C$3:$I$7,6,FALSE)),ROUND(BQ112/MAX(BS112,(BR112*Min_Occ)),2),ROUND(BQ112/VLOOKUP($A112&amp;$AB112,'Days Exceptions'!$C$3:$I$7,6,FALSE),2))</f>
        <v>1.63</v>
      </c>
      <c r="BU112" s="143" t="e">
        <f t="shared" si="66"/>
        <v>#REF!</v>
      </c>
      <c r="BV112" s="143" t="e">
        <f t="shared" si="67"/>
        <v>#REF!</v>
      </c>
      <c r="BW112" s="143">
        <f t="shared" si="68"/>
        <v>146.79</v>
      </c>
      <c r="BX112" s="37" t="s">
        <v>365</v>
      </c>
      <c r="BY112" s="37" t="s">
        <v>376</v>
      </c>
      <c r="BZ112" s="37" t="s">
        <v>1582</v>
      </c>
      <c r="CA112" s="66" t="e">
        <f>VLOOKUP(A112,'CMI Data'!$A$3:$AZ$209,20,FALSE)</f>
        <v>#DIV/0!</v>
      </c>
      <c r="CB112" s="68">
        <f t="shared" si="69"/>
        <v>191.66</v>
      </c>
      <c r="CC112" s="68" t="e">
        <f t="shared" si="70"/>
        <v>#DIV/0!</v>
      </c>
      <c r="CD112" s="75" t="e">
        <f t="shared" si="99"/>
        <v>#DIV/0!</v>
      </c>
      <c r="CE112" s="68" t="e">
        <f>IF($I112="NA","NA",ROUND(#REF!*$CA112/$I112,2))</f>
        <v>#REF!</v>
      </c>
      <c r="CF112" s="75" t="e">
        <f t="shared" si="100"/>
        <v>#REF!</v>
      </c>
      <c r="CG112" s="68" t="e">
        <f t="shared" si="101"/>
        <v>#REF!</v>
      </c>
      <c r="CH112" s="4">
        <f t="shared" si="102"/>
        <v>78959</v>
      </c>
      <c r="CI112" s="4">
        <f t="shared" si="103"/>
        <v>51606</v>
      </c>
      <c r="CJ112" s="4">
        <f t="shared" si="104"/>
        <v>48478</v>
      </c>
      <c r="CK112" s="142">
        <f>IF(ISNA(VLOOKUP($A112&amp;$AB112,'Days Exceptions'!$C$3:$I$7,6,FALSE)),ROUND(CH112/MAX(CJ112,(CI112*Min_Occ)),2),ROUND(CH112/VLOOKUP($A112&amp;$AB112,'Days Exceptions'!$C$3:$I$7,6,FALSE),2))</f>
        <v>1.63</v>
      </c>
      <c r="CL112" s="143" t="e">
        <f t="shared" si="71"/>
        <v>#REF!</v>
      </c>
      <c r="CM112" s="143" t="e">
        <f t="shared" si="72"/>
        <v>#REF!</v>
      </c>
      <c r="CN112" s="143">
        <f t="shared" si="73"/>
        <v>146.79</v>
      </c>
      <c r="CO112" s="37" t="s">
        <v>365</v>
      </c>
      <c r="CP112" s="37" t="s">
        <v>376</v>
      </c>
      <c r="CQ112" s="37" t="s">
        <v>1583</v>
      </c>
    </row>
    <row r="113" spans="1:95" x14ac:dyDescent="0.15">
      <c r="A113" s="130">
        <v>192</v>
      </c>
      <c r="B113" s="37" t="s">
        <v>39</v>
      </c>
      <c r="C113" s="1" t="s">
        <v>148</v>
      </c>
      <c r="D113" s="1" t="s">
        <v>120</v>
      </c>
      <c r="E113" s="1" t="str">
        <f>VLOOKUP(D113,Documentation!$B$4:$D$27,3,FALSE)</f>
        <v>WASHINGTON METRO</v>
      </c>
      <c r="F113" s="1" t="str">
        <f>VLOOKUP(D113,Documentation!$B$4:$C$27,2,FALSE)</f>
        <v>WASHINGTON METRO</v>
      </c>
      <c r="G113" s="82">
        <f>VLOOKUP(A113,'2022 CR and CMI'!$A$3:$D$207,3,FALSE)</f>
        <v>44562</v>
      </c>
      <c r="H113" s="82">
        <f>VLOOKUP(A113,'2022 CR and CMI'!$A$3:$D$207,4,FALSE)</f>
        <v>44926</v>
      </c>
      <c r="I113" s="72">
        <f>VLOOKUP(A113,'2022 CR and CMI'!$A$2:$T$210,19,FALSE)</f>
        <v>1.9691000000000001</v>
      </c>
      <c r="J113" s="139">
        <f>Inflation!$G$24</f>
        <v>1.0309999999999999</v>
      </c>
      <c r="K113" s="192">
        <f>VLOOKUP(E113,Limits!$B$2:$D$5,3,FALSE)</f>
        <v>176.01</v>
      </c>
      <c r="L113" s="192">
        <f t="shared" si="74"/>
        <v>181.47</v>
      </c>
      <c r="M113" s="140">
        <f>VLOOKUP(A113,'CMI Data'!$A$4:$C$208,3,FALSE)</f>
        <v>1.5604</v>
      </c>
      <c r="N113" s="68">
        <f t="shared" si="58"/>
        <v>247.6</v>
      </c>
      <c r="O113" s="68">
        <f t="shared" si="75"/>
        <v>196.21</v>
      </c>
      <c r="P113" s="75">
        <f t="shared" si="76"/>
        <v>186.4</v>
      </c>
      <c r="Q113" s="75">
        <v>260.92</v>
      </c>
      <c r="R113" s="75">
        <f t="shared" si="77"/>
        <v>269.01</v>
      </c>
      <c r="S113" s="68">
        <f t="shared" si="78"/>
        <v>213.18</v>
      </c>
      <c r="T113" s="75">
        <f t="shared" si="79"/>
        <v>0</v>
      </c>
      <c r="U113" s="68">
        <f t="shared" si="80"/>
        <v>196.21</v>
      </c>
      <c r="V113" s="68">
        <f>VLOOKUP($F113,Limits!$J$2:$L$5,3,FALSE)</f>
        <v>19.23</v>
      </c>
      <c r="W113" s="68">
        <f t="shared" si="81"/>
        <v>19.829999999999998</v>
      </c>
      <c r="X113" s="68">
        <f>VLOOKUP($F113,Limits!$R$2:$T$5,3,FALSE)</f>
        <v>100.61</v>
      </c>
      <c r="Y113" s="68">
        <f t="shared" si="82"/>
        <v>103.73</v>
      </c>
      <c r="Z113" s="75">
        <f>VLOOKUP(A113,FRV!$A$4:$U$208,21,FALSE)</f>
        <v>33.28</v>
      </c>
      <c r="AA113" s="141">
        <f>VLOOKUP(A113,'RE Tax'!$A$2:$G$206,3,FALSE)</f>
        <v>45292</v>
      </c>
      <c r="AB113" s="141">
        <f>VLOOKUP(A113,'RE Tax'!$A$2:$G$206,4,FALSE)</f>
        <v>45657</v>
      </c>
      <c r="AC113" s="4">
        <f>VLOOKUP(A113,'RE Tax'!$A$2:$G$206,7,FALSE)</f>
        <v>235454</v>
      </c>
      <c r="AD113" s="4">
        <f>VLOOKUP($A113,'RE Tax'!$A$2:$I$206,9,FALSE)</f>
        <v>65880</v>
      </c>
      <c r="AE113" s="4">
        <f>VLOOKUP($A113,'RE Tax'!$A$2:$I$206,8,FALSE)</f>
        <v>61713</v>
      </c>
      <c r="AF113" s="142">
        <f>IF(ISNA(VLOOKUP(A113&amp;AB113,'Days Exceptions'!$C$3:$I$7,6,FALSE)),ROUND(AC113/MAX(AE113,(AD113*Min_Occ)),2),ROUND(AC113/VLOOKUP(A113&amp;AB113,'Days Exceptions'!$C$3:$I$7,6,FALSE),2))</f>
        <v>3.82</v>
      </c>
      <c r="AG113" s="68">
        <v>0</v>
      </c>
      <c r="AH113" s="68">
        <f t="shared" si="83"/>
        <v>0</v>
      </c>
      <c r="AI113" s="4">
        <v>50894</v>
      </c>
      <c r="AJ113" s="4">
        <v>61713</v>
      </c>
      <c r="AK113" s="68">
        <f>IF(AI113=0,0,IF(ISNA(MATCH(A113,Documentation!$B$66:$B$71,0)),QA_Tax_reg,QA_Tax_5high))</f>
        <v>32.92</v>
      </c>
      <c r="AL113" s="75">
        <f t="shared" si="84"/>
        <v>27.15</v>
      </c>
      <c r="AM113" s="68">
        <f t="shared" si="85"/>
        <v>356.87</v>
      </c>
      <c r="AN113" s="68">
        <f t="shared" si="86"/>
        <v>258.77</v>
      </c>
      <c r="AO113" s="68">
        <f t="shared" si="87"/>
        <v>160.66</v>
      </c>
      <c r="AP113" s="37" t="s">
        <v>85</v>
      </c>
      <c r="AQ113" s="37" t="s">
        <v>39</v>
      </c>
      <c r="AR113" s="37" t="s">
        <v>1066</v>
      </c>
      <c r="AS113" s="66" t="e">
        <f>VLOOKUP(A113,'CMI Data'!$A$3:$J$209,10,FALSE)</f>
        <v>#DIV/0!</v>
      </c>
      <c r="AT113" s="68">
        <f t="shared" si="59"/>
        <v>240.15</v>
      </c>
      <c r="AU113" s="68" t="e">
        <f t="shared" si="60"/>
        <v>#DIV/0!</v>
      </c>
      <c r="AV113" s="75" t="e">
        <f t="shared" si="88"/>
        <v>#DIV/0!</v>
      </c>
      <c r="AW113" s="68" t="e">
        <f>IF($I113="NA","NA",ROUND(#REF!*$AS113/$I113,2))</f>
        <v>#REF!</v>
      </c>
      <c r="AX113" s="75" t="e">
        <f t="shared" si="57"/>
        <v>#REF!</v>
      </c>
      <c r="AY113" s="68" t="e">
        <f t="shared" si="89"/>
        <v>#REF!</v>
      </c>
      <c r="AZ113" s="4">
        <f t="shared" si="90"/>
        <v>235454</v>
      </c>
      <c r="BA113" s="4">
        <f t="shared" si="91"/>
        <v>65880</v>
      </c>
      <c r="BB113" s="4">
        <f t="shared" si="92"/>
        <v>61713</v>
      </c>
      <c r="BC113" s="142">
        <f>IF(ISNA(VLOOKUP($A113&amp;$AB113,'Days Exceptions'!$C$3:$I$7,6,FALSE)),ROUND(AZ113/MAX(BB113,(BA113*Min_Occ)),2),ROUND(AZ113/VLOOKUP($A113&amp;$AB113,'Days Exceptions'!$C$3:$I$7,6,FALSE),2))</f>
        <v>3.82</v>
      </c>
      <c r="BD113" s="143" t="e">
        <f t="shared" si="61"/>
        <v>#REF!</v>
      </c>
      <c r="BE113" s="143" t="e">
        <f t="shared" si="62"/>
        <v>#REF!</v>
      </c>
      <c r="BF113" s="143">
        <f t="shared" si="63"/>
        <v>156.94</v>
      </c>
      <c r="BG113" s="37" t="s">
        <v>85</v>
      </c>
      <c r="BH113" s="37" t="s">
        <v>39</v>
      </c>
      <c r="BI113" s="37" t="s">
        <v>1270</v>
      </c>
      <c r="BJ113" s="66" t="e">
        <f>VLOOKUP(A113,'CMI Data'!$A$3:$AZ$209,15,FALSE)</f>
        <v>#DIV/0!</v>
      </c>
      <c r="BK113" s="68">
        <f t="shared" si="64"/>
        <v>240.15</v>
      </c>
      <c r="BL113" s="68" t="e">
        <f t="shared" si="65"/>
        <v>#DIV/0!</v>
      </c>
      <c r="BM113" s="75" t="e">
        <f t="shared" si="93"/>
        <v>#DIV/0!</v>
      </c>
      <c r="BN113" s="68" t="e">
        <f>IF($I113="NA","NA",ROUND(#REF!*$BJ113/$I113,2))</f>
        <v>#REF!</v>
      </c>
      <c r="BO113" s="75" t="e">
        <f t="shared" si="94"/>
        <v>#REF!</v>
      </c>
      <c r="BP113" s="68" t="e">
        <f t="shared" si="95"/>
        <v>#REF!</v>
      </c>
      <c r="BQ113" s="4">
        <f t="shared" si="96"/>
        <v>235454</v>
      </c>
      <c r="BR113" s="4">
        <f t="shared" si="97"/>
        <v>65880</v>
      </c>
      <c r="BS113" s="4">
        <f t="shared" si="98"/>
        <v>61713</v>
      </c>
      <c r="BT113" s="142">
        <f>IF(ISNA(VLOOKUP($A113&amp;$AB113,'Days Exceptions'!$C$3:$I$7,6,FALSE)),ROUND(BQ113/MAX(BS113,(BR113*Min_Occ)),2),ROUND(BQ113/VLOOKUP($A113&amp;$AB113,'Days Exceptions'!$C$3:$I$7,6,FALSE),2))</f>
        <v>3.82</v>
      </c>
      <c r="BU113" s="143" t="e">
        <f t="shared" si="66"/>
        <v>#REF!</v>
      </c>
      <c r="BV113" s="143" t="e">
        <f t="shared" si="67"/>
        <v>#REF!</v>
      </c>
      <c r="BW113" s="143">
        <f t="shared" si="68"/>
        <v>156.94</v>
      </c>
      <c r="BX113" s="37" t="s">
        <v>85</v>
      </c>
      <c r="BY113" s="37" t="s">
        <v>39</v>
      </c>
      <c r="BZ113" s="37" t="s">
        <v>1584</v>
      </c>
      <c r="CA113" s="66" t="e">
        <f>VLOOKUP(A113,'CMI Data'!$A$3:$AZ$209,20,FALSE)</f>
        <v>#DIV/0!</v>
      </c>
      <c r="CB113" s="68">
        <f t="shared" si="69"/>
        <v>240.15</v>
      </c>
      <c r="CC113" s="68" t="e">
        <f t="shared" si="70"/>
        <v>#DIV/0!</v>
      </c>
      <c r="CD113" s="75" t="e">
        <f t="shared" si="99"/>
        <v>#DIV/0!</v>
      </c>
      <c r="CE113" s="68" t="e">
        <f>IF($I113="NA","NA",ROUND(#REF!*$CA113/$I113,2))</f>
        <v>#REF!</v>
      </c>
      <c r="CF113" s="75" t="e">
        <f t="shared" si="100"/>
        <v>#REF!</v>
      </c>
      <c r="CG113" s="68" t="e">
        <f t="shared" si="101"/>
        <v>#REF!</v>
      </c>
      <c r="CH113" s="4">
        <f t="shared" si="102"/>
        <v>235454</v>
      </c>
      <c r="CI113" s="4">
        <f t="shared" si="103"/>
        <v>65880</v>
      </c>
      <c r="CJ113" s="4">
        <f t="shared" si="104"/>
        <v>61713</v>
      </c>
      <c r="CK113" s="142">
        <f>IF(ISNA(VLOOKUP($A113&amp;$AB113,'Days Exceptions'!$C$3:$I$7,6,FALSE)),ROUND(CH113/MAX(CJ113,(CI113*Min_Occ)),2),ROUND(CH113/VLOOKUP($A113&amp;$AB113,'Days Exceptions'!$C$3:$I$7,6,FALSE),2))</f>
        <v>3.82</v>
      </c>
      <c r="CL113" s="143" t="e">
        <f t="shared" si="71"/>
        <v>#REF!</v>
      </c>
      <c r="CM113" s="143" t="e">
        <f t="shared" si="72"/>
        <v>#REF!</v>
      </c>
      <c r="CN113" s="143">
        <f t="shared" si="73"/>
        <v>156.94</v>
      </c>
      <c r="CO113" s="37" t="s">
        <v>85</v>
      </c>
      <c r="CP113" s="37" t="s">
        <v>39</v>
      </c>
      <c r="CQ113" s="37" t="s">
        <v>1585</v>
      </c>
    </row>
    <row r="114" spans="1:95" x14ac:dyDescent="0.15">
      <c r="A114" s="130">
        <v>194</v>
      </c>
      <c r="B114" s="37" t="s">
        <v>187</v>
      </c>
      <c r="C114" s="1" t="s">
        <v>148</v>
      </c>
      <c r="D114" s="1" t="s">
        <v>102</v>
      </c>
      <c r="E114" s="1" t="str">
        <f>VLOOKUP(D114,Documentation!$B$4:$D$27,3,FALSE)</f>
        <v>BALTIMORE METRO</v>
      </c>
      <c r="F114" s="1" t="str">
        <f>VLOOKUP(D114,Documentation!$B$4:$C$27,2,FALSE)</f>
        <v>BALTIMORE CITY</v>
      </c>
      <c r="G114" s="82">
        <f>VLOOKUP(A114,'2022 CR and CMI'!$A$3:$D$207,3,FALSE)</f>
        <v>44562</v>
      </c>
      <c r="H114" s="82">
        <f>VLOOKUP(A114,'2022 CR and CMI'!$A$3:$D$207,4,FALSE)</f>
        <v>44926</v>
      </c>
      <c r="I114" s="72">
        <f>VLOOKUP(A114,'2022 CR and CMI'!$A$2:$T$210,19,FALSE)</f>
        <v>1.4503999999999999</v>
      </c>
      <c r="J114" s="139">
        <f>Inflation!$G$24</f>
        <v>1.0309999999999999</v>
      </c>
      <c r="K114" s="192">
        <f>VLOOKUP(E114,Limits!$B$2:$D$5,3,FALSE)</f>
        <v>195.33</v>
      </c>
      <c r="L114" s="192">
        <f t="shared" si="74"/>
        <v>201.39</v>
      </c>
      <c r="M114" s="140">
        <f>VLOOKUP(A114,'CMI Data'!$A$4:$C$208,3,FALSE)</f>
        <v>1.3767</v>
      </c>
      <c r="N114" s="68">
        <f t="shared" si="58"/>
        <v>202.39</v>
      </c>
      <c r="O114" s="68">
        <f t="shared" si="75"/>
        <v>192.11</v>
      </c>
      <c r="P114" s="75">
        <f t="shared" si="76"/>
        <v>182.5</v>
      </c>
      <c r="Q114" s="75">
        <v>166.74</v>
      </c>
      <c r="R114" s="75">
        <f t="shared" si="77"/>
        <v>171.91</v>
      </c>
      <c r="S114" s="68">
        <f t="shared" si="78"/>
        <v>163.16999999999999</v>
      </c>
      <c r="T114" s="75">
        <f t="shared" si="79"/>
        <v>-19.329999999999998</v>
      </c>
      <c r="U114" s="68">
        <f t="shared" si="80"/>
        <v>172.78</v>
      </c>
      <c r="V114" s="68">
        <f>VLOOKUP($F114,Limits!$J$2:$L$5,3,FALSE)</f>
        <v>24.89</v>
      </c>
      <c r="W114" s="68">
        <f t="shared" si="81"/>
        <v>25.66</v>
      </c>
      <c r="X114" s="68">
        <f>VLOOKUP($F114,Limits!$R$2:$T$5,3,FALSE)</f>
        <v>114.15</v>
      </c>
      <c r="Y114" s="68">
        <f t="shared" si="82"/>
        <v>117.69</v>
      </c>
      <c r="Z114" s="75">
        <f>VLOOKUP(A114,FRV!$A$4:$U$208,21,FALSE)</f>
        <v>38.159999999999997</v>
      </c>
      <c r="AA114" s="141">
        <f>VLOOKUP(A114,'RE Tax'!$A$2:$G$206,3,FALSE)</f>
        <v>45292</v>
      </c>
      <c r="AB114" s="141">
        <f>VLOOKUP(A114,'RE Tax'!$A$2:$G$206,4,FALSE)</f>
        <v>45657</v>
      </c>
      <c r="AC114" s="4">
        <f>VLOOKUP(A114,'RE Tax'!$A$2:$G$206,7,FALSE)</f>
        <v>50882</v>
      </c>
      <c r="AD114" s="4">
        <f>VLOOKUP($A114,'RE Tax'!$A$2:$I$206,9,FALSE)</f>
        <v>54168</v>
      </c>
      <c r="AE114" s="4">
        <f>VLOOKUP($A114,'RE Tax'!$A$2:$I$206,8,FALSE)</f>
        <v>48213</v>
      </c>
      <c r="AF114" s="142">
        <f>IF(ISNA(VLOOKUP(A114&amp;AB114,'Days Exceptions'!$C$3:$I$7,6,FALSE)),ROUND(AC114/MAX(AE114,(AD114*Min_Occ)),2),ROUND(AC114/VLOOKUP(A114&amp;AB114,'Days Exceptions'!$C$3:$I$7,6,FALSE),2))</f>
        <v>1.06</v>
      </c>
      <c r="AG114" s="68">
        <v>0</v>
      </c>
      <c r="AH114" s="68">
        <f t="shared" si="83"/>
        <v>0</v>
      </c>
      <c r="AI114" s="4">
        <v>43212</v>
      </c>
      <c r="AJ114" s="4">
        <v>48221</v>
      </c>
      <c r="AK114" s="68">
        <f>IF(AI114=0,0,IF(ISNA(MATCH(A114,Documentation!$B$66:$B$71,0)),QA_Tax_reg,QA_Tax_5high))</f>
        <v>32.92</v>
      </c>
      <c r="AL114" s="75">
        <f t="shared" si="84"/>
        <v>29.5</v>
      </c>
      <c r="AM114" s="68">
        <f t="shared" si="85"/>
        <v>355.35</v>
      </c>
      <c r="AN114" s="68">
        <f t="shared" si="86"/>
        <v>268.95999999999998</v>
      </c>
      <c r="AO114" s="68">
        <f t="shared" si="87"/>
        <v>182.57</v>
      </c>
      <c r="AP114" s="37" t="s">
        <v>95</v>
      </c>
      <c r="AQ114" s="37" t="s">
        <v>187</v>
      </c>
      <c r="AR114" s="37" t="s">
        <v>1067</v>
      </c>
      <c r="AS114" s="66" t="e">
        <f>VLOOKUP(A114,'CMI Data'!$A$3:$J$209,10,FALSE)</f>
        <v>#DIV/0!</v>
      </c>
      <c r="AT114" s="68">
        <f t="shared" si="59"/>
        <v>196.3</v>
      </c>
      <c r="AU114" s="68" t="e">
        <f t="shared" si="60"/>
        <v>#DIV/0!</v>
      </c>
      <c r="AV114" s="75" t="e">
        <f t="shared" si="88"/>
        <v>#DIV/0!</v>
      </c>
      <c r="AW114" s="68" t="e">
        <f>IF($I114="NA","NA",ROUND(#REF!*$AS114/$I114,2))</f>
        <v>#REF!</v>
      </c>
      <c r="AX114" s="75" t="e">
        <f t="shared" si="57"/>
        <v>#REF!</v>
      </c>
      <c r="AY114" s="68" t="e">
        <f t="shared" si="89"/>
        <v>#REF!</v>
      </c>
      <c r="AZ114" s="4">
        <f t="shared" si="90"/>
        <v>50882</v>
      </c>
      <c r="BA114" s="4">
        <f t="shared" si="91"/>
        <v>54168</v>
      </c>
      <c r="BB114" s="4">
        <f t="shared" si="92"/>
        <v>48213</v>
      </c>
      <c r="BC114" s="142">
        <f>IF(ISNA(VLOOKUP($A114&amp;$AB114,'Days Exceptions'!$C$3:$I$7,6,FALSE)),ROUND(AZ114/MAX(BB114,(BA114*Min_Occ)),2),ROUND(AZ114/VLOOKUP($A114&amp;$AB114,'Days Exceptions'!$C$3:$I$7,6,FALSE),2))</f>
        <v>1.06</v>
      </c>
      <c r="BD114" s="143" t="e">
        <f t="shared" si="61"/>
        <v>#REF!</v>
      </c>
      <c r="BE114" s="143" t="e">
        <f t="shared" si="62"/>
        <v>#REF!</v>
      </c>
      <c r="BF114" s="143">
        <f t="shared" si="63"/>
        <v>178.26</v>
      </c>
      <c r="BG114" s="37" t="s">
        <v>95</v>
      </c>
      <c r="BH114" s="37" t="s">
        <v>187</v>
      </c>
      <c r="BI114" s="37" t="s">
        <v>1271</v>
      </c>
      <c r="BJ114" s="66" t="e">
        <f>VLOOKUP(A114,'CMI Data'!$A$3:$AZ$209,15,FALSE)</f>
        <v>#DIV/0!</v>
      </c>
      <c r="BK114" s="68">
        <f t="shared" si="64"/>
        <v>196.3</v>
      </c>
      <c r="BL114" s="68" t="e">
        <f t="shared" si="65"/>
        <v>#DIV/0!</v>
      </c>
      <c r="BM114" s="75" t="e">
        <f t="shared" si="93"/>
        <v>#DIV/0!</v>
      </c>
      <c r="BN114" s="68" t="e">
        <f>IF($I114="NA","NA",ROUND(#REF!*$BJ114/$I114,2))</f>
        <v>#REF!</v>
      </c>
      <c r="BO114" s="75" t="e">
        <f t="shared" si="94"/>
        <v>#REF!</v>
      </c>
      <c r="BP114" s="68" t="e">
        <f t="shared" si="95"/>
        <v>#REF!</v>
      </c>
      <c r="BQ114" s="4">
        <f t="shared" si="96"/>
        <v>50882</v>
      </c>
      <c r="BR114" s="4">
        <f t="shared" si="97"/>
        <v>54168</v>
      </c>
      <c r="BS114" s="4">
        <f t="shared" si="98"/>
        <v>48213</v>
      </c>
      <c r="BT114" s="142">
        <f>IF(ISNA(VLOOKUP($A114&amp;$AB114,'Days Exceptions'!$C$3:$I$7,6,FALSE)),ROUND(BQ114/MAX(BS114,(BR114*Min_Occ)),2),ROUND(BQ114/VLOOKUP($A114&amp;$AB114,'Days Exceptions'!$C$3:$I$7,6,FALSE),2))</f>
        <v>1.06</v>
      </c>
      <c r="BU114" s="143" t="e">
        <f t="shared" si="66"/>
        <v>#REF!</v>
      </c>
      <c r="BV114" s="143" t="e">
        <f t="shared" si="67"/>
        <v>#REF!</v>
      </c>
      <c r="BW114" s="143">
        <f t="shared" si="68"/>
        <v>178.26</v>
      </c>
      <c r="BX114" s="37" t="s">
        <v>95</v>
      </c>
      <c r="BY114" s="37" t="s">
        <v>187</v>
      </c>
      <c r="BZ114" s="37" t="s">
        <v>1586</v>
      </c>
      <c r="CA114" s="66" t="e">
        <f>VLOOKUP(A114,'CMI Data'!$A$3:$AZ$209,20,FALSE)</f>
        <v>#DIV/0!</v>
      </c>
      <c r="CB114" s="68">
        <f t="shared" si="69"/>
        <v>196.3</v>
      </c>
      <c r="CC114" s="68" t="e">
        <f t="shared" si="70"/>
        <v>#DIV/0!</v>
      </c>
      <c r="CD114" s="75" t="e">
        <f t="shared" si="99"/>
        <v>#DIV/0!</v>
      </c>
      <c r="CE114" s="68" t="e">
        <f>IF($I114="NA","NA",ROUND(#REF!*$CA114/$I114,2))</f>
        <v>#REF!</v>
      </c>
      <c r="CF114" s="75" t="e">
        <f t="shared" si="100"/>
        <v>#REF!</v>
      </c>
      <c r="CG114" s="68" t="e">
        <f t="shared" si="101"/>
        <v>#REF!</v>
      </c>
      <c r="CH114" s="4">
        <f t="shared" si="102"/>
        <v>50882</v>
      </c>
      <c r="CI114" s="4">
        <f t="shared" si="103"/>
        <v>54168</v>
      </c>
      <c r="CJ114" s="4">
        <f t="shared" si="104"/>
        <v>48213</v>
      </c>
      <c r="CK114" s="142">
        <f>IF(ISNA(VLOOKUP($A114&amp;$AB114,'Days Exceptions'!$C$3:$I$7,6,FALSE)),ROUND(CH114/MAX(CJ114,(CI114*Min_Occ)),2),ROUND(CH114/VLOOKUP($A114&amp;$AB114,'Days Exceptions'!$C$3:$I$7,6,FALSE),2))</f>
        <v>1.06</v>
      </c>
      <c r="CL114" s="143" t="e">
        <f t="shared" si="71"/>
        <v>#REF!</v>
      </c>
      <c r="CM114" s="143" t="e">
        <f t="shared" si="72"/>
        <v>#REF!</v>
      </c>
      <c r="CN114" s="143">
        <f t="shared" si="73"/>
        <v>178.26</v>
      </c>
      <c r="CO114" s="37" t="s">
        <v>95</v>
      </c>
      <c r="CP114" s="37" t="s">
        <v>187</v>
      </c>
      <c r="CQ114" s="37" t="s">
        <v>1587</v>
      </c>
    </row>
    <row r="115" spans="1:95" x14ac:dyDescent="0.15">
      <c r="A115" s="130">
        <v>208</v>
      </c>
      <c r="B115" s="37" t="s">
        <v>367</v>
      </c>
      <c r="C115" s="1" t="s">
        <v>148</v>
      </c>
      <c r="D115" s="1" t="s">
        <v>102</v>
      </c>
      <c r="E115" s="1" t="str">
        <f>VLOOKUP(D115,Documentation!$B$4:$D$27,3,FALSE)</f>
        <v>BALTIMORE METRO</v>
      </c>
      <c r="F115" s="1" t="str">
        <f>VLOOKUP(D115,Documentation!$B$4:$C$27,2,FALSE)</f>
        <v>BALTIMORE CITY</v>
      </c>
      <c r="G115" s="82">
        <f>VLOOKUP(A115,'2022 CR and CMI'!$A$3:$D$207,3,FALSE)</f>
        <v>44562</v>
      </c>
      <c r="H115" s="82">
        <f>VLOOKUP(A115,'2022 CR and CMI'!$A$3:$D$207,4,FALSE)</f>
        <v>44926</v>
      </c>
      <c r="I115" s="72">
        <f>VLOOKUP(A115,'2022 CR and CMI'!$A$2:$T$210,19,FALSE)</f>
        <v>1.3886000000000001</v>
      </c>
      <c r="J115" s="139">
        <f>Inflation!$G$24</f>
        <v>1.0309999999999999</v>
      </c>
      <c r="K115" s="192">
        <f>VLOOKUP(E115,Limits!$B$2:$D$5,3,FALSE)</f>
        <v>195.33</v>
      </c>
      <c r="L115" s="192">
        <f t="shared" si="74"/>
        <v>201.39</v>
      </c>
      <c r="M115" s="140">
        <f>VLOOKUP(A115,'CMI Data'!$A$4:$C$208,3,FALSE)</f>
        <v>1.3906000000000001</v>
      </c>
      <c r="N115" s="68">
        <f t="shared" si="58"/>
        <v>193.77</v>
      </c>
      <c r="O115" s="68">
        <f t="shared" si="75"/>
        <v>194.05</v>
      </c>
      <c r="P115" s="75">
        <f t="shared" si="76"/>
        <v>184.35</v>
      </c>
      <c r="Q115" s="75">
        <v>192.38</v>
      </c>
      <c r="R115" s="75">
        <f t="shared" si="77"/>
        <v>198.34</v>
      </c>
      <c r="S115" s="68">
        <f t="shared" si="78"/>
        <v>198.63</v>
      </c>
      <c r="T115" s="75">
        <f t="shared" si="79"/>
        <v>0</v>
      </c>
      <c r="U115" s="68">
        <f t="shared" si="80"/>
        <v>194.05</v>
      </c>
      <c r="V115" s="68">
        <f>VLOOKUP($F115,Limits!$J$2:$L$5,3,FALSE)</f>
        <v>24.89</v>
      </c>
      <c r="W115" s="68">
        <f t="shared" si="81"/>
        <v>25.66</v>
      </c>
      <c r="X115" s="68">
        <f>VLOOKUP($F115,Limits!$R$2:$T$5,3,FALSE)</f>
        <v>114.15</v>
      </c>
      <c r="Y115" s="68">
        <f t="shared" si="82"/>
        <v>117.69</v>
      </c>
      <c r="Z115" s="75">
        <f>VLOOKUP(A115,FRV!$A$4:$U$208,21,FALSE)</f>
        <v>40.56</v>
      </c>
      <c r="AA115" s="141">
        <f>VLOOKUP(A115,'RE Tax'!$A$2:$G$206,3,FALSE)</f>
        <v>45292</v>
      </c>
      <c r="AB115" s="141">
        <f>VLOOKUP(A115,'RE Tax'!$A$2:$G$206,4,FALSE)</f>
        <v>45657</v>
      </c>
      <c r="AC115" s="4">
        <f>VLOOKUP(A115,'RE Tax'!$A$2:$G$206,7,FALSE)</f>
        <v>222666</v>
      </c>
      <c r="AD115" s="4">
        <f>VLOOKUP($A115,'RE Tax'!$A$2:$I$206,9,FALSE)</f>
        <v>53436</v>
      </c>
      <c r="AE115" s="4">
        <f>VLOOKUP($A115,'RE Tax'!$A$2:$I$206,8,FALSE)</f>
        <v>49356</v>
      </c>
      <c r="AF115" s="142">
        <f>IF(ISNA(VLOOKUP(A115&amp;AB115,'Days Exceptions'!$C$3:$I$7,6,FALSE)),ROUND(AC115/MAX(AE115,(AD115*Min_Occ)),2),ROUND(AC115/VLOOKUP(A115&amp;AB115,'Days Exceptions'!$C$3:$I$7,6,FALSE),2))</f>
        <v>4.51</v>
      </c>
      <c r="AG115" s="68">
        <v>0</v>
      </c>
      <c r="AH115" s="68">
        <f t="shared" si="83"/>
        <v>0</v>
      </c>
      <c r="AI115" s="4">
        <v>36721</v>
      </c>
      <c r="AJ115" s="4">
        <v>49343</v>
      </c>
      <c r="AK115" s="68">
        <f>IF(AI115=0,0,IF(ISNA(MATCH(A115,Documentation!$B$66:$B$71,0)),QA_Tax_reg,QA_Tax_5high))</f>
        <v>32.92</v>
      </c>
      <c r="AL115" s="75">
        <f t="shared" si="84"/>
        <v>24.5</v>
      </c>
      <c r="AM115" s="68">
        <f t="shared" si="85"/>
        <v>382.47</v>
      </c>
      <c r="AN115" s="68">
        <f t="shared" si="86"/>
        <v>285.45</v>
      </c>
      <c r="AO115" s="68">
        <f t="shared" si="87"/>
        <v>188.42</v>
      </c>
      <c r="AP115" s="37" t="s">
        <v>366</v>
      </c>
      <c r="AQ115" s="37" t="s">
        <v>367</v>
      </c>
      <c r="AR115" s="37" t="s">
        <v>1068</v>
      </c>
      <c r="AS115" s="66" t="e">
        <f>VLOOKUP(A115,'CMI Data'!$A$3:$J$209,10,FALSE)</f>
        <v>#DIV/0!</v>
      </c>
      <c r="AT115" s="68">
        <f t="shared" si="59"/>
        <v>187.94</v>
      </c>
      <c r="AU115" s="68" t="e">
        <f t="shared" si="60"/>
        <v>#DIV/0!</v>
      </c>
      <c r="AV115" s="75" t="e">
        <f t="shared" si="88"/>
        <v>#DIV/0!</v>
      </c>
      <c r="AW115" s="68" t="e">
        <f>IF($I115="NA","NA",ROUND(#REF!*$AS115/$I115,2))</f>
        <v>#REF!</v>
      </c>
      <c r="AX115" s="75" t="e">
        <f t="shared" si="57"/>
        <v>#REF!</v>
      </c>
      <c r="AY115" s="68" t="e">
        <f t="shared" si="89"/>
        <v>#REF!</v>
      </c>
      <c r="AZ115" s="4">
        <f t="shared" si="90"/>
        <v>222666</v>
      </c>
      <c r="BA115" s="4">
        <f t="shared" si="91"/>
        <v>53436</v>
      </c>
      <c r="BB115" s="4">
        <f t="shared" si="92"/>
        <v>49356</v>
      </c>
      <c r="BC115" s="142">
        <f>IF(ISNA(VLOOKUP($A115&amp;$AB115,'Days Exceptions'!$C$3:$I$7,6,FALSE)),ROUND(AZ115/MAX(BB115,(BA115*Min_Occ)),2),ROUND(AZ115/VLOOKUP($A115&amp;$AB115,'Days Exceptions'!$C$3:$I$7,6,FALSE),2))</f>
        <v>4.51</v>
      </c>
      <c r="BD115" s="143" t="e">
        <f t="shared" si="61"/>
        <v>#REF!</v>
      </c>
      <c r="BE115" s="143" t="e">
        <f t="shared" si="62"/>
        <v>#REF!</v>
      </c>
      <c r="BF115" s="143">
        <f t="shared" si="63"/>
        <v>184.11</v>
      </c>
      <c r="BG115" s="37" t="s">
        <v>366</v>
      </c>
      <c r="BH115" s="37" t="s">
        <v>367</v>
      </c>
      <c r="BI115" s="37" t="s">
        <v>1272</v>
      </c>
      <c r="BJ115" s="66" t="e">
        <f>VLOOKUP(A115,'CMI Data'!$A$3:$AZ$209,15,FALSE)</f>
        <v>#DIV/0!</v>
      </c>
      <c r="BK115" s="68">
        <f t="shared" si="64"/>
        <v>187.94</v>
      </c>
      <c r="BL115" s="68" t="e">
        <f t="shared" si="65"/>
        <v>#DIV/0!</v>
      </c>
      <c r="BM115" s="75" t="e">
        <f t="shared" si="93"/>
        <v>#DIV/0!</v>
      </c>
      <c r="BN115" s="68" t="e">
        <f>IF($I115="NA","NA",ROUND(#REF!*$BJ115/$I115,2))</f>
        <v>#REF!</v>
      </c>
      <c r="BO115" s="75" t="e">
        <f t="shared" si="94"/>
        <v>#REF!</v>
      </c>
      <c r="BP115" s="68" t="e">
        <f t="shared" si="95"/>
        <v>#REF!</v>
      </c>
      <c r="BQ115" s="4">
        <f t="shared" si="96"/>
        <v>222666</v>
      </c>
      <c r="BR115" s="4">
        <f t="shared" si="97"/>
        <v>53436</v>
      </c>
      <c r="BS115" s="4">
        <f t="shared" si="98"/>
        <v>49356</v>
      </c>
      <c r="BT115" s="142">
        <f>IF(ISNA(VLOOKUP($A115&amp;$AB115,'Days Exceptions'!$C$3:$I$7,6,FALSE)),ROUND(BQ115/MAX(BS115,(BR115*Min_Occ)),2),ROUND(BQ115/VLOOKUP($A115&amp;$AB115,'Days Exceptions'!$C$3:$I$7,6,FALSE),2))</f>
        <v>4.51</v>
      </c>
      <c r="BU115" s="143" t="e">
        <f t="shared" si="66"/>
        <v>#REF!</v>
      </c>
      <c r="BV115" s="143" t="e">
        <f t="shared" si="67"/>
        <v>#REF!</v>
      </c>
      <c r="BW115" s="143">
        <f t="shared" si="68"/>
        <v>184.11</v>
      </c>
      <c r="BX115" s="37" t="s">
        <v>366</v>
      </c>
      <c r="BY115" s="37" t="s">
        <v>367</v>
      </c>
      <c r="BZ115" s="37" t="s">
        <v>1588</v>
      </c>
      <c r="CA115" s="66" t="e">
        <f>VLOOKUP(A115,'CMI Data'!$A$3:$AZ$209,20,FALSE)</f>
        <v>#DIV/0!</v>
      </c>
      <c r="CB115" s="68">
        <f t="shared" si="69"/>
        <v>187.94</v>
      </c>
      <c r="CC115" s="68" t="e">
        <f t="shared" si="70"/>
        <v>#DIV/0!</v>
      </c>
      <c r="CD115" s="75" t="e">
        <f t="shared" si="99"/>
        <v>#DIV/0!</v>
      </c>
      <c r="CE115" s="68" t="e">
        <f>IF($I115="NA","NA",ROUND(#REF!*$CA115/$I115,2))</f>
        <v>#REF!</v>
      </c>
      <c r="CF115" s="75" t="e">
        <f t="shared" si="100"/>
        <v>#REF!</v>
      </c>
      <c r="CG115" s="68" t="e">
        <f t="shared" si="101"/>
        <v>#REF!</v>
      </c>
      <c r="CH115" s="4">
        <f t="shared" si="102"/>
        <v>222666</v>
      </c>
      <c r="CI115" s="4">
        <f t="shared" si="103"/>
        <v>53436</v>
      </c>
      <c r="CJ115" s="4">
        <f t="shared" si="104"/>
        <v>49356</v>
      </c>
      <c r="CK115" s="142">
        <f>IF(ISNA(VLOOKUP($A115&amp;$AB115,'Days Exceptions'!$C$3:$I$7,6,FALSE)),ROUND(CH115/MAX(CJ115,(CI115*Min_Occ)),2),ROUND(CH115/VLOOKUP($A115&amp;$AB115,'Days Exceptions'!$C$3:$I$7,6,FALSE),2))</f>
        <v>4.51</v>
      </c>
      <c r="CL115" s="143" t="e">
        <f t="shared" si="71"/>
        <v>#REF!</v>
      </c>
      <c r="CM115" s="143" t="e">
        <f t="shared" si="72"/>
        <v>#REF!</v>
      </c>
      <c r="CN115" s="143">
        <f t="shared" si="73"/>
        <v>184.11</v>
      </c>
      <c r="CO115" s="37" t="s">
        <v>366</v>
      </c>
      <c r="CP115" s="37" t="s">
        <v>367</v>
      </c>
      <c r="CQ115" s="37" t="s">
        <v>1589</v>
      </c>
    </row>
    <row r="116" spans="1:95" x14ac:dyDescent="0.15">
      <c r="A116" s="130">
        <v>204</v>
      </c>
      <c r="B116" s="37" t="s">
        <v>181</v>
      </c>
      <c r="C116" s="1" t="s">
        <v>148</v>
      </c>
      <c r="D116" s="1" t="s">
        <v>107</v>
      </c>
      <c r="E116" s="1" t="str">
        <f>VLOOKUP(D116,Documentation!$B$4:$D$27,3,FALSE)</f>
        <v>BALTIMORE METRO</v>
      </c>
      <c r="F116" s="1" t="str">
        <f>VLOOKUP(D116,Documentation!$B$4:$C$27,2,FALSE)</f>
        <v>BALTIMORE METRO</v>
      </c>
      <c r="G116" s="82">
        <f>VLOOKUP(A116,'2022 CR and CMI'!$A$3:$D$207,3,FALSE)</f>
        <v>44562</v>
      </c>
      <c r="H116" s="82">
        <f>VLOOKUP(A116,'2022 CR and CMI'!$A$3:$D$207,4,FALSE)</f>
        <v>44926</v>
      </c>
      <c r="I116" s="72">
        <f>VLOOKUP(A116,'2022 CR and CMI'!$A$2:$T$210,19,FALSE)</f>
        <v>1.4488000000000001</v>
      </c>
      <c r="J116" s="139">
        <f>Inflation!$G$24</f>
        <v>1.0309999999999999</v>
      </c>
      <c r="K116" s="192">
        <f>VLOOKUP(E116,Limits!$B$2:$D$5,3,FALSE)</f>
        <v>195.33</v>
      </c>
      <c r="L116" s="192">
        <f t="shared" si="74"/>
        <v>201.39</v>
      </c>
      <c r="M116" s="140">
        <f>VLOOKUP(A116,'CMI Data'!$A$4:$C$208,3,FALSE)</f>
        <v>1.1362000000000001</v>
      </c>
      <c r="N116" s="68">
        <f t="shared" si="58"/>
        <v>202.17</v>
      </c>
      <c r="O116" s="68">
        <f t="shared" si="75"/>
        <v>158.55000000000001</v>
      </c>
      <c r="P116" s="75">
        <f t="shared" si="76"/>
        <v>150.62</v>
      </c>
      <c r="Q116" s="75">
        <v>262.05</v>
      </c>
      <c r="R116" s="75">
        <f t="shared" si="77"/>
        <v>270.17</v>
      </c>
      <c r="S116" s="68">
        <f t="shared" si="78"/>
        <v>211.88</v>
      </c>
      <c r="T116" s="75">
        <f t="shared" si="79"/>
        <v>0</v>
      </c>
      <c r="U116" s="68">
        <f t="shared" si="80"/>
        <v>158.55000000000001</v>
      </c>
      <c r="V116" s="68">
        <f>VLOOKUP($F116,Limits!$J$2:$L$5,3,FALSE)</f>
        <v>20.85</v>
      </c>
      <c r="W116" s="68">
        <f t="shared" si="81"/>
        <v>21.5</v>
      </c>
      <c r="X116" s="68">
        <f>VLOOKUP($F116,Limits!$R$2:$T$5,3,FALSE)</f>
        <v>102.02</v>
      </c>
      <c r="Y116" s="68">
        <f t="shared" si="82"/>
        <v>105.18</v>
      </c>
      <c r="Z116" s="75">
        <f>VLOOKUP(A116,FRV!$A$4:$U$208,21,FALSE)</f>
        <v>44.29</v>
      </c>
      <c r="AA116" s="141">
        <f>VLOOKUP(A116,'RE Tax'!$A$2:$G$206,3,FALSE)</f>
        <v>45292</v>
      </c>
      <c r="AB116" s="141">
        <f>VLOOKUP(A116,'RE Tax'!$A$2:$G$206,4,FALSE)</f>
        <v>45657</v>
      </c>
      <c r="AC116" s="4">
        <f>VLOOKUP(A116,'RE Tax'!$A$2:$G$206,7,FALSE)</f>
        <v>0</v>
      </c>
      <c r="AD116" s="4">
        <f>VLOOKUP($A116,'RE Tax'!$A$2:$I$206,9,FALSE)</f>
        <v>11346</v>
      </c>
      <c r="AE116" s="4">
        <f>VLOOKUP($A116,'RE Tax'!$A$2:$I$206,8,FALSE)</f>
        <v>9344</v>
      </c>
      <c r="AF116" s="142">
        <f>IF(ISNA(VLOOKUP(A116&amp;AB116,'Days Exceptions'!$C$3:$I$7,6,FALSE)),ROUND(AC116/MAX(AE116,(AD116*Min_Occ)),2),ROUND(AC116/VLOOKUP(A116&amp;AB116,'Days Exceptions'!$C$3:$I$7,6,FALSE),2))</f>
        <v>0</v>
      </c>
      <c r="AG116" s="68">
        <v>0</v>
      </c>
      <c r="AH116" s="68">
        <f t="shared" si="83"/>
        <v>0</v>
      </c>
      <c r="AI116" s="4">
        <v>0</v>
      </c>
      <c r="AJ116" s="4">
        <v>0</v>
      </c>
      <c r="AK116" s="68">
        <f>IF(AI116=0,0,IF(ISNA(MATCH(A116,Documentation!$B$66:$B$71,0)),QA_Tax_reg,QA_Tax_5high))</f>
        <v>0</v>
      </c>
      <c r="AL116" s="75">
        <f t="shared" si="84"/>
        <v>0</v>
      </c>
      <c r="AM116" s="68">
        <f t="shared" si="85"/>
        <v>329.52</v>
      </c>
      <c r="AN116" s="68">
        <f t="shared" si="86"/>
        <v>250.25</v>
      </c>
      <c r="AO116" s="68">
        <f t="shared" si="87"/>
        <v>170.97</v>
      </c>
      <c r="AP116" s="37" t="s">
        <v>74</v>
      </c>
      <c r="AQ116" s="37" t="s">
        <v>181</v>
      </c>
      <c r="AR116" s="37" t="s">
        <v>1069</v>
      </c>
      <c r="AS116" s="66" t="e">
        <f>VLOOKUP(A116,'CMI Data'!$A$3:$J$209,10,FALSE)</f>
        <v>#DIV/0!</v>
      </c>
      <c r="AT116" s="68">
        <f t="shared" si="59"/>
        <v>196.09</v>
      </c>
      <c r="AU116" s="68" t="e">
        <f t="shared" si="60"/>
        <v>#DIV/0!</v>
      </c>
      <c r="AV116" s="75" t="e">
        <f t="shared" si="88"/>
        <v>#DIV/0!</v>
      </c>
      <c r="AW116" s="68" t="e">
        <f>IF($I116="NA","NA",ROUND(#REF!*$AS116/$I116,2))</f>
        <v>#REF!</v>
      </c>
      <c r="AX116" s="75" t="e">
        <f t="shared" si="57"/>
        <v>#REF!</v>
      </c>
      <c r="AY116" s="68" t="e">
        <f t="shared" si="89"/>
        <v>#REF!</v>
      </c>
      <c r="AZ116" s="4">
        <f t="shared" si="90"/>
        <v>0</v>
      </c>
      <c r="BA116" s="4">
        <f t="shared" si="91"/>
        <v>11346</v>
      </c>
      <c r="BB116" s="4">
        <f t="shared" si="92"/>
        <v>9344</v>
      </c>
      <c r="BC116" s="142">
        <f>IF(ISNA(VLOOKUP($A116&amp;$AB116,'Days Exceptions'!$C$3:$I$7,6,FALSE)),ROUND(AZ116/MAX(BB116,(BA116*Min_Occ)),2),ROUND(AZ116/VLOOKUP($A116&amp;$AB116,'Days Exceptions'!$C$3:$I$7,6,FALSE),2))</f>
        <v>0</v>
      </c>
      <c r="BD116" s="143" t="e">
        <f t="shared" si="61"/>
        <v>#REF!</v>
      </c>
      <c r="BE116" s="143" t="e">
        <f t="shared" si="62"/>
        <v>#REF!</v>
      </c>
      <c r="BF116" s="143">
        <f t="shared" si="63"/>
        <v>167.16</v>
      </c>
      <c r="BG116" s="37" t="s">
        <v>74</v>
      </c>
      <c r="BH116" s="37" t="s">
        <v>181</v>
      </c>
      <c r="BI116" s="37" t="s">
        <v>1273</v>
      </c>
      <c r="BJ116" s="66" t="e">
        <f>VLOOKUP(A116,'CMI Data'!$A$3:$AZ$209,15,FALSE)</f>
        <v>#DIV/0!</v>
      </c>
      <c r="BK116" s="68">
        <f t="shared" si="64"/>
        <v>196.09</v>
      </c>
      <c r="BL116" s="68" t="e">
        <f t="shared" si="65"/>
        <v>#DIV/0!</v>
      </c>
      <c r="BM116" s="75" t="e">
        <f t="shared" si="93"/>
        <v>#DIV/0!</v>
      </c>
      <c r="BN116" s="68" t="e">
        <f>IF($I116="NA","NA",ROUND(#REF!*$BJ116/$I116,2))</f>
        <v>#REF!</v>
      </c>
      <c r="BO116" s="75" t="e">
        <f t="shared" si="94"/>
        <v>#REF!</v>
      </c>
      <c r="BP116" s="68" t="e">
        <f t="shared" si="95"/>
        <v>#REF!</v>
      </c>
      <c r="BQ116" s="4">
        <f t="shared" si="96"/>
        <v>0</v>
      </c>
      <c r="BR116" s="4">
        <f t="shared" si="97"/>
        <v>11346</v>
      </c>
      <c r="BS116" s="4">
        <f t="shared" si="98"/>
        <v>9344</v>
      </c>
      <c r="BT116" s="142">
        <f>IF(ISNA(VLOOKUP($A116&amp;$AB116,'Days Exceptions'!$C$3:$I$7,6,FALSE)),ROUND(BQ116/MAX(BS116,(BR116*Min_Occ)),2),ROUND(BQ116/VLOOKUP($A116&amp;$AB116,'Days Exceptions'!$C$3:$I$7,6,FALSE),2))</f>
        <v>0</v>
      </c>
      <c r="BU116" s="143" t="e">
        <f t="shared" si="66"/>
        <v>#REF!</v>
      </c>
      <c r="BV116" s="143" t="e">
        <f t="shared" si="67"/>
        <v>#REF!</v>
      </c>
      <c r="BW116" s="143">
        <f t="shared" si="68"/>
        <v>167.16</v>
      </c>
      <c r="BX116" s="37" t="s">
        <v>74</v>
      </c>
      <c r="BY116" s="37" t="s">
        <v>181</v>
      </c>
      <c r="BZ116" s="37" t="s">
        <v>1590</v>
      </c>
      <c r="CA116" s="66" t="e">
        <f>VLOOKUP(A116,'CMI Data'!$A$3:$AZ$209,20,FALSE)</f>
        <v>#DIV/0!</v>
      </c>
      <c r="CB116" s="68">
        <f t="shared" si="69"/>
        <v>196.09</v>
      </c>
      <c r="CC116" s="68" t="e">
        <f t="shared" si="70"/>
        <v>#DIV/0!</v>
      </c>
      <c r="CD116" s="75" t="e">
        <f t="shared" si="99"/>
        <v>#DIV/0!</v>
      </c>
      <c r="CE116" s="68" t="e">
        <f>IF($I116="NA","NA",ROUND(#REF!*$CA116/$I116,2))</f>
        <v>#REF!</v>
      </c>
      <c r="CF116" s="75" t="e">
        <f t="shared" si="100"/>
        <v>#REF!</v>
      </c>
      <c r="CG116" s="68" t="e">
        <f t="shared" si="101"/>
        <v>#REF!</v>
      </c>
      <c r="CH116" s="4">
        <f t="shared" si="102"/>
        <v>0</v>
      </c>
      <c r="CI116" s="4">
        <f t="shared" si="103"/>
        <v>11346</v>
      </c>
      <c r="CJ116" s="4">
        <f t="shared" si="104"/>
        <v>9344</v>
      </c>
      <c r="CK116" s="142">
        <f>IF(ISNA(VLOOKUP($A116&amp;$AB116,'Days Exceptions'!$C$3:$I$7,6,FALSE)),ROUND(CH116/MAX(CJ116,(CI116*Min_Occ)),2),ROUND(CH116/VLOOKUP($A116&amp;$AB116,'Days Exceptions'!$C$3:$I$7,6,FALSE),2))</f>
        <v>0</v>
      </c>
      <c r="CL116" s="143" t="e">
        <f t="shared" si="71"/>
        <v>#REF!</v>
      </c>
      <c r="CM116" s="143" t="e">
        <f t="shared" si="72"/>
        <v>#REF!</v>
      </c>
      <c r="CN116" s="143">
        <f t="shared" si="73"/>
        <v>167.16</v>
      </c>
      <c r="CO116" s="37" t="s">
        <v>74</v>
      </c>
      <c r="CP116" s="37" t="s">
        <v>181</v>
      </c>
      <c r="CQ116" s="37" t="s">
        <v>1591</v>
      </c>
    </row>
    <row r="117" spans="1:95" x14ac:dyDescent="0.15">
      <c r="A117" s="130">
        <v>210</v>
      </c>
      <c r="B117" s="37" t="s">
        <v>173</v>
      </c>
      <c r="C117" s="1" t="s">
        <v>148</v>
      </c>
      <c r="D117" s="1" t="s">
        <v>115</v>
      </c>
      <c r="E117" s="1" t="str">
        <f>VLOOKUP(D117,Documentation!$B$4:$D$27,3,FALSE)</f>
        <v>WESTERN REGION</v>
      </c>
      <c r="F117" s="1" t="str">
        <f>VLOOKUP(D117,Documentation!$B$4:$C$27,2,FALSE)</f>
        <v>NON METRO</v>
      </c>
      <c r="G117" s="82">
        <f>VLOOKUP(A117,'2022 CR and CMI'!$A$3:$D$207,3,FALSE)</f>
        <v>44287</v>
      </c>
      <c r="H117" s="82">
        <f>VLOOKUP(A117,'2022 CR and CMI'!$A$3:$D$207,4,FALSE)</f>
        <v>44651</v>
      </c>
      <c r="I117" s="72">
        <f>VLOOKUP(A117,'2022 CR and CMI'!$A$2:$T$210,19,FALSE)</f>
        <v>1.2393000000000001</v>
      </c>
      <c r="J117" s="139">
        <f>Inflation!$G$24</f>
        <v>1.0309999999999999</v>
      </c>
      <c r="K117" s="192">
        <f>VLOOKUP(E117,Limits!$B$2:$D$5,3,FALSE)</f>
        <v>166.26</v>
      </c>
      <c r="L117" s="192">
        <f t="shared" si="74"/>
        <v>171.41</v>
      </c>
      <c r="M117" s="140">
        <f>VLOOKUP(A117,'CMI Data'!$A$4:$C$208,3,FALSE)</f>
        <v>1.2602</v>
      </c>
      <c r="N117" s="68">
        <f t="shared" si="58"/>
        <v>147.19</v>
      </c>
      <c r="O117" s="68">
        <f t="shared" si="75"/>
        <v>149.66999999999999</v>
      </c>
      <c r="P117" s="75">
        <f t="shared" si="76"/>
        <v>142.19</v>
      </c>
      <c r="Q117" s="75">
        <v>199.64</v>
      </c>
      <c r="R117" s="75">
        <f t="shared" si="77"/>
        <v>205.83</v>
      </c>
      <c r="S117" s="68">
        <f t="shared" si="78"/>
        <v>209.3</v>
      </c>
      <c r="T117" s="75">
        <f t="shared" si="79"/>
        <v>0</v>
      </c>
      <c r="U117" s="68">
        <f t="shared" si="80"/>
        <v>149.66999999999999</v>
      </c>
      <c r="V117" s="68">
        <f>VLOOKUP($F117,Limits!$J$2:$L$5,3,FALSE)</f>
        <v>20.239999999999998</v>
      </c>
      <c r="W117" s="68">
        <f t="shared" si="81"/>
        <v>20.87</v>
      </c>
      <c r="X117" s="68">
        <f>VLOOKUP($F117,Limits!$R$2:$T$5,3,FALSE)</f>
        <v>89.55</v>
      </c>
      <c r="Y117" s="68">
        <f t="shared" si="82"/>
        <v>92.33</v>
      </c>
      <c r="Z117" s="75">
        <f>VLOOKUP(A117,FRV!$A$4:$U$208,21,FALSE)</f>
        <v>38.28</v>
      </c>
      <c r="AA117" s="141">
        <f>VLOOKUP(A117,'RE Tax'!$A$2:$G$206,3,FALSE)</f>
        <v>45017</v>
      </c>
      <c r="AB117" s="141">
        <f>VLOOKUP(A117,'RE Tax'!$A$2:$G$206,4,FALSE)</f>
        <v>45382</v>
      </c>
      <c r="AC117" s="4">
        <f>VLOOKUP(A117,'RE Tax'!$A$2:$G$206,7,FALSE)</f>
        <v>0</v>
      </c>
      <c r="AD117" s="4">
        <f>VLOOKUP($A117,'RE Tax'!$A$2:$I$206,9,FALSE)</f>
        <v>39528</v>
      </c>
      <c r="AE117" s="4">
        <f>VLOOKUP($A117,'RE Tax'!$A$2:$I$206,8,FALSE)</f>
        <v>38260</v>
      </c>
      <c r="AF117" s="142">
        <f>IF(ISNA(VLOOKUP(A117&amp;AB117,'Days Exceptions'!$C$3:$I$7,6,FALSE)),ROUND(AC117/MAX(AE117,(AD117*Min_Occ)),2),ROUND(AC117/VLOOKUP(A117&amp;AB117,'Days Exceptions'!$C$3:$I$7,6,FALSE),2))</f>
        <v>0</v>
      </c>
      <c r="AG117" s="68">
        <v>0</v>
      </c>
      <c r="AH117" s="68">
        <f t="shared" si="83"/>
        <v>0</v>
      </c>
      <c r="AI117" s="4">
        <v>0</v>
      </c>
      <c r="AJ117" s="4">
        <v>0</v>
      </c>
      <c r="AK117" s="68">
        <f>IF(AI117=0,0,IF(ISNA(MATCH(A117,Documentation!$B$66:$B$71,0)),QA_Tax_reg,QA_Tax_5high))</f>
        <v>0</v>
      </c>
      <c r="AL117" s="75">
        <f t="shared" si="84"/>
        <v>0</v>
      </c>
      <c r="AM117" s="68">
        <f t="shared" si="85"/>
        <v>301.14999999999998</v>
      </c>
      <c r="AN117" s="68">
        <f t="shared" si="86"/>
        <v>226.32</v>
      </c>
      <c r="AO117" s="68">
        <f t="shared" si="87"/>
        <v>151.47999999999999</v>
      </c>
      <c r="AP117" s="37" t="s">
        <v>75</v>
      </c>
      <c r="AQ117" s="37" t="s">
        <v>173</v>
      </c>
      <c r="AR117" s="37" t="s">
        <v>1070</v>
      </c>
      <c r="AS117" s="66" t="e">
        <f>VLOOKUP(A117,'CMI Data'!$A$3:$J$209,10,FALSE)</f>
        <v>#DIV/0!</v>
      </c>
      <c r="AT117" s="68">
        <f t="shared" si="59"/>
        <v>142.77000000000001</v>
      </c>
      <c r="AU117" s="68" t="e">
        <f t="shared" si="60"/>
        <v>#DIV/0!</v>
      </c>
      <c r="AV117" s="75" t="e">
        <f t="shared" si="88"/>
        <v>#DIV/0!</v>
      </c>
      <c r="AW117" s="68" t="e">
        <f>IF($I117="NA","NA",ROUND(#REF!*$AS117/$I117,2))</f>
        <v>#REF!</v>
      </c>
      <c r="AX117" s="75" t="e">
        <f t="shared" si="57"/>
        <v>#REF!</v>
      </c>
      <c r="AY117" s="68" t="e">
        <f t="shared" si="89"/>
        <v>#REF!</v>
      </c>
      <c r="AZ117" s="4">
        <f t="shared" si="90"/>
        <v>0</v>
      </c>
      <c r="BA117" s="4">
        <f t="shared" si="91"/>
        <v>39528</v>
      </c>
      <c r="BB117" s="4">
        <f t="shared" si="92"/>
        <v>38260</v>
      </c>
      <c r="BC117" s="142">
        <f>IF(ISNA(VLOOKUP($A117&amp;$AB117,'Days Exceptions'!$C$3:$I$7,6,FALSE)),ROUND(AZ117/MAX(BB117,(BA117*Min_Occ)),2),ROUND(AZ117/VLOOKUP($A117&amp;$AB117,'Days Exceptions'!$C$3:$I$7,6,FALSE),2))</f>
        <v>0</v>
      </c>
      <c r="BD117" s="143" t="e">
        <f t="shared" si="61"/>
        <v>#REF!</v>
      </c>
      <c r="BE117" s="143" t="e">
        <f t="shared" si="62"/>
        <v>#REF!</v>
      </c>
      <c r="BF117" s="143">
        <f t="shared" si="63"/>
        <v>148.07</v>
      </c>
      <c r="BG117" s="37" t="s">
        <v>75</v>
      </c>
      <c r="BH117" s="37" t="s">
        <v>173</v>
      </c>
      <c r="BI117" s="37" t="s">
        <v>1274</v>
      </c>
      <c r="BJ117" s="66" t="e">
        <f>VLOOKUP(A117,'CMI Data'!$A$3:$AZ$209,15,FALSE)</f>
        <v>#DIV/0!</v>
      </c>
      <c r="BK117" s="68">
        <f t="shared" si="64"/>
        <v>142.77000000000001</v>
      </c>
      <c r="BL117" s="68" t="e">
        <f t="shared" si="65"/>
        <v>#DIV/0!</v>
      </c>
      <c r="BM117" s="75" t="e">
        <f t="shared" si="93"/>
        <v>#DIV/0!</v>
      </c>
      <c r="BN117" s="68" t="e">
        <f>IF($I117="NA","NA",ROUND(#REF!*$BJ117/$I117,2))</f>
        <v>#REF!</v>
      </c>
      <c r="BO117" s="75" t="e">
        <f t="shared" si="94"/>
        <v>#REF!</v>
      </c>
      <c r="BP117" s="68" t="e">
        <f t="shared" si="95"/>
        <v>#REF!</v>
      </c>
      <c r="BQ117" s="4">
        <f t="shared" si="96"/>
        <v>0</v>
      </c>
      <c r="BR117" s="4">
        <f t="shared" si="97"/>
        <v>39528</v>
      </c>
      <c r="BS117" s="4">
        <f t="shared" si="98"/>
        <v>38260</v>
      </c>
      <c r="BT117" s="142">
        <f>IF(ISNA(VLOOKUP($A117&amp;$AB117,'Days Exceptions'!$C$3:$I$7,6,FALSE)),ROUND(BQ117/MAX(BS117,(BR117*Min_Occ)),2),ROUND(BQ117/VLOOKUP($A117&amp;$AB117,'Days Exceptions'!$C$3:$I$7,6,FALSE),2))</f>
        <v>0</v>
      </c>
      <c r="BU117" s="143" t="e">
        <f t="shared" si="66"/>
        <v>#REF!</v>
      </c>
      <c r="BV117" s="143" t="e">
        <f t="shared" si="67"/>
        <v>#REF!</v>
      </c>
      <c r="BW117" s="143">
        <f t="shared" si="68"/>
        <v>148.07</v>
      </c>
      <c r="BX117" s="37" t="s">
        <v>75</v>
      </c>
      <c r="BY117" s="37" t="s">
        <v>173</v>
      </c>
      <c r="BZ117" s="37" t="s">
        <v>1592</v>
      </c>
      <c r="CA117" s="66" t="e">
        <f>VLOOKUP(A117,'CMI Data'!$A$3:$AZ$209,20,FALSE)</f>
        <v>#DIV/0!</v>
      </c>
      <c r="CB117" s="68">
        <f t="shared" si="69"/>
        <v>142.77000000000001</v>
      </c>
      <c r="CC117" s="68" t="e">
        <f t="shared" si="70"/>
        <v>#DIV/0!</v>
      </c>
      <c r="CD117" s="75" t="e">
        <f t="shared" si="99"/>
        <v>#DIV/0!</v>
      </c>
      <c r="CE117" s="68" t="e">
        <f>IF($I117="NA","NA",ROUND(#REF!*$CA117/$I117,2))</f>
        <v>#REF!</v>
      </c>
      <c r="CF117" s="75" t="e">
        <f t="shared" si="100"/>
        <v>#REF!</v>
      </c>
      <c r="CG117" s="68" t="e">
        <f t="shared" si="101"/>
        <v>#REF!</v>
      </c>
      <c r="CH117" s="4">
        <f t="shared" si="102"/>
        <v>0</v>
      </c>
      <c r="CI117" s="4">
        <f t="shared" si="103"/>
        <v>39528</v>
      </c>
      <c r="CJ117" s="4">
        <f t="shared" si="104"/>
        <v>38260</v>
      </c>
      <c r="CK117" s="142">
        <f>IF(ISNA(VLOOKUP($A117&amp;$AB117,'Days Exceptions'!$C$3:$I$7,6,FALSE)),ROUND(CH117/MAX(CJ117,(CI117*Min_Occ)),2),ROUND(CH117/VLOOKUP($A117&amp;$AB117,'Days Exceptions'!$C$3:$I$7,6,FALSE),2))</f>
        <v>0</v>
      </c>
      <c r="CL117" s="143" t="e">
        <f t="shared" si="71"/>
        <v>#REF!</v>
      </c>
      <c r="CM117" s="143" t="e">
        <f t="shared" si="72"/>
        <v>#REF!</v>
      </c>
      <c r="CN117" s="143">
        <f t="shared" si="73"/>
        <v>148.07</v>
      </c>
      <c r="CO117" s="37" t="s">
        <v>75</v>
      </c>
      <c r="CP117" s="37" t="s">
        <v>173</v>
      </c>
      <c r="CQ117" s="37" t="s">
        <v>1593</v>
      </c>
    </row>
    <row r="118" spans="1:95" x14ac:dyDescent="0.15">
      <c r="A118" s="130">
        <v>64</v>
      </c>
      <c r="B118" s="37" t="s">
        <v>398</v>
      </c>
      <c r="C118" s="1" t="s">
        <v>148</v>
      </c>
      <c r="D118" s="1" t="s">
        <v>125</v>
      </c>
      <c r="E118" s="1" t="str">
        <f>VLOOKUP(D118,Documentation!$B$4:$D$27,3,FALSE)</f>
        <v>WESTERN REGION</v>
      </c>
      <c r="F118" s="1" t="str">
        <f>VLOOKUP(D118,Documentation!$B$4:$C$27,2,FALSE)</f>
        <v>NON METRO</v>
      </c>
      <c r="G118" s="82">
        <f>VLOOKUP(A118,'2022 CR and CMI'!$A$3:$D$207,3,FALSE)</f>
        <v>44378</v>
      </c>
      <c r="H118" s="82">
        <f>VLOOKUP(A118,'2022 CR and CMI'!$A$3:$D$207,4,FALSE)</f>
        <v>44742</v>
      </c>
      <c r="I118" s="72">
        <f>VLOOKUP(A118,'2022 CR and CMI'!$A$2:$T$210,19,FALSE)</f>
        <v>1.5582</v>
      </c>
      <c r="J118" s="139">
        <f>Inflation!$G$24</f>
        <v>1.0309999999999999</v>
      </c>
      <c r="K118" s="192">
        <f>VLOOKUP(E118,Limits!$B$2:$D$5,3,FALSE)</f>
        <v>166.26</v>
      </c>
      <c r="L118" s="192">
        <f t="shared" si="74"/>
        <v>171.41</v>
      </c>
      <c r="M118" s="140">
        <f>VLOOKUP(A118,'CMI Data'!$A$4:$C$208,3,FALSE)</f>
        <v>1.2925</v>
      </c>
      <c r="N118" s="68">
        <f t="shared" si="58"/>
        <v>185.07</v>
      </c>
      <c r="O118" s="68">
        <f t="shared" si="75"/>
        <v>153.51</v>
      </c>
      <c r="P118" s="75">
        <f t="shared" si="76"/>
        <v>145.83000000000001</v>
      </c>
      <c r="Q118" s="75">
        <v>163.16</v>
      </c>
      <c r="R118" s="75">
        <f t="shared" si="77"/>
        <v>168.22</v>
      </c>
      <c r="S118" s="68">
        <f t="shared" si="78"/>
        <v>139.54</v>
      </c>
      <c r="T118" s="75">
        <f t="shared" si="79"/>
        <v>-6.29</v>
      </c>
      <c r="U118" s="68">
        <f t="shared" si="80"/>
        <v>147.22</v>
      </c>
      <c r="V118" s="68">
        <f>VLOOKUP($F118,Limits!$J$2:$L$5,3,FALSE)</f>
        <v>20.239999999999998</v>
      </c>
      <c r="W118" s="68">
        <f t="shared" si="81"/>
        <v>20.87</v>
      </c>
      <c r="X118" s="68">
        <f>VLOOKUP($F118,Limits!$R$2:$T$5,3,FALSE)</f>
        <v>89.55</v>
      </c>
      <c r="Y118" s="68">
        <f t="shared" si="82"/>
        <v>92.33</v>
      </c>
      <c r="Z118" s="75">
        <f>VLOOKUP(A118,FRV!$A$4:$U$208,21,FALSE)</f>
        <v>27.36</v>
      </c>
      <c r="AA118" s="141">
        <f>VLOOKUP(A118,'RE Tax'!$A$2:$G$206,3,FALSE)</f>
        <v>45108</v>
      </c>
      <c r="AB118" s="141">
        <f>VLOOKUP(A118,'RE Tax'!$A$2:$G$206,4,FALSE)</f>
        <v>45473</v>
      </c>
      <c r="AC118" s="4">
        <f>VLOOKUP(A118,'RE Tax'!$A$2:$G$206,7,FALSE)</f>
        <v>206911</v>
      </c>
      <c r="AD118" s="4">
        <f>VLOOKUP($A118,'RE Tax'!$A$2:$I$206,9,FALSE)</f>
        <v>51240</v>
      </c>
      <c r="AE118" s="4">
        <f>VLOOKUP($A118,'RE Tax'!$A$2:$I$206,8,FALSE)</f>
        <v>41447</v>
      </c>
      <c r="AF118" s="142">
        <f>IF(ISNA(VLOOKUP(A118&amp;AB118,'Days Exceptions'!$C$3:$I$7,6,FALSE)),ROUND(AC118/MAX(AE118,(AD118*Min_Occ)),2),ROUND(AC118/VLOOKUP(A118&amp;AB118,'Days Exceptions'!$C$3:$I$7,6,FALSE),2))</f>
        <v>4.95</v>
      </c>
      <c r="AG118" s="68">
        <v>0</v>
      </c>
      <c r="AH118" s="68">
        <f t="shared" si="83"/>
        <v>0</v>
      </c>
      <c r="AI118" s="4">
        <v>38337</v>
      </c>
      <c r="AJ118" s="4">
        <v>42094</v>
      </c>
      <c r="AK118" s="68">
        <f>IF(AI118=0,0,IF(ISNA(MATCH(A118,Documentation!$B$66:$B$71,0)),QA_Tax_reg,QA_Tax_5high))</f>
        <v>32.92</v>
      </c>
      <c r="AL118" s="75">
        <f t="shared" si="84"/>
        <v>29.98</v>
      </c>
      <c r="AM118" s="68">
        <f t="shared" si="85"/>
        <v>292.73</v>
      </c>
      <c r="AN118" s="68">
        <f t="shared" si="86"/>
        <v>219.12</v>
      </c>
      <c r="AO118" s="68">
        <f t="shared" si="87"/>
        <v>145.51</v>
      </c>
      <c r="AP118" s="37" t="s">
        <v>405</v>
      </c>
      <c r="AQ118" s="37" t="s">
        <v>398</v>
      </c>
      <c r="AR118" s="37" t="s">
        <v>1071</v>
      </c>
      <c r="AS118" s="66" t="e">
        <f>VLOOKUP(A118,'CMI Data'!$A$3:$J$209,10,FALSE)</f>
        <v>#DIV/0!</v>
      </c>
      <c r="AT118" s="68">
        <f t="shared" si="59"/>
        <v>179.51</v>
      </c>
      <c r="AU118" s="68" t="e">
        <f t="shared" si="60"/>
        <v>#DIV/0!</v>
      </c>
      <c r="AV118" s="75" t="e">
        <f t="shared" si="88"/>
        <v>#DIV/0!</v>
      </c>
      <c r="AW118" s="68" t="e">
        <f>IF($I118="NA","NA",ROUND(#REF!*$AS118/$I118,2))</f>
        <v>#REF!</v>
      </c>
      <c r="AX118" s="75" t="e">
        <f t="shared" si="57"/>
        <v>#REF!</v>
      </c>
      <c r="AY118" s="68" t="e">
        <f t="shared" si="89"/>
        <v>#REF!</v>
      </c>
      <c r="AZ118" s="4">
        <f t="shared" si="90"/>
        <v>206911</v>
      </c>
      <c r="BA118" s="4">
        <f t="shared" si="91"/>
        <v>51240</v>
      </c>
      <c r="BB118" s="4">
        <f t="shared" si="92"/>
        <v>41447</v>
      </c>
      <c r="BC118" s="142">
        <f>IF(ISNA(VLOOKUP($A118&amp;$AB118,'Days Exceptions'!$C$3:$I$7,6,FALSE)),ROUND(AZ118/MAX(BB118,(BA118*Min_Occ)),2),ROUND(AZ118/VLOOKUP($A118&amp;$AB118,'Days Exceptions'!$C$3:$I$7,6,FALSE),2))</f>
        <v>4.95</v>
      </c>
      <c r="BD118" s="143" t="e">
        <f t="shared" si="61"/>
        <v>#REF!</v>
      </c>
      <c r="BE118" s="143" t="e">
        <f t="shared" si="62"/>
        <v>#REF!</v>
      </c>
      <c r="BF118" s="143">
        <f t="shared" si="63"/>
        <v>142.1</v>
      </c>
      <c r="BG118" s="37" t="s">
        <v>405</v>
      </c>
      <c r="BH118" s="37" t="s">
        <v>398</v>
      </c>
      <c r="BI118" s="37" t="s">
        <v>1275</v>
      </c>
      <c r="BJ118" s="66" t="e">
        <f>VLOOKUP(A118,'CMI Data'!$A$3:$AZ$209,15,FALSE)</f>
        <v>#DIV/0!</v>
      </c>
      <c r="BK118" s="68">
        <f t="shared" si="64"/>
        <v>179.51</v>
      </c>
      <c r="BL118" s="68" t="e">
        <f t="shared" si="65"/>
        <v>#DIV/0!</v>
      </c>
      <c r="BM118" s="75" t="e">
        <f t="shared" si="93"/>
        <v>#DIV/0!</v>
      </c>
      <c r="BN118" s="68" t="e">
        <f>IF($I118="NA","NA",ROUND(#REF!*$BJ118/$I118,2))</f>
        <v>#REF!</v>
      </c>
      <c r="BO118" s="75" t="e">
        <f t="shared" si="94"/>
        <v>#REF!</v>
      </c>
      <c r="BP118" s="68" t="e">
        <f t="shared" si="95"/>
        <v>#REF!</v>
      </c>
      <c r="BQ118" s="4">
        <f t="shared" si="96"/>
        <v>206911</v>
      </c>
      <c r="BR118" s="4">
        <f t="shared" si="97"/>
        <v>51240</v>
      </c>
      <c r="BS118" s="4">
        <f t="shared" si="98"/>
        <v>41447</v>
      </c>
      <c r="BT118" s="142">
        <f>IF(ISNA(VLOOKUP($A118&amp;$AB118,'Days Exceptions'!$C$3:$I$7,6,FALSE)),ROUND(BQ118/MAX(BS118,(BR118*Min_Occ)),2),ROUND(BQ118/VLOOKUP($A118&amp;$AB118,'Days Exceptions'!$C$3:$I$7,6,FALSE),2))</f>
        <v>4.95</v>
      </c>
      <c r="BU118" s="143" t="e">
        <f t="shared" si="66"/>
        <v>#REF!</v>
      </c>
      <c r="BV118" s="143" t="e">
        <f t="shared" si="67"/>
        <v>#REF!</v>
      </c>
      <c r="BW118" s="143">
        <f t="shared" si="68"/>
        <v>142.1</v>
      </c>
      <c r="BX118" s="37" t="s">
        <v>405</v>
      </c>
      <c r="BY118" s="37" t="s">
        <v>398</v>
      </c>
      <c r="BZ118" s="37" t="s">
        <v>1594</v>
      </c>
      <c r="CA118" s="66" t="e">
        <f>VLOOKUP(A118,'CMI Data'!$A$3:$AZ$209,20,FALSE)</f>
        <v>#DIV/0!</v>
      </c>
      <c r="CB118" s="68">
        <f t="shared" si="69"/>
        <v>179.51</v>
      </c>
      <c r="CC118" s="68" t="e">
        <f t="shared" si="70"/>
        <v>#DIV/0!</v>
      </c>
      <c r="CD118" s="75" t="e">
        <f t="shared" si="99"/>
        <v>#DIV/0!</v>
      </c>
      <c r="CE118" s="68" t="e">
        <f>IF($I118="NA","NA",ROUND(#REF!*$CA118/$I118,2))</f>
        <v>#REF!</v>
      </c>
      <c r="CF118" s="75" t="e">
        <f t="shared" si="100"/>
        <v>#REF!</v>
      </c>
      <c r="CG118" s="68" t="e">
        <f t="shared" si="101"/>
        <v>#REF!</v>
      </c>
      <c r="CH118" s="4">
        <f t="shared" si="102"/>
        <v>206911</v>
      </c>
      <c r="CI118" s="4">
        <f t="shared" si="103"/>
        <v>51240</v>
      </c>
      <c r="CJ118" s="4">
        <f t="shared" si="104"/>
        <v>41447</v>
      </c>
      <c r="CK118" s="142">
        <f>IF(ISNA(VLOOKUP($A118&amp;$AB118,'Days Exceptions'!$C$3:$I$7,6,FALSE)),ROUND(CH118/MAX(CJ118,(CI118*Min_Occ)),2),ROUND(CH118/VLOOKUP($A118&amp;$AB118,'Days Exceptions'!$C$3:$I$7,6,FALSE),2))</f>
        <v>4.95</v>
      </c>
      <c r="CL118" s="143" t="e">
        <f t="shared" si="71"/>
        <v>#REF!</v>
      </c>
      <c r="CM118" s="143" t="e">
        <f t="shared" si="72"/>
        <v>#REF!</v>
      </c>
      <c r="CN118" s="143">
        <f t="shared" si="73"/>
        <v>142.1</v>
      </c>
      <c r="CO118" s="37" t="s">
        <v>405</v>
      </c>
      <c r="CP118" s="37" t="s">
        <v>398</v>
      </c>
      <c r="CQ118" s="37" t="s">
        <v>1595</v>
      </c>
    </row>
    <row r="119" spans="1:95" x14ac:dyDescent="0.15">
      <c r="A119" s="130">
        <v>218</v>
      </c>
      <c r="B119" s="37" t="s">
        <v>195</v>
      </c>
      <c r="C119" s="1" t="s">
        <v>148</v>
      </c>
      <c r="D119" s="1" t="s">
        <v>106</v>
      </c>
      <c r="E119" s="1" t="str">
        <f>VLOOKUP(D119,Documentation!$B$4:$D$27,3,FALSE)</f>
        <v>BALTIMORE METRO</v>
      </c>
      <c r="F119" s="1" t="str">
        <f>VLOOKUP(D119,Documentation!$B$4:$C$27,2,FALSE)</f>
        <v>BALTIMORE METRO</v>
      </c>
      <c r="G119" s="82">
        <f>VLOOKUP(A119,'2022 CR and CMI'!$A$3:$D$207,3,FALSE)</f>
        <v>44562</v>
      </c>
      <c r="H119" s="82">
        <f>VLOOKUP(A119,'2022 CR and CMI'!$A$3:$D$207,4,FALSE)</f>
        <v>44926</v>
      </c>
      <c r="I119" s="72">
        <f>VLOOKUP(A119,'2022 CR and CMI'!$A$2:$T$210,19,FALSE)</f>
        <v>1.3460000000000001</v>
      </c>
      <c r="J119" s="139">
        <f>Inflation!$G$24</f>
        <v>1.0309999999999999</v>
      </c>
      <c r="K119" s="192">
        <f>VLOOKUP(E119,Limits!$B$2:$D$5,3,FALSE)</f>
        <v>195.33</v>
      </c>
      <c r="L119" s="192">
        <f t="shared" si="74"/>
        <v>201.39</v>
      </c>
      <c r="M119" s="140">
        <f>VLOOKUP(A119,'CMI Data'!$A$4:$C$208,3,FALSE)</f>
        <v>1.3495999999999999</v>
      </c>
      <c r="N119" s="68">
        <f t="shared" si="58"/>
        <v>187.83</v>
      </c>
      <c r="O119" s="68">
        <f t="shared" si="75"/>
        <v>188.33</v>
      </c>
      <c r="P119" s="75">
        <f t="shared" si="76"/>
        <v>178.91</v>
      </c>
      <c r="Q119" s="75">
        <v>173.03</v>
      </c>
      <c r="R119" s="75">
        <f t="shared" si="77"/>
        <v>178.39</v>
      </c>
      <c r="S119" s="68">
        <f t="shared" si="78"/>
        <v>178.87</v>
      </c>
      <c r="T119" s="75">
        <f t="shared" si="79"/>
        <v>-0.04</v>
      </c>
      <c r="U119" s="68">
        <f t="shared" si="80"/>
        <v>188.29</v>
      </c>
      <c r="V119" s="68">
        <f>VLOOKUP($F119,Limits!$J$2:$L$5,3,FALSE)</f>
        <v>20.85</v>
      </c>
      <c r="W119" s="68">
        <f t="shared" si="81"/>
        <v>21.5</v>
      </c>
      <c r="X119" s="68">
        <f>VLOOKUP($F119,Limits!$R$2:$T$5,3,FALSE)</f>
        <v>102.02</v>
      </c>
      <c r="Y119" s="68">
        <f t="shared" si="82"/>
        <v>105.18</v>
      </c>
      <c r="Z119" s="75">
        <f>VLOOKUP(A119,FRV!$A$4:$U$208,21,FALSE)</f>
        <v>24.36</v>
      </c>
      <c r="AA119" s="141">
        <f>VLOOKUP(A119,'RE Tax'!$A$2:$G$206,3,FALSE)</f>
        <v>45292</v>
      </c>
      <c r="AB119" s="141">
        <f>VLOOKUP(A119,'RE Tax'!$A$2:$G$206,4,FALSE)</f>
        <v>45657</v>
      </c>
      <c r="AC119" s="4">
        <f>VLOOKUP(A119,'RE Tax'!$A$2:$G$206,7,FALSE)</f>
        <v>97230</v>
      </c>
      <c r="AD119" s="4">
        <f>VLOOKUP($A119,'RE Tax'!$A$2:$I$206,9,FALSE)</f>
        <v>41358</v>
      </c>
      <c r="AE119" s="4">
        <f>VLOOKUP($A119,'RE Tax'!$A$2:$I$206,8,FALSE)</f>
        <v>37091</v>
      </c>
      <c r="AF119" s="142">
        <f>IF(ISNA(VLOOKUP(A119&amp;AB119,'Days Exceptions'!$C$3:$I$7,6,FALSE)),ROUND(AC119/MAX(AE119,(AD119*Min_Occ)),2),ROUND(AC119/VLOOKUP(A119&amp;AB119,'Days Exceptions'!$C$3:$I$7,6,FALSE),2))</f>
        <v>2.62</v>
      </c>
      <c r="AG119" s="68">
        <v>0</v>
      </c>
      <c r="AH119" s="68">
        <f t="shared" si="83"/>
        <v>0</v>
      </c>
      <c r="AI119" s="4">
        <v>32591</v>
      </c>
      <c r="AJ119" s="4">
        <v>37091</v>
      </c>
      <c r="AK119" s="68">
        <f>IF(AI119=0,0,IF(ISNA(MATCH(A119,Documentation!$B$66:$B$71,0)),QA_Tax_reg,QA_Tax_5high))</f>
        <v>32.92</v>
      </c>
      <c r="AL119" s="75">
        <f t="shared" si="84"/>
        <v>28.93</v>
      </c>
      <c r="AM119" s="68">
        <f t="shared" si="85"/>
        <v>341.95</v>
      </c>
      <c r="AN119" s="68">
        <f t="shared" si="86"/>
        <v>247.81</v>
      </c>
      <c r="AO119" s="68">
        <f t="shared" si="87"/>
        <v>153.66</v>
      </c>
      <c r="AP119" s="37" t="s">
        <v>166</v>
      </c>
      <c r="AQ119" s="37" t="s">
        <v>195</v>
      </c>
      <c r="AR119" s="37" t="s">
        <v>1072</v>
      </c>
      <c r="AS119" s="66" t="e">
        <f>VLOOKUP(A119,'CMI Data'!$A$3:$J$209,10,FALSE)</f>
        <v>#DIV/0!</v>
      </c>
      <c r="AT119" s="68">
        <f t="shared" si="59"/>
        <v>182.17</v>
      </c>
      <c r="AU119" s="68" t="e">
        <f t="shared" si="60"/>
        <v>#DIV/0!</v>
      </c>
      <c r="AV119" s="75" t="e">
        <f t="shared" si="88"/>
        <v>#DIV/0!</v>
      </c>
      <c r="AW119" s="68" t="e">
        <f>IF($I119="NA","NA",ROUND(#REF!*$AS119/$I119,2))</f>
        <v>#REF!</v>
      </c>
      <c r="AX119" s="75" t="e">
        <f t="shared" si="57"/>
        <v>#REF!</v>
      </c>
      <c r="AY119" s="68" t="e">
        <f t="shared" si="89"/>
        <v>#REF!</v>
      </c>
      <c r="AZ119" s="4">
        <f t="shared" si="90"/>
        <v>97230</v>
      </c>
      <c r="BA119" s="4">
        <f t="shared" si="91"/>
        <v>41358</v>
      </c>
      <c r="BB119" s="4">
        <f t="shared" si="92"/>
        <v>37091</v>
      </c>
      <c r="BC119" s="142">
        <f>IF(ISNA(VLOOKUP($A119&amp;$AB119,'Days Exceptions'!$C$3:$I$7,6,FALSE)),ROUND(AZ119/MAX(BB119,(BA119*Min_Occ)),2),ROUND(AZ119/VLOOKUP($A119&amp;$AB119,'Days Exceptions'!$C$3:$I$7,6,FALSE),2))</f>
        <v>2.62</v>
      </c>
      <c r="BD119" s="143" t="e">
        <f t="shared" si="61"/>
        <v>#REF!</v>
      </c>
      <c r="BE119" s="143" t="e">
        <f t="shared" si="62"/>
        <v>#REF!</v>
      </c>
      <c r="BF119" s="143">
        <f t="shared" si="63"/>
        <v>149.85</v>
      </c>
      <c r="BG119" s="37" t="s">
        <v>166</v>
      </c>
      <c r="BH119" s="37" t="s">
        <v>195</v>
      </c>
      <c r="BI119" s="37" t="s">
        <v>1276</v>
      </c>
      <c r="BJ119" s="66" t="e">
        <f>VLOOKUP(A119,'CMI Data'!$A$3:$AZ$209,15,FALSE)</f>
        <v>#DIV/0!</v>
      </c>
      <c r="BK119" s="68">
        <f t="shared" si="64"/>
        <v>182.17</v>
      </c>
      <c r="BL119" s="68" t="e">
        <f t="shared" si="65"/>
        <v>#DIV/0!</v>
      </c>
      <c r="BM119" s="75" t="e">
        <f t="shared" si="93"/>
        <v>#DIV/0!</v>
      </c>
      <c r="BN119" s="68" t="e">
        <f>IF($I119="NA","NA",ROUND(#REF!*$BJ119/$I119,2))</f>
        <v>#REF!</v>
      </c>
      <c r="BO119" s="75" t="e">
        <f t="shared" si="94"/>
        <v>#REF!</v>
      </c>
      <c r="BP119" s="68" t="e">
        <f t="shared" si="95"/>
        <v>#REF!</v>
      </c>
      <c r="BQ119" s="4">
        <f t="shared" si="96"/>
        <v>97230</v>
      </c>
      <c r="BR119" s="4">
        <f t="shared" si="97"/>
        <v>41358</v>
      </c>
      <c r="BS119" s="4">
        <f t="shared" si="98"/>
        <v>37091</v>
      </c>
      <c r="BT119" s="142">
        <f>IF(ISNA(VLOOKUP($A119&amp;$AB119,'Days Exceptions'!$C$3:$I$7,6,FALSE)),ROUND(BQ119/MAX(BS119,(BR119*Min_Occ)),2),ROUND(BQ119/VLOOKUP($A119&amp;$AB119,'Days Exceptions'!$C$3:$I$7,6,FALSE),2))</f>
        <v>2.62</v>
      </c>
      <c r="BU119" s="143" t="e">
        <f t="shared" si="66"/>
        <v>#REF!</v>
      </c>
      <c r="BV119" s="143" t="e">
        <f t="shared" si="67"/>
        <v>#REF!</v>
      </c>
      <c r="BW119" s="143">
        <f t="shared" si="68"/>
        <v>149.85</v>
      </c>
      <c r="BX119" s="37" t="s">
        <v>166</v>
      </c>
      <c r="BY119" s="37" t="s">
        <v>195</v>
      </c>
      <c r="BZ119" s="37" t="s">
        <v>1596</v>
      </c>
      <c r="CA119" s="66" t="e">
        <f>VLOOKUP(A119,'CMI Data'!$A$3:$AZ$209,20,FALSE)</f>
        <v>#DIV/0!</v>
      </c>
      <c r="CB119" s="68">
        <f t="shared" si="69"/>
        <v>182.17</v>
      </c>
      <c r="CC119" s="68" t="e">
        <f t="shared" si="70"/>
        <v>#DIV/0!</v>
      </c>
      <c r="CD119" s="75" t="e">
        <f t="shared" si="99"/>
        <v>#DIV/0!</v>
      </c>
      <c r="CE119" s="68" t="e">
        <f>IF($I119="NA","NA",ROUND(#REF!*$CA119/$I119,2))</f>
        <v>#REF!</v>
      </c>
      <c r="CF119" s="75" t="e">
        <f t="shared" si="100"/>
        <v>#REF!</v>
      </c>
      <c r="CG119" s="68" t="e">
        <f t="shared" si="101"/>
        <v>#REF!</v>
      </c>
      <c r="CH119" s="4">
        <f t="shared" si="102"/>
        <v>97230</v>
      </c>
      <c r="CI119" s="4">
        <f t="shared" si="103"/>
        <v>41358</v>
      </c>
      <c r="CJ119" s="4">
        <f t="shared" si="104"/>
        <v>37091</v>
      </c>
      <c r="CK119" s="142">
        <f>IF(ISNA(VLOOKUP($A119&amp;$AB119,'Days Exceptions'!$C$3:$I$7,6,FALSE)),ROUND(CH119/MAX(CJ119,(CI119*Min_Occ)),2),ROUND(CH119/VLOOKUP($A119&amp;$AB119,'Days Exceptions'!$C$3:$I$7,6,FALSE),2))</f>
        <v>2.62</v>
      </c>
      <c r="CL119" s="143" t="e">
        <f t="shared" si="71"/>
        <v>#REF!</v>
      </c>
      <c r="CM119" s="143" t="e">
        <f t="shared" si="72"/>
        <v>#REF!</v>
      </c>
      <c r="CN119" s="143">
        <f t="shared" si="73"/>
        <v>149.85</v>
      </c>
      <c r="CO119" s="37" t="s">
        <v>166</v>
      </c>
      <c r="CP119" s="37" t="s">
        <v>195</v>
      </c>
      <c r="CQ119" s="37" t="s">
        <v>1597</v>
      </c>
    </row>
    <row r="120" spans="1:95" x14ac:dyDescent="0.15">
      <c r="A120" s="130">
        <v>222</v>
      </c>
      <c r="B120" s="37" t="s">
        <v>680</v>
      </c>
      <c r="C120" s="1" t="s">
        <v>148</v>
      </c>
      <c r="D120" s="1" t="s">
        <v>127</v>
      </c>
      <c r="E120" s="1" t="str">
        <f>VLOOKUP(D120,Documentation!$B$4:$D$27,3,FALSE)</f>
        <v>EASTERN REGION</v>
      </c>
      <c r="F120" s="1" t="str">
        <f>VLOOKUP(D120,Documentation!$B$4:$C$27,2,FALSE)</f>
        <v>NON METRO</v>
      </c>
      <c r="G120" s="82">
        <f>VLOOKUP(A120,'2022 CR and CMI'!$A$3:$D$207,3,FALSE)</f>
        <v>44562</v>
      </c>
      <c r="H120" s="82">
        <f>VLOOKUP(A120,'2022 CR and CMI'!$A$3:$D$207,4,FALSE)</f>
        <v>44926</v>
      </c>
      <c r="I120" s="72">
        <f>VLOOKUP(A120,'2022 CR and CMI'!$A$2:$T$210,19,FALSE)</f>
        <v>1.5392999999999999</v>
      </c>
      <c r="J120" s="139">
        <f>Inflation!$G$24</f>
        <v>1.0309999999999999</v>
      </c>
      <c r="K120" s="192">
        <f>VLOOKUP(E120,Limits!$B$2:$D$5,3,FALSE)</f>
        <v>186.31</v>
      </c>
      <c r="L120" s="192">
        <f t="shared" si="74"/>
        <v>192.09</v>
      </c>
      <c r="M120" s="140">
        <f>VLOOKUP(A120,'CMI Data'!$A$4:$C$208,3,FALSE)</f>
        <v>1.6914</v>
      </c>
      <c r="N120" s="68">
        <f t="shared" si="58"/>
        <v>204.88</v>
      </c>
      <c r="O120" s="68">
        <f t="shared" si="75"/>
        <v>225.12</v>
      </c>
      <c r="P120" s="75">
        <f t="shared" si="76"/>
        <v>213.86</v>
      </c>
      <c r="Q120" s="75">
        <v>128.37</v>
      </c>
      <c r="R120" s="75">
        <f t="shared" si="77"/>
        <v>132.35</v>
      </c>
      <c r="S120" s="68">
        <f t="shared" si="78"/>
        <v>145.43</v>
      </c>
      <c r="T120" s="75">
        <f t="shared" si="79"/>
        <v>-68.430000000000007</v>
      </c>
      <c r="U120" s="68">
        <f t="shared" si="80"/>
        <v>156.69</v>
      </c>
      <c r="V120" s="68">
        <f>VLOOKUP($F120,Limits!$J$2:$L$5,3,FALSE)</f>
        <v>20.239999999999998</v>
      </c>
      <c r="W120" s="68">
        <f t="shared" si="81"/>
        <v>20.87</v>
      </c>
      <c r="X120" s="68">
        <f>VLOOKUP($F120,Limits!$R$2:$T$5,3,FALSE)</f>
        <v>89.55</v>
      </c>
      <c r="Y120" s="68">
        <f t="shared" si="82"/>
        <v>92.33</v>
      </c>
      <c r="Z120" s="75">
        <f>VLOOKUP(A120,FRV!$A$4:$U$208,21,FALSE)</f>
        <v>33.880000000000003</v>
      </c>
      <c r="AA120" s="141">
        <f>VLOOKUP(A120,'RE Tax'!$A$2:$G$206,3,FALSE)</f>
        <v>45292</v>
      </c>
      <c r="AB120" s="141">
        <f>VLOOKUP(A120,'RE Tax'!$A$2:$G$206,4,FALSE)</f>
        <v>45657</v>
      </c>
      <c r="AC120" s="4">
        <f>VLOOKUP(A120,'RE Tax'!$A$2:$G$206,7,FALSE)</f>
        <v>48624</v>
      </c>
      <c r="AD120" s="4">
        <f>VLOOKUP($A120,'RE Tax'!$A$2:$I$206,9,FALSE)</f>
        <v>26718</v>
      </c>
      <c r="AE120" s="4">
        <f>VLOOKUP($A120,'RE Tax'!$A$2:$I$206,8,FALSE)</f>
        <v>24611</v>
      </c>
      <c r="AF120" s="142">
        <f>IF(ISNA(VLOOKUP(A120&amp;AB120,'Days Exceptions'!$C$3:$I$7,6,FALSE)),ROUND(AC120/MAX(AE120,(AD120*Min_Occ)),2),ROUND(AC120/VLOOKUP(A120&amp;AB120,'Days Exceptions'!$C$3:$I$7,6,FALSE),2))</f>
        <v>1.98</v>
      </c>
      <c r="AG120" s="68">
        <v>0</v>
      </c>
      <c r="AH120" s="68">
        <f t="shared" si="83"/>
        <v>0</v>
      </c>
      <c r="AI120" s="4">
        <v>22437</v>
      </c>
      <c r="AJ120" s="4">
        <v>24614</v>
      </c>
      <c r="AK120" s="68">
        <f>IF(AI120=0,0,IF(ISNA(MATCH(A120,Documentation!$B$66:$B$71,0)),QA_Tax_reg,QA_Tax_5high))</f>
        <v>32.92</v>
      </c>
      <c r="AL120" s="75">
        <f t="shared" si="84"/>
        <v>30.01</v>
      </c>
      <c r="AM120" s="68">
        <f t="shared" si="85"/>
        <v>305.75</v>
      </c>
      <c r="AN120" s="68">
        <f t="shared" si="86"/>
        <v>227.41</v>
      </c>
      <c r="AO120" s="68">
        <f t="shared" si="87"/>
        <v>149.06</v>
      </c>
      <c r="AP120" s="37" t="s">
        <v>685</v>
      </c>
      <c r="AQ120" s="37" t="s">
        <v>680</v>
      </c>
      <c r="AR120" s="37" t="s">
        <v>1073</v>
      </c>
      <c r="AS120" s="66" t="e">
        <f>VLOOKUP(A120,'CMI Data'!$A$3:$J$209,10,FALSE)</f>
        <v>#DIV/0!</v>
      </c>
      <c r="AT120" s="68">
        <f t="shared" si="59"/>
        <v>198.72</v>
      </c>
      <c r="AU120" s="68" t="e">
        <f t="shared" si="60"/>
        <v>#DIV/0!</v>
      </c>
      <c r="AV120" s="75" t="e">
        <f t="shared" si="88"/>
        <v>#DIV/0!</v>
      </c>
      <c r="AW120" s="68" t="e">
        <f>IF($I120="NA","NA",ROUND(#REF!*$AS120/$I120,2))</f>
        <v>#REF!</v>
      </c>
      <c r="AX120" s="75" t="e">
        <f t="shared" si="57"/>
        <v>#REF!</v>
      </c>
      <c r="AY120" s="68" t="e">
        <f t="shared" si="89"/>
        <v>#REF!</v>
      </c>
      <c r="AZ120" s="4">
        <f t="shared" si="90"/>
        <v>48624</v>
      </c>
      <c r="BA120" s="4">
        <f t="shared" si="91"/>
        <v>26718</v>
      </c>
      <c r="BB120" s="4">
        <f t="shared" si="92"/>
        <v>24611</v>
      </c>
      <c r="BC120" s="142">
        <f>IF(ISNA(VLOOKUP($A120&amp;$AB120,'Days Exceptions'!$C$3:$I$7,6,FALSE)),ROUND(AZ120/MAX(BB120,(BA120*Min_Occ)),2),ROUND(AZ120/VLOOKUP($A120&amp;$AB120,'Days Exceptions'!$C$3:$I$7,6,FALSE),2))</f>
        <v>1.98</v>
      </c>
      <c r="BD120" s="143" t="e">
        <f t="shared" si="61"/>
        <v>#REF!</v>
      </c>
      <c r="BE120" s="143" t="e">
        <f t="shared" si="62"/>
        <v>#REF!</v>
      </c>
      <c r="BF120" s="143">
        <f t="shared" si="63"/>
        <v>145.65</v>
      </c>
      <c r="BG120" s="37" t="s">
        <v>685</v>
      </c>
      <c r="BH120" s="37" t="s">
        <v>680</v>
      </c>
      <c r="BI120" s="37" t="s">
        <v>1277</v>
      </c>
      <c r="BJ120" s="66" t="e">
        <f>VLOOKUP(A120,'CMI Data'!$A$3:$AZ$209,15,FALSE)</f>
        <v>#DIV/0!</v>
      </c>
      <c r="BK120" s="68">
        <f t="shared" si="64"/>
        <v>198.72</v>
      </c>
      <c r="BL120" s="68" t="e">
        <f t="shared" si="65"/>
        <v>#DIV/0!</v>
      </c>
      <c r="BM120" s="75" t="e">
        <f t="shared" si="93"/>
        <v>#DIV/0!</v>
      </c>
      <c r="BN120" s="68" t="e">
        <f>IF($I120="NA","NA",ROUND(#REF!*$BJ120/$I120,2))</f>
        <v>#REF!</v>
      </c>
      <c r="BO120" s="75" t="e">
        <f t="shared" si="94"/>
        <v>#REF!</v>
      </c>
      <c r="BP120" s="68" t="e">
        <f t="shared" si="95"/>
        <v>#REF!</v>
      </c>
      <c r="BQ120" s="4">
        <f t="shared" si="96"/>
        <v>48624</v>
      </c>
      <c r="BR120" s="4">
        <f t="shared" si="97"/>
        <v>26718</v>
      </c>
      <c r="BS120" s="4">
        <f t="shared" si="98"/>
        <v>24611</v>
      </c>
      <c r="BT120" s="142">
        <f>IF(ISNA(VLOOKUP($A120&amp;$AB120,'Days Exceptions'!$C$3:$I$7,6,FALSE)),ROUND(BQ120/MAX(BS120,(BR120*Min_Occ)),2),ROUND(BQ120/VLOOKUP($A120&amp;$AB120,'Days Exceptions'!$C$3:$I$7,6,FALSE),2))</f>
        <v>1.98</v>
      </c>
      <c r="BU120" s="143" t="e">
        <f t="shared" si="66"/>
        <v>#REF!</v>
      </c>
      <c r="BV120" s="143" t="e">
        <f t="shared" si="67"/>
        <v>#REF!</v>
      </c>
      <c r="BW120" s="143">
        <f t="shared" si="68"/>
        <v>145.65</v>
      </c>
      <c r="BX120" s="37" t="s">
        <v>685</v>
      </c>
      <c r="BY120" s="37" t="s">
        <v>680</v>
      </c>
      <c r="BZ120" s="37" t="s">
        <v>1598</v>
      </c>
      <c r="CA120" s="66" t="e">
        <f>VLOOKUP(A120,'CMI Data'!$A$3:$AZ$209,20,FALSE)</f>
        <v>#DIV/0!</v>
      </c>
      <c r="CB120" s="68">
        <f t="shared" si="69"/>
        <v>198.72</v>
      </c>
      <c r="CC120" s="68" t="e">
        <f t="shared" si="70"/>
        <v>#DIV/0!</v>
      </c>
      <c r="CD120" s="75" t="e">
        <f t="shared" si="99"/>
        <v>#DIV/0!</v>
      </c>
      <c r="CE120" s="68" t="e">
        <f>IF($I120="NA","NA",ROUND(#REF!*$CA120/$I120,2))</f>
        <v>#REF!</v>
      </c>
      <c r="CF120" s="75" t="e">
        <f t="shared" si="100"/>
        <v>#REF!</v>
      </c>
      <c r="CG120" s="68" t="e">
        <f t="shared" si="101"/>
        <v>#REF!</v>
      </c>
      <c r="CH120" s="4">
        <f t="shared" si="102"/>
        <v>48624</v>
      </c>
      <c r="CI120" s="4">
        <f t="shared" si="103"/>
        <v>26718</v>
      </c>
      <c r="CJ120" s="4">
        <f t="shared" si="104"/>
        <v>24611</v>
      </c>
      <c r="CK120" s="142">
        <f>IF(ISNA(VLOOKUP($A120&amp;$AB120,'Days Exceptions'!$C$3:$I$7,6,FALSE)),ROUND(CH120/MAX(CJ120,(CI120*Min_Occ)),2),ROUND(CH120/VLOOKUP($A120&amp;$AB120,'Days Exceptions'!$C$3:$I$7,6,FALSE),2))</f>
        <v>1.98</v>
      </c>
      <c r="CL120" s="143" t="e">
        <f t="shared" si="71"/>
        <v>#REF!</v>
      </c>
      <c r="CM120" s="143" t="e">
        <f t="shared" si="72"/>
        <v>#REF!</v>
      </c>
      <c r="CN120" s="143">
        <f t="shared" si="73"/>
        <v>145.65</v>
      </c>
      <c r="CO120" s="37" t="s">
        <v>685</v>
      </c>
      <c r="CP120" s="37" t="s">
        <v>680</v>
      </c>
      <c r="CQ120" s="37" t="s">
        <v>1599</v>
      </c>
    </row>
    <row r="121" spans="1:95" x14ac:dyDescent="0.15">
      <c r="A121" s="130">
        <v>230</v>
      </c>
      <c r="B121" s="37" t="s">
        <v>183</v>
      </c>
      <c r="C121" s="1" t="s">
        <v>148</v>
      </c>
      <c r="D121" s="1" t="s">
        <v>119</v>
      </c>
      <c r="E121" s="1" t="str">
        <f>VLOOKUP(D121,Documentation!$B$4:$D$27,3,FALSE)</f>
        <v>WASHINGTON METRO</v>
      </c>
      <c r="F121" s="1" t="str">
        <f>VLOOKUP(D121,Documentation!$B$4:$C$27,2,FALSE)</f>
        <v>WASHINGTON METRO</v>
      </c>
      <c r="G121" s="82">
        <f>VLOOKUP(A121,'2022 CR and CMI'!$A$3:$D$207,3,FALSE)</f>
        <v>44562</v>
      </c>
      <c r="H121" s="82">
        <f>VLOOKUP(A121,'2022 CR and CMI'!$A$3:$D$207,4,FALSE)</f>
        <v>44926</v>
      </c>
      <c r="I121" s="72">
        <f>VLOOKUP(A121,'2022 CR and CMI'!$A$2:$T$210,19,FALSE)</f>
        <v>1.3817999999999999</v>
      </c>
      <c r="J121" s="139">
        <f>Inflation!$G$24</f>
        <v>1.0309999999999999</v>
      </c>
      <c r="K121" s="192">
        <f>VLOOKUP(E121,Limits!$B$2:$D$5,3,FALSE)</f>
        <v>176.01</v>
      </c>
      <c r="L121" s="192">
        <f t="shared" si="74"/>
        <v>181.47</v>
      </c>
      <c r="M121" s="140">
        <f>VLOOKUP(A121,'CMI Data'!$A$4:$C$208,3,FALSE)</f>
        <v>1.3587</v>
      </c>
      <c r="N121" s="68">
        <f t="shared" si="58"/>
        <v>173.75</v>
      </c>
      <c r="O121" s="68">
        <f t="shared" si="75"/>
        <v>170.85</v>
      </c>
      <c r="P121" s="75">
        <f t="shared" si="76"/>
        <v>162.31</v>
      </c>
      <c r="Q121" s="75">
        <v>199.25</v>
      </c>
      <c r="R121" s="75">
        <f t="shared" si="77"/>
        <v>205.43</v>
      </c>
      <c r="S121" s="68">
        <f t="shared" si="78"/>
        <v>202</v>
      </c>
      <c r="T121" s="75">
        <f t="shared" si="79"/>
        <v>0</v>
      </c>
      <c r="U121" s="68">
        <f t="shared" si="80"/>
        <v>170.85</v>
      </c>
      <c r="V121" s="68">
        <f>VLOOKUP($F121,Limits!$J$2:$L$5,3,FALSE)</f>
        <v>19.23</v>
      </c>
      <c r="W121" s="68">
        <f t="shared" si="81"/>
        <v>19.829999999999998</v>
      </c>
      <c r="X121" s="68">
        <f>VLOOKUP($F121,Limits!$R$2:$T$5,3,FALSE)</f>
        <v>100.61</v>
      </c>
      <c r="Y121" s="68">
        <f t="shared" si="82"/>
        <v>103.73</v>
      </c>
      <c r="Z121" s="75">
        <f>VLOOKUP(A121,FRV!$A$4:$U$208,21,FALSE)</f>
        <v>44.29</v>
      </c>
      <c r="AA121" s="141">
        <f>VLOOKUP(A121,'RE Tax'!$A$2:$G$206,3,FALSE)</f>
        <v>45292</v>
      </c>
      <c r="AB121" s="141">
        <f>VLOOKUP(A121,'RE Tax'!$A$2:$G$206,4,FALSE)</f>
        <v>45657</v>
      </c>
      <c r="AC121" s="4">
        <f>VLOOKUP(A121,'RE Tax'!$A$2:$G$206,7,FALSE)</f>
        <v>0</v>
      </c>
      <c r="AD121" s="4">
        <f>VLOOKUP($A121,'RE Tax'!$A$2:$I$206,9,FALSE)</f>
        <v>203496</v>
      </c>
      <c r="AE121" s="4">
        <f>VLOOKUP($A121,'RE Tax'!$A$2:$I$206,8,FALSE)</f>
        <v>142181</v>
      </c>
      <c r="AF121" s="142">
        <f>IF(ISNA(VLOOKUP(A121&amp;AB121,'Days Exceptions'!$C$3:$I$7,6,FALSE)),ROUND(AC121/MAX(AE121,(AD121*Min_Occ)),2),ROUND(AC121/VLOOKUP(A121&amp;AB121,'Days Exceptions'!$C$3:$I$7,6,FALSE),2))</f>
        <v>0</v>
      </c>
      <c r="AG121" s="68">
        <v>3.98</v>
      </c>
      <c r="AH121" s="68">
        <f t="shared" si="83"/>
        <v>4.0999999999999996</v>
      </c>
      <c r="AI121" s="4">
        <v>113801</v>
      </c>
      <c r="AJ121" s="4">
        <v>142181</v>
      </c>
      <c r="AK121" s="68">
        <f>IF(AI121=0,0,IF(ISNA(MATCH(A121,Documentation!$B$66:$B$71,0)),QA_Tax_reg,QA_Tax_5high))</f>
        <v>3.04</v>
      </c>
      <c r="AL121" s="75">
        <f t="shared" si="84"/>
        <v>2.4300000000000002</v>
      </c>
      <c r="AM121" s="68">
        <f t="shared" si="85"/>
        <v>342.8</v>
      </c>
      <c r="AN121" s="68">
        <f t="shared" si="86"/>
        <v>257.38</v>
      </c>
      <c r="AO121" s="68">
        <f t="shared" si="87"/>
        <v>171.95</v>
      </c>
      <c r="AP121" s="37" t="s">
        <v>83</v>
      </c>
      <c r="AQ121" s="37" t="s">
        <v>183</v>
      </c>
      <c r="AR121" s="37" t="s">
        <v>1074</v>
      </c>
      <c r="AS121" s="66" t="e">
        <f>VLOOKUP(A121,'CMI Data'!$A$3:$J$209,10,FALSE)</f>
        <v>#DIV/0!</v>
      </c>
      <c r="AT121" s="68">
        <f t="shared" si="59"/>
        <v>168.52</v>
      </c>
      <c r="AU121" s="68" t="e">
        <f t="shared" si="60"/>
        <v>#DIV/0!</v>
      </c>
      <c r="AV121" s="75" t="e">
        <f t="shared" si="88"/>
        <v>#DIV/0!</v>
      </c>
      <c r="AW121" s="68" t="e">
        <f>IF($I121="NA","NA",ROUND(#REF!*$AS121/$I121,2))</f>
        <v>#REF!</v>
      </c>
      <c r="AX121" s="75" t="e">
        <f t="shared" ref="AX121:AX185" si="105">IF(AW121="NA","NA",MIN(AW121-AV121,0))</f>
        <v>#REF!</v>
      </c>
      <c r="AY121" s="68" t="e">
        <f t="shared" si="89"/>
        <v>#REF!</v>
      </c>
      <c r="AZ121" s="4">
        <f t="shared" si="90"/>
        <v>0</v>
      </c>
      <c r="BA121" s="4">
        <f t="shared" si="91"/>
        <v>203496</v>
      </c>
      <c r="BB121" s="4">
        <f t="shared" si="92"/>
        <v>142181</v>
      </c>
      <c r="BC121" s="142">
        <f>IF(ISNA(VLOOKUP($A121&amp;$AB121,'Days Exceptions'!$C$3:$I$7,6,FALSE)),ROUND(AZ121/MAX(BB121,(BA121*Min_Occ)),2),ROUND(AZ121/VLOOKUP($A121&amp;$AB121,'Days Exceptions'!$C$3:$I$7,6,FALSE),2))</f>
        <v>0</v>
      </c>
      <c r="BD121" s="143" t="e">
        <f t="shared" si="61"/>
        <v>#REF!</v>
      </c>
      <c r="BE121" s="143" t="e">
        <f t="shared" si="62"/>
        <v>#REF!</v>
      </c>
      <c r="BF121" s="143">
        <f t="shared" si="63"/>
        <v>168.11</v>
      </c>
      <c r="BG121" s="37" t="s">
        <v>83</v>
      </c>
      <c r="BH121" s="37" t="s">
        <v>183</v>
      </c>
      <c r="BI121" s="37" t="s">
        <v>1278</v>
      </c>
      <c r="BJ121" s="66" t="e">
        <f>VLOOKUP(A121,'CMI Data'!$A$3:$AZ$209,15,FALSE)</f>
        <v>#DIV/0!</v>
      </c>
      <c r="BK121" s="68">
        <f t="shared" si="64"/>
        <v>168.52</v>
      </c>
      <c r="BL121" s="68" t="e">
        <f t="shared" si="65"/>
        <v>#DIV/0!</v>
      </c>
      <c r="BM121" s="75" t="e">
        <f t="shared" si="93"/>
        <v>#DIV/0!</v>
      </c>
      <c r="BN121" s="68" t="e">
        <f>IF($I121="NA","NA",ROUND(#REF!*$BJ121/$I121,2))</f>
        <v>#REF!</v>
      </c>
      <c r="BO121" s="75" t="e">
        <f t="shared" si="94"/>
        <v>#REF!</v>
      </c>
      <c r="BP121" s="68" t="e">
        <f t="shared" si="95"/>
        <v>#REF!</v>
      </c>
      <c r="BQ121" s="4">
        <f t="shared" si="96"/>
        <v>0</v>
      </c>
      <c r="BR121" s="4">
        <f t="shared" si="97"/>
        <v>203496</v>
      </c>
      <c r="BS121" s="4">
        <f t="shared" si="98"/>
        <v>142181</v>
      </c>
      <c r="BT121" s="142">
        <f>IF(ISNA(VLOOKUP($A121&amp;$AB121,'Days Exceptions'!$C$3:$I$7,6,FALSE)),ROUND(BQ121/MAX(BS121,(BR121*Min_Occ)),2),ROUND(BQ121/VLOOKUP($A121&amp;$AB121,'Days Exceptions'!$C$3:$I$7,6,FALSE),2))</f>
        <v>0</v>
      </c>
      <c r="BU121" s="143" t="e">
        <f t="shared" si="66"/>
        <v>#REF!</v>
      </c>
      <c r="BV121" s="143" t="e">
        <f t="shared" si="67"/>
        <v>#REF!</v>
      </c>
      <c r="BW121" s="143">
        <f t="shared" si="68"/>
        <v>168.11</v>
      </c>
      <c r="BX121" s="37" t="s">
        <v>83</v>
      </c>
      <c r="BY121" s="37" t="s">
        <v>183</v>
      </c>
      <c r="BZ121" s="37" t="s">
        <v>1600</v>
      </c>
      <c r="CA121" s="66" t="e">
        <f>VLOOKUP(A121,'CMI Data'!$A$3:$AZ$209,20,FALSE)</f>
        <v>#DIV/0!</v>
      </c>
      <c r="CB121" s="68">
        <f t="shared" si="69"/>
        <v>168.52</v>
      </c>
      <c r="CC121" s="68" t="e">
        <f t="shared" si="70"/>
        <v>#DIV/0!</v>
      </c>
      <c r="CD121" s="75" t="e">
        <f t="shared" si="99"/>
        <v>#DIV/0!</v>
      </c>
      <c r="CE121" s="68" t="e">
        <f>IF($I121="NA","NA",ROUND(#REF!*$CA121/$I121,2))</f>
        <v>#REF!</v>
      </c>
      <c r="CF121" s="75" t="e">
        <f t="shared" si="100"/>
        <v>#REF!</v>
      </c>
      <c r="CG121" s="68" t="e">
        <f t="shared" si="101"/>
        <v>#REF!</v>
      </c>
      <c r="CH121" s="4">
        <f t="shared" si="102"/>
        <v>0</v>
      </c>
      <c r="CI121" s="4">
        <f t="shared" si="103"/>
        <v>203496</v>
      </c>
      <c r="CJ121" s="4">
        <f t="shared" si="104"/>
        <v>142181</v>
      </c>
      <c r="CK121" s="142">
        <f>IF(ISNA(VLOOKUP($A121&amp;$AB121,'Days Exceptions'!$C$3:$I$7,6,FALSE)),ROUND(CH121/MAX(CJ121,(CI121*Min_Occ)),2),ROUND(CH121/VLOOKUP($A121&amp;$AB121,'Days Exceptions'!$C$3:$I$7,6,FALSE),2))</f>
        <v>0</v>
      </c>
      <c r="CL121" s="143" t="e">
        <f t="shared" si="71"/>
        <v>#REF!</v>
      </c>
      <c r="CM121" s="143" t="e">
        <f t="shared" si="72"/>
        <v>#REF!</v>
      </c>
      <c r="CN121" s="143">
        <f t="shared" si="73"/>
        <v>168.11</v>
      </c>
      <c r="CO121" s="37" t="s">
        <v>83</v>
      </c>
      <c r="CP121" s="37" t="s">
        <v>183</v>
      </c>
      <c r="CQ121" s="37" t="s">
        <v>1601</v>
      </c>
    </row>
    <row r="122" spans="1:95" x14ac:dyDescent="0.15">
      <c r="A122" s="130">
        <v>460</v>
      </c>
      <c r="B122" s="37" t="s">
        <v>182</v>
      </c>
      <c r="C122" s="1" t="s">
        <v>148</v>
      </c>
      <c r="D122" s="1" t="s">
        <v>119</v>
      </c>
      <c r="E122" s="1" t="str">
        <f>VLOOKUP(D122,Documentation!$B$4:$D$27,3,FALSE)</f>
        <v>WASHINGTON METRO</v>
      </c>
      <c r="F122" s="1" t="str">
        <f>VLOOKUP(D122,Documentation!$B$4:$C$27,2,FALSE)</f>
        <v>WASHINGTON METRO</v>
      </c>
      <c r="G122" s="82">
        <f>VLOOKUP(A122,'2022 CR and CMI'!$A$3:$D$207,3,FALSE)</f>
        <v>44562</v>
      </c>
      <c r="H122" s="82">
        <f>VLOOKUP(A122,'2022 CR and CMI'!$A$3:$D$207,4,FALSE)</f>
        <v>44926</v>
      </c>
      <c r="I122" s="72">
        <f>VLOOKUP(A122,'2022 CR and CMI'!$A$2:$T$210,19,FALSE)</f>
        <v>1.4749000000000001</v>
      </c>
      <c r="J122" s="139">
        <f>Inflation!$G$24</f>
        <v>1.0309999999999999</v>
      </c>
      <c r="K122" s="192">
        <f>VLOOKUP(E122,Limits!$B$2:$D$5,3,FALSE)</f>
        <v>176.01</v>
      </c>
      <c r="L122" s="192">
        <f t="shared" si="74"/>
        <v>181.47</v>
      </c>
      <c r="M122" s="140">
        <f>VLOOKUP(A122,'CMI Data'!$A$4:$C$208,3,FALSE)</f>
        <v>1.2587999999999999</v>
      </c>
      <c r="N122" s="68">
        <f t="shared" si="58"/>
        <v>185.46</v>
      </c>
      <c r="O122" s="68">
        <f t="shared" si="75"/>
        <v>158.29</v>
      </c>
      <c r="P122" s="75">
        <f t="shared" si="76"/>
        <v>150.38</v>
      </c>
      <c r="Q122" s="75">
        <v>219.86</v>
      </c>
      <c r="R122" s="75">
        <f t="shared" si="77"/>
        <v>226.68</v>
      </c>
      <c r="S122" s="68">
        <f t="shared" si="78"/>
        <v>193.47</v>
      </c>
      <c r="T122" s="75">
        <f t="shared" si="79"/>
        <v>0</v>
      </c>
      <c r="U122" s="68">
        <f t="shared" si="80"/>
        <v>158.29</v>
      </c>
      <c r="V122" s="68">
        <f>VLOOKUP($F122,Limits!$J$2:$L$5,3,FALSE)</f>
        <v>19.23</v>
      </c>
      <c r="W122" s="68">
        <f t="shared" si="81"/>
        <v>19.829999999999998</v>
      </c>
      <c r="X122" s="68">
        <f>VLOOKUP($F122,Limits!$R$2:$T$5,3,FALSE)</f>
        <v>100.61</v>
      </c>
      <c r="Y122" s="68">
        <f t="shared" si="82"/>
        <v>103.73</v>
      </c>
      <c r="Z122" s="75">
        <f>VLOOKUP(A122,FRV!$A$4:$U$208,21,FALSE)</f>
        <v>44.29</v>
      </c>
      <c r="AA122" s="141">
        <f>VLOOKUP(A122,'RE Tax'!$A$2:$G$206,3,FALSE)</f>
        <v>45292</v>
      </c>
      <c r="AB122" s="141">
        <f>VLOOKUP(A122,'RE Tax'!$A$2:$G$206,4,FALSE)</f>
        <v>45657</v>
      </c>
      <c r="AC122" s="4">
        <f>VLOOKUP(A122,'RE Tax'!$A$2:$G$206,7,FALSE)</f>
        <v>0</v>
      </c>
      <c r="AD122" s="4">
        <f>VLOOKUP($A122,'RE Tax'!$A$2:$I$206,9,FALSE)</f>
        <v>104310</v>
      </c>
      <c r="AE122" s="4">
        <f>VLOOKUP($A122,'RE Tax'!$A$2:$I$206,8,FALSE)</f>
        <v>64276</v>
      </c>
      <c r="AF122" s="142">
        <f>IF(ISNA(VLOOKUP(A122&amp;AB122,'Days Exceptions'!$C$3:$I$7,6,FALSE)),ROUND(AC122/MAX(AE122,(AD122*Min_Occ)),2),ROUND(AC122/VLOOKUP(A122&amp;AB122,'Days Exceptions'!$C$3:$I$7,6,FALSE),2))</f>
        <v>0</v>
      </c>
      <c r="AG122" s="68">
        <v>0</v>
      </c>
      <c r="AH122" s="68">
        <f t="shared" si="83"/>
        <v>0</v>
      </c>
      <c r="AI122" s="4">
        <v>0</v>
      </c>
      <c r="AJ122" s="4">
        <v>0</v>
      </c>
      <c r="AK122" s="68">
        <f>IF(AI122=0,0,IF(ISNA(MATCH(A122,Documentation!$B$66:$B$71,0)),QA_Tax_reg,QA_Tax_5high))</f>
        <v>0</v>
      </c>
      <c r="AL122" s="75">
        <f t="shared" si="84"/>
        <v>0</v>
      </c>
      <c r="AM122" s="68">
        <f t="shared" si="85"/>
        <v>326.14</v>
      </c>
      <c r="AN122" s="68">
        <f t="shared" si="86"/>
        <v>247</v>
      </c>
      <c r="AO122" s="68">
        <f t="shared" si="87"/>
        <v>167.85</v>
      </c>
      <c r="AP122" s="37" t="s">
        <v>80</v>
      </c>
      <c r="AQ122" s="37" t="s">
        <v>182</v>
      </c>
      <c r="AR122" s="37" t="s">
        <v>1075</v>
      </c>
      <c r="AS122" s="66" t="e">
        <f>VLOOKUP(A122,'CMI Data'!$A$3:$J$209,10,FALSE)</f>
        <v>#DIV/0!</v>
      </c>
      <c r="AT122" s="68">
        <f t="shared" si="59"/>
        <v>179.88</v>
      </c>
      <c r="AU122" s="68" t="e">
        <f t="shared" si="60"/>
        <v>#DIV/0!</v>
      </c>
      <c r="AV122" s="75" t="e">
        <f t="shared" si="88"/>
        <v>#DIV/0!</v>
      </c>
      <c r="AW122" s="68" t="e">
        <f>IF($I122="NA","NA",ROUND(#REF!*$AS122/$I122,2))</f>
        <v>#REF!</v>
      </c>
      <c r="AX122" s="75" t="e">
        <f t="shared" si="105"/>
        <v>#REF!</v>
      </c>
      <c r="AY122" s="68" t="e">
        <f t="shared" si="89"/>
        <v>#REF!</v>
      </c>
      <c r="AZ122" s="4">
        <f t="shared" si="90"/>
        <v>0</v>
      </c>
      <c r="BA122" s="4">
        <f t="shared" si="91"/>
        <v>104310</v>
      </c>
      <c r="BB122" s="4">
        <f t="shared" si="92"/>
        <v>64276</v>
      </c>
      <c r="BC122" s="142">
        <f>IF(ISNA(VLOOKUP($A122&amp;$AB122,'Days Exceptions'!$C$3:$I$7,6,FALSE)),ROUND(AZ122/MAX(BB122,(BA122*Min_Occ)),2),ROUND(AZ122/VLOOKUP($A122&amp;$AB122,'Days Exceptions'!$C$3:$I$7,6,FALSE),2))</f>
        <v>0</v>
      </c>
      <c r="BD122" s="143" t="e">
        <f t="shared" si="61"/>
        <v>#REF!</v>
      </c>
      <c r="BE122" s="143" t="e">
        <f t="shared" si="62"/>
        <v>#REF!</v>
      </c>
      <c r="BF122" s="143">
        <f t="shared" si="63"/>
        <v>164.13</v>
      </c>
      <c r="BG122" s="37" t="s">
        <v>80</v>
      </c>
      <c r="BH122" s="37" t="s">
        <v>182</v>
      </c>
      <c r="BI122" s="37" t="s">
        <v>1279</v>
      </c>
      <c r="BJ122" s="66" t="e">
        <f>VLOOKUP(A122,'CMI Data'!$A$3:$AZ$209,15,FALSE)</f>
        <v>#DIV/0!</v>
      </c>
      <c r="BK122" s="68">
        <f t="shared" si="64"/>
        <v>179.88</v>
      </c>
      <c r="BL122" s="68" t="e">
        <f t="shared" si="65"/>
        <v>#DIV/0!</v>
      </c>
      <c r="BM122" s="75" t="e">
        <f t="shared" si="93"/>
        <v>#DIV/0!</v>
      </c>
      <c r="BN122" s="68" t="e">
        <f>IF($I122="NA","NA",ROUND(#REF!*$BJ122/$I122,2))</f>
        <v>#REF!</v>
      </c>
      <c r="BO122" s="75" t="e">
        <f t="shared" si="94"/>
        <v>#REF!</v>
      </c>
      <c r="BP122" s="68" t="e">
        <f t="shared" si="95"/>
        <v>#REF!</v>
      </c>
      <c r="BQ122" s="4">
        <f t="shared" si="96"/>
        <v>0</v>
      </c>
      <c r="BR122" s="4">
        <f t="shared" si="97"/>
        <v>104310</v>
      </c>
      <c r="BS122" s="4">
        <f t="shared" si="98"/>
        <v>64276</v>
      </c>
      <c r="BT122" s="142">
        <f>IF(ISNA(VLOOKUP($A122&amp;$AB122,'Days Exceptions'!$C$3:$I$7,6,FALSE)),ROUND(BQ122/MAX(BS122,(BR122*Min_Occ)),2),ROUND(BQ122/VLOOKUP($A122&amp;$AB122,'Days Exceptions'!$C$3:$I$7,6,FALSE),2))</f>
        <v>0</v>
      </c>
      <c r="BU122" s="143" t="e">
        <f t="shared" si="66"/>
        <v>#REF!</v>
      </c>
      <c r="BV122" s="143" t="e">
        <f t="shared" si="67"/>
        <v>#REF!</v>
      </c>
      <c r="BW122" s="143">
        <f t="shared" si="68"/>
        <v>164.13</v>
      </c>
      <c r="BX122" s="37" t="s">
        <v>80</v>
      </c>
      <c r="BY122" s="37" t="s">
        <v>182</v>
      </c>
      <c r="BZ122" s="37" t="s">
        <v>1602</v>
      </c>
      <c r="CA122" s="66" t="e">
        <f>VLOOKUP(A122,'CMI Data'!$A$3:$AZ$209,20,FALSE)</f>
        <v>#DIV/0!</v>
      </c>
      <c r="CB122" s="68">
        <f t="shared" si="69"/>
        <v>179.88</v>
      </c>
      <c r="CC122" s="68" t="e">
        <f t="shared" si="70"/>
        <v>#DIV/0!</v>
      </c>
      <c r="CD122" s="75" t="e">
        <f t="shared" si="99"/>
        <v>#DIV/0!</v>
      </c>
      <c r="CE122" s="68" t="e">
        <f>IF($I122="NA","NA",ROUND(#REF!*$CA122/$I122,2))</f>
        <v>#REF!</v>
      </c>
      <c r="CF122" s="75" t="e">
        <f t="shared" si="100"/>
        <v>#REF!</v>
      </c>
      <c r="CG122" s="68" t="e">
        <f t="shared" si="101"/>
        <v>#REF!</v>
      </c>
      <c r="CH122" s="4">
        <f t="shared" si="102"/>
        <v>0</v>
      </c>
      <c r="CI122" s="4">
        <f t="shared" si="103"/>
        <v>104310</v>
      </c>
      <c r="CJ122" s="4">
        <f t="shared" si="104"/>
        <v>64276</v>
      </c>
      <c r="CK122" s="142">
        <f>IF(ISNA(VLOOKUP($A122&amp;$AB122,'Days Exceptions'!$C$3:$I$7,6,FALSE)),ROUND(CH122/MAX(CJ122,(CI122*Min_Occ)),2),ROUND(CH122/VLOOKUP($A122&amp;$AB122,'Days Exceptions'!$C$3:$I$7,6,FALSE),2))</f>
        <v>0</v>
      </c>
      <c r="CL122" s="143" t="e">
        <f t="shared" si="71"/>
        <v>#REF!</v>
      </c>
      <c r="CM122" s="143" t="e">
        <f t="shared" si="72"/>
        <v>#REF!</v>
      </c>
      <c r="CN122" s="143">
        <f t="shared" si="73"/>
        <v>164.13</v>
      </c>
      <c r="CO122" s="37" t="s">
        <v>80</v>
      </c>
      <c r="CP122" s="37" t="s">
        <v>182</v>
      </c>
      <c r="CQ122" s="37" t="s">
        <v>1603</v>
      </c>
    </row>
    <row r="123" spans="1:95" x14ac:dyDescent="0.15">
      <c r="A123" s="130">
        <v>238</v>
      </c>
      <c r="B123" s="37" t="s">
        <v>235</v>
      </c>
      <c r="C123" s="1" t="s">
        <v>148</v>
      </c>
      <c r="D123" s="1" t="s">
        <v>107</v>
      </c>
      <c r="E123" s="1" t="str">
        <f>VLOOKUP(D123,Documentation!$B$4:$D$27,3,FALSE)</f>
        <v>BALTIMORE METRO</v>
      </c>
      <c r="F123" s="1" t="str">
        <f>VLOOKUP(D123,Documentation!$B$4:$C$27,2,FALSE)</f>
        <v>BALTIMORE METRO</v>
      </c>
      <c r="G123" s="82">
        <f>VLOOKUP(A123,'2022 CR and CMI'!$A$3:$D$207,3,FALSE)</f>
        <v>44378</v>
      </c>
      <c r="H123" s="82">
        <f>VLOOKUP(A123,'2022 CR and CMI'!$A$3:$D$207,4,FALSE)</f>
        <v>44742</v>
      </c>
      <c r="I123" s="72">
        <f>VLOOKUP(A123,'2022 CR and CMI'!$A$2:$T$210,19,FALSE)</f>
        <v>1.3187</v>
      </c>
      <c r="J123" s="139">
        <f>Inflation!$G$24</f>
        <v>1.0309999999999999</v>
      </c>
      <c r="K123" s="192">
        <f>VLOOKUP(E123,Limits!$B$2:$D$5,3,FALSE)</f>
        <v>195.33</v>
      </c>
      <c r="L123" s="192">
        <f t="shared" si="74"/>
        <v>201.39</v>
      </c>
      <c r="M123" s="140">
        <f>VLOOKUP(A123,'CMI Data'!$A$4:$C$208,3,FALSE)</f>
        <v>1.3952</v>
      </c>
      <c r="N123" s="68">
        <f t="shared" si="58"/>
        <v>184.02</v>
      </c>
      <c r="O123" s="68">
        <f t="shared" si="75"/>
        <v>194.7</v>
      </c>
      <c r="P123" s="75">
        <f t="shared" si="76"/>
        <v>184.97</v>
      </c>
      <c r="Q123" s="75">
        <v>156.01</v>
      </c>
      <c r="R123" s="75">
        <f t="shared" si="77"/>
        <v>160.85</v>
      </c>
      <c r="S123" s="68">
        <f t="shared" si="78"/>
        <v>170.18</v>
      </c>
      <c r="T123" s="75">
        <f t="shared" si="79"/>
        <v>-14.79</v>
      </c>
      <c r="U123" s="68">
        <f t="shared" si="80"/>
        <v>179.91</v>
      </c>
      <c r="V123" s="68">
        <f>VLOOKUP($F123,Limits!$J$2:$L$5,3,FALSE)</f>
        <v>20.85</v>
      </c>
      <c r="W123" s="68">
        <f t="shared" si="81"/>
        <v>21.5</v>
      </c>
      <c r="X123" s="68">
        <f>VLOOKUP($F123,Limits!$R$2:$T$5,3,FALSE)</f>
        <v>102.02</v>
      </c>
      <c r="Y123" s="68">
        <f t="shared" si="82"/>
        <v>105.18</v>
      </c>
      <c r="Z123" s="75">
        <f>VLOOKUP(A123,FRV!$A$4:$U$208,21,FALSE)</f>
        <v>40.57</v>
      </c>
      <c r="AA123" s="141">
        <f>VLOOKUP(A123,'RE Tax'!$A$2:$G$206,3,FALSE)</f>
        <v>45108</v>
      </c>
      <c r="AB123" s="141">
        <f>VLOOKUP(A123,'RE Tax'!$A$2:$G$206,4,FALSE)</f>
        <v>45473</v>
      </c>
      <c r="AC123" s="4">
        <f>VLOOKUP(A123,'RE Tax'!$A$2:$G$206,7,FALSE)</f>
        <v>65412</v>
      </c>
      <c r="AD123" s="4">
        <f>VLOOKUP($A123,'RE Tax'!$A$2:$I$206,9,FALSE)</f>
        <v>27450</v>
      </c>
      <c r="AE123" s="4">
        <f>VLOOKUP($A123,'RE Tax'!$A$2:$I$206,8,FALSE)</f>
        <v>25514</v>
      </c>
      <c r="AF123" s="142">
        <f>IF(ISNA(VLOOKUP(A123&amp;AB123,'Days Exceptions'!$C$3:$I$7,6,FALSE)),ROUND(AC123/MAX(AE123,(AD123*Min_Occ)),2),ROUND(AC123/VLOOKUP(A123&amp;AB123,'Days Exceptions'!$C$3:$I$7,6,FALSE),2))</f>
        <v>2.56</v>
      </c>
      <c r="AG123" s="68">
        <v>0</v>
      </c>
      <c r="AH123" s="68">
        <f t="shared" si="83"/>
        <v>0</v>
      </c>
      <c r="AI123" s="4">
        <v>24175</v>
      </c>
      <c r="AJ123" s="4">
        <v>25563</v>
      </c>
      <c r="AK123" s="68">
        <f>IF(AI123=0,0,IF(ISNA(MATCH(A123,Documentation!$B$66:$B$71,0)),QA_Tax_reg,QA_Tax_5high))</f>
        <v>32.92</v>
      </c>
      <c r="AL123" s="75">
        <f t="shared" si="84"/>
        <v>31.13</v>
      </c>
      <c r="AM123" s="68">
        <f t="shared" si="85"/>
        <v>349.72</v>
      </c>
      <c r="AN123" s="68">
        <f t="shared" si="86"/>
        <v>259.77</v>
      </c>
      <c r="AO123" s="68">
        <f t="shared" si="87"/>
        <v>169.81</v>
      </c>
      <c r="AP123" s="37" t="s">
        <v>8</v>
      </c>
      <c r="AQ123" s="37" t="s">
        <v>235</v>
      </c>
      <c r="AR123" s="37" t="s">
        <v>1076</v>
      </c>
      <c r="AS123" s="66" t="e">
        <f>VLOOKUP(A123,'CMI Data'!$A$3:$J$209,10,FALSE)</f>
        <v>#DIV/0!</v>
      </c>
      <c r="AT123" s="68">
        <f t="shared" si="59"/>
        <v>178.48</v>
      </c>
      <c r="AU123" s="68" t="e">
        <f t="shared" si="60"/>
        <v>#DIV/0!</v>
      </c>
      <c r="AV123" s="75" t="e">
        <f t="shared" si="88"/>
        <v>#DIV/0!</v>
      </c>
      <c r="AW123" s="68" t="e">
        <f>IF($I123="NA","NA",ROUND(#REF!*$AS123/$I123,2))</f>
        <v>#REF!</v>
      </c>
      <c r="AX123" s="75" t="e">
        <f t="shared" si="105"/>
        <v>#REF!</v>
      </c>
      <c r="AY123" s="68" t="e">
        <f t="shared" si="89"/>
        <v>#REF!</v>
      </c>
      <c r="AZ123" s="4">
        <f t="shared" si="90"/>
        <v>65412</v>
      </c>
      <c r="BA123" s="4">
        <f t="shared" si="91"/>
        <v>27450</v>
      </c>
      <c r="BB123" s="4">
        <f t="shared" si="92"/>
        <v>25514</v>
      </c>
      <c r="BC123" s="142">
        <f>IF(ISNA(VLOOKUP($A123&amp;$AB123,'Days Exceptions'!$C$3:$I$7,6,FALSE)),ROUND(AZ123/MAX(BB123,(BA123*Min_Occ)),2),ROUND(AZ123/VLOOKUP($A123&amp;$AB123,'Days Exceptions'!$C$3:$I$7,6,FALSE),2))</f>
        <v>2.56</v>
      </c>
      <c r="BD123" s="143" t="e">
        <f t="shared" si="61"/>
        <v>#REF!</v>
      </c>
      <c r="BE123" s="143" t="e">
        <f t="shared" si="62"/>
        <v>#REF!</v>
      </c>
      <c r="BF123" s="143">
        <f t="shared" si="63"/>
        <v>166</v>
      </c>
      <c r="BG123" s="37" t="s">
        <v>8</v>
      </c>
      <c r="BH123" s="37" t="s">
        <v>235</v>
      </c>
      <c r="BI123" s="37" t="s">
        <v>1280</v>
      </c>
      <c r="BJ123" s="66" t="e">
        <f>VLOOKUP(A123,'CMI Data'!$A$3:$AZ$209,15,FALSE)</f>
        <v>#DIV/0!</v>
      </c>
      <c r="BK123" s="68">
        <f t="shared" si="64"/>
        <v>178.48</v>
      </c>
      <c r="BL123" s="68" t="e">
        <f t="shared" si="65"/>
        <v>#DIV/0!</v>
      </c>
      <c r="BM123" s="75" t="e">
        <f t="shared" si="93"/>
        <v>#DIV/0!</v>
      </c>
      <c r="BN123" s="68" t="e">
        <f>IF($I123="NA","NA",ROUND(#REF!*$BJ123/$I123,2))</f>
        <v>#REF!</v>
      </c>
      <c r="BO123" s="75" t="e">
        <f t="shared" si="94"/>
        <v>#REF!</v>
      </c>
      <c r="BP123" s="68" t="e">
        <f t="shared" si="95"/>
        <v>#REF!</v>
      </c>
      <c r="BQ123" s="4">
        <f t="shared" si="96"/>
        <v>65412</v>
      </c>
      <c r="BR123" s="4">
        <f t="shared" si="97"/>
        <v>27450</v>
      </c>
      <c r="BS123" s="4">
        <f t="shared" si="98"/>
        <v>25514</v>
      </c>
      <c r="BT123" s="142">
        <f>IF(ISNA(VLOOKUP($A123&amp;$AB123,'Days Exceptions'!$C$3:$I$7,6,FALSE)),ROUND(BQ123/MAX(BS123,(BR123*Min_Occ)),2),ROUND(BQ123/VLOOKUP($A123&amp;$AB123,'Days Exceptions'!$C$3:$I$7,6,FALSE),2))</f>
        <v>2.56</v>
      </c>
      <c r="BU123" s="143" t="e">
        <f t="shared" si="66"/>
        <v>#REF!</v>
      </c>
      <c r="BV123" s="143" t="e">
        <f t="shared" si="67"/>
        <v>#REF!</v>
      </c>
      <c r="BW123" s="143">
        <f t="shared" si="68"/>
        <v>166</v>
      </c>
      <c r="BX123" s="37" t="s">
        <v>8</v>
      </c>
      <c r="BY123" s="37" t="s">
        <v>235</v>
      </c>
      <c r="BZ123" s="37" t="s">
        <v>1604</v>
      </c>
      <c r="CA123" s="66" t="e">
        <f>VLOOKUP(A123,'CMI Data'!$A$3:$AZ$209,20,FALSE)</f>
        <v>#DIV/0!</v>
      </c>
      <c r="CB123" s="68">
        <f t="shared" si="69"/>
        <v>178.48</v>
      </c>
      <c r="CC123" s="68" t="e">
        <f t="shared" si="70"/>
        <v>#DIV/0!</v>
      </c>
      <c r="CD123" s="75" t="e">
        <f t="shared" si="99"/>
        <v>#DIV/0!</v>
      </c>
      <c r="CE123" s="68" t="e">
        <f>IF($I123="NA","NA",ROUND(#REF!*$CA123/$I123,2))</f>
        <v>#REF!</v>
      </c>
      <c r="CF123" s="75" t="e">
        <f t="shared" si="100"/>
        <v>#REF!</v>
      </c>
      <c r="CG123" s="68" t="e">
        <f t="shared" si="101"/>
        <v>#REF!</v>
      </c>
      <c r="CH123" s="4">
        <f t="shared" si="102"/>
        <v>65412</v>
      </c>
      <c r="CI123" s="4">
        <f t="shared" si="103"/>
        <v>27450</v>
      </c>
      <c r="CJ123" s="4">
        <f t="shared" si="104"/>
        <v>25514</v>
      </c>
      <c r="CK123" s="142">
        <f>IF(ISNA(VLOOKUP($A123&amp;$AB123,'Days Exceptions'!$C$3:$I$7,6,FALSE)),ROUND(CH123/MAX(CJ123,(CI123*Min_Occ)),2),ROUND(CH123/VLOOKUP($A123&amp;$AB123,'Days Exceptions'!$C$3:$I$7,6,FALSE),2))</f>
        <v>2.56</v>
      </c>
      <c r="CL123" s="143" t="e">
        <f t="shared" si="71"/>
        <v>#REF!</v>
      </c>
      <c r="CM123" s="143" t="e">
        <f t="shared" si="72"/>
        <v>#REF!</v>
      </c>
      <c r="CN123" s="143">
        <f t="shared" si="73"/>
        <v>166</v>
      </c>
      <c r="CO123" s="37" t="s">
        <v>8</v>
      </c>
      <c r="CP123" s="37" t="s">
        <v>809</v>
      </c>
      <c r="CQ123" s="37" t="s">
        <v>1605</v>
      </c>
    </row>
    <row r="124" spans="1:95" x14ac:dyDescent="0.15">
      <c r="A124" s="130">
        <v>242</v>
      </c>
      <c r="B124" s="37" t="s">
        <v>200</v>
      </c>
      <c r="C124" s="1" t="s">
        <v>148</v>
      </c>
      <c r="D124" s="1" t="s">
        <v>114</v>
      </c>
      <c r="E124" s="1" t="str">
        <f>VLOOKUP(D124,Documentation!$B$4:$D$27,3,FALSE)</f>
        <v>WASHINGTON METRO</v>
      </c>
      <c r="F124" s="1" t="str">
        <f>VLOOKUP(D124,Documentation!$B$4:$C$27,2,FALSE)</f>
        <v>NON METRO</v>
      </c>
      <c r="G124" s="82">
        <f>VLOOKUP(A124,'2022 CR and CMI'!$A$3:$D$207,3,FALSE)</f>
        <v>44562</v>
      </c>
      <c r="H124" s="82">
        <f>VLOOKUP(A124,'2022 CR and CMI'!$A$3:$D$207,4,FALSE)</f>
        <v>44926</v>
      </c>
      <c r="I124" s="72">
        <f>VLOOKUP(A124,'2022 CR and CMI'!$A$2:$T$210,19,FALSE)</f>
        <v>1.2000999999999999</v>
      </c>
      <c r="J124" s="139">
        <f>Inflation!$G$24</f>
        <v>1.0309999999999999</v>
      </c>
      <c r="K124" s="192">
        <f>VLOOKUP(E124,Limits!$B$2:$D$5,3,FALSE)</f>
        <v>176.01</v>
      </c>
      <c r="L124" s="192">
        <f t="shared" si="74"/>
        <v>181.47</v>
      </c>
      <c r="M124" s="140">
        <f>VLOOKUP(A124,'CMI Data'!$A$4:$C$208,3,FALSE)</f>
        <v>1.2504</v>
      </c>
      <c r="N124" s="68">
        <f t="shared" si="58"/>
        <v>150.9</v>
      </c>
      <c r="O124" s="68">
        <f t="shared" si="75"/>
        <v>157.22</v>
      </c>
      <c r="P124" s="75">
        <f t="shared" si="76"/>
        <v>149.36000000000001</v>
      </c>
      <c r="Q124" s="75">
        <v>247.27</v>
      </c>
      <c r="R124" s="75">
        <f t="shared" si="77"/>
        <v>254.94</v>
      </c>
      <c r="S124" s="68">
        <f t="shared" si="78"/>
        <v>265.63</v>
      </c>
      <c r="T124" s="75">
        <f t="shared" si="79"/>
        <v>0</v>
      </c>
      <c r="U124" s="68">
        <f t="shared" si="80"/>
        <v>157.22</v>
      </c>
      <c r="V124" s="68">
        <f>VLOOKUP($F124,Limits!$J$2:$L$5,3,FALSE)</f>
        <v>20.239999999999998</v>
      </c>
      <c r="W124" s="68">
        <f t="shared" si="81"/>
        <v>20.87</v>
      </c>
      <c r="X124" s="68">
        <f>VLOOKUP($F124,Limits!$R$2:$T$5,3,FALSE)</f>
        <v>89.55</v>
      </c>
      <c r="Y124" s="68">
        <f t="shared" si="82"/>
        <v>92.33</v>
      </c>
      <c r="Z124" s="75">
        <f>VLOOKUP(A124,FRV!$A$4:$U$208,21,FALSE)</f>
        <v>44.29</v>
      </c>
      <c r="AA124" s="141">
        <f>VLOOKUP(A124,'RE Tax'!$A$2:$G$206,3,FALSE)</f>
        <v>45292</v>
      </c>
      <c r="AB124" s="141">
        <f>VLOOKUP(A124,'RE Tax'!$A$2:$G$206,4,FALSE)</f>
        <v>45657</v>
      </c>
      <c r="AC124" s="4">
        <f>VLOOKUP(A124,'RE Tax'!$A$2:$G$206,7,FALSE)</f>
        <v>0</v>
      </c>
      <c r="AD124" s="4">
        <f>VLOOKUP($A124,'RE Tax'!$A$2:$I$206,9,FALSE)</f>
        <v>43920</v>
      </c>
      <c r="AE124" s="4">
        <f>VLOOKUP($A124,'RE Tax'!$A$2:$I$206,8,FALSE)</f>
        <v>30242</v>
      </c>
      <c r="AF124" s="142">
        <f>IF(ISNA(VLOOKUP(A124&amp;AB124,'Days Exceptions'!$C$3:$I$7,6,FALSE)),ROUND(AC124/MAX(AE124,(AD124*Min_Occ)),2),ROUND(AC124/VLOOKUP(A124&amp;AB124,'Days Exceptions'!$C$3:$I$7,6,FALSE),2))</f>
        <v>0</v>
      </c>
      <c r="AG124" s="68">
        <v>0</v>
      </c>
      <c r="AH124" s="68">
        <f t="shared" si="83"/>
        <v>0</v>
      </c>
      <c r="AI124" s="4">
        <v>0</v>
      </c>
      <c r="AJ124" s="4">
        <v>0</v>
      </c>
      <c r="AK124" s="68">
        <f>IF(AI124=0,0,IF(ISNA(MATCH(A124,Documentation!$B$66:$B$71,0)),QA_Tax_reg,QA_Tax_5high))</f>
        <v>0</v>
      </c>
      <c r="AL124" s="75">
        <f t="shared" si="84"/>
        <v>0</v>
      </c>
      <c r="AM124" s="68">
        <f t="shared" si="85"/>
        <v>314.70999999999998</v>
      </c>
      <c r="AN124" s="68">
        <f t="shared" si="86"/>
        <v>236.1</v>
      </c>
      <c r="AO124" s="68">
        <f t="shared" si="87"/>
        <v>157.49</v>
      </c>
      <c r="AP124" s="37" t="s">
        <v>21</v>
      </c>
      <c r="AQ124" s="37" t="s">
        <v>200</v>
      </c>
      <c r="AR124" s="37" t="s">
        <v>1077</v>
      </c>
      <c r="AS124" s="66" t="e">
        <f>VLOOKUP(A124,'CMI Data'!$A$3:$J$209,10,FALSE)</f>
        <v>#DIV/0!</v>
      </c>
      <c r="AT124" s="68">
        <f t="shared" si="59"/>
        <v>146.36000000000001</v>
      </c>
      <c r="AU124" s="68" t="e">
        <f t="shared" si="60"/>
        <v>#DIV/0!</v>
      </c>
      <c r="AV124" s="75" t="e">
        <f t="shared" si="88"/>
        <v>#DIV/0!</v>
      </c>
      <c r="AW124" s="68" t="e">
        <f>IF($I124="NA","NA",ROUND(#REF!*$AS124/$I124,2))</f>
        <v>#REF!</v>
      </c>
      <c r="AX124" s="75" t="e">
        <f t="shared" si="105"/>
        <v>#REF!</v>
      </c>
      <c r="AY124" s="68" t="e">
        <f t="shared" si="89"/>
        <v>#REF!</v>
      </c>
      <c r="AZ124" s="4">
        <f t="shared" si="90"/>
        <v>0</v>
      </c>
      <c r="BA124" s="4">
        <f t="shared" si="91"/>
        <v>43920</v>
      </c>
      <c r="BB124" s="4">
        <f t="shared" si="92"/>
        <v>30242</v>
      </c>
      <c r="BC124" s="142">
        <f>IF(ISNA(VLOOKUP($A124&amp;$AB124,'Days Exceptions'!$C$3:$I$7,6,FALSE)),ROUND(AZ124/MAX(BB124,(BA124*Min_Occ)),2),ROUND(AZ124/VLOOKUP($A124&amp;$AB124,'Days Exceptions'!$C$3:$I$7,6,FALSE),2))</f>
        <v>0</v>
      </c>
      <c r="BD124" s="143" t="e">
        <f t="shared" si="61"/>
        <v>#REF!</v>
      </c>
      <c r="BE124" s="143" t="e">
        <f t="shared" si="62"/>
        <v>#REF!</v>
      </c>
      <c r="BF124" s="143">
        <f t="shared" si="63"/>
        <v>154.08000000000001</v>
      </c>
      <c r="BG124" s="37" t="s">
        <v>21</v>
      </c>
      <c r="BH124" s="37" t="s">
        <v>200</v>
      </c>
      <c r="BI124" s="37" t="s">
        <v>1281</v>
      </c>
      <c r="BJ124" s="66" t="e">
        <f>VLOOKUP(A124,'CMI Data'!$A$3:$AZ$209,15,FALSE)</f>
        <v>#DIV/0!</v>
      </c>
      <c r="BK124" s="68">
        <f t="shared" si="64"/>
        <v>146.36000000000001</v>
      </c>
      <c r="BL124" s="68" t="e">
        <f t="shared" si="65"/>
        <v>#DIV/0!</v>
      </c>
      <c r="BM124" s="75" t="e">
        <f t="shared" si="93"/>
        <v>#DIV/0!</v>
      </c>
      <c r="BN124" s="68" t="e">
        <f>IF($I124="NA","NA",ROUND(#REF!*$BJ124/$I124,2))</f>
        <v>#REF!</v>
      </c>
      <c r="BO124" s="75" t="e">
        <f t="shared" si="94"/>
        <v>#REF!</v>
      </c>
      <c r="BP124" s="68" t="e">
        <f t="shared" si="95"/>
        <v>#REF!</v>
      </c>
      <c r="BQ124" s="4">
        <f t="shared" si="96"/>
        <v>0</v>
      </c>
      <c r="BR124" s="4">
        <f t="shared" si="97"/>
        <v>43920</v>
      </c>
      <c r="BS124" s="4">
        <f t="shared" si="98"/>
        <v>30242</v>
      </c>
      <c r="BT124" s="142">
        <f>IF(ISNA(VLOOKUP($A124&amp;$AB124,'Days Exceptions'!$C$3:$I$7,6,FALSE)),ROUND(BQ124/MAX(BS124,(BR124*Min_Occ)),2),ROUND(BQ124/VLOOKUP($A124&amp;$AB124,'Days Exceptions'!$C$3:$I$7,6,FALSE),2))</f>
        <v>0</v>
      </c>
      <c r="BU124" s="143" t="e">
        <f t="shared" si="66"/>
        <v>#REF!</v>
      </c>
      <c r="BV124" s="143" t="e">
        <f t="shared" si="67"/>
        <v>#REF!</v>
      </c>
      <c r="BW124" s="143">
        <f t="shared" si="68"/>
        <v>154.08000000000001</v>
      </c>
      <c r="BX124" s="37" t="s">
        <v>21</v>
      </c>
      <c r="BY124" s="37" t="s">
        <v>200</v>
      </c>
      <c r="BZ124" s="37" t="s">
        <v>1606</v>
      </c>
      <c r="CA124" s="66" t="e">
        <f>VLOOKUP(A124,'CMI Data'!$A$3:$AZ$209,20,FALSE)</f>
        <v>#DIV/0!</v>
      </c>
      <c r="CB124" s="68">
        <f t="shared" si="69"/>
        <v>146.36000000000001</v>
      </c>
      <c r="CC124" s="68" t="e">
        <f t="shared" si="70"/>
        <v>#DIV/0!</v>
      </c>
      <c r="CD124" s="75" t="e">
        <f t="shared" si="99"/>
        <v>#DIV/0!</v>
      </c>
      <c r="CE124" s="68" t="e">
        <f>IF($I124="NA","NA",ROUND(#REF!*$CA124/$I124,2))</f>
        <v>#REF!</v>
      </c>
      <c r="CF124" s="75" t="e">
        <f t="shared" si="100"/>
        <v>#REF!</v>
      </c>
      <c r="CG124" s="68" t="e">
        <f t="shared" si="101"/>
        <v>#REF!</v>
      </c>
      <c r="CH124" s="4">
        <f t="shared" si="102"/>
        <v>0</v>
      </c>
      <c r="CI124" s="4">
        <f t="shared" si="103"/>
        <v>43920</v>
      </c>
      <c r="CJ124" s="4">
        <f t="shared" si="104"/>
        <v>30242</v>
      </c>
      <c r="CK124" s="142">
        <f>IF(ISNA(VLOOKUP($A124&amp;$AB124,'Days Exceptions'!$C$3:$I$7,6,FALSE)),ROUND(CH124/MAX(CJ124,(CI124*Min_Occ)),2),ROUND(CH124/VLOOKUP($A124&amp;$AB124,'Days Exceptions'!$C$3:$I$7,6,FALSE),2))</f>
        <v>0</v>
      </c>
      <c r="CL124" s="143" t="e">
        <f t="shared" si="71"/>
        <v>#REF!</v>
      </c>
      <c r="CM124" s="143" t="e">
        <f t="shared" si="72"/>
        <v>#REF!</v>
      </c>
      <c r="CN124" s="143">
        <f t="shared" si="73"/>
        <v>154.08000000000001</v>
      </c>
      <c r="CO124" s="37" t="s">
        <v>21</v>
      </c>
      <c r="CP124" s="37" t="s">
        <v>200</v>
      </c>
      <c r="CQ124" s="37" t="s">
        <v>1607</v>
      </c>
    </row>
    <row r="125" spans="1:95" x14ac:dyDescent="0.15">
      <c r="A125" s="130">
        <v>244</v>
      </c>
      <c r="B125" s="37" t="s">
        <v>186</v>
      </c>
      <c r="C125" s="1" t="s">
        <v>148</v>
      </c>
      <c r="D125" s="1" t="s">
        <v>125</v>
      </c>
      <c r="E125" s="1" t="str">
        <f>VLOOKUP(D125,Documentation!$B$4:$D$27,3,FALSE)</f>
        <v>WESTERN REGION</v>
      </c>
      <c r="F125" s="1" t="str">
        <f>VLOOKUP(D125,Documentation!$B$4:$C$27,2,FALSE)</f>
        <v>NON METRO</v>
      </c>
      <c r="G125" s="82">
        <f>VLOOKUP(A125,'2022 CR and CMI'!$A$3:$D$207,3,FALSE)</f>
        <v>44562</v>
      </c>
      <c r="H125" s="82">
        <f>VLOOKUP(A125,'2022 CR and CMI'!$A$3:$D$207,4,FALSE)</f>
        <v>44926</v>
      </c>
      <c r="I125" s="72">
        <f>VLOOKUP(A125,'2022 CR and CMI'!$A$2:$T$210,19,FALSE)</f>
        <v>1.2136</v>
      </c>
      <c r="J125" s="139">
        <f>Inflation!$G$24</f>
        <v>1.0309999999999999</v>
      </c>
      <c r="K125" s="192">
        <f>VLOOKUP(E125,Limits!$B$2:$D$5,3,FALSE)</f>
        <v>166.26</v>
      </c>
      <c r="L125" s="192">
        <f t="shared" si="74"/>
        <v>171.41</v>
      </c>
      <c r="M125" s="140">
        <f>VLOOKUP(A125,'CMI Data'!$A$4:$C$208,3,FALSE)</f>
        <v>1.216</v>
      </c>
      <c r="N125" s="68">
        <f t="shared" si="58"/>
        <v>144.13999999999999</v>
      </c>
      <c r="O125" s="68">
        <f t="shared" si="75"/>
        <v>144.43</v>
      </c>
      <c r="P125" s="75">
        <f t="shared" si="76"/>
        <v>137.21</v>
      </c>
      <c r="Q125" s="75">
        <v>215.65</v>
      </c>
      <c r="R125" s="75">
        <f t="shared" si="77"/>
        <v>222.34</v>
      </c>
      <c r="S125" s="68">
        <f t="shared" si="78"/>
        <v>222.78</v>
      </c>
      <c r="T125" s="75">
        <f t="shared" si="79"/>
        <v>0</v>
      </c>
      <c r="U125" s="68">
        <f t="shared" si="80"/>
        <v>144.43</v>
      </c>
      <c r="V125" s="68">
        <f>VLOOKUP($F125,Limits!$J$2:$L$5,3,FALSE)</f>
        <v>20.239999999999998</v>
      </c>
      <c r="W125" s="68">
        <f t="shared" si="81"/>
        <v>20.87</v>
      </c>
      <c r="X125" s="68">
        <f>VLOOKUP($F125,Limits!$R$2:$T$5,3,FALSE)</f>
        <v>89.55</v>
      </c>
      <c r="Y125" s="68">
        <f t="shared" si="82"/>
        <v>92.33</v>
      </c>
      <c r="Z125" s="75">
        <f>VLOOKUP(A125,FRV!$A$4:$U$208,21,FALSE)</f>
        <v>44.29</v>
      </c>
      <c r="AA125" s="141">
        <f>VLOOKUP(A125,'RE Tax'!$A$2:$G$206,3,FALSE)</f>
        <v>45292</v>
      </c>
      <c r="AB125" s="141">
        <f>VLOOKUP(A125,'RE Tax'!$A$2:$G$206,4,FALSE)</f>
        <v>45657</v>
      </c>
      <c r="AC125" s="4">
        <f>VLOOKUP(A125,'RE Tax'!$A$2:$G$206,7,FALSE)</f>
        <v>0</v>
      </c>
      <c r="AD125" s="4">
        <f>VLOOKUP($A125,'RE Tax'!$A$2:$I$206,9,FALSE)</f>
        <v>30012</v>
      </c>
      <c r="AE125" s="4">
        <f>VLOOKUP($A125,'RE Tax'!$A$2:$I$206,8,FALSE)</f>
        <v>25366</v>
      </c>
      <c r="AF125" s="142">
        <f>IF(ISNA(VLOOKUP(A125&amp;AB125,'Days Exceptions'!$C$3:$I$7,6,FALSE)),ROUND(AC125/MAX(AE125,(AD125*Min_Occ)),2),ROUND(AC125/VLOOKUP(A125&amp;AB125,'Days Exceptions'!$C$3:$I$7,6,FALSE),2))</f>
        <v>0</v>
      </c>
      <c r="AG125" s="68">
        <v>0</v>
      </c>
      <c r="AH125" s="68">
        <f t="shared" si="83"/>
        <v>0</v>
      </c>
      <c r="AI125" s="4">
        <v>0</v>
      </c>
      <c r="AJ125" s="4">
        <v>0</v>
      </c>
      <c r="AK125" s="68">
        <f>IF(AI125=0,0,IF(ISNA(MATCH(A125,Documentation!$B$66:$B$71,0)),QA_Tax_reg,QA_Tax_5high))</f>
        <v>0</v>
      </c>
      <c r="AL125" s="75">
        <f t="shared" si="84"/>
        <v>0</v>
      </c>
      <c r="AM125" s="68">
        <f t="shared" si="85"/>
        <v>301.92</v>
      </c>
      <c r="AN125" s="68">
        <f t="shared" si="86"/>
        <v>229.71</v>
      </c>
      <c r="AO125" s="68">
        <f t="shared" si="87"/>
        <v>157.49</v>
      </c>
      <c r="AP125" s="37" t="s">
        <v>92</v>
      </c>
      <c r="AQ125" s="37" t="s">
        <v>186</v>
      </c>
      <c r="AR125" s="37" t="s">
        <v>1078</v>
      </c>
      <c r="AS125" s="66" t="e">
        <f>VLOOKUP(A125,'CMI Data'!$A$3:$J$209,10,FALSE)</f>
        <v>#DIV/0!</v>
      </c>
      <c r="AT125" s="68">
        <f t="shared" si="59"/>
        <v>139.81</v>
      </c>
      <c r="AU125" s="68" t="e">
        <f t="shared" si="60"/>
        <v>#DIV/0!</v>
      </c>
      <c r="AV125" s="75" t="e">
        <f t="shared" si="88"/>
        <v>#DIV/0!</v>
      </c>
      <c r="AW125" s="68" t="e">
        <f>IF($I125="NA","NA",ROUND(#REF!*$AS125/$I125,2))</f>
        <v>#REF!</v>
      </c>
      <c r="AX125" s="75" t="e">
        <f t="shared" si="105"/>
        <v>#REF!</v>
      </c>
      <c r="AY125" s="68" t="e">
        <f t="shared" si="89"/>
        <v>#REF!</v>
      </c>
      <c r="AZ125" s="4">
        <f t="shared" si="90"/>
        <v>0</v>
      </c>
      <c r="BA125" s="4">
        <f t="shared" si="91"/>
        <v>30012</v>
      </c>
      <c r="BB125" s="4">
        <f t="shared" si="92"/>
        <v>25366</v>
      </c>
      <c r="BC125" s="142">
        <f>IF(ISNA(VLOOKUP($A125&amp;$AB125,'Days Exceptions'!$C$3:$I$7,6,FALSE)),ROUND(AZ125/MAX(BB125,(BA125*Min_Occ)),2),ROUND(AZ125/VLOOKUP($A125&amp;$AB125,'Days Exceptions'!$C$3:$I$7,6,FALSE),2))</f>
        <v>0</v>
      </c>
      <c r="BD125" s="143" t="e">
        <f t="shared" si="61"/>
        <v>#REF!</v>
      </c>
      <c r="BE125" s="143" t="e">
        <f t="shared" si="62"/>
        <v>#REF!</v>
      </c>
      <c r="BF125" s="143">
        <f t="shared" si="63"/>
        <v>154.08000000000001</v>
      </c>
      <c r="BG125" s="37" t="s">
        <v>92</v>
      </c>
      <c r="BH125" s="37" t="s">
        <v>186</v>
      </c>
      <c r="BI125" s="37" t="s">
        <v>1282</v>
      </c>
      <c r="BJ125" s="66" t="e">
        <f>VLOOKUP(A125,'CMI Data'!$A$3:$AZ$209,15,FALSE)</f>
        <v>#DIV/0!</v>
      </c>
      <c r="BK125" s="68">
        <f t="shared" si="64"/>
        <v>139.81</v>
      </c>
      <c r="BL125" s="68" t="e">
        <f t="shared" si="65"/>
        <v>#DIV/0!</v>
      </c>
      <c r="BM125" s="75" t="e">
        <f t="shared" si="93"/>
        <v>#DIV/0!</v>
      </c>
      <c r="BN125" s="68" t="e">
        <f>IF($I125="NA","NA",ROUND(#REF!*$BJ125/$I125,2))</f>
        <v>#REF!</v>
      </c>
      <c r="BO125" s="75" t="e">
        <f t="shared" si="94"/>
        <v>#REF!</v>
      </c>
      <c r="BP125" s="68" t="e">
        <f t="shared" si="95"/>
        <v>#REF!</v>
      </c>
      <c r="BQ125" s="4">
        <f t="shared" si="96"/>
        <v>0</v>
      </c>
      <c r="BR125" s="4">
        <f t="shared" si="97"/>
        <v>30012</v>
      </c>
      <c r="BS125" s="4">
        <f t="shared" si="98"/>
        <v>25366</v>
      </c>
      <c r="BT125" s="142">
        <f>IF(ISNA(VLOOKUP($A125&amp;$AB125,'Days Exceptions'!$C$3:$I$7,6,FALSE)),ROUND(BQ125/MAX(BS125,(BR125*Min_Occ)),2),ROUND(BQ125/VLOOKUP($A125&amp;$AB125,'Days Exceptions'!$C$3:$I$7,6,FALSE),2))</f>
        <v>0</v>
      </c>
      <c r="BU125" s="143" t="e">
        <f t="shared" si="66"/>
        <v>#REF!</v>
      </c>
      <c r="BV125" s="143" t="e">
        <f t="shared" si="67"/>
        <v>#REF!</v>
      </c>
      <c r="BW125" s="143">
        <f t="shared" si="68"/>
        <v>154.08000000000001</v>
      </c>
      <c r="BX125" s="37" t="s">
        <v>92</v>
      </c>
      <c r="BY125" s="37" t="s">
        <v>186</v>
      </c>
      <c r="BZ125" s="37" t="s">
        <v>1608</v>
      </c>
      <c r="CA125" s="66" t="e">
        <f>VLOOKUP(A125,'CMI Data'!$A$3:$AZ$209,20,FALSE)</f>
        <v>#DIV/0!</v>
      </c>
      <c r="CB125" s="68">
        <f t="shared" si="69"/>
        <v>139.81</v>
      </c>
      <c r="CC125" s="68" t="e">
        <f t="shared" si="70"/>
        <v>#DIV/0!</v>
      </c>
      <c r="CD125" s="75" t="e">
        <f t="shared" si="99"/>
        <v>#DIV/0!</v>
      </c>
      <c r="CE125" s="68" t="e">
        <f>IF($I125="NA","NA",ROUND(#REF!*$CA125/$I125,2))</f>
        <v>#REF!</v>
      </c>
      <c r="CF125" s="75" t="e">
        <f t="shared" si="100"/>
        <v>#REF!</v>
      </c>
      <c r="CG125" s="68" t="e">
        <f t="shared" si="101"/>
        <v>#REF!</v>
      </c>
      <c r="CH125" s="4">
        <f t="shared" si="102"/>
        <v>0</v>
      </c>
      <c r="CI125" s="4">
        <f t="shared" si="103"/>
        <v>30012</v>
      </c>
      <c r="CJ125" s="4">
        <f t="shared" si="104"/>
        <v>25366</v>
      </c>
      <c r="CK125" s="142">
        <f>IF(ISNA(VLOOKUP($A125&amp;$AB125,'Days Exceptions'!$C$3:$I$7,6,FALSE)),ROUND(CH125/MAX(CJ125,(CI125*Min_Occ)),2),ROUND(CH125/VLOOKUP($A125&amp;$AB125,'Days Exceptions'!$C$3:$I$7,6,FALSE),2))</f>
        <v>0</v>
      </c>
      <c r="CL125" s="143" t="e">
        <f t="shared" si="71"/>
        <v>#REF!</v>
      </c>
      <c r="CM125" s="143" t="e">
        <f t="shared" si="72"/>
        <v>#REF!</v>
      </c>
      <c r="CN125" s="143">
        <f t="shared" si="73"/>
        <v>154.08000000000001</v>
      </c>
      <c r="CO125" s="37" t="s">
        <v>92</v>
      </c>
      <c r="CP125" s="37" t="s">
        <v>186</v>
      </c>
      <c r="CQ125" s="37" t="s">
        <v>1609</v>
      </c>
    </row>
    <row r="126" spans="1:95" x14ac:dyDescent="0.15">
      <c r="A126" s="130">
        <v>226</v>
      </c>
      <c r="B126" s="37" t="s">
        <v>496</v>
      </c>
      <c r="C126" s="1" t="s">
        <v>148</v>
      </c>
      <c r="D126" s="1" t="s">
        <v>120</v>
      </c>
      <c r="E126" s="1" t="str">
        <f>VLOOKUP(D126,Documentation!$B$4:$D$27,3,FALSE)</f>
        <v>WASHINGTON METRO</v>
      </c>
      <c r="F126" s="1" t="str">
        <f>VLOOKUP(D126,Documentation!$B$4:$C$27,2,FALSE)</f>
        <v>WASHINGTON METRO</v>
      </c>
      <c r="G126" s="82">
        <f>VLOOKUP(A126,'2022 CR and CMI'!$A$3:$D$207,3,FALSE)</f>
        <v>44562</v>
      </c>
      <c r="H126" s="82">
        <f>VLOOKUP(A126,'2022 CR and CMI'!$A$3:$D$207,4,FALSE)</f>
        <v>44926</v>
      </c>
      <c r="I126" s="72">
        <f>VLOOKUP(A126,'2022 CR and CMI'!$A$2:$T$210,19,FALSE)</f>
        <v>1.4049</v>
      </c>
      <c r="J126" s="139">
        <f>Inflation!$G$24</f>
        <v>1.0309999999999999</v>
      </c>
      <c r="K126" s="192">
        <f>VLOOKUP(E126,Limits!$B$2:$D$5,3,FALSE)</f>
        <v>176.01</v>
      </c>
      <c r="L126" s="192">
        <f t="shared" si="74"/>
        <v>181.47</v>
      </c>
      <c r="M126" s="140">
        <f>VLOOKUP(A126,'CMI Data'!$A$4:$C$208,3,FALSE)</f>
        <v>1.3129</v>
      </c>
      <c r="N126" s="68">
        <f t="shared" si="58"/>
        <v>176.65</v>
      </c>
      <c r="O126" s="68">
        <f t="shared" si="75"/>
        <v>165.08</v>
      </c>
      <c r="P126" s="75">
        <f t="shared" si="76"/>
        <v>156.83000000000001</v>
      </c>
      <c r="Q126" s="75">
        <v>134.04</v>
      </c>
      <c r="R126" s="75">
        <f t="shared" si="77"/>
        <v>138.19999999999999</v>
      </c>
      <c r="S126" s="68">
        <f t="shared" si="78"/>
        <v>129.15</v>
      </c>
      <c r="T126" s="75">
        <f t="shared" si="79"/>
        <v>-27.68</v>
      </c>
      <c r="U126" s="68">
        <f t="shared" si="80"/>
        <v>137.4</v>
      </c>
      <c r="V126" s="68">
        <f>VLOOKUP($F126,Limits!$J$2:$L$5,3,FALSE)</f>
        <v>19.23</v>
      </c>
      <c r="W126" s="68">
        <f t="shared" si="81"/>
        <v>19.829999999999998</v>
      </c>
      <c r="X126" s="68">
        <f>VLOOKUP($F126,Limits!$R$2:$T$5,3,FALSE)</f>
        <v>100.61</v>
      </c>
      <c r="Y126" s="68">
        <f t="shared" si="82"/>
        <v>103.73</v>
      </c>
      <c r="Z126" s="75">
        <f>VLOOKUP(A126,FRV!$A$4:$U$208,21,FALSE)</f>
        <v>23.75</v>
      </c>
      <c r="AA126" s="141">
        <f>VLOOKUP(A126,'RE Tax'!$A$2:$G$206,3,FALSE)</f>
        <v>45292</v>
      </c>
      <c r="AB126" s="141">
        <f>VLOOKUP(A126,'RE Tax'!$A$2:$G$206,4,FALSE)</f>
        <v>45657</v>
      </c>
      <c r="AC126" s="4">
        <f>VLOOKUP(A126,'RE Tax'!$A$2:$G$206,7,FALSE)</f>
        <v>122181</v>
      </c>
      <c r="AD126" s="4">
        <f>VLOOKUP($A126,'RE Tax'!$A$2:$I$206,9,FALSE)</f>
        <v>58560</v>
      </c>
      <c r="AE126" s="4">
        <f>VLOOKUP($A126,'RE Tax'!$A$2:$I$206,8,FALSE)</f>
        <v>57760</v>
      </c>
      <c r="AF126" s="142">
        <f>IF(ISNA(VLOOKUP(A126&amp;AB126,'Days Exceptions'!$C$3:$I$7,6,FALSE)),ROUND(AC126/MAX(AE126,(AD126*Min_Occ)),2),ROUND(AC126/VLOOKUP(A126&amp;AB126,'Days Exceptions'!$C$3:$I$7,6,FALSE),2))</f>
        <v>2.12</v>
      </c>
      <c r="AG126" s="68">
        <v>0</v>
      </c>
      <c r="AH126" s="68">
        <f t="shared" si="83"/>
        <v>0</v>
      </c>
      <c r="AI126" s="4">
        <v>50840</v>
      </c>
      <c r="AJ126" s="4">
        <v>57777</v>
      </c>
      <c r="AK126" s="68">
        <f>IF(AI126=0,0,IF(ISNA(MATCH(A126,Documentation!$B$66:$B$71,0)),QA_Tax_reg,QA_Tax_5high))</f>
        <v>32.92</v>
      </c>
      <c r="AL126" s="75">
        <f t="shared" si="84"/>
        <v>28.97</v>
      </c>
      <c r="AM126" s="68">
        <f t="shared" si="85"/>
        <v>286.83</v>
      </c>
      <c r="AN126" s="68">
        <f t="shared" si="86"/>
        <v>218.13</v>
      </c>
      <c r="AO126" s="68">
        <f t="shared" si="87"/>
        <v>149.43</v>
      </c>
      <c r="AP126" s="37" t="s">
        <v>509</v>
      </c>
      <c r="AQ126" s="37" t="s">
        <v>496</v>
      </c>
      <c r="AR126" s="37" t="s">
        <v>1079</v>
      </c>
      <c r="AS126" s="66" t="e">
        <f>VLOOKUP(A126,'CMI Data'!$A$3:$J$209,10,FALSE)</f>
        <v>#DIV/0!</v>
      </c>
      <c r="AT126" s="68">
        <f t="shared" si="59"/>
        <v>171.34</v>
      </c>
      <c r="AU126" s="68" t="e">
        <f t="shared" si="60"/>
        <v>#DIV/0!</v>
      </c>
      <c r="AV126" s="75" t="e">
        <f t="shared" si="88"/>
        <v>#DIV/0!</v>
      </c>
      <c r="AW126" s="68" t="e">
        <f>IF($I126="NA","NA",ROUND(#REF!*$AS126/$I126,2))</f>
        <v>#REF!</v>
      </c>
      <c r="AX126" s="75" t="e">
        <f t="shared" si="105"/>
        <v>#REF!</v>
      </c>
      <c r="AY126" s="68" t="e">
        <f t="shared" si="89"/>
        <v>#REF!</v>
      </c>
      <c r="AZ126" s="4">
        <f t="shared" si="90"/>
        <v>122181</v>
      </c>
      <c r="BA126" s="4">
        <f t="shared" si="91"/>
        <v>58560</v>
      </c>
      <c r="BB126" s="4">
        <f t="shared" si="92"/>
        <v>57760</v>
      </c>
      <c r="BC126" s="142">
        <f>IF(ISNA(VLOOKUP($A126&amp;$AB126,'Days Exceptions'!$C$3:$I$7,6,FALSE)),ROUND(AZ126/MAX(BB126,(BA126*Min_Occ)),2),ROUND(AZ126/VLOOKUP($A126&amp;$AB126,'Days Exceptions'!$C$3:$I$7,6,FALSE),2))</f>
        <v>2.12</v>
      </c>
      <c r="BD126" s="143" t="e">
        <f t="shared" si="61"/>
        <v>#REF!</v>
      </c>
      <c r="BE126" s="143" t="e">
        <f t="shared" si="62"/>
        <v>#REF!</v>
      </c>
      <c r="BF126" s="143">
        <f t="shared" si="63"/>
        <v>145.71</v>
      </c>
      <c r="BG126" s="37" t="s">
        <v>509</v>
      </c>
      <c r="BH126" s="37" t="s">
        <v>496</v>
      </c>
      <c r="BI126" s="37" t="s">
        <v>1283</v>
      </c>
      <c r="BJ126" s="66" t="e">
        <f>VLOOKUP(A126,'CMI Data'!$A$3:$AZ$209,15,FALSE)</f>
        <v>#DIV/0!</v>
      </c>
      <c r="BK126" s="68">
        <f t="shared" si="64"/>
        <v>171.34</v>
      </c>
      <c r="BL126" s="68" t="e">
        <f t="shared" si="65"/>
        <v>#DIV/0!</v>
      </c>
      <c r="BM126" s="75" t="e">
        <f t="shared" si="93"/>
        <v>#DIV/0!</v>
      </c>
      <c r="BN126" s="68" t="e">
        <f>IF($I126="NA","NA",ROUND(#REF!*$BJ126/$I126,2))</f>
        <v>#REF!</v>
      </c>
      <c r="BO126" s="75" t="e">
        <f t="shared" si="94"/>
        <v>#REF!</v>
      </c>
      <c r="BP126" s="68" t="e">
        <f t="shared" si="95"/>
        <v>#REF!</v>
      </c>
      <c r="BQ126" s="4">
        <f t="shared" si="96"/>
        <v>122181</v>
      </c>
      <c r="BR126" s="4">
        <f t="shared" si="97"/>
        <v>58560</v>
      </c>
      <c r="BS126" s="4">
        <f t="shared" si="98"/>
        <v>57760</v>
      </c>
      <c r="BT126" s="142">
        <f>IF(ISNA(VLOOKUP($A126&amp;$AB126,'Days Exceptions'!$C$3:$I$7,6,FALSE)),ROUND(BQ126/MAX(BS126,(BR126*Min_Occ)),2),ROUND(BQ126/VLOOKUP($A126&amp;$AB126,'Days Exceptions'!$C$3:$I$7,6,FALSE),2))</f>
        <v>2.12</v>
      </c>
      <c r="BU126" s="143" t="e">
        <f t="shared" si="66"/>
        <v>#REF!</v>
      </c>
      <c r="BV126" s="143" t="e">
        <f t="shared" si="67"/>
        <v>#REF!</v>
      </c>
      <c r="BW126" s="143">
        <f t="shared" si="68"/>
        <v>145.71</v>
      </c>
      <c r="BX126" s="37" t="s">
        <v>509</v>
      </c>
      <c r="BY126" s="37" t="s">
        <v>496</v>
      </c>
      <c r="BZ126" s="37" t="s">
        <v>1610</v>
      </c>
      <c r="CA126" s="66" t="e">
        <f>VLOOKUP(A126,'CMI Data'!$A$3:$AZ$209,20,FALSE)</f>
        <v>#DIV/0!</v>
      </c>
      <c r="CB126" s="68">
        <f t="shared" si="69"/>
        <v>171.34</v>
      </c>
      <c r="CC126" s="68" t="e">
        <f t="shared" si="70"/>
        <v>#DIV/0!</v>
      </c>
      <c r="CD126" s="75" t="e">
        <f t="shared" si="99"/>
        <v>#DIV/0!</v>
      </c>
      <c r="CE126" s="68" t="e">
        <f>IF($I126="NA","NA",ROUND(#REF!*$CA126/$I126,2))</f>
        <v>#REF!</v>
      </c>
      <c r="CF126" s="75" t="e">
        <f t="shared" si="100"/>
        <v>#REF!</v>
      </c>
      <c r="CG126" s="68" t="e">
        <f t="shared" si="101"/>
        <v>#REF!</v>
      </c>
      <c r="CH126" s="4">
        <f t="shared" si="102"/>
        <v>122181</v>
      </c>
      <c r="CI126" s="4">
        <f t="shared" si="103"/>
        <v>58560</v>
      </c>
      <c r="CJ126" s="4">
        <f t="shared" si="104"/>
        <v>57760</v>
      </c>
      <c r="CK126" s="142">
        <f>IF(ISNA(VLOOKUP($A126&amp;$AB126,'Days Exceptions'!$C$3:$I$7,6,FALSE)),ROUND(CH126/MAX(CJ126,(CI126*Min_Occ)),2),ROUND(CH126/VLOOKUP($A126&amp;$AB126,'Days Exceptions'!$C$3:$I$7,6,FALSE),2))</f>
        <v>2.12</v>
      </c>
      <c r="CL126" s="143" t="e">
        <f t="shared" si="71"/>
        <v>#REF!</v>
      </c>
      <c r="CM126" s="143" t="e">
        <f t="shared" si="72"/>
        <v>#REF!</v>
      </c>
      <c r="CN126" s="143">
        <f t="shared" si="73"/>
        <v>145.71</v>
      </c>
      <c r="CO126" s="37" t="s">
        <v>509</v>
      </c>
      <c r="CP126" s="37" t="s">
        <v>496</v>
      </c>
      <c r="CQ126" s="37" t="s">
        <v>1611</v>
      </c>
    </row>
    <row r="127" spans="1:95" x14ac:dyDescent="0.15">
      <c r="A127" s="130">
        <v>1194</v>
      </c>
      <c r="B127" s="37" t="s">
        <v>237</v>
      </c>
      <c r="C127" s="1" t="s">
        <v>148</v>
      </c>
      <c r="D127" s="1" t="s">
        <v>119</v>
      </c>
      <c r="E127" s="1" t="str">
        <f>VLOOKUP(D127,Documentation!$B$4:$D$27,3,FALSE)</f>
        <v>WASHINGTON METRO</v>
      </c>
      <c r="F127" s="1" t="str">
        <f>VLOOKUP(D127,Documentation!$B$4:$C$27,2,FALSE)</f>
        <v>WASHINGTON METRO</v>
      </c>
      <c r="G127" s="82">
        <f>VLOOKUP(A127,'2022 CR and CMI'!$A$3:$D$207,3,FALSE)</f>
        <v>44562</v>
      </c>
      <c r="H127" s="82">
        <f>VLOOKUP(A127,'2022 CR and CMI'!$A$3:$D$207,4,FALSE)</f>
        <v>44926</v>
      </c>
      <c r="I127" s="72">
        <f>VLOOKUP(A127,'2022 CR and CMI'!$A$2:$T$210,19,FALSE)</f>
        <v>1.1541999999999999</v>
      </c>
      <c r="J127" s="139">
        <f>Inflation!$G$24</f>
        <v>1.0309999999999999</v>
      </c>
      <c r="K127" s="192">
        <f>VLOOKUP(E127,Limits!$B$2:$D$5,3,FALSE)</f>
        <v>176.01</v>
      </c>
      <c r="L127" s="192">
        <f t="shared" si="74"/>
        <v>181.47</v>
      </c>
      <c r="M127" s="140">
        <f>VLOOKUP(A127,'CMI Data'!$A$4:$C$208,3,FALSE)</f>
        <v>1.4061999999999999</v>
      </c>
      <c r="N127" s="68">
        <f t="shared" si="58"/>
        <v>145.13</v>
      </c>
      <c r="O127" s="68">
        <f t="shared" si="75"/>
        <v>176.82</v>
      </c>
      <c r="P127" s="75">
        <f t="shared" si="76"/>
        <v>167.98</v>
      </c>
      <c r="Q127" s="75">
        <v>300.14</v>
      </c>
      <c r="R127" s="75">
        <f t="shared" si="77"/>
        <v>309.44</v>
      </c>
      <c r="S127" s="68">
        <f t="shared" si="78"/>
        <v>377</v>
      </c>
      <c r="T127" s="75">
        <f t="shared" si="79"/>
        <v>0</v>
      </c>
      <c r="U127" s="68">
        <f t="shared" si="80"/>
        <v>176.82</v>
      </c>
      <c r="V127" s="68">
        <f>VLOOKUP($F127,Limits!$J$2:$L$5,3,FALSE)</f>
        <v>19.23</v>
      </c>
      <c r="W127" s="68">
        <f t="shared" si="81"/>
        <v>19.829999999999998</v>
      </c>
      <c r="X127" s="68">
        <f>VLOOKUP($F127,Limits!$R$2:$T$5,3,FALSE)</f>
        <v>100.61</v>
      </c>
      <c r="Y127" s="68">
        <f t="shared" si="82"/>
        <v>103.73</v>
      </c>
      <c r="Z127" s="75">
        <f>VLOOKUP(A127,FRV!$A$4:$U$208,21,FALSE)</f>
        <v>44.17</v>
      </c>
      <c r="AA127" s="141">
        <f>VLOOKUP(A127,'RE Tax'!$A$2:$G$206,3,FALSE)</f>
        <v>45292</v>
      </c>
      <c r="AB127" s="141">
        <f>VLOOKUP(A127,'RE Tax'!$A$2:$G$206,4,FALSE)</f>
        <v>45657</v>
      </c>
      <c r="AC127" s="4">
        <f>VLOOKUP(A127,'RE Tax'!$A$2:$G$206,7,FALSE)</f>
        <v>0</v>
      </c>
      <c r="AD127" s="4">
        <f>VLOOKUP($A127,'RE Tax'!$A$2:$I$206,9,FALSE)</f>
        <v>16470</v>
      </c>
      <c r="AE127" s="4">
        <f>VLOOKUP($A127,'RE Tax'!$A$2:$I$206,8,FALSE)</f>
        <v>12237</v>
      </c>
      <c r="AF127" s="142">
        <f>IF(ISNA(VLOOKUP(A127&amp;AB127,'Days Exceptions'!$C$3:$I$7,6,FALSE)),ROUND(AC127/MAX(AE127,(AD127*Min_Occ)),2),ROUND(AC127/VLOOKUP(A127&amp;AB127,'Days Exceptions'!$C$3:$I$7,6,FALSE),2))</f>
        <v>0</v>
      </c>
      <c r="AG127" s="68">
        <v>0</v>
      </c>
      <c r="AH127" s="68">
        <f t="shared" si="83"/>
        <v>0</v>
      </c>
      <c r="AI127" s="4">
        <v>0</v>
      </c>
      <c r="AJ127" s="4">
        <v>0</v>
      </c>
      <c r="AK127" s="68">
        <f>IF(AI127=0,0,IF(ISNA(MATCH(A127,Documentation!$B$66:$B$71,0)),QA_Tax_reg,QA_Tax_5high))</f>
        <v>0</v>
      </c>
      <c r="AL127" s="75">
        <f t="shared" si="84"/>
        <v>0</v>
      </c>
      <c r="AM127" s="68">
        <f t="shared" si="85"/>
        <v>344.55</v>
      </c>
      <c r="AN127" s="68">
        <f t="shared" si="86"/>
        <v>256.14</v>
      </c>
      <c r="AO127" s="68">
        <f t="shared" si="87"/>
        <v>167.73</v>
      </c>
      <c r="AP127" s="37" t="s">
        <v>236</v>
      </c>
      <c r="AQ127" s="37" t="s">
        <v>237</v>
      </c>
      <c r="AR127" s="37" t="s">
        <v>1080</v>
      </c>
      <c r="AS127" s="66" t="e">
        <f>VLOOKUP(A127,'CMI Data'!$A$3:$J$209,10,FALSE)</f>
        <v>#DIV/0!</v>
      </c>
      <c r="AT127" s="68">
        <f t="shared" si="59"/>
        <v>140.76</v>
      </c>
      <c r="AU127" s="68" t="e">
        <f t="shared" si="60"/>
        <v>#DIV/0!</v>
      </c>
      <c r="AV127" s="75" t="e">
        <f t="shared" si="88"/>
        <v>#DIV/0!</v>
      </c>
      <c r="AW127" s="68" t="e">
        <f>IF($I127="NA","NA",ROUND(#REF!*$AS127/$I127,2))</f>
        <v>#REF!</v>
      </c>
      <c r="AX127" s="75" t="e">
        <f t="shared" si="105"/>
        <v>#REF!</v>
      </c>
      <c r="AY127" s="68" t="e">
        <f t="shared" si="89"/>
        <v>#REF!</v>
      </c>
      <c r="AZ127" s="4">
        <f t="shared" si="90"/>
        <v>0</v>
      </c>
      <c r="BA127" s="4">
        <f t="shared" si="91"/>
        <v>16470</v>
      </c>
      <c r="BB127" s="4">
        <f t="shared" si="92"/>
        <v>12237</v>
      </c>
      <c r="BC127" s="142">
        <f>IF(ISNA(VLOOKUP($A127&amp;$AB127,'Days Exceptions'!$C$3:$I$7,6,FALSE)),ROUND(AZ127/MAX(BB127,(BA127*Min_Occ)),2),ROUND(AZ127/VLOOKUP($A127&amp;$AB127,'Days Exceptions'!$C$3:$I$7,6,FALSE),2))</f>
        <v>0</v>
      </c>
      <c r="BD127" s="143" t="e">
        <f t="shared" si="61"/>
        <v>#REF!</v>
      </c>
      <c r="BE127" s="143" t="e">
        <f t="shared" si="62"/>
        <v>#REF!</v>
      </c>
      <c r="BF127" s="143">
        <f t="shared" si="63"/>
        <v>164.01</v>
      </c>
      <c r="BG127" s="37" t="s">
        <v>236</v>
      </c>
      <c r="BH127" s="37" t="s">
        <v>237</v>
      </c>
      <c r="BI127" s="37" t="s">
        <v>1284</v>
      </c>
      <c r="BJ127" s="66" t="e">
        <f>VLOOKUP(A127,'CMI Data'!$A$3:$AZ$209,15,FALSE)</f>
        <v>#DIV/0!</v>
      </c>
      <c r="BK127" s="68">
        <f t="shared" si="64"/>
        <v>140.76</v>
      </c>
      <c r="BL127" s="68" t="e">
        <f t="shared" si="65"/>
        <v>#DIV/0!</v>
      </c>
      <c r="BM127" s="75" t="e">
        <f t="shared" si="93"/>
        <v>#DIV/0!</v>
      </c>
      <c r="BN127" s="68" t="e">
        <f>IF($I127="NA","NA",ROUND(#REF!*$BJ127/$I127,2))</f>
        <v>#REF!</v>
      </c>
      <c r="BO127" s="75" t="e">
        <f t="shared" si="94"/>
        <v>#REF!</v>
      </c>
      <c r="BP127" s="68" t="e">
        <f t="shared" si="95"/>
        <v>#REF!</v>
      </c>
      <c r="BQ127" s="4">
        <f t="shared" si="96"/>
        <v>0</v>
      </c>
      <c r="BR127" s="4">
        <f t="shared" si="97"/>
        <v>16470</v>
      </c>
      <c r="BS127" s="4">
        <f t="shared" si="98"/>
        <v>12237</v>
      </c>
      <c r="BT127" s="142">
        <f>IF(ISNA(VLOOKUP($A127&amp;$AB127,'Days Exceptions'!$C$3:$I$7,6,FALSE)),ROUND(BQ127/MAX(BS127,(BR127*Min_Occ)),2),ROUND(BQ127/VLOOKUP($A127&amp;$AB127,'Days Exceptions'!$C$3:$I$7,6,FALSE),2))</f>
        <v>0</v>
      </c>
      <c r="BU127" s="143" t="e">
        <f t="shared" si="66"/>
        <v>#REF!</v>
      </c>
      <c r="BV127" s="143" t="e">
        <f t="shared" si="67"/>
        <v>#REF!</v>
      </c>
      <c r="BW127" s="143">
        <f t="shared" si="68"/>
        <v>164.01</v>
      </c>
      <c r="BX127" s="37" t="s">
        <v>236</v>
      </c>
      <c r="BY127" s="37" t="s">
        <v>237</v>
      </c>
      <c r="BZ127" s="37" t="s">
        <v>1612</v>
      </c>
      <c r="CA127" s="66" t="e">
        <f>VLOOKUP(A127,'CMI Data'!$A$3:$AZ$209,20,FALSE)</f>
        <v>#DIV/0!</v>
      </c>
      <c r="CB127" s="68">
        <f t="shared" si="69"/>
        <v>140.76</v>
      </c>
      <c r="CC127" s="68" t="e">
        <f t="shared" si="70"/>
        <v>#DIV/0!</v>
      </c>
      <c r="CD127" s="75" t="e">
        <f t="shared" si="99"/>
        <v>#DIV/0!</v>
      </c>
      <c r="CE127" s="68" t="e">
        <f>IF($I127="NA","NA",ROUND(#REF!*$CA127/$I127,2))</f>
        <v>#REF!</v>
      </c>
      <c r="CF127" s="75" t="e">
        <f t="shared" si="100"/>
        <v>#REF!</v>
      </c>
      <c r="CG127" s="68" t="e">
        <f t="shared" si="101"/>
        <v>#REF!</v>
      </c>
      <c r="CH127" s="4">
        <f t="shared" si="102"/>
        <v>0</v>
      </c>
      <c r="CI127" s="4">
        <f t="shared" si="103"/>
        <v>16470</v>
      </c>
      <c r="CJ127" s="4">
        <f t="shared" si="104"/>
        <v>12237</v>
      </c>
      <c r="CK127" s="142">
        <f>IF(ISNA(VLOOKUP($A127&amp;$AB127,'Days Exceptions'!$C$3:$I$7,6,FALSE)),ROUND(CH127/MAX(CJ127,(CI127*Min_Occ)),2),ROUND(CH127/VLOOKUP($A127&amp;$AB127,'Days Exceptions'!$C$3:$I$7,6,FALSE),2))</f>
        <v>0</v>
      </c>
      <c r="CL127" s="143" t="e">
        <f t="shared" si="71"/>
        <v>#REF!</v>
      </c>
      <c r="CM127" s="143" t="e">
        <f t="shared" si="72"/>
        <v>#REF!</v>
      </c>
      <c r="CN127" s="143">
        <f t="shared" si="73"/>
        <v>164.01</v>
      </c>
      <c r="CO127" s="37" t="s">
        <v>236</v>
      </c>
      <c r="CP127" s="37" t="s">
        <v>237</v>
      </c>
      <c r="CQ127" s="37" t="s">
        <v>1613</v>
      </c>
    </row>
    <row r="128" spans="1:95" x14ac:dyDescent="0.15">
      <c r="A128" s="130">
        <v>254</v>
      </c>
      <c r="B128" s="37" t="s">
        <v>378</v>
      </c>
      <c r="C128" s="1" t="s">
        <v>148</v>
      </c>
      <c r="D128" s="1" t="s">
        <v>125</v>
      </c>
      <c r="E128" s="1" t="str">
        <f>VLOOKUP(D128,Documentation!$B$4:$D$27,3,FALSE)</f>
        <v>WESTERN REGION</v>
      </c>
      <c r="F128" s="1" t="str">
        <f>VLOOKUP(D128,Documentation!$B$4:$C$27,2,FALSE)</f>
        <v>NON METRO</v>
      </c>
      <c r="G128" s="82">
        <f>VLOOKUP(A128,'2022 CR and CMI'!$A$3:$D$207,3,FALSE)</f>
        <v>44562</v>
      </c>
      <c r="H128" s="82">
        <f>VLOOKUP(A128,'2022 CR and CMI'!$A$3:$D$207,4,FALSE)</f>
        <v>44926</v>
      </c>
      <c r="I128" s="72">
        <f>VLOOKUP(A128,'2022 CR and CMI'!$A$2:$T$210,19,FALSE)</f>
        <v>1.5455000000000001</v>
      </c>
      <c r="J128" s="139">
        <f>Inflation!$G$24</f>
        <v>1.0309999999999999</v>
      </c>
      <c r="K128" s="192">
        <f>VLOOKUP(E128,Limits!$B$2:$D$5,3,FALSE)</f>
        <v>166.26</v>
      </c>
      <c r="L128" s="192">
        <f t="shared" si="74"/>
        <v>171.41</v>
      </c>
      <c r="M128" s="140">
        <f>VLOOKUP(A128,'CMI Data'!$A$4:$C$208,3,FALSE)</f>
        <v>1.3058000000000001</v>
      </c>
      <c r="N128" s="68">
        <f t="shared" si="58"/>
        <v>183.56</v>
      </c>
      <c r="O128" s="68">
        <f t="shared" si="75"/>
        <v>155.09</v>
      </c>
      <c r="P128" s="75">
        <f t="shared" si="76"/>
        <v>147.34</v>
      </c>
      <c r="Q128" s="75">
        <v>145.19999999999999</v>
      </c>
      <c r="R128" s="75">
        <f t="shared" si="77"/>
        <v>149.69999999999999</v>
      </c>
      <c r="S128" s="68">
        <f t="shared" si="78"/>
        <v>126.48</v>
      </c>
      <c r="T128" s="75">
        <f t="shared" si="79"/>
        <v>-20.86</v>
      </c>
      <c r="U128" s="68">
        <f t="shared" si="80"/>
        <v>134.22999999999999</v>
      </c>
      <c r="V128" s="68">
        <f>VLOOKUP($F128,Limits!$J$2:$L$5,3,FALSE)</f>
        <v>20.239999999999998</v>
      </c>
      <c r="W128" s="68">
        <f t="shared" si="81"/>
        <v>20.87</v>
      </c>
      <c r="X128" s="68">
        <f>VLOOKUP($F128,Limits!$R$2:$T$5,3,FALSE)</f>
        <v>89.55</v>
      </c>
      <c r="Y128" s="68">
        <f t="shared" si="82"/>
        <v>92.33</v>
      </c>
      <c r="Z128" s="75">
        <f>VLOOKUP(A128,FRV!$A$4:$U$208,21,FALSE)</f>
        <v>39.630000000000003</v>
      </c>
      <c r="AA128" s="141">
        <f>VLOOKUP(A128,'RE Tax'!$A$2:$G$206,3,FALSE)</f>
        <v>45292</v>
      </c>
      <c r="AB128" s="141">
        <f>VLOOKUP(A128,'RE Tax'!$A$2:$G$206,4,FALSE)</f>
        <v>45657</v>
      </c>
      <c r="AC128" s="4">
        <f>VLOOKUP(A128,'RE Tax'!$A$2:$G$206,7,FALSE)</f>
        <v>207110</v>
      </c>
      <c r="AD128" s="4">
        <f>VLOOKUP($A128,'RE Tax'!$A$2:$I$206,9,FALSE)</f>
        <v>47946</v>
      </c>
      <c r="AE128" s="4">
        <f>VLOOKUP($A128,'RE Tax'!$A$2:$I$206,8,FALSE)</f>
        <v>37540</v>
      </c>
      <c r="AF128" s="142">
        <f>IF(ISNA(VLOOKUP(A128&amp;AB128,'Days Exceptions'!$C$3:$I$7,6,FALSE)),ROUND(AC128/MAX(AE128,(AD128*Min_Occ)),2),ROUND(AC128/VLOOKUP(A128&amp;AB128,'Days Exceptions'!$C$3:$I$7,6,FALSE),2))</f>
        <v>5.3</v>
      </c>
      <c r="AG128" s="68">
        <v>0</v>
      </c>
      <c r="AH128" s="68">
        <f t="shared" si="83"/>
        <v>0</v>
      </c>
      <c r="AI128" s="4">
        <v>32406</v>
      </c>
      <c r="AJ128" s="4">
        <v>37540</v>
      </c>
      <c r="AK128" s="68">
        <f>IF(AI128=0,0,IF(ISNA(MATCH(A128,Documentation!$B$66:$B$71,0)),QA_Tax_reg,QA_Tax_5high))</f>
        <v>32.92</v>
      </c>
      <c r="AL128" s="75">
        <f t="shared" si="84"/>
        <v>28.42</v>
      </c>
      <c r="AM128" s="68">
        <f t="shared" si="85"/>
        <v>292.36</v>
      </c>
      <c r="AN128" s="68">
        <f t="shared" si="86"/>
        <v>225.25</v>
      </c>
      <c r="AO128" s="68">
        <f t="shared" si="87"/>
        <v>158.13</v>
      </c>
      <c r="AP128" s="37" t="s">
        <v>377</v>
      </c>
      <c r="AQ128" s="37" t="s">
        <v>378</v>
      </c>
      <c r="AR128" s="37" t="s">
        <v>1081</v>
      </c>
      <c r="AS128" s="66" t="e">
        <f>VLOOKUP(A128,'CMI Data'!$A$3:$J$209,10,FALSE)</f>
        <v>#DIV/0!</v>
      </c>
      <c r="AT128" s="68">
        <f t="shared" si="59"/>
        <v>178.05</v>
      </c>
      <c r="AU128" s="68" t="e">
        <f t="shared" si="60"/>
        <v>#DIV/0!</v>
      </c>
      <c r="AV128" s="75" t="e">
        <f t="shared" si="88"/>
        <v>#DIV/0!</v>
      </c>
      <c r="AW128" s="68" t="e">
        <f>IF($I128="NA","NA",ROUND(#REF!*$AS128/$I128,2))</f>
        <v>#REF!</v>
      </c>
      <c r="AX128" s="75" t="e">
        <f t="shared" si="105"/>
        <v>#REF!</v>
      </c>
      <c r="AY128" s="68" t="e">
        <f t="shared" si="89"/>
        <v>#REF!</v>
      </c>
      <c r="AZ128" s="4">
        <f t="shared" si="90"/>
        <v>207110</v>
      </c>
      <c r="BA128" s="4">
        <f t="shared" si="91"/>
        <v>47946</v>
      </c>
      <c r="BB128" s="4">
        <f t="shared" si="92"/>
        <v>37540</v>
      </c>
      <c r="BC128" s="142">
        <f>IF(ISNA(VLOOKUP($A128&amp;$AB128,'Days Exceptions'!$C$3:$I$7,6,FALSE)),ROUND(AZ128/MAX(BB128,(BA128*Min_Occ)),2),ROUND(AZ128/VLOOKUP($A128&amp;$AB128,'Days Exceptions'!$C$3:$I$7,6,FALSE),2))</f>
        <v>5.3</v>
      </c>
      <c r="BD128" s="143" t="e">
        <f t="shared" si="61"/>
        <v>#REF!</v>
      </c>
      <c r="BE128" s="143" t="e">
        <f t="shared" si="62"/>
        <v>#REF!</v>
      </c>
      <c r="BF128" s="143">
        <f t="shared" si="63"/>
        <v>154.72</v>
      </c>
      <c r="BG128" s="37" t="s">
        <v>377</v>
      </c>
      <c r="BH128" s="37" t="s">
        <v>378</v>
      </c>
      <c r="BI128" s="37" t="s">
        <v>1285</v>
      </c>
      <c r="BJ128" s="66" t="e">
        <f>VLOOKUP(A128,'CMI Data'!$A$3:$AZ$209,15,FALSE)</f>
        <v>#DIV/0!</v>
      </c>
      <c r="BK128" s="68">
        <f t="shared" si="64"/>
        <v>178.05</v>
      </c>
      <c r="BL128" s="68" t="e">
        <f t="shared" si="65"/>
        <v>#DIV/0!</v>
      </c>
      <c r="BM128" s="75" t="e">
        <f t="shared" si="93"/>
        <v>#DIV/0!</v>
      </c>
      <c r="BN128" s="68" t="e">
        <f>IF($I128="NA","NA",ROUND(#REF!*$BJ128/$I128,2))</f>
        <v>#REF!</v>
      </c>
      <c r="BO128" s="75" t="e">
        <f t="shared" si="94"/>
        <v>#REF!</v>
      </c>
      <c r="BP128" s="68" t="e">
        <f t="shared" si="95"/>
        <v>#REF!</v>
      </c>
      <c r="BQ128" s="4">
        <f t="shared" si="96"/>
        <v>207110</v>
      </c>
      <c r="BR128" s="4">
        <f t="shared" si="97"/>
        <v>47946</v>
      </c>
      <c r="BS128" s="4">
        <f t="shared" si="98"/>
        <v>37540</v>
      </c>
      <c r="BT128" s="142">
        <f>IF(ISNA(VLOOKUP($A128&amp;$AB128,'Days Exceptions'!$C$3:$I$7,6,FALSE)),ROUND(BQ128/MAX(BS128,(BR128*Min_Occ)),2),ROUND(BQ128/VLOOKUP($A128&amp;$AB128,'Days Exceptions'!$C$3:$I$7,6,FALSE),2))</f>
        <v>5.3</v>
      </c>
      <c r="BU128" s="143" t="e">
        <f t="shared" si="66"/>
        <v>#REF!</v>
      </c>
      <c r="BV128" s="143" t="e">
        <f t="shared" si="67"/>
        <v>#REF!</v>
      </c>
      <c r="BW128" s="143">
        <f t="shared" si="68"/>
        <v>154.72</v>
      </c>
      <c r="BX128" s="37" t="s">
        <v>377</v>
      </c>
      <c r="BY128" s="37" t="s">
        <v>378</v>
      </c>
      <c r="BZ128" s="37" t="s">
        <v>1614</v>
      </c>
      <c r="CA128" s="66" t="e">
        <f>VLOOKUP(A128,'CMI Data'!$A$3:$AZ$209,20,FALSE)</f>
        <v>#DIV/0!</v>
      </c>
      <c r="CB128" s="68">
        <f t="shared" si="69"/>
        <v>178.05</v>
      </c>
      <c r="CC128" s="68" t="e">
        <f t="shared" si="70"/>
        <v>#DIV/0!</v>
      </c>
      <c r="CD128" s="75" t="e">
        <f t="shared" si="99"/>
        <v>#DIV/0!</v>
      </c>
      <c r="CE128" s="68" t="e">
        <f>IF($I128="NA","NA",ROUND(#REF!*$CA128/$I128,2))</f>
        <v>#REF!</v>
      </c>
      <c r="CF128" s="75" t="e">
        <f t="shared" si="100"/>
        <v>#REF!</v>
      </c>
      <c r="CG128" s="68" t="e">
        <f t="shared" si="101"/>
        <v>#REF!</v>
      </c>
      <c r="CH128" s="4">
        <f t="shared" si="102"/>
        <v>207110</v>
      </c>
      <c r="CI128" s="4">
        <f t="shared" si="103"/>
        <v>47946</v>
      </c>
      <c r="CJ128" s="4">
        <f t="shared" si="104"/>
        <v>37540</v>
      </c>
      <c r="CK128" s="142">
        <f>IF(ISNA(VLOOKUP($A128&amp;$AB128,'Days Exceptions'!$C$3:$I$7,6,FALSE)),ROUND(CH128/MAX(CJ128,(CI128*Min_Occ)),2),ROUND(CH128/VLOOKUP($A128&amp;$AB128,'Days Exceptions'!$C$3:$I$7,6,FALSE),2))</f>
        <v>5.3</v>
      </c>
      <c r="CL128" s="143" t="e">
        <f t="shared" si="71"/>
        <v>#REF!</v>
      </c>
      <c r="CM128" s="143" t="e">
        <f t="shared" si="72"/>
        <v>#REF!</v>
      </c>
      <c r="CN128" s="143">
        <f t="shared" si="73"/>
        <v>154.72</v>
      </c>
      <c r="CO128" s="37" t="s">
        <v>377</v>
      </c>
      <c r="CP128" s="37" t="s">
        <v>378</v>
      </c>
      <c r="CQ128" s="37" t="s">
        <v>1615</v>
      </c>
    </row>
    <row r="129" spans="1:95" x14ac:dyDescent="0.15">
      <c r="A129" s="130">
        <v>256</v>
      </c>
      <c r="B129" s="37" t="s">
        <v>228</v>
      </c>
      <c r="C129" s="1" t="s">
        <v>148</v>
      </c>
      <c r="D129" s="1" t="s">
        <v>119</v>
      </c>
      <c r="E129" s="1" t="str">
        <f>VLOOKUP(D129,Documentation!$B$4:$D$27,3,FALSE)</f>
        <v>WASHINGTON METRO</v>
      </c>
      <c r="F129" s="1" t="str">
        <f>VLOOKUP(D129,Documentation!$B$4:$C$27,2,FALSE)</f>
        <v>WASHINGTON METRO</v>
      </c>
      <c r="G129" s="82">
        <f>VLOOKUP(A129,'2022 CR and CMI'!$A$3:$D$207,3,FALSE)</f>
        <v>44378</v>
      </c>
      <c r="H129" s="82">
        <f>VLOOKUP(A129,'2022 CR and CMI'!$A$3:$D$207,4,FALSE)</f>
        <v>44742</v>
      </c>
      <c r="I129" s="72">
        <f>VLOOKUP(A129,'2022 CR and CMI'!$A$2:$T$210,19,FALSE)</f>
        <v>1.1568000000000001</v>
      </c>
      <c r="J129" s="139">
        <f>Inflation!$G$24</f>
        <v>1.0309999999999999</v>
      </c>
      <c r="K129" s="192">
        <f>VLOOKUP(E129,Limits!$B$2:$D$5,3,FALSE)</f>
        <v>176.01</v>
      </c>
      <c r="L129" s="192">
        <f t="shared" si="74"/>
        <v>181.47</v>
      </c>
      <c r="M129" s="140">
        <f>VLOOKUP(A129,'CMI Data'!$A$4:$C$208,3,FALSE)</f>
        <v>1.2316</v>
      </c>
      <c r="N129" s="68">
        <f t="shared" si="58"/>
        <v>145.46</v>
      </c>
      <c r="O129" s="68">
        <f t="shared" si="75"/>
        <v>154.87</v>
      </c>
      <c r="P129" s="75">
        <f t="shared" si="76"/>
        <v>147.13</v>
      </c>
      <c r="Q129" s="75">
        <v>126.06</v>
      </c>
      <c r="R129" s="75">
        <f t="shared" si="77"/>
        <v>129.97</v>
      </c>
      <c r="S129" s="68">
        <f t="shared" si="78"/>
        <v>138.37</v>
      </c>
      <c r="T129" s="75">
        <f t="shared" si="79"/>
        <v>-8.76</v>
      </c>
      <c r="U129" s="68">
        <f t="shared" si="80"/>
        <v>146.11000000000001</v>
      </c>
      <c r="V129" s="68">
        <f>VLOOKUP($F129,Limits!$J$2:$L$5,3,FALSE)</f>
        <v>19.23</v>
      </c>
      <c r="W129" s="68">
        <f t="shared" si="81"/>
        <v>19.829999999999998</v>
      </c>
      <c r="X129" s="68">
        <f>VLOOKUP($F129,Limits!$R$2:$T$5,3,FALSE)</f>
        <v>100.61</v>
      </c>
      <c r="Y129" s="68">
        <f t="shared" si="82"/>
        <v>103.73</v>
      </c>
      <c r="Z129" s="75">
        <f>VLOOKUP(A129,FRV!$A$4:$U$208,21,FALSE)</f>
        <v>29.03</v>
      </c>
      <c r="AA129" s="141">
        <f>VLOOKUP(A129,'RE Tax'!$A$2:$G$206,3,FALSE)</f>
        <v>45108</v>
      </c>
      <c r="AB129" s="141">
        <f>VLOOKUP(A129,'RE Tax'!$A$2:$G$206,4,FALSE)</f>
        <v>45473</v>
      </c>
      <c r="AC129" s="4">
        <f>VLOOKUP(A129,'RE Tax'!$A$2:$G$206,7,FALSE)</f>
        <v>116279</v>
      </c>
      <c r="AD129" s="4">
        <f>VLOOKUP($A129,'RE Tax'!$A$2:$I$206,9,FALSE)</f>
        <v>51240</v>
      </c>
      <c r="AE129" s="4">
        <f>VLOOKUP($A129,'RE Tax'!$A$2:$I$206,8,FALSE)</f>
        <v>48705</v>
      </c>
      <c r="AF129" s="142">
        <f>IF(ISNA(VLOOKUP(A129&amp;AB129,'Days Exceptions'!$C$3:$I$7,6,FALSE)),ROUND(AC129/MAX(AE129,(AD129*Min_Occ)),2),ROUND(AC129/VLOOKUP(A129&amp;AB129,'Days Exceptions'!$C$3:$I$7,6,FALSE),2))</f>
        <v>2.39</v>
      </c>
      <c r="AG129" s="68">
        <v>0</v>
      </c>
      <c r="AH129" s="68">
        <f t="shared" si="83"/>
        <v>0</v>
      </c>
      <c r="AI129" s="4">
        <v>47878</v>
      </c>
      <c r="AJ129" s="4">
        <v>49132</v>
      </c>
      <c r="AK129" s="68">
        <f>IF(AI129=0,0,IF(ISNA(MATCH(A129,Documentation!$B$66:$B$71,0)),QA_Tax_reg,QA_Tax_5high))</f>
        <v>32.92</v>
      </c>
      <c r="AL129" s="75">
        <f t="shared" si="84"/>
        <v>32.08</v>
      </c>
      <c r="AM129" s="68">
        <f t="shared" si="85"/>
        <v>301.08999999999997</v>
      </c>
      <c r="AN129" s="68">
        <f t="shared" si="86"/>
        <v>228.04</v>
      </c>
      <c r="AO129" s="68">
        <f t="shared" si="87"/>
        <v>154.97999999999999</v>
      </c>
      <c r="AP129" s="37" t="s">
        <v>5</v>
      </c>
      <c r="AQ129" s="37" t="s">
        <v>228</v>
      </c>
      <c r="AR129" s="37" t="s">
        <v>1082</v>
      </c>
      <c r="AS129" s="66" t="e">
        <f>VLOOKUP(A129,'CMI Data'!$A$3:$J$209,10,FALSE)</f>
        <v>#DIV/0!</v>
      </c>
      <c r="AT129" s="68">
        <f t="shared" si="59"/>
        <v>141.08000000000001</v>
      </c>
      <c r="AU129" s="68" t="e">
        <f t="shared" si="60"/>
        <v>#DIV/0!</v>
      </c>
      <c r="AV129" s="75" t="e">
        <f t="shared" si="88"/>
        <v>#DIV/0!</v>
      </c>
      <c r="AW129" s="68" t="e">
        <f>IF($I129="NA","NA",ROUND(#REF!*$AS129/$I129,2))</f>
        <v>#REF!</v>
      </c>
      <c r="AX129" s="75" t="e">
        <f t="shared" si="105"/>
        <v>#REF!</v>
      </c>
      <c r="AY129" s="68" t="e">
        <f t="shared" si="89"/>
        <v>#REF!</v>
      </c>
      <c r="AZ129" s="4">
        <f t="shared" si="90"/>
        <v>116279</v>
      </c>
      <c r="BA129" s="4">
        <f t="shared" si="91"/>
        <v>51240</v>
      </c>
      <c r="BB129" s="4">
        <f t="shared" si="92"/>
        <v>48705</v>
      </c>
      <c r="BC129" s="142">
        <f>IF(ISNA(VLOOKUP($A129&amp;$AB129,'Days Exceptions'!$C$3:$I$7,6,FALSE)),ROUND(AZ129/MAX(BB129,(BA129*Min_Occ)),2),ROUND(AZ129/VLOOKUP($A129&amp;$AB129,'Days Exceptions'!$C$3:$I$7,6,FALSE),2))</f>
        <v>2.39</v>
      </c>
      <c r="BD129" s="143" t="e">
        <f t="shared" si="61"/>
        <v>#REF!</v>
      </c>
      <c r="BE129" s="143" t="e">
        <f t="shared" si="62"/>
        <v>#REF!</v>
      </c>
      <c r="BF129" s="143">
        <f t="shared" si="63"/>
        <v>151.26</v>
      </c>
      <c r="BG129" s="37" t="s">
        <v>5</v>
      </c>
      <c r="BH129" s="37" t="s">
        <v>228</v>
      </c>
      <c r="BI129" s="37" t="s">
        <v>1286</v>
      </c>
      <c r="BJ129" s="66" t="e">
        <f>VLOOKUP(A129,'CMI Data'!$A$3:$AZ$209,15,FALSE)</f>
        <v>#DIV/0!</v>
      </c>
      <c r="BK129" s="68">
        <f t="shared" si="64"/>
        <v>141.08000000000001</v>
      </c>
      <c r="BL129" s="68" t="e">
        <f t="shared" si="65"/>
        <v>#DIV/0!</v>
      </c>
      <c r="BM129" s="75" t="e">
        <f t="shared" si="93"/>
        <v>#DIV/0!</v>
      </c>
      <c r="BN129" s="68" t="e">
        <f>IF($I129="NA","NA",ROUND(#REF!*$BJ129/$I129,2))</f>
        <v>#REF!</v>
      </c>
      <c r="BO129" s="75" t="e">
        <f t="shared" si="94"/>
        <v>#REF!</v>
      </c>
      <c r="BP129" s="68" t="e">
        <f t="shared" si="95"/>
        <v>#REF!</v>
      </c>
      <c r="BQ129" s="4">
        <f t="shared" si="96"/>
        <v>116279</v>
      </c>
      <c r="BR129" s="4">
        <f t="shared" si="97"/>
        <v>51240</v>
      </c>
      <c r="BS129" s="4">
        <f t="shared" si="98"/>
        <v>48705</v>
      </c>
      <c r="BT129" s="142">
        <f>IF(ISNA(VLOOKUP($A129&amp;$AB129,'Days Exceptions'!$C$3:$I$7,6,FALSE)),ROUND(BQ129/MAX(BS129,(BR129*Min_Occ)),2),ROUND(BQ129/VLOOKUP($A129&amp;$AB129,'Days Exceptions'!$C$3:$I$7,6,FALSE),2))</f>
        <v>2.39</v>
      </c>
      <c r="BU129" s="143" t="e">
        <f t="shared" si="66"/>
        <v>#REF!</v>
      </c>
      <c r="BV129" s="143" t="e">
        <f t="shared" si="67"/>
        <v>#REF!</v>
      </c>
      <c r="BW129" s="143">
        <f t="shared" si="68"/>
        <v>151.26</v>
      </c>
      <c r="BX129" s="37" t="s">
        <v>5</v>
      </c>
      <c r="BY129" s="37" t="s">
        <v>228</v>
      </c>
      <c r="BZ129" s="37" t="s">
        <v>1616</v>
      </c>
      <c r="CA129" s="66" t="e">
        <f>VLOOKUP(A129,'CMI Data'!$A$3:$AZ$209,20,FALSE)</f>
        <v>#DIV/0!</v>
      </c>
      <c r="CB129" s="68">
        <f t="shared" si="69"/>
        <v>141.08000000000001</v>
      </c>
      <c r="CC129" s="68" t="e">
        <f t="shared" si="70"/>
        <v>#DIV/0!</v>
      </c>
      <c r="CD129" s="75" t="e">
        <f t="shared" si="99"/>
        <v>#DIV/0!</v>
      </c>
      <c r="CE129" s="68" t="e">
        <f>IF($I129="NA","NA",ROUND(#REF!*$CA129/$I129,2))</f>
        <v>#REF!</v>
      </c>
      <c r="CF129" s="75" t="e">
        <f t="shared" si="100"/>
        <v>#REF!</v>
      </c>
      <c r="CG129" s="68" t="e">
        <f t="shared" si="101"/>
        <v>#REF!</v>
      </c>
      <c r="CH129" s="4">
        <f t="shared" si="102"/>
        <v>116279</v>
      </c>
      <c r="CI129" s="4">
        <f t="shared" si="103"/>
        <v>51240</v>
      </c>
      <c r="CJ129" s="4">
        <f t="shared" si="104"/>
        <v>48705</v>
      </c>
      <c r="CK129" s="142">
        <f>IF(ISNA(VLOOKUP($A129&amp;$AB129,'Days Exceptions'!$C$3:$I$7,6,FALSE)),ROUND(CH129/MAX(CJ129,(CI129*Min_Occ)),2),ROUND(CH129/VLOOKUP($A129&amp;$AB129,'Days Exceptions'!$C$3:$I$7,6,FALSE),2))</f>
        <v>2.39</v>
      </c>
      <c r="CL129" s="143" t="e">
        <f t="shared" si="71"/>
        <v>#REF!</v>
      </c>
      <c r="CM129" s="143" t="e">
        <f t="shared" si="72"/>
        <v>#REF!</v>
      </c>
      <c r="CN129" s="143">
        <f t="shared" si="73"/>
        <v>151.26</v>
      </c>
      <c r="CO129" s="37" t="s">
        <v>5</v>
      </c>
      <c r="CP129" s="37" t="s">
        <v>228</v>
      </c>
      <c r="CQ129" s="37" t="s">
        <v>1617</v>
      </c>
    </row>
    <row r="130" spans="1:95" x14ac:dyDescent="0.15">
      <c r="A130" s="130">
        <v>258</v>
      </c>
      <c r="B130" s="37" t="s">
        <v>204</v>
      </c>
      <c r="C130" s="1" t="s">
        <v>148</v>
      </c>
      <c r="D130" s="1" t="s">
        <v>102</v>
      </c>
      <c r="E130" s="1" t="str">
        <f>VLOOKUP(D130,Documentation!$B$4:$D$27,3,FALSE)</f>
        <v>BALTIMORE METRO</v>
      </c>
      <c r="F130" s="1" t="str">
        <f>VLOOKUP(D130,Documentation!$B$4:$C$27,2,FALSE)</f>
        <v>BALTIMORE CITY</v>
      </c>
      <c r="G130" s="82">
        <f>VLOOKUP(A130,'2022 CR and CMI'!$A$3:$D$207,3,FALSE)</f>
        <v>44378</v>
      </c>
      <c r="H130" s="82">
        <f>VLOOKUP(A130,'2022 CR and CMI'!$A$3:$D$207,4,FALSE)</f>
        <v>44742</v>
      </c>
      <c r="I130" s="72">
        <f>VLOOKUP(A130,'2022 CR and CMI'!$A$2:$T$210,19,FALSE)</f>
        <v>1.33</v>
      </c>
      <c r="J130" s="139">
        <f>Inflation!$G$24</f>
        <v>1.0309999999999999</v>
      </c>
      <c r="K130" s="192">
        <f>VLOOKUP(E130,Limits!$B$2:$D$5,3,FALSE)</f>
        <v>195.33</v>
      </c>
      <c r="L130" s="192">
        <f t="shared" si="74"/>
        <v>201.39</v>
      </c>
      <c r="M130" s="140">
        <f>VLOOKUP(A130,'CMI Data'!$A$4:$C$208,3,FALSE)</f>
        <v>1.4516</v>
      </c>
      <c r="N130" s="68">
        <f t="shared" si="58"/>
        <v>185.59</v>
      </c>
      <c r="O130" s="68">
        <f t="shared" si="75"/>
        <v>202.56</v>
      </c>
      <c r="P130" s="75">
        <f t="shared" si="76"/>
        <v>192.43</v>
      </c>
      <c r="Q130" s="75">
        <v>225.65</v>
      </c>
      <c r="R130" s="75">
        <f t="shared" si="77"/>
        <v>232.65</v>
      </c>
      <c r="S130" s="68">
        <f t="shared" si="78"/>
        <v>253.92</v>
      </c>
      <c r="T130" s="75">
        <f t="shared" si="79"/>
        <v>0</v>
      </c>
      <c r="U130" s="68">
        <f t="shared" si="80"/>
        <v>202.56</v>
      </c>
      <c r="V130" s="68">
        <f>VLOOKUP($F130,Limits!$J$2:$L$5,3,FALSE)</f>
        <v>24.89</v>
      </c>
      <c r="W130" s="68">
        <f t="shared" si="81"/>
        <v>25.66</v>
      </c>
      <c r="X130" s="68">
        <f>VLOOKUP($F130,Limits!$R$2:$T$5,3,FALSE)</f>
        <v>114.15</v>
      </c>
      <c r="Y130" s="68">
        <f t="shared" si="82"/>
        <v>117.69</v>
      </c>
      <c r="Z130" s="75">
        <f>VLOOKUP(A130,FRV!$A$4:$U$208,21,FALSE)</f>
        <v>55.36</v>
      </c>
      <c r="AA130" s="141">
        <f>VLOOKUP(A130,'RE Tax'!$A$2:$G$206,3,FALSE)</f>
        <v>45108</v>
      </c>
      <c r="AB130" s="141">
        <f>VLOOKUP(A130,'RE Tax'!$A$2:$G$206,4,FALSE)</f>
        <v>45473</v>
      </c>
      <c r="AC130" s="4">
        <f>VLOOKUP(A130,'RE Tax'!$A$2:$G$206,7,FALSE)</f>
        <v>0</v>
      </c>
      <c r="AD130" s="4">
        <f>VLOOKUP($A130,'RE Tax'!$A$2:$I$206,9,FALSE)</f>
        <v>70968</v>
      </c>
      <c r="AE130" s="4">
        <f>VLOOKUP($A130,'RE Tax'!$A$2:$I$206,8,FALSE)</f>
        <v>58890</v>
      </c>
      <c r="AF130" s="142">
        <f>IF(ISNA(VLOOKUP(A130&amp;AB130,'Days Exceptions'!$C$3:$I$7,6,FALSE)),ROUND(AC130/MAX(AE130,(AD130*Min_Occ)),2),ROUND(AC130/VLOOKUP(A130&amp;AB130,'Days Exceptions'!$C$3:$I$7,6,FALSE),2))</f>
        <v>0</v>
      </c>
      <c r="AG130" s="68">
        <v>0</v>
      </c>
      <c r="AH130" s="68">
        <f t="shared" si="83"/>
        <v>0</v>
      </c>
      <c r="AI130" s="4">
        <v>46767</v>
      </c>
      <c r="AJ130" s="4">
        <v>57938</v>
      </c>
      <c r="AK130" s="68">
        <f>IF(AI130=0,0,IF(ISNA(MATCH(A130,Documentation!$B$66:$B$71,0)),QA_Tax_reg,QA_Tax_5high))</f>
        <v>32.92</v>
      </c>
      <c r="AL130" s="75">
        <f t="shared" si="84"/>
        <v>26.57</v>
      </c>
      <c r="AM130" s="68">
        <f t="shared" si="85"/>
        <v>401.27</v>
      </c>
      <c r="AN130" s="68">
        <f t="shared" si="86"/>
        <v>299.99</v>
      </c>
      <c r="AO130" s="68">
        <f t="shared" si="87"/>
        <v>198.71</v>
      </c>
      <c r="AP130" s="37" t="s">
        <v>78</v>
      </c>
      <c r="AQ130" s="37" t="s">
        <v>204</v>
      </c>
      <c r="AR130" s="37" t="s">
        <v>1083</v>
      </c>
      <c r="AS130" s="66" t="e">
        <f>VLOOKUP(A130,'CMI Data'!$A$3:$J$209,10,FALSE)</f>
        <v>#DIV/0!</v>
      </c>
      <c r="AT130" s="68">
        <f t="shared" si="59"/>
        <v>180.01</v>
      </c>
      <c r="AU130" s="68" t="e">
        <f t="shared" si="60"/>
        <v>#DIV/0!</v>
      </c>
      <c r="AV130" s="75" t="e">
        <f t="shared" si="88"/>
        <v>#DIV/0!</v>
      </c>
      <c r="AW130" s="68" t="e">
        <f>IF($I130="NA","NA",ROUND(#REF!*$AS130/$I130,2))</f>
        <v>#REF!</v>
      </c>
      <c r="AX130" s="75" t="e">
        <f t="shared" si="105"/>
        <v>#REF!</v>
      </c>
      <c r="AY130" s="68" t="e">
        <f t="shared" si="89"/>
        <v>#REF!</v>
      </c>
      <c r="AZ130" s="4">
        <f t="shared" si="90"/>
        <v>0</v>
      </c>
      <c r="BA130" s="4">
        <f t="shared" si="91"/>
        <v>70968</v>
      </c>
      <c r="BB130" s="4">
        <f t="shared" si="92"/>
        <v>58890</v>
      </c>
      <c r="BC130" s="142">
        <f>IF(ISNA(VLOOKUP($A130&amp;$AB130,'Days Exceptions'!$C$3:$I$7,6,FALSE)),ROUND(AZ130/MAX(BB130,(BA130*Min_Occ)),2),ROUND(AZ130/VLOOKUP($A130&amp;$AB130,'Days Exceptions'!$C$3:$I$7,6,FALSE),2))</f>
        <v>0</v>
      </c>
      <c r="BD130" s="143" t="e">
        <f t="shared" si="61"/>
        <v>#REF!</v>
      </c>
      <c r="BE130" s="143" t="e">
        <f t="shared" si="62"/>
        <v>#REF!</v>
      </c>
      <c r="BF130" s="143">
        <f t="shared" si="63"/>
        <v>194.4</v>
      </c>
      <c r="BG130" s="37" t="s">
        <v>78</v>
      </c>
      <c r="BH130" s="37" t="s">
        <v>204</v>
      </c>
      <c r="BI130" s="37" t="s">
        <v>1287</v>
      </c>
      <c r="BJ130" s="66" t="e">
        <f>VLOOKUP(A130,'CMI Data'!$A$3:$AZ$209,15,FALSE)</f>
        <v>#DIV/0!</v>
      </c>
      <c r="BK130" s="68">
        <f t="shared" si="64"/>
        <v>180.01</v>
      </c>
      <c r="BL130" s="68" t="e">
        <f t="shared" si="65"/>
        <v>#DIV/0!</v>
      </c>
      <c r="BM130" s="75" t="e">
        <f t="shared" si="93"/>
        <v>#DIV/0!</v>
      </c>
      <c r="BN130" s="68" t="e">
        <f>IF($I130="NA","NA",ROUND(#REF!*$BJ130/$I130,2))</f>
        <v>#REF!</v>
      </c>
      <c r="BO130" s="75" t="e">
        <f t="shared" si="94"/>
        <v>#REF!</v>
      </c>
      <c r="BP130" s="68" t="e">
        <f t="shared" si="95"/>
        <v>#REF!</v>
      </c>
      <c r="BQ130" s="4">
        <f t="shared" si="96"/>
        <v>0</v>
      </c>
      <c r="BR130" s="4">
        <f t="shared" si="97"/>
        <v>70968</v>
      </c>
      <c r="BS130" s="4">
        <f t="shared" si="98"/>
        <v>58890</v>
      </c>
      <c r="BT130" s="142">
        <f>IF(ISNA(VLOOKUP($A130&amp;$AB130,'Days Exceptions'!$C$3:$I$7,6,FALSE)),ROUND(BQ130/MAX(BS130,(BR130*Min_Occ)),2),ROUND(BQ130/VLOOKUP($A130&amp;$AB130,'Days Exceptions'!$C$3:$I$7,6,FALSE),2))</f>
        <v>0</v>
      </c>
      <c r="BU130" s="143" t="e">
        <f t="shared" si="66"/>
        <v>#REF!</v>
      </c>
      <c r="BV130" s="143" t="e">
        <f t="shared" si="67"/>
        <v>#REF!</v>
      </c>
      <c r="BW130" s="143">
        <f t="shared" si="68"/>
        <v>194.4</v>
      </c>
      <c r="BX130" s="37" t="s">
        <v>78</v>
      </c>
      <c r="BY130" s="37" t="s">
        <v>204</v>
      </c>
      <c r="BZ130" s="37" t="s">
        <v>1618</v>
      </c>
      <c r="CA130" s="66" t="e">
        <f>VLOOKUP(A130,'CMI Data'!$A$3:$AZ$209,20,FALSE)</f>
        <v>#DIV/0!</v>
      </c>
      <c r="CB130" s="68">
        <f t="shared" si="69"/>
        <v>180.01</v>
      </c>
      <c r="CC130" s="68" t="e">
        <f t="shared" si="70"/>
        <v>#DIV/0!</v>
      </c>
      <c r="CD130" s="75" t="e">
        <f t="shared" si="99"/>
        <v>#DIV/0!</v>
      </c>
      <c r="CE130" s="68" t="e">
        <f>IF($I130="NA","NA",ROUND(#REF!*$CA130/$I130,2))</f>
        <v>#REF!</v>
      </c>
      <c r="CF130" s="75" t="e">
        <f t="shared" si="100"/>
        <v>#REF!</v>
      </c>
      <c r="CG130" s="68" t="e">
        <f t="shared" si="101"/>
        <v>#REF!</v>
      </c>
      <c r="CH130" s="4">
        <f t="shared" si="102"/>
        <v>0</v>
      </c>
      <c r="CI130" s="4">
        <f t="shared" si="103"/>
        <v>70968</v>
      </c>
      <c r="CJ130" s="4">
        <f t="shared" si="104"/>
        <v>58890</v>
      </c>
      <c r="CK130" s="142">
        <f>IF(ISNA(VLOOKUP($A130&amp;$AB130,'Days Exceptions'!$C$3:$I$7,6,FALSE)),ROUND(CH130/MAX(CJ130,(CI130*Min_Occ)),2),ROUND(CH130/VLOOKUP($A130&amp;$AB130,'Days Exceptions'!$C$3:$I$7,6,FALSE),2))</f>
        <v>0</v>
      </c>
      <c r="CL130" s="143" t="e">
        <f t="shared" si="71"/>
        <v>#REF!</v>
      </c>
      <c r="CM130" s="143" t="e">
        <f t="shared" si="72"/>
        <v>#REF!</v>
      </c>
      <c r="CN130" s="143">
        <f t="shared" si="73"/>
        <v>194.4</v>
      </c>
      <c r="CO130" s="37" t="s">
        <v>78</v>
      </c>
      <c r="CP130" s="37" t="s">
        <v>204</v>
      </c>
      <c r="CQ130" s="37" t="s">
        <v>1619</v>
      </c>
    </row>
    <row r="131" spans="1:95" x14ac:dyDescent="0.15">
      <c r="A131" s="130">
        <v>336</v>
      </c>
      <c r="B131" s="37" t="s">
        <v>385</v>
      </c>
      <c r="C131" s="1" t="s">
        <v>148</v>
      </c>
      <c r="D131" s="1" t="s">
        <v>107</v>
      </c>
      <c r="E131" s="1" t="str">
        <f>VLOOKUP(D131,Documentation!$B$4:$D$27,3,FALSE)</f>
        <v>BALTIMORE METRO</v>
      </c>
      <c r="F131" s="1" t="str">
        <f>VLOOKUP(D131,Documentation!$B$4:$C$27,2,FALSE)</f>
        <v>BALTIMORE METRO</v>
      </c>
      <c r="G131" s="82">
        <f>VLOOKUP(A131,'2022 CR and CMI'!$A$3:$D$207,3,FALSE)</f>
        <v>44562</v>
      </c>
      <c r="H131" s="82">
        <f>VLOOKUP(A131,'2022 CR and CMI'!$A$3:$D$207,4,FALSE)</f>
        <v>44926</v>
      </c>
      <c r="I131" s="72">
        <f>VLOOKUP(A131,'2022 CR and CMI'!$A$2:$T$210,19,FALSE)</f>
        <v>1.7276</v>
      </c>
      <c r="J131" s="139">
        <f>Inflation!$G$24</f>
        <v>1.0309999999999999</v>
      </c>
      <c r="K131" s="192">
        <f>VLOOKUP(E131,Limits!$B$2:$D$5,3,FALSE)</f>
        <v>195.33</v>
      </c>
      <c r="L131" s="192">
        <f t="shared" si="74"/>
        <v>201.39</v>
      </c>
      <c r="M131" s="140">
        <f>VLOOKUP(A131,'CMI Data'!$A$4:$C$208,3,FALSE)</f>
        <v>1.4933000000000001</v>
      </c>
      <c r="N131" s="68">
        <f t="shared" si="58"/>
        <v>241.08</v>
      </c>
      <c r="O131" s="68">
        <f t="shared" si="75"/>
        <v>208.38</v>
      </c>
      <c r="P131" s="75">
        <f t="shared" si="76"/>
        <v>197.96</v>
      </c>
      <c r="Q131" s="75">
        <v>153.11000000000001</v>
      </c>
      <c r="R131" s="75">
        <f t="shared" si="77"/>
        <v>157.86000000000001</v>
      </c>
      <c r="S131" s="68">
        <f t="shared" si="78"/>
        <v>136.44999999999999</v>
      </c>
      <c r="T131" s="75">
        <f t="shared" si="79"/>
        <v>-61.51</v>
      </c>
      <c r="U131" s="68">
        <f t="shared" si="80"/>
        <v>146.87</v>
      </c>
      <c r="V131" s="68">
        <f>VLOOKUP($F131,Limits!$J$2:$L$5,3,FALSE)</f>
        <v>20.85</v>
      </c>
      <c r="W131" s="68">
        <f t="shared" si="81"/>
        <v>21.5</v>
      </c>
      <c r="X131" s="68">
        <f>VLOOKUP($F131,Limits!$R$2:$T$5,3,FALSE)</f>
        <v>102.02</v>
      </c>
      <c r="Y131" s="68">
        <f t="shared" si="82"/>
        <v>105.18</v>
      </c>
      <c r="Z131" s="75">
        <f>VLOOKUP(A131,FRV!$A$4:$U$208,21,FALSE)</f>
        <v>35.65</v>
      </c>
      <c r="AA131" s="141">
        <f>VLOOKUP(A131,'RE Tax'!$A$2:$G$206,3,FALSE)</f>
        <v>45292</v>
      </c>
      <c r="AB131" s="141">
        <f>VLOOKUP(A131,'RE Tax'!$A$2:$G$206,4,FALSE)</f>
        <v>45657</v>
      </c>
      <c r="AC131" s="4">
        <f>VLOOKUP(A131,'RE Tax'!$A$2:$G$206,7,FALSE)</f>
        <v>91109</v>
      </c>
      <c r="AD131" s="4">
        <f>VLOOKUP($A131,'RE Tax'!$A$2:$I$206,9,FALSE)</f>
        <v>40260</v>
      </c>
      <c r="AE131" s="4">
        <f>VLOOKUP($A131,'RE Tax'!$A$2:$I$206,8,FALSE)</f>
        <v>36673</v>
      </c>
      <c r="AF131" s="142">
        <f>IF(ISNA(VLOOKUP(A131&amp;AB131,'Days Exceptions'!$C$3:$I$7,6,FALSE)),ROUND(AC131/MAX(AE131,(AD131*Min_Occ)),2),ROUND(AC131/VLOOKUP(A131&amp;AB131,'Days Exceptions'!$C$3:$I$7,6,FALSE),2))</f>
        <v>2.48</v>
      </c>
      <c r="AG131" s="68">
        <v>2.94</v>
      </c>
      <c r="AH131" s="68">
        <f t="shared" si="83"/>
        <v>3.03</v>
      </c>
      <c r="AI131" s="4">
        <v>22705</v>
      </c>
      <c r="AJ131" s="4">
        <v>36533</v>
      </c>
      <c r="AK131" s="68">
        <f>IF(AI131=0,0,IF(ISNA(MATCH(A131,Documentation!$B$66:$B$71,0)),QA_Tax_reg,QA_Tax_5high))</f>
        <v>32.92</v>
      </c>
      <c r="AL131" s="75">
        <f t="shared" si="84"/>
        <v>20.46</v>
      </c>
      <c r="AM131" s="68">
        <f t="shared" si="85"/>
        <v>314.70999999999998</v>
      </c>
      <c r="AN131" s="68">
        <f t="shared" si="86"/>
        <v>241.28</v>
      </c>
      <c r="AO131" s="68">
        <f t="shared" si="87"/>
        <v>167.84</v>
      </c>
      <c r="AP131" s="37" t="s">
        <v>384</v>
      </c>
      <c r="AQ131" s="37" t="s">
        <v>385</v>
      </c>
      <c r="AR131" s="37" t="s">
        <v>1084</v>
      </c>
      <c r="AS131" s="66" t="e">
        <f>VLOOKUP(A131,'CMI Data'!$A$3:$J$209,10,FALSE)</f>
        <v>#DIV/0!</v>
      </c>
      <c r="AT131" s="68">
        <f t="shared" si="59"/>
        <v>233.82</v>
      </c>
      <c r="AU131" s="68" t="e">
        <f t="shared" si="60"/>
        <v>#DIV/0!</v>
      </c>
      <c r="AV131" s="75" t="e">
        <f t="shared" si="88"/>
        <v>#DIV/0!</v>
      </c>
      <c r="AW131" s="68" t="e">
        <f>IF($I131="NA","NA",ROUND(#REF!*$AS131/$I131,2))</f>
        <v>#REF!</v>
      </c>
      <c r="AX131" s="75" t="e">
        <f t="shared" si="105"/>
        <v>#REF!</v>
      </c>
      <c r="AY131" s="68" t="e">
        <f t="shared" si="89"/>
        <v>#REF!</v>
      </c>
      <c r="AZ131" s="4">
        <f t="shared" si="90"/>
        <v>91109</v>
      </c>
      <c r="BA131" s="4">
        <f t="shared" si="91"/>
        <v>40260</v>
      </c>
      <c r="BB131" s="4">
        <f t="shared" si="92"/>
        <v>36673</v>
      </c>
      <c r="BC131" s="142">
        <f>IF(ISNA(VLOOKUP($A131&amp;$AB131,'Days Exceptions'!$C$3:$I$7,6,FALSE)),ROUND(AZ131/MAX(BB131,(BA131*Min_Occ)),2),ROUND(AZ131/VLOOKUP($A131&amp;$AB131,'Days Exceptions'!$C$3:$I$7,6,FALSE),2))</f>
        <v>2.48</v>
      </c>
      <c r="BD131" s="143" t="e">
        <f t="shared" si="61"/>
        <v>#REF!</v>
      </c>
      <c r="BE131" s="143" t="e">
        <f t="shared" si="62"/>
        <v>#REF!</v>
      </c>
      <c r="BF131" s="143">
        <f t="shared" si="63"/>
        <v>163.94</v>
      </c>
      <c r="BG131" s="37" t="s">
        <v>384</v>
      </c>
      <c r="BH131" s="37" t="s">
        <v>385</v>
      </c>
      <c r="BI131" s="37" t="s">
        <v>1288</v>
      </c>
      <c r="BJ131" s="66" t="e">
        <f>VLOOKUP(A131,'CMI Data'!$A$3:$AZ$209,15,FALSE)</f>
        <v>#DIV/0!</v>
      </c>
      <c r="BK131" s="68">
        <f t="shared" si="64"/>
        <v>233.82</v>
      </c>
      <c r="BL131" s="68" t="e">
        <f t="shared" si="65"/>
        <v>#DIV/0!</v>
      </c>
      <c r="BM131" s="75" t="e">
        <f t="shared" si="93"/>
        <v>#DIV/0!</v>
      </c>
      <c r="BN131" s="68" t="e">
        <f>IF($I131="NA","NA",ROUND(#REF!*$BJ131/$I131,2))</f>
        <v>#REF!</v>
      </c>
      <c r="BO131" s="75" t="e">
        <f t="shared" si="94"/>
        <v>#REF!</v>
      </c>
      <c r="BP131" s="68" t="e">
        <f t="shared" si="95"/>
        <v>#REF!</v>
      </c>
      <c r="BQ131" s="4">
        <f t="shared" si="96"/>
        <v>91109</v>
      </c>
      <c r="BR131" s="4">
        <f t="shared" si="97"/>
        <v>40260</v>
      </c>
      <c r="BS131" s="4">
        <f t="shared" si="98"/>
        <v>36673</v>
      </c>
      <c r="BT131" s="142">
        <f>IF(ISNA(VLOOKUP($A131&amp;$AB131,'Days Exceptions'!$C$3:$I$7,6,FALSE)),ROUND(BQ131/MAX(BS131,(BR131*Min_Occ)),2),ROUND(BQ131/VLOOKUP($A131&amp;$AB131,'Days Exceptions'!$C$3:$I$7,6,FALSE),2))</f>
        <v>2.48</v>
      </c>
      <c r="BU131" s="143" t="e">
        <f t="shared" si="66"/>
        <v>#REF!</v>
      </c>
      <c r="BV131" s="143" t="e">
        <f t="shared" si="67"/>
        <v>#REF!</v>
      </c>
      <c r="BW131" s="143">
        <f t="shared" si="68"/>
        <v>163.94</v>
      </c>
      <c r="BX131" s="37" t="s">
        <v>384</v>
      </c>
      <c r="BY131" s="37" t="s">
        <v>385</v>
      </c>
      <c r="BZ131" s="37" t="s">
        <v>1620</v>
      </c>
      <c r="CA131" s="66" t="e">
        <f>VLOOKUP(A131,'CMI Data'!$A$3:$AZ$209,20,FALSE)</f>
        <v>#DIV/0!</v>
      </c>
      <c r="CB131" s="68">
        <f t="shared" si="69"/>
        <v>233.82</v>
      </c>
      <c r="CC131" s="68" t="e">
        <f t="shared" si="70"/>
        <v>#DIV/0!</v>
      </c>
      <c r="CD131" s="75" t="e">
        <f t="shared" si="99"/>
        <v>#DIV/0!</v>
      </c>
      <c r="CE131" s="68" t="e">
        <f>IF($I131="NA","NA",ROUND(#REF!*$CA131/$I131,2))</f>
        <v>#REF!</v>
      </c>
      <c r="CF131" s="75" t="e">
        <f t="shared" si="100"/>
        <v>#REF!</v>
      </c>
      <c r="CG131" s="68" t="e">
        <f t="shared" si="101"/>
        <v>#REF!</v>
      </c>
      <c r="CH131" s="4">
        <f t="shared" si="102"/>
        <v>91109</v>
      </c>
      <c r="CI131" s="4">
        <f t="shared" si="103"/>
        <v>40260</v>
      </c>
      <c r="CJ131" s="4">
        <f t="shared" si="104"/>
        <v>36673</v>
      </c>
      <c r="CK131" s="142">
        <f>IF(ISNA(VLOOKUP($A131&amp;$AB131,'Days Exceptions'!$C$3:$I$7,6,FALSE)),ROUND(CH131/MAX(CJ131,(CI131*Min_Occ)),2),ROUND(CH131/VLOOKUP($A131&amp;$AB131,'Days Exceptions'!$C$3:$I$7,6,FALSE),2))</f>
        <v>2.48</v>
      </c>
      <c r="CL131" s="143" t="e">
        <f t="shared" si="71"/>
        <v>#REF!</v>
      </c>
      <c r="CM131" s="143" t="e">
        <f t="shared" si="72"/>
        <v>#REF!</v>
      </c>
      <c r="CN131" s="143">
        <f t="shared" si="73"/>
        <v>163.94</v>
      </c>
      <c r="CO131" s="37" t="s">
        <v>384</v>
      </c>
      <c r="CP131" s="37" t="s">
        <v>385</v>
      </c>
      <c r="CQ131" s="37" t="s">
        <v>1621</v>
      </c>
    </row>
    <row r="132" spans="1:95" x14ac:dyDescent="0.15">
      <c r="A132" s="130">
        <v>312</v>
      </c>
      <c r="B132" s="37" t="s">
        <v>497</v>
      </c>
      <c r="C132" s="1" t="s">
        <v>148</v>
      </c>
      <c r="D132" s="1" t="s">
        <v>120</v>
      </c>
      <c r="E132" s="1" t="str">
        <f>VLOOKUP(D132,Documentation!$B$4:$D$27,3,FALSE)</f>
        <v>WASHINGTON METRO</v>
      </c>
      <c r="F132" s="1" t="str">
        <f>VLOOKUP(D132,Documentation!$B$4:$C$27,2,FALSE)</f>
        <v>WASHINGTON METRO</v>
      </c>
      <c r="G132" s="82">
        <f>VLOOKUP(A132,'2022 CR and CMI'!$A$3:$D$207,3,FALSE)</f>
        <v>44562</v>
      </c>
      <c r="H132" s="82">
        <f>VLOOKUP(A132,'2022 CR and CMI'!$A$3:$D$207,4,FALSE)</f>
        <v>44926</v>
      </c>
      <c r="I132" s="72">
        <f>VLOOKUP(A132,'2022 CR and CMI'!$A$2:$T$210,19,FALSE)</f>
        <v>1.5057</v>
      </c>
      <c r="J132" s="139">
        <f>Inflation!$G$24</f>
        <v>1.0309999999999999</v>
      </c>
      <c r="K132" s="192">
        <f>VLOOKUP(E132,Limits!$B$2:$D$5,3,FALSE)</f>
        <v>176.01</v>
      </c>
      <c r="L132" s="192">
        <f t="shared" si="74"/>
        <v>181.47</v>
      </c>
      <c r="M132" s="140">
        <f>VLOOKUP(A132,'CMI Data'!$A$4:$C$208,3,FALSE)</f>
        <v>1.5186999999999999</v>
      </c>
      <c r="N132" s="68">
        <f t="shared" ref="N132:N196" si="106">IF($I132="NA","NA",ROUND($L132*$I132/SW_CR_CMI,2))</f>
        <v>189.33</v>
      </c>
      <c r="O132" s="68">
        <f t="shared" si="75"/>
        <v>190.96</v>
      </c>
      <c r="P132" s="75">
        <f t="shared" si="76"/>
        <v>181.41</v>
      </c>
      <c r="Q132" s="75">
        <v>126.15</v>
      </c>
      <c r="R132" s="75">
        <f t="shared" si="77"/>
        <v>130.06</v>
      </c>
      <c r="S132" s="68">
        <f t="shared" si="78"/>
        <v>131.18</v>
      </c>
      <c r="T132" s="75">
        <f t="shared" si="79"/>
        <v>-50.23</v>
      </c>
      <c r="U132" s="68">
        <f t="shared" si="80"/>
        <v>140.72999999999999</v>
      </c>
      <c r="V132" s="68">
        <f>VLOOKUP($F132,Limits!$J$2:$L$5,3,FALSE)</f>
        <v>19.23</v>
      </c>
      <c r="W132" s="68">
        <f t="shared" si="81"/>
        <v>19.829999999999998</v>
      </c>
      <c r="X132" s="68">
        <f>VLOOKUP($F132,Limits!$R$2:$T$5,3,FALSE)</f>
        <v>100.61</v>
      </c>
      <c r="Y132" s="68">
        <f t="shared" si="82"/>
        <v>103.73</v>
      </c>
      <c r="Z132" s="75">
        <f>VLOOKUP(A132,FRV!$A$4:$U$208,21,FALSE)</f>
        <v>23.96</v>
      </c>
      <c r="AA132" s="141">
        <f>VLOOKUP(A132,'RE Tax'!$A$2:$G$206,3,FALSE)</f>
        <v>45292</v>
      </c>
      <c r="AB132" s="141">
        <f>VLOOKUP(A132,'RE Tax'!$A$2:$G$206,4,FALSE)</f>
        <v>45657</v>
      </c>
      <c r="AC132" s="4">
        <f>VLOOKUP(A132,'RE Tax'!$A$2:$G$206,7,FALSE)</f>
        <v>150499</v>
      </c>
      <c r="AD132" s="4">
        <f>VLOOKUP($A132,'RE Tax'!$A$2:$I$206,9,FALSE)</f>
        <v>47580</v>
      </c>
      <c r="AE132" s="4">
        <f>VLOOKUP($A132,'RE Tax'!$A$2:$I$206,8,FALSE)</f>
        <v>45675</v>
      </c>
      <c r="AF132" s="142">
        <f>IF(ISNA(VLOOKUP(A132&amp;AB132,'Days Exceptions'!$C$3:$I$7,6,FALSE)),ROUND(AC132/MAX(AE132,(AD132*Min_Occ)),2),ROUND(AC132/VLOOKUP(A132&amp;AB132,'Days Exceptions'!$C$3:$I$7,6,FALSE),2))</f>
        <v>3.29</v>
      </c>
      <c r="AG132" s="68">
        <v>0</v>
      </c>
      <c r="AH132" s="68">
        <f t="shared" si="83"/>
        <v>0</v>
      </c>
      <c r="AI132" s="4">
        <v>35118</v>
      </c>
      <c r="AJ132" s="4">
        <v>45700</v>
      </c>
      <c r="AK132" s="68">
        <f>IF(AI132=0,0,IF(ISNA(MATCH(A132,Documentation!$B$66:$B$71,0)),QA_Tax_reg,QA_Tax_5high))</f>
        <v>32.92</v>
      </c>
      <c r="AL132" s="75">
        <f t="shared" si="84"/>
        <v>25.3</v>
      </c>
      <c r="AM132" s="68">
        <f t="shared" si="85"/>
        <v>291.54000000000002</v>
      </c>
      <c r="AN132" s="68">
        <f t="shared" si="86"/>
        <v>221.18</v>
      </c>
      <c r="AO132" s="68">
        <f t="shared" si="87"/>
        <v>150.81</v>
      </c>
      <c r="AP132" s="37" t="s">
        <v>511</v>
      </c>
      <c r="AQ132" s="37" t="s">
        <v>497</v>
      </c>
      <c r="AR132" s="37" t="s">
        <v>1085</v>
      </c>
      <c r="AS132" s="66" t="e">
        <f>VLOOKUP(A132,'CMI Data'!$A$3:$J$209,10,FALSE)</f>
        <v>#DIV/0!</v>
      </c>
      <c r="AT132" s="68">
        <f t="shared" ref="AT132:AT196" si="107">IF($I132="NA","NA",ROUND($K132*$I132/SW_CR_CMI,2))</f>
        <v>183.63</v>
      </c>
      <c r="AU132" s="68" t="e">
        <f t="shared" ref="AU132:AU196" si="108">IF($I132="NA",ROUND(AS132*$K132,2),ROUND(AT132*(AS132/$I132),2))</f>
        <v>#DIV/0!</v>
      </c>
      <c r="AV132" s="75" t="e">
        <f t="shared" si="88"/>
        <v>#DIV/0!</v>
      </c>
      <c r="AW132" s="68" t="e">
        <f>IF($I132="NA","NA",ROUND(#REF!*$AS132/$I132,2))</f>
        <v>#REF!</v>
      </c>
      <c r="AX132" s="75" t="e">
        <f t="shared" si="105"/>
        <v>#REF!</v>
      </c>
      <c r="AY132" s="68" t="e">
        <f t="shared" si="89"/>
        <v>#REF!</v>
      </c>
      <c r="AZ132" s="4">
        <f t="shared" si="90"/>
        <v>150499</v>
      </c>
      <c r="BA132" s="4">
        <f t="shared" si="91"/>
        <v>47580</v>
      </c>
      <c r="BB132" s="4">
        <f t="shared" si="92"/>
        <v>45675</v>
      </c>
      <c r="BC132" s="142">
        <f>IF(ISNA(VLOOKUP($A132&amp;$AB132,'Days Exceptions'!$C$3:$I$7,6,FALSE)),ROUND(AZ132/MAX(BB132,(BA132*Min_Occ)),2),ROUND(AZ132/VLOOKUP($A132&amp;$AB132,'Days Exceptions'!$C$3:$I$7,6,FALSE),2))</f>
        <v>3.29</v>
      </c>
      <c r="BD132" s="143" t="e">
        <f t="shared" ref="BD132:BD196" si="109">$BC132+$AY132+$AG132+$Z132+$X132+$V132</f>
        <v>#REF!</v>
      </c>
      <c r="BE132" s="143" t="e">
        <f t="shared" ref="BE132:BE196" si="110">$BC132+$AG132+$Z132+$X132+$V132+ROUND(+$AY132*0.5,2)</f>
        <v>#REF!</v>
      </c>
      <c r="BF132" s="143">
        <f t="shared" ref="BF132:BF196" si="111">$BC132+$AG132+$Z132+$X132+$V132</f>
        <v>147.09</v>
      </c>
      <c r="BG132" s="37" t="s">
        <v>511</v>
      </c>
      <c r="BH132" s="37" t="s">
        <v>497</v>
      </c>
      <c r="BI132" s="37" t="s">
        <v>1289</v>
      </c>
      <c r="BJ132" s="66" t="e">
        <f>VLOOKUP(A132,'CMI Data'!$A$3:$AZ$209,15,FALSE)</f>
        <v>#DIV/0!</v>
      </c>
      <c r="BK132" s="68">
        <f t="shared" ref="BK132:BK196" si="112">IF($I132="NA","NA",ROUND($K132*$I132/SW_CR_CMI,2))</f>
        <v>183.63</v>
      </c>
      <c r="BL132" s="68" t="e">
        <f t="shared" ref="BL132:BL196" si="113">IF($I132="NA",ROUND(BJ132*$K132,2),ROUND(BK132*(BJ132/$I132),2))</f>
        <v>#DIV/0!</v>
      </c>
      <c r="BM132" s="75" t="e">
        <f t="shared" si="93"/>
        <v>#DIV/0!</v>
      </c>
      <c r="BN132" s="68" t="e">
        <f>IF($I132="NA","NA",ROUND(#REF!*$BJ132/$I132,2))</f>
        <v>#REF!</v>
      </c>
      <c r="BO132" s="75" t="e">
        <f t="shared" si="94"/>
        <v>#REF!</v>
      </c>
      <c r="BP132" s="68" t="e">
        <f t="shared" si="95"/>
        <v>#REF!</v>
      </c>
      <c r="BQ132" s="4">
        <f t="shared" si="96"/>
        <v>150499</v>
      </c>
      <c r="BR132" s="4">
        <f t="shared" si="97"/>
        <v>47580</v>
      </c>
      <c r="BS132" s="4">
        <f t="shared" si="98"/>
        <v>45675</v>
      </c>
      <c r="BT132" s="142">
        <f>IF(ISNA(VLOOKUP($A132&amp;$AB132,'Days Exceptions'!$C$3:$I$7,6,FALSE)),ROUND(BQ132/MAX(BS132,(BR132*Min_Occ)),2),ROUND(BQ132/VLOOKUP($A132&amp;$AB132,'Days Exceptions'!$C$3:$I$7,6,FALSE),2))</f>
        <v>3.29</v>
      </c>
      <c r="BU132" s="143" t="e">
        <f t="shared" ref="BU132:BU196" si="114">$BT132+$BP132+$AG132+$Z132+$X132+$V132</f>
        <v>#REF!</v>
      </c>
      <c r="BV132" s="143" t="e">
        <f t="shared" ref="BV132:BV196" si="115">$BT132+$AG132+$Z132+$X132+$V132+ROUND(+$BP132*0.5,2)</f>
        <v>#REF!</v>
      </c>
      <c r="BW132" s="143">
        <f t="shared" ref="BW132:BW196" si="116">$BT132+$AG132+$Z132+$X132+$V132</f>
        <v>147.09</v>
      </c>
      <c r="BX132" s="37" t="s">
        <v>511</v>
      </c>
      <c r="BY132" s="37" t="s">
        <v>497</v>
      </c>
      <c r="BZ132" s="37" t="s">
        <v>1622</v>
      </c>
      <c r="CA132" s="66" t="e">
        <f>VLOOKUP(A132,'CMI Data'!$A$3:$AZ$209,20,FALSE)</f>
        <v>#DIV/0!</v>
      </c>
      <c r="CB132" s="68">
        <f t="shared" ref="CB132:CB196" si="117">IF($I132="NA","NA",ROUND($K132*$I132/SW_CR_CMI,2))</f>
        <v>183.63</v>
      </c>
      <c r="CC132" s="68" t="e">
        <f t="shared" ref="CC132:CC196" si="118">IF($I132="NA",ROUND(CA132*$K132,2),ROUND(CB132*(CA132/$I132),2))</f>
        <v>#DIV/0!</v>
      </c>
      <c r="CD132" s="75" t="e">
        <f t="shared" si="99"/>
        <v>#DIV/0!</v>
      </c>
      <c r="CE132" s="68" t="e">
        <f>IF($I132="NA","NA",ROUND(#REF!*$CA132/$I132,2))</f>
        <v>#REF!</v>
      </c>
      <c r="CF132" s="75" t="e">
        <f t="shared" si="100"/>
        <v>#REF!</v>
      </c>
      <c r="CG132" s="68" t="e">
        <f t="shared" si="101"/>
        <v>#REF!</v>
      </c>
      <c r="CH132" s="4">
        <f t="shared" si="102"/>
        <v>150499</v>
      </c>
      <c r="CI132" s="4">
        <f t="shared" si="103"/>
        <v>47580</v>
      </c>
      <c r="CJ132" s="4">
        <f t="shared" si="104"/>
        <v>45675</v>
      </c>
      <c r="CK132" s="142">
        <f>IF(ISNA(VLOOKUP($A132&amp;$AB132,'Days Exceptions'!$C$3:$I$7,6,FALSE)),ROUND(CH132/MAX(CJ132,(CI132*Min_Occ)),2),ROUND(CH132/VLOOKUP($A132&amp;$AB132,'Days Exceptions'!$C$3:$I$7,6,FALSE),2))</f>
        <v>3.29</v>
      </c>
      <c r="CL132" s="143" t="e">
        <f t="shared" ref="CL132:CL196" si="119">$CK132+$CG132+$AG132+$Z132+$X132+$V132</f>
        <v>#REF!</v>
      </c>
      <c r="CM132" s="143" t="e">
        <f t="shared" ref="CM132:CM196" si="120">$CK132+$AG132+$Z132+$X132+$V132+ROUND(+$CG132*0.5,2)</f>
        <v>#REF!</v>
      </c>
      <c r="CN132" s="143">
        <f t="shared" ref="CN132:CN196" si="121">$CK132+$AG132+$Z132+$X132+$V132</f>
        <v>147.09</v>
      </c>
      <c r="CO132" s="37" t="s">
        <v>511</v>
      </c>
      <c r="CP132" s="37" t="s">
        <v>497</v>
      </c>
      <c r="CQ132" s="37" t="s">
        <v>1623</v>
      </c>
    </row>
    <row r="133" spans="1:95" x14ac:dyDescent="0.15">
      <c r="A133" s="130">
        <v>264</v>
      </c>
      <c r="B133" s="37" t="s">
        <v>400</v>
      </c>
      <c r="C133" s="1" t="s">
        <v>148</v>
      </c>
      <c r="D133" s="1" t="s">
        <v>120</v>
      </c>
      <c r="E133" s="1" t="str">
        <f>VLOOKUP(D133,Documentation!$B$4:$D$27,3,FALSE)</f>
        <v>WASHINGTON METRO</v>
      </c>
      <c r="F133" s="1" t="str">
        <f>VLOOKUP(D133,Documentation!$B$4:$C$27,2,FALSE)</f>
        <v>WASHINGTON METRO</v>
      </c>
      <c r="G133" s="82" t="s">
        <v>254</v>
      </c>
      <c r="H133" s="82" t="s">
        <v>254</v>
      </c>
      <c r="I133" s="72" t="s">
        <v>254</v>
      </c>
      <c r="J133" s="139">
        <f>Inflation!$G$24</f>
        <v>1.0309999999999999</v>
      </c>
      <c r="K133" s="192">
        <f>VLOOKUP(E133,Limits!$B$2:$D$5,3,FALSE)</f>
        <v>176.01</v>
      </c>
      <c r="L133" s="192">
        <f t="shared" si="74"/>
        <v>181.47</v>
      </c>
      <c r="M133" s="140">
        <f>VLOOKUP(A133,'CMI Data'!$A$4:$C$208,3,FALSE)</f>
        <v>1.4061999999999999</v>
      </c>
      <c r="N133" s="68" t="str">
        <f t="shared" si="106"/>
        <v>NA</v>
      </c>
      <c r="O133" s="68">
        <f t="shared" ref="O133" si="122">IF($I133="NA",ROUND(M133*L133,2),ROUND(N133*(M133/$I133),2))</f>
        <v>255.18</v>
      </c>
      <c r="P133" s="75" t="str">
        <f t="shared" ref="P133" si="123">IF($I133="NA","NA",ROUND(O133*0.95,2))</f>
        <v>NA</v>
      </c>
      <c r="Q133" s="75" t="s">
        <v>254</v>
      </c>
      <c r="R133" s="75" t="str">
        <f>IF(Q133="NA","NA",ROUND(Q133*J133,2))</f>
        <v>NA</v>
      </c>
      <c r="S133" s="68" t="str">
        <f>IF($I133="NA","NA",ROUND(R133*M133/$I133,2))</f>
        <v>NA</v>
      </c>
      <c r="T133" s="75" t="str">
        <f t="shared" si="79"/>
        <v>NA</v>
      </c>
      <c r="U133" s="68">
        <f t="shared" si="80"/>
        <v>255.18</v>
      </c>
      <c r="V133" s="68">
        <f>VLOOKUP($F133,Limits!$J$2:$L$5,3,FALSE)</f>
        <v>19.23</v>
      </c>
      <c r="W133" s="68">
        <f t="shared" si="81"/>
        <v>19.829999999999998</v>
      </c>
      <c r="X133" s="68">
        <f>VLOOKUP($F133,Limits!$R$2:$T$5,3,FALSE)</f>
        <v>100.61</v>
      </c>
      <c r="Y133" s="68">
        <f t="shared" si="82"/>
        <v>103.73</v>
      </c>
      <c r="Z133" s="75">
        <f>VLOOKUP(A133,FRV!$A$4:$U$208,21,FALSE)</f>
        <v>41.94</v>
      </c>
      <c r="AA133" s="141">
        <f>VLOOKUP(A133,'RE Tax'!$A$2:$G$206,3,FALSE)</f>
        <v>45292</v>
      </c>
      <c r="AB133" s="141">
        <f>VLOOKUP(A133,'RE Tax'!$A$2:$G$206,4,FALSE)</f>
        <v>45657</v>
      </c>
      <c r="AC133" s="4">
        <f>VLOOKUP(A133,'RE Tax'!$A$2:$G$206,7,FALSE)</f>
        <v>12421</v>
      </c>
      <c r="AD133" s="4">
        <f>VLOOKUP($A133,'RE Tax'!$A$2:$I$206,9,FALSE)</f>
        <v>43800</v>
      </c>
      <c r="AE133" s="4">
        <f>VLOOKUP($A133,'RE Tax'!$A$2:$I$206,8,FALSE)</f>
        <v>24831</v>
      </c>
      <c r="AF133" s="142">
        <f>IF(ISNA(VLOOKUP(A133&amp;AB133,'Days Exceptions'!$C$3:$I$7,6,FALSE)),ROUND(AC133/MAX(AE133,(AD133*Min_Occ)),2),ROUND(AC133/VLOOKUP(A133&amp;AB133,'Days Exceptions'!$C$3:$I$7,6,FALSE),2))</f>
        <v>0.35</v>
      </c>
      <c r="AG133" s="68">
        <v>0</v>
      </c>
      <c r="AH133" s="68">
        <f t="shared" si="83"/>
        <v>0</v>
      </c>
      <c r="AI133" s="4">
        <v>12927</v>
      </c>
      <c r="AJ133" s="4">
        <v>24831</v>
      </c>
      <c r="AK133" s="68">
        <f>IF(AI133=0,0,IF(ISNA(MATCH(A133,Documentation!$B$66:$B$71,0)),QA_Tax_reg,QA_Tax_5high))</f>
        <v>32.92</v>
      </c>
      <c r="AL133" s="75">
        <f t="shared" si="84"/>
        <v>17.14</v>
      </c>
      <c r="AM133" s="68">
        <f t="shared" si="85"/>
        <v>421.03</v>
      </c>
      <c r="AN133" s="68">
        <f t="shared" si="86"/>
        <v>293.44</v>
      </c>
      <c r="AO133" s="68">
        <f t="shared" si="87"/>
        <v>165.85</v>
      </c>
      <c r="AP133" s="37" t="s">
        <v>1862</v>
      </c>
      <c r="AQ133" s="37" t="s">
        <v>400</v>
      </c>
      <c r="AR133" s="37" t="s">
        <v>1863</v>
      </c>
      <c r="AS133" s="66"/>
      <c r="AT133" s="68"/>
      <c r="AU133" s="68"/>
      <c r="AV133" s="75"/>
      <c r="AW133" s="68"/>
      <c r="AX133" s="75"/>
      <c r="AY133" s="68"/>
      <c r="AZ133" s="4"/>
      <c r="BA133" s="4"/>
      <c r="BB133" s="4"/>
      <c r="BC133" s="142"/>
      <c r="BD133" s="143"/>
      <c r="BE133" s="143"/>
      <c r="BF133" s="143"/>
      <c r="BG133" s="37"/>
      <c r="BH133" s="37"/>
      <c r="BI133" s="37"/>
      <c r="BJ133" s="66"/>
      <c r="BK133" s="68"/>
      <c r="BL133" s="68"/>
      <c r="BM133" s="75"/>
      <c r="BN133" s="68"/>
      <c r="BO133" s="75"/>
      <c r="BP133" s="68"/>
      <c r="BQ133" s="4"/>
      <c r="BR133" s="4"/>
      <c r="BS133" s="4"/>
      <c r="BT133" s="142"/>
      <c r="BU133" s="143"/>
      <c r="BV133" s="143"/>
      <c r="BW133" s="143"/>
      <c r="BX133" s="37"/>
      <c r="BY133" s="37"/>
      <c r="BZ133" s="37"/>
      <c r="CA133" s="66"/>
      <c r="CB133" s="68"/>
      <c r="CC133" s="68"/>
      <c r="CD133" s="75"/>
      <c r="CE133" s="68"/>
      <c r="CF133" s="75"/>
      <c r="CG133" s="68"/>
      <c r="CH133" s="4"/>
      <c r="CI133" s="4"/>
      <c r="CJ133" s="4"/>
      <c r="CK133" s="142"/>
      <c r="CL133" s="143"/>
      <c r="CM133" s="143"/>
      <c r="CN133" s="143"/>
      <c r="CO133" s="37"/>
      <c r="CP133" s="37"/>
      <c r="CQ133" s="37"/>
    </row>
    <row r="134" spans="1:95" x14ac:dyDescent="0.15">
      <c r="A134" s="130">
        <v>737</v>
      </c>
      <c r="B134" s="37" t="s">
        <v>229</v>
      </c>
      <c r="C134" s="1" t="s">
        <v>148</v>
      </c>
      <c r="D134" s="1" t="s">
        <v>111</v>
      </c>
      <c r="E134" s="1" t="str">
        <f>VLOOKUP(D134,Documentation!$B$4:$D$27,3,FALSE)</f>
        <v>BALTIMORE METRO</v>
      </c>
      <c r="F134" s="1" t="str">
        <f>VLOOKUP(D134,Documentation!$B$4:$C$27,2,FALSE)</f>
        <v>NON METRO</v>
      </c>
      <c r="G134" s="82">
        <f>VLOOKUP(A134,'2022 CR and CMI'!$A$3:$D$207,3,FALSE)</f>
        <v>44378</v>
      </c>
      <c r="H134" s="82">
        <f>VLOOKUP(A134,'2022 CR and CMI'!$A$3:$D$207,4,FALSE)</f>
        <v>44742</v>
      </c>
      <c r="I134" s="72">
        <f>VLOOKUP(A134,'2022 CR and CMI'!$A$2:$T$210,19,FALSE)</f>
        <v>1.4337</v>
      </c>
      <c r="J134" s="139">
        <f>Inflation!$G$24</f>
        <v>1.0309999999999999</v>
      </c>
      <c r="K134" s="192">
        <f>VLOOKUP(E134,Limits!$B$2:$D$5,3,FALSE)</f>
        <v>195.33</v>
      </c>
      <c r="L134" s="192">
        <f t="shared" ref="L134:L197" si="124">ROUND(K134*J134,2)</f>
        <v>201.39</v>
      </c>
      <c r="M134" s="140">
        <f>VLOOKUP(A134,'CMI Data'!$A$4:$C$208,3,FALSE)</f>
        <v>1.2969999999999999</v>
      </c>
      <c r="N134" s="68">
        <f t="shared" si="106"/>
        <v>200.06</v>
      </c>
      <c r="O134" s="68">
        <f t="shared" ref="O134:O197" si="125">IF($I134="NA",ROUND(M134*L134,2),ROUND(N134*(M134/$I134),2))</f>
        <v>180.98</v>
      </c>
      <c r="P134" s="75">
        <f t="shared" ref="P134:P197" si="126">IF($I134="NA","NA",ROUND(O134*0.95,2))</f>
        <v>171.93</v>
      </c>
      <c r="Q134" s="75">
        <v>144.9</v>
      </c>
      <c r="R134" s="75">
        <f t="shared" ref="R134:R197" si="127">IF(Q134="NA","NA",ROUND(Q134*J134,2))</f>
        <v>149.38999999999999</v>
      </c>
      <c r="S134" s="68">
        <f t="shared" ref="S134:S197" si="128">IF($I134="NA","NA",ROUND(R134*M134/$I134,2))</f>
        <v>135.15</v>
      </c>
      <c r="T134" s="75">
        <f t="shared" ref="T134:T197" si="129">IF(S134="NA","NA",MIN(S134-P134,0))</f>
        <v>-36.78</v>
      </c>
      <c r="U134" s="68">
        <f t="shared" ref="U134:U197" si="130">IF(T134="NA",O134,O134+T134)</f>
        <v>144.19999999999999</v>
      </c>
      <c r="V134" s="68">
        <f>VLOOKUP($F134,Limits!$J$2:$L$5,3,FALSE)</f>
        <v>20.239999999999998</v>
      </c>
      <c r="W134" s="68">
        <f t="shared" ref="W134:W197" si="131">ROUND(V134*J134,2)</f>
        <v>20.87</v>
      </c>
      <c r="X134" s="68">
        <f>VLOOKUP($F134,Limits!$R$2:$T$5,3,FALSE)</f>
        <v>89.55</v>
      </c>
      <c r="Y134" s="68">
        <f t="shared" ref="Y134:Y197" si="132">ROUND(X134*J134,2)</f>
        <v>92.33</v>
      </c>
      <c r="Z134" s="75">
        <f>VLOOKUP(A134,FRV!$A$4:$U$208,21,FALSE)</f>
        <v>24.04</v>
      </c>
      <c r="AA134" s="141">
        <f>VLOOKUP(A134,'RE Tax'!$A$2:$G$206,3,FALSE)</f>
        <v>45108</v>
      </c>
      <c r="AB134" s="141">
        <f>VLOOKUP(A134,'RE Tax'!$A$2:$G$206,4,FALSE)</f>
        <v>45473</v>
      </c>
      <c r="AC134" s="4">
        <f>VLOOKUP(A134,'RE Tax'!$A$2:$G$206,7,FALSE)</f>
        <v>102234</v>
      </c>
      <c r="AD134" s="4">
        <f>VLOOKUP($A134,'RE Tax'!$A$2:$I$206,9,FALSE)</f>
        <v>40260</v>
      </c>
      <c r="AE134" s="4">
        <f>VLOOKUP($A134,'RE Tax'!$A$2:$I$206,8,FALSE)</f>
        <v>35104</v>
      </c>
      <c r="AF134" s="142">
        <f>IF(ISNA(VLOOKUP(A134&amp;AB134,'Days Exceptions'!$C$3:$I$7,6,FALSE)),ROUND(AC134/MAX(AE134,(AD134*Min_Occ)),2),ROUND(AC134/VLOOKUP(A134&amp;AB134,'Days Exceptions'!$C$3:$I$7,6,FALSE),2))</f>
        <v>2.91</v>
      </c>
      <c r="AG134" s="68">
        <v>0</v>
      </c>
      <c r="AH134" s="68">
        <f t="shared" ref="AH134:AH197" si="133">ROUND(AG134*J134,2)</f>
        <v>0</v>
      </c>
      <c r="AI134" s="4">
        <v>31720</v>
      </c>
      <c r="AJ134" s="4">
        <v>33473</v>
      </c>
      <c r="AK134" s="68">
        <f>IF(AI134=0,0,IF(ISNA(MATCH(A134,Documentation!$B$66:$B$71,0)),QA_Tax_reg,QA_Tax_5high))</f>
        <v>32.92</v>
      </c>
      <c r="AL134" s="75">
        <f t="shared" ref="AL134:AL197" si="134">IF(AK134=0,0,ROUND((AK134*AI134)/AJ134,2))</f>
        <v>31.2</v>
      </c>
      <c r="AM134" s="68">
        <f t="shared" ref="AM134:AM197" si="135">+AH134+AF134+Z134+Y134+W134+U134</f>
        <v>284.35000000000002</v>
      </c>
      <c r="AN134" s="68">
        <f t="shared" ref="AN134:AN197" si="136">+AH134+AF134+Z134+Y134+W134+ROUND(U134*0.5,2)</f>
        <v>212.25</v>
      </c>
      <c r="AO134" s="68">
        <f t="shared" ref="AO134:AO197" si="137">+AH134+AF134+Z134+Y134+W134</f>
        <v>140.15</v>
      </c>
      <c r="AP134" s="37" t="s">
        <v>351</v>
      </c>
      <c r="AQ134" s="37" t="s">
        <v>229</v>
      </c>
      <c r="AR134" s="37" t="s">
        <v>1086</v>
      </c>
      <c r="AS134" s="66" t="e">
        <f>VLOOKUP(A134,'CMI Data'!$A$3:$J$209,10,FALSE)</f>
        <v>#DIV/0!</v>
      </c>
      <c r="AT134" s="68">
        <f t="shared" si="107"/>
        <v>194.04</v>
      </c>
      <c r="AU134" s="68" t="e">
        <f t="shared" si="108"/>
        <v>#DIV/0!</v>
      </c>
      <c r="AV134" s="75" t="e">
        <f t="shared" ref="AV134:AV197" si="138">IF($I134="NA","NA",ROUND(AU134*0.95,2))</f>
        <v>#DIV/0!</v>
      </c>
      <c r="AW134" s="68" t="e">
        <f>IF($I134="NA","NA",ROUND(#REF!*$AS134/$I134,2))</f>
        <v>#REF!</v>
      </c>
      <c r="AX134" s="75" t="e">
        <f t="shared" si="105"/>
        <v>#REF!</v>
      </c>
      <c r="AY134" s="68" t="e">
        <f t="shared" ref="AY134:AY197" si="139">IF(AX134="NA",AU134,AU134+AX134)</f>
        <v>#REF!</v>
      </c>
      <c r="AZ134" s="4">
        <f t="shared" ref="AZ134:AZ197" si="140">$AC134</f>
        <v>102234</v>
      </c>
      <c r="BA134" s="4">
        <f t="shared" ref="BA134:BA197" si="141">$AD134</f>
        <v>40260</v>
      </c>
      <c r="BB134" s="4">
        <f t="shared" ref="BB134:BB197" si="142">$AE134</f>
        <v>35104</v>
      </c>
      <c r="BC134" s="142">
        <f>IF(ISNA(VLOOKUP($A134&amp;$AB134,'Days Exceptions'!$C$3:$I$7,6,FALSE)),ROUND(AZ134/MAX(BB134,(BA134*Min_Occ)),2),ROUND(AZ134/VLOOKUP($A134&amp;$AB134,'Days Exceptions'!$C$3:$I$7,6,FALSE),2))</f>
        <v>2.91</v>
      </c>
      <c r="BD134" s="143" t="e">
        <f t="shared" si="109"/>
        <v>#REF!</v>
      </c>
      <c r="BE134" s="143" t="e">
        <f t="shared" si="110"/>
        <v>#REF!</v>
      </c>
      <c r="BF134" s="143">
        <f t="shared" si="111"/>
        <v>136.74</v>
      </c>
      <c r="BG134" s="37" t="s">
        <v>351</v>
      </c>
      <c r="BH134" s="37" t="s">
        <v>229</v>
      </c>
      <c r="BI134" s="37" t="s">
        <v>1290</v>
      </c>
      <c r="BJ134" s="66" t="e">
        <f>VLOOKUP(A134,'CMI Data'!$A$3:$AZ$209,15,FALSE)</f>
        <v>#DIV/0!</v>
      </c>
      <c r="BK134" s="68">
        <f t="shared" si="112"/>
        <v>194.04</v>
      </c>
      <c r="BL134" s="68" t="e">
        <f t="shared" si="113"/>
        <v>#DIV/0!</v>
      </c>
      <c r="BM134" s="75" t="e">
        <f t="shared" ref="BM134:BM197" si="143">IF($I134="NA","NA",ROUND(BL134*0.95,2))</f>
        <v>#DIV/0!</v>
      </c>
      <c r="BN134" s="68" t="e">
        <f>IF($I134="NA","NA",ROUND(#REF!*$BJ134/$I134,2))</f>
        <v>#REF!</v>
      </c>
      <c r="BO134" s="75" t="e">
        <f t="shared" ref="BO134:BO197" si="144">IF(BN134="NA","NA",MIN(BN134-BM134,0))</f>
        <v>#REF!</v>
      </c>
      <c r="BP134" s="68" t="e">
        <f t="shared" ref="BP134:BP197" si="145">IF(BO134="NA",BL134,BL134+BO134)</f>
        <v>#REF!</v>
      </c>
      <c r="BQ134" s="4">
        <f t="shared" ref="BQ134:BQ197" si="146">$AC134</f>
        <v>102234</v>
      </c>
      <c r="BR134" s="4">
        <f t="shared" ref="BR134:BR197" si="147">$AD134</f>
        <v>40260</v>
      </c>
      <c r="BS134" s="4">
        <f t="shared" ref="BS134:BS197" si="148">$AE134</f>
        <v>35104</v>
      </c>
      <c r="BT134" s="142">
        <f>IF(ISNA(VLOOKUP($A134&amp;$AB134,'Days Exceptions'!$C$3:$I$7,6,FALSE)),ROUND(BQ134/MAX(BS134,(BR134*Min_Occ)),2),ROUND(BQ134/VLOOKUP($A134&amp;$AB134,'Days Exceptions'!$C$3:$I$7,6,FALSE),2))</f>
        <v>2.91</v>
      </c>
      <c r="BU134" s="143" t="e">
        <f t="shared" si="114"/>
        <v>#REF!</v>
      </c>
      <c r="BV134" s="143" t="e">
        <f t="shared" si="115"/>
        <v>#REF!</v>
      </c>
      <c r="BW134" s="143">
        <f t="shared" si="116"/>
        <v>136.74</v>
      </c>
      <c r="BX134" s="37" t="s">
        <v>351</v>
      </c>
      <c r="BY134" s="37" t="s">
        <v>229</v>
      </c>
      <c r="BZ134" s="37" t="s">
        <v>1624</v>
      </c>
      <c r="CA134" s="66" t="e">
        <f>VLOOKUP(A134,'CMI Data'!$A$3:$AZ$209,20,FALSE)</f>
        <v>#DIV/0!</v>
      </c>
      <c r="CB134" s="68">
        <f t="shared" si="117"/>
        <v>194.04</v>
      </c>
      <c r="CC134" s="68" t="e">
        <f t="shared" si="118"/>
        <v>#DIV/0!</v>
      </c>
      <c r="CD134" s="75" t="e">
        <f t="shared" ref="CD134:CD197" si="149">IF($I134="NA","NA",ROUND(CC134*0.95,2))</f>
        <v>#DIV/0!</v>
      </c>
      <c r="CE134" s="68" t="e">
        <f>IF($I134="NA","NA",ROUND(#REF!*$CA134/$I134,2))</f>
        <v>#REF!</v>
      </c>
      <c r="CF134" s="75" t="e">
        <f t="shared" ref="CF134:CF197" si="150">IF(CE134="NA","NA",MIN(CE134-CD134,0))</f>
        <v>#REF!</v>
      </c>
      <c r="CG134" s="68" t="e">
        <f t="shared" ref="CG134:CG197" si="151">IF(CF134="NA",CC134,CC134+CF134)</f>
        <v>#REF!</v>
      </c>
      <c r="CH134" s="4">
        <f t="shared" ref="CH134:CH197" si="152">$AC134</f>
        <v>102234</v>
      </c>
      <c r="CI134" s="4">
        <f t="shared" ref="CI134:CI197" si="153">$AD134</f>
        <v>40260</v>
      </c>
      <c r="CJ134" s="4">
        <f t="shared" ref="CJ134:CJ197" si="154">$AE134</f>
        <v>35104</v>
      </c>
      <c r="CK134" s="142">
        <f>IF(ISNA(VLOOKUP($A134&amp;$AB134,'Days Exceptions'!$C$3:$I$7,6,FALSE)),ROUND(CH134/MAX(CJ134,(CI134*Min_Occ)),2),ROUND(CH134/VLOOKUP($A134&amp;$AB134,'Days Exceptions'!$C$3:$I$7,6,FALSE),2))</f>
        <v>2.91</v>
      </c>
      <c r="CL134" s="143" t="e">
        <f t="shared" si="119"/>
        <v>#REF!</v>
      </c>
      <c r="CM134" s="143" t="e">
        <f t="shared" si="120"/>
        <v>#REF!</v>
      </c>
      <c r="CN134" s="143">
        <f t="shared" si="121"/>
        <v>136.74</v>
      </c>
      <c r="CO134" s="37" t="s">
        <v>351</v>
      </c>
      <c r="CP134" s="37" t="s">
        <v>229</v>
      </c>
      <c r="CQ134" s="37" t="s">
        <v>1625</v>
      </c>
    </row>
    <row r="135" spans="1:95" x14ac:dyDescent="0.15">
      <c r="A135" s="130">
        <v>268</v>
      </c>
      <c r="B135" s="37" t="s">
        <v>452</v>
      </c>
      <c r="C135" s="1" t="s">
        <v>148</v>
      </c>
      <c r="D135" s="1" t="s">
        <v>119</v>
      </c>
      <c r="E135" s="1" t="str">
        <f>VLOOKUP(D135,Documentation!$B$4:$D$27,3,FALSE)</f>
        <v>WASHINGTON METRO</v>
      </c>
      <c r="F135" s="1" t="str">
        <f>VLOOKUP(D135,Documentation!$B$4:$C$27,2,FALSE)</f>
        <v>WASHINGTON METRO</v>
      </c>
      <c r="G135" s="82">
        <f>VLOOKUP(A135,'2022 CR and CMI'!$A$3:$D$207,3,FALSE)</f>
        <v>44562</v>
      </c>
      <c r="H135" s="82">
        <f>VLOOKUP(A135,'2022 CR and CMI'!$A$3:$D$207,4,FALSE)</f>
        <v>44926</v>
      </c>
      <c r="I135" s="72">
        <f>VLOOKUP(A135,'2022 CR and CMI'!$A$2:$T$210,19,FALSE)</f>
        <v>1.6584000000000001</v>
      </c>
      <c r="J135" s="139">
        <f>Inflation!$G$24</f>
        <v>1.0309999999999999</v>
      </c>
      <c r="K135" s="192">
        <f>VLOOKUP(E135,Limits!$B$2:$D$5,3,FALSE)</f>
        <v>176.01</v>
      </c>
      <c r="L135" s="192">
        <f t="shared" si="124"/>
        <v>181.47</v>
      </c>
      <c r="M135" s="140">
        <f>VLOOKUP(A135,'CMI Data'!$A$4:$C$208,3,FALSE)</f>
        <v>1.5052000000000001</v>
      </c>
      <c r="N135" s="68">
        <f t="shared" si="106"/>
        <v>208.53</v>
      </c>
      <c r="O135" s="68">
        <f t="shared" si="125"/>
        <v>189.27</v>
      </c>
      <c r="P135" s="75">
        <f t="shared" si="126"/>
        <v>179.81</v>
      </c>
      <c r="Q135" s="75">
        <v>142.4</v>
      </c>
      <c r="R135" s="75">
        <f t="shared" si="127"/>
        <v>146.81</v>
      </c>
      <c r="S135" s="68">
        <f t="shared" si="128"/>
        <v>133.25</v>
      </c>
      <c r="T135" s="75">
        <f t="shared" si="129"/>
        <v>-46.56</v>
      </c>
      <c r="U135" s="68">
        <f t="shared" si="130"/>
        <v>142.71</v>
      </c>
      <c r="V135" s="68">
        <f>VLOOKUP($F135,Limits!$J$2:$L$5,3,FALSE)</f>
        <v>19.23</v>
      </c>
      <c r="W135" s="68">
        <f t="shared" si="131"/>
        <v>19.829999999999998</v>
      </c>
      <c r="X135" s="68">
        <f>VLOOKUP($F135,Limits!$R$2:$T$5,3,FALSE)</f>
        <v>100.61</v>
      </c>
      <c r="Y135" s="68">
        <f t="shared" si="132"/>
        <v>103.73</v>
      </c>
      <c r="Z135" s="75">
        <f>VLOOKUP(A135,FRV!$A$4:$U$208,21,FALSE)</f>
        <v>38.53</v>
      </c>
      <c r="AA135" s="141">
        <f>VLOOKUP(A135,'RE Tax'!$A$2:$G$206,3,FALSE)</f>
        <v>45292</v>
      </c>
      <c r="AB135" s="141">
        <f>VLOOKUP(A135,'RE Tax'!$A$2:$G$206,4,FALSE)</f>
        <v>45657</v>
      </c>
      <c r="AC135" s="4">
        <f>VLOOKUP(A135,'RE Tax'!$A$2:$G$206,7,FALSE)</f>
        <v>147328</v>
      </c>
      <c r="AD135" s="4">
        <f>VLOOKUP($A135,'RE Tax'!$A$2:$I$206,9,FALSE)</f>
        <v>50508</v>
      </c>
      <c r="AE135" s="4">
        <f>VLOOKUP($A135,'RE Tax'!$A$2:$I$206,8,FALSE)</f>
        <v>47658</v>
      </c>
      <c r="AF135" s="142">
        <f>IF(ISNA(VLOOKUP(A135&amp;AB135,'Days Exceptions'!$C$3:$I$7,6,FALSE)),ROUND(AC135/MAX(AE135,(AD135*Min_Occ)),2),ROUND(AC135/VLOOKUP(A135&amp;AB135,'Days Exceptions'!$C$3:$I$7,6,FALSE),2))</f>
        <v>3.09</v>
      </c>
      <c r="AG135" s="68">
        <v>0</v>
      </c>
      <c r="AH135" s="68">
        <f t="shared" si="133"/>
        <v>0</v>
      </c>
      <c r="AI135" s="4">
        <v>32991</v>
      </c>
      <c r="AJ135" s="4">
        <v>47690</v>
      </c>
      <c r="AK135" s="68">
        <f>IF(AI135=0,0,IF(ISNA(MATCH(A135,Documentation!$B$66:$B$71,0)),QA_Tax_reg,QA_Tax_5high))</f>
        <v>32.92</v>
      </c>
      <c r="AL135" s="75">
        <f t="shared" si="134"/>
        <v>22.77</v>
      </c>
      <c r="AM135" s="68">
        <f t="shared" si="135"/>
        <v>307.89</v>
      </c>
      <c r="AN135" s="68">
        <f t="shared" si="136"/>
        <v>236.54</v>
      </c>
      <c r="AO135" s="68">
        <f t="shared" si="137"/>
        <v>165.18</v>
      </c>
      <c r="AP135" s="37" t="s">
        <v>451</v>
      </c>
      <c r="AQ135" s="37" t="s">
        <v>452</v>
      </c>
      <c r="AR135" s="37" t="s">
        <v>1087</v>
      </c>
      <c r="AS135" s="66" t="e">
        <f>VLOOKUP(A135,'CMI Data'!$A$3:$J$209,10,FALSE)</f>
        <v>#DIV/0!</v>
      </c>
      <c r="AT135" s="68">
        <f t="shared" si="107"/>
        <v>202.26</v>
      </c>
      <c r="AU135" s="68" t="e">
        <f t="shared" si="108"/>
        <v>#DIV/0!</v>
      </c>
      <c r="AV135" s="75" t="e">
        <f t="shared" si="138"/>
        <v>#DIV/0!</v>
      </c>
      <c r="AW135" s="68" t="e">
        <f>IF($I135="NA","NA",ROUND(#REF!*$AS135/$I135,2))</f>
        <v>#REF!</v>
      </c>
      <c r="AX135" s="75" t="e">
        <f t="shared" si="105"/>
        <v>#REF!</v>
      </c>
      <c r="AY135" s="68" t="e">
        <f t="shared" si="139"/>
        <v>#REF!</v>
      </c>
      <c r="AZ135" s="4">
        <f t="shared" si="140"/>
        <v>147328</v>
      </c>
      <c r="BA135" s="4">
        <f t="shared" si="141"/>
        <v>50508</v>
      </c>
      <c r="BB135" s="4">
        <f t="shared" si="142"/>
        <v>47658</v>
      </c>
      <c r="BC135" s="142">
        <f>IF(ISNA(VLOOKUP($A135&amp;$AB135,'Days Exceptions'!$C$3:$I$7,6,FALSE)),ROUND(AZ135/MAX(BB135,(BA135*Min_Occ)),2),ROUND(AZ135/VLOOKUP($A135&amp;$AB135,'Days Exceptions'!$C$3:$I$7,6,FALSE),2))</f>
        <v>3.09</v>
      </c>
      <c r="BD135" s="143" t="e">
        <f t="shared" si="109"/>
        <v>#REF!</v>
      </c>
      <c r="BE135" s="143" t="e">
        <f t="shared" si="110"/>
        <v>#REF!</v>
      </c>
      <c r="BF135" s="143">
        <f t="shared" si="111"/>
        <v>161.46</v>
      </c>
      <c r="BG135" s="37" t="s">
        <v>451</v>
      </c>
      <c r="BH135" s="37" t="s">
        <v>452</v>
      </c>
      <c r="BI135" s="37" t="s">
        <v>1291</v>
      </c>
      <c r="BJ135" s="66" t="e">
        <f>VLOOKUP(A135,'CMI Data'!$A$3:$AZ$209,15,FALSE)</f>
        <v>#DIV/0!</v>
      </c>
      <c r="BK135" s="68">
        <f t="shared" si="112"/>
        <v>202.26</v>
      </c>
      <c r="BL135" s="68" t="e">
        <f t="shared" si="113"/>
        <v>#DIV/0!</v>
      </c>
      <c r="BM135" s="75" t="e">
        <f t="shared" si="143"/>
        <v>#DIV/0!</v>
      </c>
      <c r="BN135" s="68" t="e">
        <f>IF($I135="NA","NA",ROUND(#REF!*$BJ135/$I135,2))</f>
        <v>#REF!</v>
      </c>
      <c r="BO135" s="75" t="e">
        <f t="shared" si="144"/>
        <v>#REF!</v>
      </c>
      <c r="BP135" s="68" t="e">
        <f t="shared" si="145"/>
        <v>#REF!</v>
      </c>
      <c r="BQ135" s="4">
        <f t="shared" si="146"/>
        <v>147328</v>
      </c>
      <c r="BR135" s="4">
        <f t="shared" si="147"/>
        <v>50508</v>
      </c>
      <c r="BS135" s="4">
        <f t="shared" si="148"/>
        <v>47658</v>
      </c>
      <c r="BT135" s="142">
        <f>IF(ISNA(VLOOKUP($A135&amp;$AB135,'Days Exceptions'!$C$3:$I$7,6,FALSE)),ROUND(BQ135/MAX(BS135,(BR135*Min_Occ)),2),ROUND(BQ135/VLOOKUP($A135&amp;$AB135,'Days Exceptions'!$C$3:$I$7,6,FALSE),2))</f>
        <v>3.09</v>
      </c>
      <c r="BU135" s="143" t="e">
        <f t="shared" si="114"/>
        <v>#REF!</v>
      </c>
      <c r="BV135" s="143" t="e">
        <f t="shared" si="115"/>
        <v>#REF!</v>
      </c>
      <c r="BW135" s="143">
        <f t="shared" si="116"/>
        <v>161.46</v>
      </c>
      <c r="BX135" s="37" t="s">
        <v>451</v>
      </c>
      <c r="BY135" s="37" t="s">
        <v>452</v>
      </c>
      <c r="BZ135" s="37" t="s">
        <v>1626</v>
      </c>
      <c r="CA135" s="66" t="e">
        <f>VLOOKUP(A135,'CMI Data'!$A$3:$AZ$209,20,FALSE)</f>
        <v>#DIV/0!</v>
      </c>
      <c r="CB135" s="68">
        <f t="shared" si="117"/>
        <v>202.26</v>
      </c>
      <c r="CC135" s="68" t="e">
        <f t="shared" si="118"/>
        <v>#DIV/0!</v>
      </c>
      <c r="CD135" s="75" t="e">
        <f t="shared" si="149"/>
        <v>#DIV/0!</v>
      </c>
      <c r="CE135" s="68" t="e">
        <f>IF($I135="NA","NA",ROUND(#REF!*$CA135/$I135,2))</f>
        <v>#REF!</v>
      </c>
      <c r="CF135" s="75" t="e">
        <f t="shared" si="150"/>
        <v>#REF!</v>
      </c>
      <c r="CG135" s="68" t="e">
        <f t="shared" si="151"/>
        <v>#REF!</v>
      </c>
      <c r="CH135" s="4">
        <f t="shared" si="152"/>
        <v>147328</v>
      </c>
      <c r="CI135" s="4">
        <f t="shared" si="153"/>
        <v>50508</v>
      </c>
      <c r="CJ135" s="4">
        <f t="shared" si="154"/>
        <v>47658</v>
      </c>
      <c r="CK135" s="142">
        <f>IF(ISNA(VLOOKUP($A135&amp;$AB135,'Days Exceptions'!$C$3:$I$7,6,FALSE)),ROUND(CH135/MAX(CJ135,(CI135*Min_Occ)),2),ROUND(CH135/VLOOKUP($A135&amp;$AB135,'Days Exceptions'!$C$3:$I$7,6,FALSE),2))</f>
        <v>3.09</v>
      </c>
      <c r="CL135" s="143" t="e">
        <f t="shared" si="119"/>
        <v>#REF!</v>
      </c>
      <c r="CM135" s="143" t="e">
        <f t="shared" si="120"/>
        <v>#REF!</v>
      </c>
      <c r="CN135" s="143">
        <f t="shared" si="121"/>
        <v>161.46</v>
      </c>
      <c r="CO135" s="37" t="s">
        <v>451</v>
      </c>
      <c r="CP135" s="37" t="s">
        <v>452</v>
      </c>
      <c r="CQ135" s="37" t="s">
        <v>1627</v>
      </c>
    </row>
    <row r="136" spans="1:95" x14ac:dyDescent="0.15">
      <c r="A136" s="130">
        <v>270</v>
      </c>
      <c r="B136" s="37" t="s">
        <v>38</v>
      </c>
      <c r="C136" s="1" t="s">
        <v>148</v>
      </c>
      <c r="D136" s="1" t="s">
        <v>102</v>
      </c>
      <c r="E136" s="1" t="str">
        <f>VLOOKUP(D136,Documentation!$B$4:$D$27,3,FALSE)</f>
        <v>BALTIMORE METRO</v>
      </c>
      <c r="F136" s="1" t="str">
        <f>VLOOKUP(D136,Documentation!$B$4:$C$27,2,FALSE)</f>
        <v>BALTIMORE CITY</v>
      </c>
      <c r="G136" s="82">
        <f>VLOOKUP(A136,'2022 CR and CMI'!$A$3:$D$207,3,FALSE)</f>
        <v>44378</v>
      </c>
      <c r="H136" s="82">
        <f>VLOOKUP(A136,'2022 CR and CMI'!$A$3:$D$207,4,FALSE)</f>
        <v>44742</v>
      </c>
      <c r="I136" s="72">
        <f>VLOOKUP(A136,'2022 CR and CMI'!$A$2:$T$210,19,FALSE)</f>
        <v>1.6125</v>
      </c>
      <c r="J136" s="139">
        <f>Inflation!$G$24</f>
        <v>1.0309999999999999</v>
      </c>
      <c r="K136" s="192">
        <f>VLOOKUP(E136,Limits!$B$2:$D$5,3,FALSE)</f>
        <v>195.33</v>
      </c>
      <c r="L136" s="192">
        <f t="shared" si="124"/>
        <v>201.39</v>
      </c>
      <c r="M136" s="140">
        <f>VLOOKUP(A136,'CMI Data'!$A$4:$C$208,3,FALSE)</f>
        <v>1.3706</v>
      </c>
      <c r="N136" s="68">
        <f t="shared" si="106"/>
        <v>225.01</v>
      </c>
      <c r="O136" s="68">
        <f t="shared" si="125"/>
        <v>191.26</v>
      </c>
      <c r="P136" s="75">
        <f t="shared" si="126"/>
        <v>181.7</v>
      </c>
      <c r="Q136" s="75">
        <v>326.95999999999998</v>
      </c>
      <c r="R136" s="75">
        <f t="shared" si="127"/>
        <v>337.1</v>
      </c>
      <c r="S136" s="68">
        <f t="shared" si="128"/>
        <v>286.52999999999997</v>
      </c>
      <c r="T136" s="75">
        <f t="shared" si="129"/>
        <v>0</v>
      </c>
      <c r="U136" s="68">
        <f t="shared" si="130"/>
        <v>191.26</v>
      </c>
      <c r="V136" s="68">
        <f>VLOOKUP($F136,Limits!$J$2:$L$5,3,FALSE)</f>
        <v>24.89</v>
      </c>
      <c r="W136" s="68">
        <f t="shared" si="131"/>
        <v>25.66</v>
      </c>
      <c r="X136" s="68">
        <f>VLOOKUP($F136,Limits!$R$2:$T$5,3,FALSE)</f>
        <v>114.15</v>
      </c>
      <c r="Y136" s="68">
        <f t="shared" si="132"/>
        <v>117.69</v>
      </c>
      <c r="Z136" s="75">
        <f>VLOOKUP(A136,FRV!$A$4:$U$208,21,FALSE)</f>
        <v>51.75</v>
      </c>
      <c r="AA136" s="141">
        <f>VLOOKUP(A136,'RE Tax'!$A$2:$G$206,3,FALSE)</f>
        <v>45108</v>
      </c>
      <c r="AB136" s="141">
        <f>VLOOKUP(A136,'RE Tax'!$A$2:$G$206,4,FALSE)</f>
        <v>45473</v>
      </c>
      <c r="AC136" s="4">
        <f>VLOOKUP(A136,'RE Tax'!$A$2:$G$206,7,FALSE)</f>
        <v>0</v>
      </c>
      <c r="AD136" s="4">
        <f>VLOOKUP($A136,'RE Tax'!$A$2:$I$206,9,FALSE)</f>
        <v>76860</v>
      </c>
      <c r="AE136" s="4">
        <f>VLOOKUP($A136,'RE Tax'!$A$2:$I$206,8,FALSE)</f>
        <v>66850</v>
      </c>
      <c r="AF136" s="142">
        <f>IF(ISNA(VLOOKUP(A136&amp;AB136,'Days Exceptions'!$C$3:$I$7,6,FALSE)),ROUND(AC136/MAX(AE136,(AD136*Min_Occ)),2),ROUND(AC136/VLOOKUP(A136&amp;AB136,'Days Exceptions'!$C$3:$I$7,6,FALSE),2))</f>
        <v>0</v>
      </c>
      <c r="AG136" s="68">
        <v>4.03</v>
      </c>
      <c r="AH136" s="68">
        <f t="shared" si="133"/>
        <v>4.1500000000000004</v>
      </c>
      <c r="AI136" s="4">
        <v>56205</v>
      </c>
      <c r="AJ136" s="4">
        <v>68794</v>
      </c>
      <c r="AK136" s="68">
        <f>IF(AI136=0,0,IF(ISNA(MATCH(A136,Documentation!$B$66:$B$71,0)),QA_Tax_reg,QA_Tax_5high))</f>
        <v>32.92</v>
      </c>
      <c r="AL136" s="75">
        <f t="shared" si="134"/>
        <v>26.9</v>
      </c>
      <c r="AM136" s="68">
        <f t="shared" si="135"/>
        <v>390.51</v>
      </c>
      <c r="AN136" s="68">
        <f t="shared" si="136"/>
        <v>294.88</v>
      </c>
      <c r="AO136" s="68">
        <f t="shared" si="137"/>
        <v>199.25</v>
      </c>
      <c r="AP136" s="37" t="s">
        <v>79</v>
      </c>
      <c r="AQ136" s="37" t="s">
        <v>38</v>
      </c>
      <c r="AR136" s="37" t="s">
        <v>1088</v>
      </c>
      <c r="AS136" s="66" t="e">
        <f>VLOOKUP(A136,'CMI Data'!$A$3:$J$209,10,FALSE)</f>
        <v>#DIV/0!</v>
      </c>
      <c r="AT136" s="68">
        <f t="shared" si="107"/>
        <v>218.24</v>
      </c>
      <c r="AU136" s="68" t="e">
        <f t="shared" si="108"/>
        <v>#DIV/0!</v>
      </c>
      <c r="AV136" s="75" t="e">
        <f t="shared" si="138"/>
        <v>#DIV/0!</v>
      </c>
      <c r="AW136" s="68" t="e">
        <f>IF($I136="NA","NA",ROUND(#REF!*$AS136/$I136,2))</f>
        <v>#REF!</v>
      </c>
      <c r="AX136" s="75" t="e">
        <f t="shared" si="105"/>
        <v>#REF!</v>
      </c>
      <c r="AY136" s="68" t="e">
        <f t="shared" si="139"/>
        <v>#REF!</v>
      </c>
      <c r="AZ136" s="4">
        <f t="shared" si="140"/>
        <v>0</v>
      </c>
      <c r="BA136" s="4">
        <f t="shared" si="141"/>
        <v>76860</v>
      </c>
      <c r="BB136" s="4">
        <f t="shared" si="142"/>
        <v>66850</v>
      </c>
      <c r="BC136" s="142">
        <f>IF(ISNA(VLOOKUP($A136&amp;$AB136,'Days Exceptions'!$C$3:$I$7,6,FALSE)),ROUND(AZ136/MAX(BB136,(BA136*Min_Occ)),2),ROUND(AZ136/VLOOKUP($A136&amp;$AB136,'Days Exceptions'!$C$3:$I$7,6,FALSE),2))</f>
        <v>0</v>
      </c>
      <c r="BD136" s="143" t="e">
        <f t="shared" si="109"/>
        <v>#REF!</v>
      </c>
      <c r="BE136" s="143" t="e">
        <f t="shared" si="110"/>
        <v>#REF!</v>
      </c>
      <c r="BF136" s="143">
        <f t="shared" si="111"/>
        <v>194.82</v>
      </c>
      <c r="BG136" s="37" t="s">
        <v>79</v>
      </c>
      <c r="BH136" s="37" t="s">
        <v>38</v>
      </c>
      <c r="BI136" s="37" t="s">
        <v>1292</v>
      </c>
      <c r="BJ136" s="66" t="e">
        <f>VLOOKUP(A136,'CMI Data'!$A$3:$AZ$209,15,FALSE)</f>
        <v>#DIV/0!</v>
      </c>
      <c r="BK136" s="68">
        <f t="shared" si="112"/>
        <v>218.24</v>
      </c>
      <c r="BL136" s="68" t="e">
        <f t="shared" si="113"/>
        <v>#DIV/0!</v>
      </c>
      <c r="BM136" s="75" t="e">
        <f t="shared" si="143"/>
        <v>#DIV/0!</v>
      </c>
      <c r="BN136" s="68" t="e">
        <f>IF($I136="NA","NA",ROUND(#REF!*$BJ136/$I136,2))</f>
        <v>#REF!</v>
      </c>
      <c r="BO136" s="75" t="e">
        <f t="shared" si="144"/>
        <v>#REF!</v>
      </c>
      <c r="BP136" s="68" t="e">
        <f t="shared" si="145"/>
        <v>#REF!</v>
      </c>
      <c r="BQ136" s="4">
        <f t="shared" si="146"/>
        <v>0</v>
      </c>
      <c r="BR136" s="4">
        <f t="shared" si="147"/>
        <v>76860</v>
      </c>
      <c r="BS136" s="4">
        <f t="shared" si="148"/>
        <v>66850</v>
      </c>
      <c r="BT136" s="142">
        <f>IF(ISNA(VLOOKUP($A136&amp;$AB136,'Days Exceptions'!$C$3:$I$7,6,FALSE)),ROUND(BQ136/MAX(BS136,(BR136*Min_Occ)),2),ROUND(BQ136/VLOOKUP($A136&amp;$AB136,'Days Exceptions'!$C$3:$I$7,6,FALSE),2))</f>
        <v>0</v>
      </c>
      <c r="BU136" s="143" t="e">
        <f t="shared" si="114"/>
        <v>#REF!</v>
      </c>
      <c r="BV136" s="143" t="e">
        <f t="shared" si="115"/>
        <v>#REF!</v>
      </c>
      <c r="BW136" s="143">
        <f t="shared" si="116"/>
        <v>194.82</v>
      </c>
      <c r="BX136" s="37" t="s">
        <v>79</v>
      </c>
      <c r="BY136" s="37" t="s">
        <v>38</v>
      </c>
      <c r="BZ136" s="37" t="s">
        <v>1628</v>
      </c>
      <c r="CA136" s="66" t="e">
        <f>VLOOKUP(A136,'CMI Data'!$A$3:$AZ$209,20,FALSE)</f>
        <v>#DIV/0!</v>
      </c>
      <c r="CB136" s="68">
        <f t="shared" si="117"/>
        <v>218.24</v>
      </c>
      <c r="CC136" s="68" t="e">
        <f t="shared" si="118"/>
        <v>#DIV/0!</v>
      </c>
      <c r="CD136" s="75" t="e">
        <f t="shared" si="149"/>
        <v>#DIV/0!</v>
      </c>
      <c r="CE136" s="68" t="e">
        <f>IF($I136="NA","NA",ROUND(#REF!*$CA136/$I136,2))</f>
        <v>#REF!</v>
      </c>
      <c r="CF136" s="75" t="e">
        <f t="shared" si="150"/>
        <v>#REF!</v>
      </c>
      <c r="CG136" s="68" t="e">
        <f t="shared" si="151"/>
        <v>#REF!</v>
      </c>
      <c r="CH136" s="4">
        <f t="shared" si="152"/>
        <v>0</v>
      </c>
      <c r="CI136" s="4">
        <f t="shared" si="153"/>
        <v>76860</v>
      </c>
      <c r="CJ136" s="4">
        <f t="shared" si="154"/>
        <v>66850</v>
      </c>
      <c r="CK136" s="142">
        <f>IF(ISNA(VLOOKUP($A136&amp;$AB136,'Days Exceptions'!$C$3:$I$7,6,FALSE)),ROUND(CH136/MAX(CJ136,(CI136*Min_Occ)),2),ROUND(CH136/VLOOKUP($A136&amp;$AB136,'Days Exceptions'!$C$3:$I$7,6,FALSE),2))</f>
        <v>0</v>
      </c>
      <c r="CL136" s="143" t="e">
        <f t="shared" si="119"/>
        <v>#REF!</v>
      </c>
      <c r="CM136" s="143" t="e">
        <f t="shared" si="120"/>
        <v>#REF!</v>
      </c>
      <c r="CN136" s="143">
        <f t="shared" si="121"/>
        <v>194.82</v>
      </c>
      <c r="CO136" s="37" t="s">
        <v>79</v>
      </c>
      <c r="CP136" s="37" t="s">
        <v>38</v>
      </c>
      <c r="CQ136" s="37" t="s">
        <v>1629</v>
      </c>
    </row>
    <row r="137" spans="1:95" x14ac:dyDescent="0.15">
      <c r="A137" s="130">
        <v>276</v>
      </c>
      <c r="B137" s="37" t="s">
        <v>180</v>
      </c>
      <c r="C137" s="1" t="s">
        <v>148</v>
      </c>
      <c r="D137" s="1" t="s">
        <v>107</v>
      </c>
      <c r="E137" s="1" t="str">
        <f>VLOOKUP(D137,Documentation!$B$4:$D$27,3,FALSE)</f>
        <v>BALTIMORE METRO</v>
      </c>
      <c r="F137" s="1" t="str">
        <f>VLOOKUP(D137,Documentation!$B$4:$C$27,2,FALSE)</f>
        <v>BALTIMORE METRO</v>
      </c>
      <c r="G137" s="82">
        <f>VLOOKUP(A137,'2022 CR and CMI'!$A$3:$D$207,3,FALSE)</f>
        <v>44562</v>
      </c>
      <c r="H137" s="82">
        <f>VLOOKUP(A137,'2022 CR and CMI'!$A$3:$D$207,4,FALSE)</f>
        <v>44926</v>
      </c>
      <c r="I137" s="72">
        <f>VLOOKUP(A137,'2022 CR and CMI'!$A$2:$T$210,19,FALSE)</f>
        <v>1.4419999999999999</v>
      </c>
      <c r="J137" s="139">
        <f>Inflation!$G$24</f>
        <v>1.0309999999999999</v>
      </c>
      <c r="K137" s="192">
        <f>VLOOKUP(E137,Limits!$B$2:$D$5,3,FALSE)</f>
        <v>195.33</v>
      </c>
      <c r="L137" s="192">
        <f t="shared" si="124"/>
        <v>201.39</v>
      </c>
      <c r="M137" s="140">
        <f>VLOOKUP(A137,'CMI Data'!$A$4:$C$208,3,FALSE)</f>
        <v>1.0849</v>
      </c>
      <c r="N137" s="68">
        <f t="shared" si="106"/>
        <v>201.22</v>
      </c>
      <c r="O137" s="68">
        <f t="shared" si="125"/>
        <v>151.38999999999999</v>
      </c>
      <c r="P137" s="75">
        <f t="shared" si="126"/>
        <v>143.82</v>
      </c>
      <c r="Q137" s="75">
        <v>344.02</v>
      </c>
      <c r="R137" s="75">
        <f t="shared" si="127"/>
        <v>354.68</v>
      </c>
      <c r="S137" s="68">
        <f t="shared" si="128"/>
        <v>266.85000000000002</v>
      </c>
      <c r="T137" s="75">
        <f t="shared" si="129"/>
        <v>0</v>
      </c>
      <c r="U137" s="68">
        <f t="shared" si="130"/>
        <v>151.38999999999999</v>
      </c>
      <c r="V137" s="68">
        <f>VLOOKUP($F137,Limits!$J$2:$L$5,3,FALSE)</f>
        <v>20.85</v>
      </c>
      <c r="W137" s="68">
        <f t="shared" si="131"/>
        <v>21.5</v>
      </c>
      <c r="X137" s="68">
        <f>VLOOKUP($F137,Limits!$R$2:$T$5,3,FALSE)</f>
        <v>102.02</v>
      </c>
      <c r="Y137" s="68">
        <f t="shared" si="132"/>
        <v>105.18</v>
      </c>
      <c r="Z137" s="75">
        <f>VLOOKUP(A137,FRV!$A$4:$U$208,21,FALSE)</f>
        <v>30.31</v>
      </c>
      <c r="AA137" s="141">
        <f>VLOOKUP(A137,'RE Tax'!$A$2:$G$206,3,FALSE)</f>
        <v>45292</v>
      </c>
      <c r="AB137" s="141">
        <f>VLOOKUP(A137,'RE Tax'!$A$2:$G$206,4,FALSE)</f>
        <v>45657</v>
      </c>
      <c r="AC137" s="4">
        <f>VLOOKUP(A137,'RE Tax'!$A$2:$G$206,7,FALSE)</f>
        <v>0</v>
      </c>
      <c r="AD137" s="4">
        <f>VLOOKUP($A137,'RE Tax'!$A$2:$I$206,9,FALSE)</f>
        <v>7320</v>
      </c>
      <c r="AE137" s="4">
        <f>VLOOKUP($A137,'RE Tax'!$A$2:$I$206,8,FALSE)</f>
        <v>6499</v>
      </c>
      <c r="AF137" s="142">
        <f>IF(ISNA(VLOOKUP(A137&amp;AB137,'Days Exceptions'!$C$3:$I$7,6,FALSE)),ROUND(AC137/MAX(AE137,(AD137*Min_Occ)),2),ROUND(AC137/VLOOKUP(A137&amp;AB137,'Days Exceptions'!$C$3:$I$7,6,FALSE),2))</f>
        <v>0</v>
      </c>
      <c r="AG137" s="68">
        <v>0</v>
      </c>
      <c r="AH137" s="68">
        <f t="shared" si="133"/>
        <v>0</v>
      </c>
      <c r="AI137" s="4">
        <v>0</v>
      </c>
      <c r="AJ137" s="4">
        <v>0</v>
      </c>
      <c r="AK137" s="68">
        <f>IF(AI137=0,0,IF(ISNA(MATCH(A137,Documentation!$B$66:$B$71,0)),QA_Tax_reg,QA_Tax_5high))</f>
        <v>0</v>
      </c>
      <c r="AL137" s="75">
        <f t="shared" si="134"/>
        <v>0</v>
      </c>
      <c r="AM137" s="68">
        <f t="shared" si="135"/>
        <v>308.38</v>
      </c>
      <c r="AN137" s="68">
        <f t="shared" si="136"/>
        <v>232.69</v>
      </c>
      <c r="AO137" s="68">
        <f t="shared" si="137"/>
        <v>156.99</v>
      </c>
      <c r="AP137" s="37" t="s">
        <v>71</v>
      </c>
      <c r="AQ137" s="37" t="s">
        <v>180</v>
      </c>
      <c r="AR137" s="37" t="s">
        <v>1089</v>
      </c>
      <c r="AS137" s="66" t="e">
        <f>VLOOKUP(A137,'CMI Data'!$A$3:$J$209,10,FALSE)</f>
        <v>#DIV/0!</v>
      </c>
      <c r="AT137" s="68">
        <f t="shared" si="107"/>
        <v>195.17</v>
      </c>
      <c r="AU137" s="68" t="e">
        <f t="shared" si="108"/>
        <v>#DIV/0!</v>
      </c>
      <c r="AV137" s="75" t="e">
        <f t="shared" si="138"/>
        <v>#DIV/0!</v>
      </c>
      <c r="AW137" s="68" t="e">
        <f>IF($I137="NA","NA",ROUND(#REF!*$AS137/$I137,2))</f>
        <v>#REF!</v>
      </c>
      <c r="AX137" s="75" t="e">
        <f t="shared" si="105"/>
        <v>#REF!</v>
      </c>
      <c r="AY137" s="68" t="e">
        <f t="shared" si="139"/>
        <v>#REF!</v>
      </c>
      <c r="AZ137" s="4">
        <f t="shared" si="140"/>
        <v>0</v>
      </c>
      <c r="BA137" s="4">
        <f t="shared" si="141"/>
        <v>7320</v>
      </c>
      <c r="BB137" s="4">
        <f t="shared" si="142"/>
        <v>6499</v>
      </c>
      <c r="BC137" s="142">
        <f>IF(ISNA(VLOOKUP($A137&amp;$AB137,'Days Exceptions'!$C$3:$I$7,6,FALSE)),ROUND(AZ137/MAX(BB137,(BA137*Min_Occ)),2),ROUND(AZ137/VLOOKUP($A137&amp;$AB137,'Days Exceptions'!$C$3:$I$7,6,FALSE),2))</f>
        <v>0</v>
      </c>
      <c r="BD137" s="143" t="e">
        <f t="shared" si="109"/>
        <v>#REF!</v>
      </c>
      <c r="BE137" s="143" t="e">
        <f t="shared" si="110"/>
        <v>#REF!</v>
      </c>
      <c r="BF137" s="143">
        <f t="shared" si="111"/>
        <v>153.18</v>
      </c>
      <c r="BG137" s="37" t="s">
        <v>71</v>
      </c>
      <c r="BH137" s="37" t="s">
        <v>180</v>
      </c>
      <c r="BI137" s="37" t="s">
        <v>1293</v>
      </c>
      <c r="BJ137" s="66" t="e">
        <f>VLOOKUP(A137,'CMI Data'!$A$3:$AZ$209,15,FALSE)</f>
        <v>#DIV/0!</v>
      </c>
      <c r="BK137" s="68">
        <f t="shared" si="112"/>
        <v>195.17</v>
      </c>
      <c r="BL137" s="68" t="e">
        <f t="shared" si="113"/>
        <v>#DIV/0!</v>
      </c>
      <c r="BM137" s="75" t="e">
        <f t="shared" si="143"/>
        <v>#DIV/0!</v>
      </c>
      <c r="BN137" s="68" t="e">
        <f>IF($I137="NA","NA",ROUND(#REF!*$BJ137/$I137,2))</f>
        <v>#REF!</v>
      </c>
      <c r="BO137" s="75" t="e">
        <f t="shared" si="144"/>
        <v>#REF!</v>
      </c>
      <c r="BP137" s="68" t="e">
        <f t="shared" si="145"/>
        <v>#REF!</v>
      </c>
      <c r="BQ137" s="4">
        <f t="shared" si="146"/>
        <v>0</v>
      </c>
      <c r="BR137" s="4">
        <f t="shared" si="147"/>
        <v>7320</v>
      </c>
      <c r="BS137" s="4">
        <f t="shared" si="148"/>
        <v>6499</v>
      </c>
      <c r="BT137" s="142">
        <f>IF(ISNA(VLOOKUP($A137&amp;$AB137,'Days Exceptions'!$C$3:$I$7,6,FALSE)),ROUND(BQ137/MAX(BS137,(BR137*Min_Occ)),2),ROUND(BQ137/VLOOKUP($A137&amp;$AB137,'Days Exceptions'!$C$3:$I$7,6,FALSE),2))</f>
        <v>0</v>
      </c>
      <c r="BU137" s="143" t="e">
        <f t="shared" si="114"/>
        <v>#REF!</v>
      </c>
      <c r="BV137" s="143" t="e">
        <f t="shared" si="115"/>
        <v>#REF!</v>
      </c>
      <c r="BW137" s="143">
        <f t="shared" si="116"/>
        <v>153.18</v>
      </c>
      <c r="BX137" s="37" t="s">
        <v>71</v>
      </c>
      <c r="BY137" s="37" t="s">
        <v>180</v>
      </c>
      <c r="BZ137" s="37" t="s">
        <v>1630</v>
      </c>
      <c r="CA137" s="66" t="e">
        <f>VLOOKUP(A137,'CMI Data'!$A$3:$AZ$209,20,FALSE)</f>
        <v>#DIV/0!</v>
      </c>
      <c r="CB137" s="68">
        <f t="shared" si="117"/>
        <v>195.17</v>
      </c>
      <c r="CC137" s="68" t="e">
        <f t="shared" si="118"/>
        <v>#DIV/0!</v>
      </c>
      <c r="CD137" s="75" t="e">
        <f t="shared" si="149"/>
        <v>#DIV/0!</v>
      </c>
      <c r="CE137" s="68" t="e">
        <f>IF($I137="NA","NA",ROUND(#REF!*$CA137/$I137,2))</f>
        <v>#REF!</v>
      </c>
      <c r="CF137" s="75" t="e">
        <f t="shared" si="150"/>
        <v>#REF!</v>
      </c>
      <c r="CG137" s="68" t="e">
        <f t="shared" si="151"/>
        <v>#REF!</v>
      </c>
      <c r="CH137" s="4">
        <f t="shared" si="152"/>
        <v>0</v>
      </c>
      <c r="CI137" s="4">
        <f t="shared" si="153"/>
        <v>7320</v>
      </c>
      <c r="CJ137" s="4">
        <f t="shared" si="154"/>
        <v>6499</v>
      </c>
      <c r="CK137" s="142">
        <f>IF(ISNA(VLOOKUP($A137&amp;$AB137,'Days Exceptions'!$C$3:$I$7,6,FALSE)),ROUND(CH137/MAX(CJ137,(CI137*Min_Occ)),2),ROUND(CH137/VLOOKUP($A137&amp;$AB137,'Days Exceptions'!$C$3:$I$7,6,FALSE),2))</f>
        <v>0</v>
      </c>
      <c r="CL137" s="143" t="e">
        <f t="shared" si="119"/>
        <v>#REF!</v>
      </c>
      <c r="CM137" s="143" t="e">
        <f t="shared" si="120"/>
        <v>#REF!</v>
      </c>
      <c r="CN137" s="143">
        <f t="shared" si="121"/>
        <v>153.18</v>
      </c>
      <c r="CO137" s="37" t="s">
        <v>71</v>
      </c>
      <c r="CP137" s="37" t="s">
        <v>180</v>
      </c>
      <c r="CQ137" s="37" t="s">
        <v>1631</v>
      </c>
    </row>
    <row r="138" spans="1:95" x14ac:dyDescent="0.15">
      <c r="A138" s="130">
        <v>1232</v>
      </c>
      <c r="B138" s="37" t="s">
        <v>255</v>
      </c>
      <c r="C138" s="1" t="s">
        <v>148</v>
      </c>
      <c r="D138" s="1" t="s">
        <v>116</v>
      </c>
      <c r="E138" s="1" t="str">
        <f>VLOOKUP(D138,Documentation!$B$4:$D$27,3,FALSE)</f>
        <v>BALTIMORE METRO</v>
      </c>
      <c r="F138" s="1" t="str">
        <f>VLOOKUP(D138,Documentation!$B$4:$C$27,2,FALSE)</f>
        <v>BALTIMORE METRO</v>
      </c>
      <c r="G138" s="82">
        <f>VLOOKUP(A138,'2022 CR and CMI'!$A$3:$D$207,3,FALSE)</f>
        <v>44562</v>
      </c>
      <c r="H138" s="82">
        <f>VLOOKUP(A138,'2022 CR and CMI'!$A$3:$D$207,4,FALSE)</f>
        <v>44926</v>
      </c>
      <c r="I138" s="72">
        <f>VLOOKUP(A138,'2022 CR and CMI'!$A$2:$T$210,19,FALSE)</f>
        <v>1.5646</v>
      </c>
      <c r="J138" s="139">
        <f>Inflation!$G$24</f>
        <v>1.0309999999999999</v>
      </c>
      <c r="K138" s="192">
        <f>VLOOKUP(E138,Limits!$B$2:$D$5,3,FALSE)</f>
        <v>195.33</v>
      </c>
      <c r="L138" s="192">
        <f t="shared" si="124"/>
        <v>201.39</v>
      </c>
      <c r="M138" s="140">
        <f>VLOOKUP(A138,'CMI Data'!$A$4:$C$208,3,FALSE)</f>
        <v>1.3229</v>
      </c>
      <c r="N138" s="68">
        <f t="shared" si="106"/>
        <v>218.33</v>
      </c>
      <c r="O138" s="68">
        <f t="shared" si="125"/>
        <v>184.6</v>
      </c>
      <c r="P138" s="75">
        <f t="shared" si="126"/>
        <v>175.37</v>
      </c>
      <c r="Q138" s="75">
        <v>215.49</v>
      </c>
      <c r="R138" s="75">
        <f t="shared" si="127"/>
        <v>222.17</v>
      </c>
      <c r="S138" s="68">
        <f t="shared" si="128"/>
        <v>187.85</v>
      </c>
      <c r="T138" s="75">
        <f t="shared" si="129"/>
        <v>0</v>
      </c>
      <c r="U138" s="68">
        <f t="shared" si="130"/>
        <v>184.6</v>
      </c>
      <c r="V138" s="68">
        <f>VLOOKUP($F138,Limits!$J$2:$L$5,3,FALSE)</f>
        <v>20.85</v>
      </c>
      <c r="W138" s="68">
        <f t="shared" si="131"/>
        <v>21.5</v>
      </c>
      <c r="X138" s="68">
        <f>VLOOKUP($F138,Limits!$R$2:$T$5,3,FALSE)</f>
        <v>102.02</v>
      </c>
      <c r="Y138" s="68">
        <f t="shared" si="132"/>
        <v>105.18</v>
      </c>
      <c r="Z138" s="75">
        <f>VLOOKUP(A138,FRV!$A$4:$U$208,21,FALSE)</f>
        <v>44.29</v>
      </c>
      <c r="AA138" s="141">
        <f>VLOOKUP(A138,'RE Tax'!$A$2:$G$206,3,FALSE)</f>
        <v>45292</v>
      </c>
      <c r="AB138" s="141">
        <f>VLOOKUP(A138,'RE Tax'!$A$2:$G$206,4,FALSE)</f>
        <v>45657</v>
      </c>
      <c r="AC138" s="4">
        <f>VLOOKUP(A138,'RE Tax'!$A$2:$G$206,7,FALSE)</f>
        <v>93385</v>
      </c>
      <c r="AD138" s="4">
        <f>VLOOKUP($A138,'RE Tax'!$A$2:$I$206,9,FALSE)</f>
        <v>28548</v>
      </c>
      <c r="AE138" s="4">
        <f>VLOOKUP($A138,'RE Tax'!$A$2:$I$206,8,FALSE)</f>
        <v>27536</v>
      </c>
      <c r="AF138" s="142">
        <f>IF(ISNA(VLOOKUP(A138&amp;AB138,'Days Exceptions'!$C$3:$I$7,6,FALSE)),ROUND(AC138/MAX(AE138,(AD138*Min_Occ)),2),ROUND(AC138/VLOOKUP(A138&amp;AB138,'Days Exceptions'!$C$3:$I$7,6,FALSE),2))</f>
        <v>3.39</v>
      </c>
      <c r="AG138" s="68">
        <v>0</v>
      </c>
      <c r="AH138" s="68">
        <f t="shared" si="133"/>
        <v>0</v>
      </c>
      <c r="AI138" s="4">
        <v>20134</v>
      </c>
      <c r="AJ138" s="4">
        <v>27536</v>
      </c>
      <c r="AK138" s="68">
        <f>IF(AI138=0,0,IF(ISNA(MATCH(A138,Documentation!$B$66:$B$71,0)),QA_Tax_reg,QA_Tax_5high))</f>
        <v>32.92</v>
      </c>
      <c r="AL138" s="75">
        <f t="shared" si="134"/>
        <v>24.07</v>
      </c>
      <c r="AM138" s="68">
        <f t="shared" si="135"/>
        <v>358.96</v>
      </c>
      <c r="AN138" s="68">
        <f t="shared" si="136"/>
        <v>266.66000000000003</v>
      </c>
      <c r="AO138" s="68">
        <f t="shared" si="137"/>
        <v>174.36</v>
      </c>
      <c r="AP138" s="37" t="s">
        <v>256</v>
      </c>
      <c r="AQ138" s="37" t="s">
        <v>255</v>
      </c>
      <c r="AR138" s="37" t="s">
        <v>1090</v>
      </c>
      <c r="AS138" s="66" t="e">
        <f>VLOOKUP(A138,'CMI Data'!$A$3:$J$209,10,FALSE)</f>
        <v>#DIV/0!</v>
      </c>
      <c r="AT138" s="68">
        <f t="shared" si="107"/>
        <v>211.76</v>
      </c>
      <c r="AU138" s="68" t="e">
        <f t="shared" si="108"/>
        <v>#DIV/0!</v>
      </c>
      <c r="AV138" s="75" t="e">
        <f t="shared" si="138"/>
        <v>#DIV/0!</v>
      </c>
      <c r="AW138" s="68" t="e">
        <f>IF($I138="NA","NA",ROUND(#REF!*$AS138/$I138,2))</f>
        <v>#REF!</v>
      </c>
      <c r="AX138" s="75" t="e">
        <f t="shared" si="105"/>
        <v>#REF!</v>
      </c>
      <c r="AY138" s="68" t="e">
        <f t="shared" si="139"/>
        <v>#REF!</v>
      </c>
      <c r="AZ138" s="4">
        <f t="shared" si="140"/>
        <v>93385</v>
      </c>
      <c r="BA138" s="4">
        <f t="shared" si="141"/>
        <v>28548</v>
      </c>
      <c r="BB138" s="4">
        <f t="shared" si="142"/>
        <v>27536</v>
      </c>
      <c r="BC138" s="142">
        <f>IF(ISNA(VLOOKUP($A138&amp;$AB138,'Days Exceptions'!$C$3:$I$7,6,FALSE)),ROUND(AZ138/MAX(BB138,(BA138*Min_Occ)),2),ROUND(AZ138/VLOOKUP($A138&amp;$AB138,'Days Exceptions'!$C$3:$I$7,6,FALSE),2))</f>
        <v>3.39</v>
      </c>
      <c r="BD138" s="143" t="e">
        <f t="shared" si="109"/>
        <v>#REF!</v>
      </c>
      <c r="BE138" s="143" t="e">
        <f t="shared" si="110"/>
        <v>#REF!</v>
      </c>
      <c r="BF138" s="143">
        <f t="shared" si="111"/>
        <v>170.55</v>
      </c>
      <c r="BG138" s="37" t="s">
        <v>256</v>
      </c>
      <c r="BH138" s="37" t="s">
        <v>255</v>
      </c>
      <c r="BI138" s="37" t="s">
        <v>1294</v>
      </c>
      <c r="BJ138" s="66" t="e">
        <f>VLOOKUP(A138,'CMI Data'!$A$3:$AZ$209,15,FALSE)</f>
        <v>#DIV/0!</v>
      </c>
      <c r="BK138" s="68">
        <f t="shared" si="112"/>
        <v>211.76</v>
      </c>
      <c r="BL138" s="68" t="e">
        <f t="shared" si="113"/>
        <v>#DIV/0!</v>
      </c>
      <c r="BM138" s="75" t="e">
        <f t="shared" si="143"/>
        <v>#DIV/0!</v>
      </c>
      <c r="BN138" s="68" t="e">
        <f>IF($I138="NA","NA",ROUND(#REF!*$BJ138/$I138,2))</f>
        <v>#REF!</v>
      </c>
      <c r="BO138" s="75" t="e">
        <f t="shared" si="144"/>
        <v>#REF!</v>
      </c>
      <c r="BP138" s="68" t="e">
        <f t="shared" si="145"/>
        <v>#REF!</v>
      </c>
      <c r="BQ138" s="4">
        <f t="shared" si="146"/>
        <v>93385</v>
      </c>
      <c r="BR138" s="4">
        <f t="shared" si="147"/>
        <v>28548</v>
      </c>
      <c r="BS138" s="4">
        <f t="shared" si="148"/>
        <v>27536</v>
      </c>
      <c r="BT138" s="142">
        <f>IF(ISNA(VLOOKUP($A138&amp;$AB138,'Days Exceptions'!$C$3:$I$7,6,FALSE)),ROUND(BQ138/MAX(BS138,(BR138*Min_Occ)),2),ROUND(BQ138/VLOOKUP($A138&amp;$AB138,'Days Exceptions'!$C$3:$I$7,6,FALSE),2))</f>
        <v>3.39</v>
      </c>
      <c r="BU138" s="143" t="e">
        <f t="shared" si="114"/>
        <v>#REF!</v>
      </c>
      <c r="BV138" s="143" t="e">
        <f t="shared" si="115"/>
        <v>#REF!</v>
      </c>
      <c r="BW138" s="143">
        <f t="shared" si="116"/>
        <v>170.55</v>
      </c>
      <c r="BX138" s="37" t="s">
        <v>256</v>
      </c>
      <c r="BY138" s="37" t="s">
        <v>255</v>
      </c>
      <c r="BZ138" s="37" t="s">
        <v>1632</v>
      </c>
      <c r="CA138" s="66" t="e">
        <f>VLOOKUP(A138,'CMI Data'!$A$3:$AZ$209,20,FALSE)</f>
        <v>#DIV/0!</v>
      </c>
      <c r="CB138" s="68">
        <f t="shared" si="117"/>
        <v>211.76</v>
      </c>
      <c r="CC138" s="68" t="e">
        <f t="shared" si="118"/>
        <v>#DIV/0!</v>
      </c>
      <c r="CD138" s="75" t="e">
        <f t="shared" si="149"/>
        <v>#DIV/0!</v>
      </c>
      <c r="CE138" s="68" t="e">
        <f>IF($I138="NA","NA",ROUND(#REF!*$CA138/$I138,2))</f>
        <v>#REF!</v>
      </c>
      <c r="CF138" s="75" t="e">
        <f t="shared" si="150"/>
        <v>#REF!</v>
      </c>
      <c r="CG138" s="68" t="e">
        <f t="shared" si="151"/>
        <v>#REF!</v>
      </c>
      <c r="CH138" s="4">
        <f t="shared" si="152"/>
        <v>93385</v>
      </c>
      <c r="CI138" s="4">
        <f t="shared" si="153"/>
        <v>28548</v>
      </c>
      <c r="CJ138" s="4">
        <f t="shared" si="154"/>
        <v>27536</v>
      </c>
      <c r="CK138" s="142">
        <f>IF(ISNA(VLOOKUP($A138&amp;$AB138,'Days Exceptions'!$C$3:$I$7,6,FALSE)),ROUND(CH138/MAX(CJ138,(CI138*Min_Occ)),2),ROUND(CH138/VLOOKUP($A138&amp;$AB138,'Days Exceptions'!$C$3:$I$7,6,FALSE),2))</f>
        <v>3.39</v>
      </c>
      <c r="CL138" s="143" t="e">
        <f t="shared" si="119"/>
        <v>#REF!</v>
      </c>
      <c r="CM138" s="143" t="e">
        <f t="shared" si="120"/>
        <v>#REF!</v>
      </c>
      <c r="CN138" s="143">
        <f t="shared" si="121"/>
        <v>170.55</v>
      </c>
      <c r="CO138" s="37" t="s">
        <v>256</v>
      </c>
      <c r="CP138" s="37" t="s">
        <v>255</v>
      </c>
      <c r="CQ138" s="37" t="s">
        <v>1633</v>
      </c>
    </row>
    <row r="139" spans="1:95" x14ac:dyDescent="0.15">
      <c r="A139" s="130">
        <v>940</v>
      </c>
      <c r="B139" s="37" t="s">
        <v>43</v>
      </c>
      <c r="C139" s="1" t="s">
        <v>148</v>
      </c>
      <c r="D139" s="1" t="s">
        <v>107</v>
      </c>
      <c r="E139" s="1" t="str">
        <f>VLOOKUP(D139,Documentation!$B$4:$D$27,3,FALSE)</f>
        <v>BALTIMORE METRO</v>
      </c>
      <c r="F139" s="1" t="str">
        <f>VLOOKUP(D139,Documentation!$B$4:$C$27,2,FALSE)</f>
        <v>BALTIMORE METRO</v>
      </c>
      <c r="G139" s="82">
        <f>VLOOKUP(A139,'2022 CR and CMI'!$A$3:$D$207,3,FALSE)</f>
        <v>44562</v>
      </c>
      <c r="H139" s="82">
        <f>VLOOKUP(A139,'2022 CR and CMI'!$A$3:$D$207,4,FALSE)</f>
        <v>44926</v>
      </c>
      <c r="I139" s="72">
        <f>VLOOKUP(A139,'2022 CR and CMI'!$A$2:$T$210,19,FALSE)</f>
        <v>1.3534999999999999</v>
      </c>
      <c r="J139" s="139">
        <f>Inflation!$G$24</f>
        <v>1.0309999999999999</v>
      </c>
      <c r="K139" s="192">
        <f>VLOOKUP(E139,Limits!$B$2:$D$5,3,FALSE)</f>
        <v>195.33</v>
      </c>
      <c r="L139" s="192">
        <f t="shared" si="124"/>
        <v>201.39</v>
      </c>
      <c r="M139" s="140">
        <f>VLOOKUP(A139,'CMI Data'!$A$4:$C$208,3,FALSE)</f>
        <v>1.2724</v>
      </c>
      <c r="N139" s="68">
        <f t="shared" si="106"/>
        <v>188.87</v>
      </c>
      <c r="O139" s="68">
        <f t="shared" si="125"/>
        <v>177.55</v>
      </c>
      <c r="P139" s="75">
        <f t="shared" si="126"/>
        <v>168.67</v>
      </c>
      <c r="Q139" s="75">
        <v>174.91</v>
      </c>
      <c r="R139" s="75">
        <f t="shared" si="127"/>
        <v>180.33</v>
      </c>
      <c r="S139" s="68">
        <f t="shared" si="128"/>
        <v>169.52</v>
      </c>
      <c r="T139" s="75">
        <f t="shared" si="129"/>
        <v>0</v>
      </c>
      <c r="U139" s="68">
        <f t="shared" si="130"/>
        <v>177.55</v>
      </c>
      <c r="V139" s="68">
        <f>VLOOKUP($F139,Limits!$J$2:$L$5,3,FALSE)</f>
        <v>20.85</v>
      </c>
      <c r="W139" s="68">
        <f t="shared" si="131"/>
        <v>21.5</v>
      </c>
      <c r="X139" s="68">
        <f>VLOOKUP($F139,Limits!$R$2:$T$5,3,FALSE)</f>
        <v>102.02</v>
      </c>
      <c r="Y139" s="68">
        <f t="shared" si="132"/>
        <v>105.18</v>
      </c>
      <c r="Z139" s="75">
        <f>VLOOKUP(A139,FRV!$A$4:$U$208,21,FALSE)</f>
        <v>37.67</v>
      </c>
      <c r="AA139" s="141">
        <f>VLOOKUP(A139,'RE Tax'!$A$2:$G$206,3,FALSE)</f>
        <v>45292</v>
      </c>
      <c r="AB139" s="141">
        <f>VLOOKUP(A139,'RE Tax'!$A$2:$G$206,4,FALSE)</f>
        <v>45657</v>
      </c>
      <c r="AC139" s="4">
        <f>VLOOKUP(A139,'RE Tax'!$A$2:$G$206,7,FALSE)</f>
        <v>96606</v>
      </c>
      <c r="AD139" s="4">
        <f>VLOOKUP($A139,'RE Tax'!$A$2:$I$206,9,FALSE)</f>
        <v>34038</v>
      </c>
      <c r="AE139" s="4">
        <f>VLOOKUP($A139,'RE Tax'!$A$2:$I$206,8,FALSE)</f>
        <v>31031</v>
      </c>
      <c r="AF139" s="142">
        <f>IF(ISNA(VLOOKUP(A139&amp;AB139,'Days Exceptions'!$C$3:$I$7,6,FALSE)),ROUND(AC139/MAX(AE139,(AD139*Min_Occ)),2),ROUND(AC139/VLOOKUP(A139&amp;AB139,'Days Exceptions'!$C$3:$I$7,6,FALSE),2))</f>
        <v>3.11</v>
      </c>
      <c r="AG139" s="68">
        <v>0</v>
      </c>
      <c r="AH139" s="68">
        <f t="shared" si="133"/>
        <v>0</v>
      </c>
      <c r="AI139" s="4">
        <v>23819</v>
      </c>
      <c r="AJ139" s="4">
        <v>31006</v>
      </c>
      <c r="AK139" s="68">
        <f>IF(AI139=0,0,IF(ISNA(MATCH(A139,Documentation!$B$66:$B$71,0)),QA_Tax_reg,QA_Tax_5high))</f>
        <v>32.92</v>
      </c>
      <c r="AL139" s="75">
        <f t="shared" si="134"/>
        <v>25.29</v>
      </c>
      <c r="AM139" s="68">
        <f t="shared" si="135"/>
        <v>345.01</v>
      </c>
      <c r="AN139" s="68">
        <f t="shared" si="136"/>
        <v>256.24</v>
      </c>
      <c r="AO139" s="68">
        <f t="shared" si="137"/>
        <v>167.46</v>
      </c>
      <c r="AP139" s="37" t="s">
        <v>6</v>
      </c>
      <c r="AQ139" s="37" t="s">
        <v>43</v>
      </c>
      <c r="AR139" s="37" t="s">
        <v>1091</v>
      </c>
      <c r="AS139" s="66" t="e">
        <f>VLOOKUP(A139,'CMI Data'!$A$3:$J$209,10,FALSE)</f>
        <v>#DIV/0!</v>
      </c>
      <c r="AT139" s="68">
        <f t="shared" si="107"/>
        <v>183.19</v>
      </c>
      <c r="AU139" s="68" t="e">
        <f t="shared" si="108"/>
        <v>#DIV/0!</v>
      </c>
      <c r="AV139" s="75" t="e">
        <f t="shared" si="138"/>
        <v>#DIV/0!</v>
      </c>
      <c r="AW139" s="68" t="e">
        <f>IF($I139="NA","NA",ROUND(#REF!*$AS139/$I139,2))</f>
        <v>#REF!</v>
      </c>
      <c r="AX139" s="75" t="e">
        <f t="shared" si="105"/>
        <v>#REF!</v>
      </c>
      <c r="AY139" s="68" t="e">
        <f t="shared" si="139"/>
        <v>#REF!</v>
      </c>
      <c r="AZ139" s="4">
        <f t="shared" si="140"/>
        <v>96606</v>
      </c>
      <c r="BA139" s="4">
        <f t="shared" si="141"/>
        <v>34038</v>
      </c>
      <c r="BB139" s="4">
        <f t="shared" si="142"/>
        <v>31031</v>
      </c>
      <c r="BC139" s="142">
        <f>IF(ISNA(VLOOKUP($A139&amp;$AB139,'Days Exceptions'!$C$3:$I$7,6,FALSE)),ROUND(AZ139/MAX(BB139,(BA139*Min_Occ)),2),ROUND(AZ139/VLOOKUP($A139&amp;$AB139,'Days Exceptions'!$C$3:$I$7,6,FALSE),2))</f>
        <v>3.11</v>
      </c>
      <c r="BD139" s="143" t="e">
        <f t="shared" si="109"/>
        <v>#REF!</v>
      </c>
      <c r="BE139" s="143" t="e">
        <f t="shared" si="110"/>
        <v>#REF!</v>
      </c>
      <c r="BF139" s="143">
        <f t="shared" si="111"/>
        <v>163.65</v>
      </c>
      <c r="BG139" s="37" t="s">
        <v>6</v>
      </c>
      <c r="BH139" s="37" t="s">
        <v>43</v>
      </c>
      <c r="BI139" s="37" t="s">
        <v>1295</v>
      </c>
      <c r="BJ139" s="66" t="e">
        <f>VLOOKUP(A139,'CMI Data'!$A$3:$AZ$209,15,FALSE)</f>
        <v>#DIV/0!</v>
      </c>
      <c r="BK139" s="68">
        <f t="shared" si="112"/>
        <v>183.19</v>
      </c>
      <c r="BL139" s="68" t="e">
        <f t="shared" si="113"/>
        <v>#DIV/0!</v>
      </c>
      <c r="BM139" s="75" t="e">
        <f t="shared" si="143"/>
        <v>#DIV/0!</v>
      </c>
      <c r="BN139" s="68" t="e">
        <f>IF($I139="NA","NA",ROUND(#REF!*$BJ139/$I139,2))</f>
        <v>#REF!</v>
      </c>
      <c r="BO139" s="75" t="e">
        <f t="shared" si="144"/>
        <v>#REF!</v>
      </c>
      <c r="BP139" s="68" t="e">
        <f t="shared" si="145"/>
        <v>#REF!</v>
      </c>
      <c r="BQ139" s="4">
        <f t="shared" si="146"/>
        <v>96606</v>
      </c>
      <c r="BR139" s="4">
        <f t="shared" si="147"/>
        <v>34038</v>
      </c>
      <c r="BS139" s="4">
        <f t="shared" si="148"/>
        <v>31031</v>
      </c>
      <c r="BT139" s="142">
        <f>IF(ISNA(VLOOKUP($A139&amp;$AB139,'Days Exceptions'!$C$3:$I$7,6,FALSE)),ROUND(BQ139/MAX(BS139,(BR139*Min_Occ)),2),ROUND(BQ139/VLOOKUP($A139&amp;$AB139,'Days Exceptions'!$C$3:$I$7,6,FALSE),2))</f>
        <v>3.11</v>
      </c>
      <c r="BU139" s="143" t="e">
        <f t="shared" si="114"/>
        <v>#REF!</v>
      </c>
      <c r="BV139" s="143" t="e">
        <f t="shared" si="115"/>
        <v>#REF!</v>
      </c>
      <c r="BW139" s="143">
        <f t="shared" si="116"/>
        <v>163.65</v>
      </c>
      <c r="BX139" s="37" t="s">
        <v>6</v>
      </c>
      <c r="BY139" s="37" t="s">
        <v>43</v>
      </c>
      <c r="BZ139" s="37" t="s">
        <v>1634</v>
      </c>
      <c r="CA139" s="66" t="e">
        <f>VLOOKUP(A139,'CMI Data'!$A$3:$AZ$209,20,FALSE)</f>
        <v>#DIV/0!</v>
      </c>
      <c r="CB139" s="68">
        <f t="shared" si="117"/>
        <v>183.19</v>
      </c>
      <c r="CC139" s="68" t="e">
        <f t="shared" si="118"/>
        <v>#DIV/0!</v>
      </c>
      <c r="CD139" s="75" t="e">
        <f t="shared" si="149"/>
        <v>#DIV/0!</v>
      </c>
      <c r="CE139" s="68" t="e">
        <f>IF($I139="NA","NA",ROUND(#REF!*$CA139/$I139,2))</f>
        <v>#REF!</v>
      </c>
      <c r="CF139" s="75" t="e">
        <f t="shared" si="150"/>
        <v>#REF!</v>
      </c>
      <c r="CG139" s="68" t="e">
        <f t="shared" si="151"/>
        <v>#REF!</v>
      </c>
      <c r="CH139" s="4">
        <f t="shared" si="152"/>
        <v>96606</v>
      </c>
      <c r="CI139" s="4">
        <f t="shared" si="153"/>
        <v>34038</v>
      </c>
      <c r="CJ139" s="4">
        <f t="shared" si="154"/>
        <v>31031</v>
      </c>
      <c r="CK139" s="142">
        <f>IF(ISNA(VLOOKUP($A139&amp;$AB139,'Days Exceptions'!$C$3:$I$7,6,FALSE)),ROUND(CH139/MAX(CJ139,(CI139*Min_Occ)),2),ROUND(CH139/VLOOKUP($A139&amp;$AB139,'Days Exceptions'!$C$3:$I$7,6,FALSE),2))</f>
        <v>3.11</v>
      </c>
      <c r="CL139" s="143" t="e">
        <f t="shared" si="119"/>
        <v>#REF!</v>
      </c>
      <c r="CM139" s="143" t="e">
        <f t="shared" si="120"/>
        <v>#REF!</v>
      </c>
      <c r="CN139" s="143">
        <f t="shared" si="121"/>
        <v>163.65</v>
      </c>
      <c r="CO139" s="37" t="s">
        <v>6</v>
      </c>
      <c r="CP139" s="37" t="s">
        <v>43</v>
      </c>
      <c r="CQ139" s="37" t="s">
        <v>1635</v>
      </c>
    </row>
    <row r="140" spans="1:95" x14ac:dyDescent="0.15">
      <c r="A140" s="130">
        <v>290</v>
      </c>
      <c r="B140" s="37" t="s">
        <v>40</v>
      </c>
      <c r="C140" s="1" t="s">
        <v>148</v>
      </c>
      <c r="D140" s="1" t="s">
        <v>110</v>
      </c>
      <c r="E140" s="1" t="str">
        <f>VLOOKUP(D140,Documentation!$B$4:$D$27,3,FALSE)</f>
        <v>BALTIMORE METRO</v>
      </c>
      <c r="F140" s="1" t="str">
        <f>VLOOKUP(D140,Documentation!$B$4:$C$27,2,FALSE)</f>
        <v>BALTIMORE METRO</v>
      </c>
      <c r="G140" s="82">
        <f>VLOOKUP(A140,'2022 CR and CMI'!$A$3:$D$207,3,FALSE)</f>
        <v>44562</v>
      </c>
      <c r="H140" s="82">
        <f>VLOOKUP(A140,'2022 CR and CMI'!$A$3:$D$207,4,FALSE)</f>
        <v>44926</v>
      </c>
      <c r="I140" s="72">
        <f>VLOOKUP(A140,'2022 CR and CMI'!$A$2:$T$210,19,FALSE)</f>
        <v>1.8016000000000001</v>
      </c>
      <c r="J140" s="139">
        <f>Inflation!$G$24</f>
        <v>1.0309999999999999</v>
      </c>
      <c r="K140" s="192">
        <f>VLOOKUP(E140,Limits!$B$2:$D$5,3,FALSE)</f>
        <v>195.33</v>
      </c>
      <c r="L140" s="192">
        <f t="shared" si="124"/>
        <v>201.39</v>
      </c>
      <c r="M140" s="140">
        <f>VLOOKUP(A140,'CMI Data'!$A$4:$C$208,3,FALSE)</f>
        <v>1.5427999999999999</v>
      </c>
      <c r="N140" s="68">
        <f t="shared" si="106"/>
        <v>251.4</v>
      </c>
      <c r="O140" s="68">
        <f t="shared" si="125"/>
        <v>215.29</v>
      </c>
      <c r="P140" s="75">
        <f t="shared" si="126"/>
        <v>204.53</v>
      </c>
      <c r="Q140" s="75">
        <v>289.17</v>
      </c>
      <c r="R140" s="75">
        <f t="shared" si="127"/>
        <v>298.13</v>
      </c>
      <c r="S140" s="68">
        <f t="shared" si="128"/>
        <v>255.3</v>
      </c>
      <c r="T140" s="75">
        <f t="shared" si="129"/>
        <v>0</v>
      </c>
      <c r="U140" s="68">
        <f t="shared" si="130"/>
        <v>215.29</v>
      </c>
      <c r="V140" s="68">
        <f>VLOOKUP($F140,Limits!$J$2:$L$5,3,FALSE)</f>
        <v>20.85</v>
      </c>
      <c r="W140" s="68">
        <f t="shared" si="131"/>
        <v>21.5</v>
      </c>
      <c r="X140" s="68">
        <f>VLOOKUP($F140,Limits!$R$2:$T$5,3,FALSE)</f>
        <v>102.02</v>
      </c>
      <c r="Y140" s="68">
        <f t="shared" si="132"/>
        <v>105.18</v>
      </c>
      <c r="Z140" s="75">
        <f>VLOOKUP(A140,FRV!$A$4:$U$208,21,FALSE)</f>
        <v>41.57</v>
      </c>
      <c r="AA140" s="141">
        <f>VLOOKUP(A140,'RE Tax'!$A$2:$G$206,3,FALSE)</f>
        <v>45292</v>
      </c>
      <c r="AB140" s="141">
        <f>VLOOKUP(A140,'RE Tax'!$A$2:$G$206,4,FALSE)</f>
        <v>45657</v>
      </c>
      <c r="AC140" s="4">
        <f>VLOOKUP(A140,'RE Tax'!$A$2:$G$206,7,FALSE)</f>
        <v>38936</v>
      </c>
      <c r="AD140" s="4">
        <f>VLOOKUP($A140,'RE Tax'!$A$2:$I$206,9,FALSE)</f>
        <v>22692</v>
      </c>
      <c r="AE140" s="4">
        <f>VLOOKUP($A140,'RE Tax'!$A$2:$I$206,8,FALSE)</f>
        <v>21143</v>
      </c>
      <c r="AF140" s="142">
        <f>IF(ISNA(VLOOKUP(A140&amp;AB140,'Days Exceptions'!$C$3:$I$7,6,FALSE)),ROUND(AC140/MAX(AE140,(AD140*Min_Occ)),2),ROUND(AC140/VLOOKUP(A140&amp;AB140,'Days Exceptions'!$C$3:$I$7,6,FALSE),2))</f>
        <v>1.84</v>
      </c>
      <c r="AG140" s="68">
        <v>0</v>
      </c>
      <c r="AH140" s="68">
        <f t="shared" si="133"/>
        <v>0</v>
      </c>
      <c r="AI140" s="4">
        <v>15393</v>
      </c>
      <c r="AJ140" s="4">
        <v>21113</v>
      </c>
      <c r="AK140" s="68">
        <f>IF(AI140=0,0,IF(ISNA(MATCH(A140,Documentation!$B$66:$B$71,0)),QA_Tax_reg,QA_Tax_5high))</f>
        <v>32.92</v>
      </c>
      <c r="AL140" s="75">
        <f t="shared" si="134"/>
        <v>24</v>
      </c>
      <c r="AM140" s="68">
        <f t="shared" si="135"/>
        <v>385.38</v>
      </c>
      <c r="AN140" s="68">
        <f t="shared" si="136"/>
        <v>277.74</v>
      </c>
      <c r="AO140" s="68">
        <f t="shared" si="137"/>
        <v>170.09</v>
      </c>
      <c r="AP140" s="37" t="s">
        <v>90</v>
      </c>
      <c r="AQ140" s="37" t="s">
        <v>40</v>
      </c>
      <c r="AR140" s="37" t="s">
        <v>1092</v>
      </c>
      <c r="AS140" s="66" t="e">
        <f>VLOOKUP(A140,'CMI Data'!$A$3:$J$209,10,FALSE)</f>
        <v>#DIV/0!</v>
      </c>
      <c r="AT140" s="68">
        <f t="shared" si="107"/>
        <v>243.84</v>
      </c>
      <c r="AU140" s="68" t="e">
        <f t="shared" si="108"/>
        <v>#DIV/0!</v>
      </c>
      <c r="AV140" s="75" t="e">
        <f t="shared" si="138"/>
        <v>#DIV/0!</v>
      </c>
      <c r="AW140" s="68" t="e">
        <f>IF($I140="NA","NA",ROUND(#REF!*$AS140/$I140,2))</f>
        <v>#REF!</v>
      </c>
      <c r="AX140" s="75" t="e">
        <f t="shared" si="105"/>
        <v>#REF!</v>
      </c>
      <c r="AY140" s="68" t="e">
        <f t="shared" si="139"/>
        <v>#REF!</v>
      </c>
      <c r="AZ140" s="4">
        <f t="shared" si="140"/>
        <v>38936</v>
      </c>
      <c r="BA140" s="4">
        <f t="shared" si="141"/>
        <v>22692</v>
      </c>
      <c r="BB140" s="4">
        <f t="shared" si="142"/>
        <v>21143</v>
      </c>
      <c r="BC140" s="142">
        <f>IF(ISNA(VLOOKUP($A140&amp;$AB140,'Days Exceptions'!$C$3:$I$7,6,FALSE)),ROUND(AZ140/MAX(BB140,(BA140*Min_Occ)),2),ROUND(AZ140/VLOOKUP($A140&amp;$AB140,'Days Exceptions'!$C$3:$I$7,6,FALSE),2))</f>
        <v>1.84</v>
      </c>
      <c r="BD140" s="143" t="e">
        <f t="shared" si="109"/>
        <v>#REF!</v>
      </c>
      <c r="BE140" s="143" t="e">
        <f t="shared" si="110"/>
        <v>#REF!</v>
      </c>
      <c r="BF140" s="143">
        <f t="shared" si="111"/>
        <v>166.28</v>
      </c>
      <c r="BG140" s="37" t="s">
        <v>90</v>
      </c>
      <c r="BH140" s="37" t="s">
        <v>40</v>
      </c>
      <c r="BI140" s="37" t="s">
        <v>1296</v>
      </c>
      <c r="BJ140" s="66" t="e">
        <f>VLOOKUP(A140,'CMI Data'!$A$3:$AZ$209,15,FALSE)</f>
        <v>#DIV/0!</v>
      </c>
      <c r="BK140" s="68">
        <f t="shared" si="112"/>
        <v>243.84</v>
      </c>
      <c r="BL140" s="68" t="e">
        <f t="shared" si="113"/>
        <v>#DIV/0!</v>
      </c>
      <c r="BM140" s="75" t="e">
        <f t="shared" si="143"/>
        <v>#DIV/0!</v>
      </c>
      <c r="BN140" s="68" t="e">
        <f>IF($I140="NA","NA",ROUND(#REF!*$BJ140/$I140,2))</f>
        <v>#REF!</v>
      </c>
      <c r="BO140" s="75" t="e">
        <f t="shared" si="144"/>
        <v>#REF!</v>
      </c>
      <c r="BP140" s="68" t="e">
        <f t="shared" si="145"/>
        <v>#REF!</v>
      </c>
      <c r="BQ140" s="4">
        <f t="shared" si="146"/>
        <v>38936</v>
      </c>
      <c r="BR140" s="4">
        <f t="shared" si="147"/>
        <v>22692</v>
      </c>
      <c r="BS140" s="4">
        <f t="shared" si="148"/>
        <v>21143</v>
      </c>
      <c r="BT140" s="142">
        <f>IF(ISNA(VLOOKUP($A140&amp;$AB140,'Days Exceptions'!$C$3:$I$7,6,FALSE)),ROUND(BQ140/MAX(BS140,(BR140*Min_Occ)),2),ROUND(BQ140/VLOOKUP($A140&amp;$AB140,'Days Exceptions'!$C$3:$I$7,6,FALSE),2))</f>
        <v>1.84</v>
      </c>
      <c r="BU140" s="143" t="e">
        <f t="shared" si="114"/>
        <v>#REF!</v>
      </c>
      <c r="BV140" s="143" t="e">
        <f t="shared" si="115"/>
        <v>#REF!</v>
      </c>
      <c r="BW140" s="143">
        <f t="shared" si="116"/>
        <v>166.28</v>
      </c>
      <c r="BX140" s="37" t="s">
        <v>90</v>
      </c>
      <c r="BY140" s="37" t="s">
        <v>40</v>
      </c>
      <c r="BZ140" s="37" t="s">
        <v>1636</v>
      </c>
      <c r="CA140" s="66" t="e">
        <f>VLOOKUP(A140,'CMI Data'!$A$3:$AZ$209,20,FALSE)</f>
        <v>#DIV/0!</v>
      </c>
      <c r="CB140" s="68">
        <f t="shared" si="117"/>
        <v>243.84</v>
      </c>
      <c r="CC140" s="68" t="e">
        <f t="shared" si="118"/>
        <v>#DIV/0!</v>
      </c>
      <c r="CD140" s="75" t="e">
        <f t="shared" si="149"/>
        <v>#DIV/0!</v>
      </c>
      <c r="CE140" s="68" t="e">
        <f>IF($I140="NA","NA",ROUND(#REF!*$CA140/$I140,2))</f>
        <v>#REF!</v>
      </c>
      <c r="CF140" s="75" t="e">
        <f t="shared" si="150"/>
        <v>#REF!</v>
      </c>
      <c r="CG140" s="68" t="e">
        <f t="shared" si="151"/>
        <v>#REF!</v>
      </c>
      <c r="CH140" s="4">
        <f t="shared" si="152"/>
        <v>38936</v>
      </c>
      <c r="CI140" s="4">
        <f t="shared" si="153"/>
        <v>22692</v>
      </c>
      <c r="CJ140" s="4">
        <f t="shared" si="154"/>
        <v>21143</v>
      </c>
      <c r="CK140" s="142">
        <f>IF(ISNA(VLOOKUP($A140&amp;$AB140,'Days Exceptions'!$C$3:$I$7,6,FALSE)),ROUND(CH140/MAX(CJ140,(CI140*Min_Occ)),2),ROUND(CH140/VLOOKUP($A140&amp;$AB140,'Days Exceptions'!$C$3:$I$7,6,FALSE),2))</f>
        <v>1.84</v>
      </c>
      <c r="CL140" s="143" t="e">
        <f t="shared" si="119"/>
        <v>#REF!</v>
      </c>
      <c r="CM140" s="143" t="e">
        <f t="shared" si="120"/>
        <v>#REF!</v>
      </c>
      <c r="CN140" s="143">
        <f t="shared" si="121"/>
        <v>166.28</v>
      </c>
      <c r="CO140" s="37" t="s">
        <v>90</v>
      </c>
      <c r="CP140" s="37" t="s">
        <v>40</v>
      </c>
      <c r="CQ140" s="37" t="s">
        <v>1637</v>
      </c>
    </row>
    <row r="141" spans="1:95" x14ac:dyDescent="0.15">
      <c r="A141" s="130">
        <v>286</v>
      </c>
      <c r="B141" s="37" t="s">
        <v>37</v>
      </c>
      <c r="C141" s="1" t="s">
        <v>148</v>
      </c>
      <c r="D141" s="1" t="s">
        <v>117</v>
      </c>
      <c r="E141" s="1" t="str">
        <f>VLOOKUP(D141,Documentation!$B$4:$D$27,3,FALSE)</f>
        <v>BALTIMORE METRO</v>
      </c>
      <c r="F141" s="1" t="str">
        <f>VLOOKUP(D141,Documentation!$B$4:$C$27,2,FALSE)</f>
        <v>BALTIMORE METRO</v>
      </c>
      <c r="G141" s="82">
        <f>VLOOKUP(A141,'2022 CR and CMI'!$A$3:$D$207,3,FALSE)</f>
        <v>44378</v>
      </c>
      <c r="H141" s="82">
        <f>VLOOKUP(A141,'2022 CR and CMI'!$A$3:$D$207,4,FALSE)</f>
        <v>44742</v>
      </c>
      <c r="I141" s="72">
        <f>VLOOKUP(A141,'2022 CR and CMI'!$A$2:$T$210,19,FALSE)</f>
        <v>1.6445000000000001</v>
      </c>
      <c r="J141" s="139">
        <f>Inflation!$G$24</f>
        <v>1.0309999999999999</v>
      </c>
      <c r="K141" s="192">
        <f>VLOOKUP(E141,Limits!$B$2:$D$5,3,FALSE)</f>
        <v>195.33</v>
      </c>
      <c r="L141" s="192">
        <f t="shared" si="124"/>
        <v>201.39</v>
      </c>
      <c r="M141" s="140">
        <f>VLOOKUP(A141,'CMI Data'!$A$4:$C$208,3,FALSE)</f>
        <v>1.369</v>
      </c>
      <c r="N141" s="68">
        <f t="shared" si="106"/>
        <v>229.48</v>
      </c>
      <c r="O141" s="68">
        <f t="shared" si="125"/>
        <v>191.04</v>
      </c>
      <c r="P141" s="75">
        <f t="shared" si="126"/>
        <v>181.49</v>
      </c>
      <c r="Q141" s="75">
        <v>222.01</v>
      </c>
      <c r="R141" s="75">
        <f t="shared" si="127"/>
        <v>228.89</v>
      </c>
      <c r="S141" s="68">
        <f t="shared" si="128"/>
        <v>190.54</v>
      </c>
      <c r="T141" s="75">
        <f t="shared" si="129"/>
        <v>0</v>
      </c>
      <c r="U141" s="68">
        <f t="shared" si="130"/>
        <v>191.04</v>
      </c>
      <c r="V141" s="68">
        <f>VLOOKUP($F141,Limits!$J$2:$L$5,3,FALSE)</f>
        <v>20.85</v>
      </c>
      <c r="W141" s="68">
        <f t="shared" si="131"/>
        <v>21.5</v>
      </c>
      <c r="X141" s="68">
        <f>VLOOKUP($F141,Limits!$R$2:$T$5,3,FALSE)</f>
        <v>102.02</v>
      </c>
      <c r="Y141" s="68">
        <f t="shared" si="132"/>
        <v>105.18</v>
      </c>
      <c r="Z141" s="75">
        <f>VLOOKUP(A141,FRV!$A$4:$U$208,21,FALSE)</f>
        <v>44.29</v>
      </c>
      <c r="AA141" s="141">
        <f>VLOOKUP(A141,'RE Tax'!$A$2:$G$206,3,FALSE)</f>
        <v>45108</v>
      </c>
      <c r="AB141" s="141">
        <f>VLOOKUP(A141,'RE Tax'!$A$2:$G$206,4,FALSE)</f>
        <v>45473</v>
      </c>
      <c r="AC141" s="4">
        <f>VLOOKUP(A141,'RE Tax'!$A$2:$G$206,7,FALSE)</f>
        <v>95217</v>
      </c>
      <c r="AD141" s="4">
        <f>VLOOKUP($A141,'RE Tax'!$A$2:$I$206,9,FALSE)</f>
        <v>76050</v>
      </c>
      <c r="AE141" s="4">
        <f>VLOOKUP($A141,'RE Tax'!$A$2:$I$206,8,FALSE)</f>
        <v>68008</v>
      </c>
      <c r="AF141" s="142">
        <f>IF(ISNA(VLOOKUP(A141&amp;AB141,'Days Exceptions'!$C$3:$I$7,6,FALSE)),ROUND(AC141/MAX(AE141,(AD141*Min_Occ)),2),ROUND(AC141/VLOOKUP(A141&amp;AB141,'Days Exceptions'!$C$3:$I$7,6,FALSE),2))</f>
        <v>1.4</v>
      </c>
      <c r="AG141" s="68">
        <v>0</v>
      </c>
      <c r="AH141" s="68">
        <f t="shared" si="133"/>
        <v>0</v>
      </c>
      <c r="AI141" s="4">
        <v>51077</v>
      </c>
      <c r="AJ141" s="4">
        <v>68956</v>
      </c>
      <c r="AK141" s="68">
        <f>IF(AI141=0,0,IF(ISNA(MATCH(A141,Documentation!$B$66:$B$71,0)),QA_Tax_reg,QA_Tax_5high))</f>
        <v>32.92</v>
      </c>
      <c r="AL141" s="75">
        <f t="shared" si="134"/>
        <v>24.38</v>
      </c>
      <c r="AM141" s="68">
        <f t="shared" si="135"/>
        <v>363.41</v>
      </c>
      <c r="AN141" s="68">
        <f t="shared" si="136"/>
        <v>267.89</v>
      </c>
      <c r="AO141" s="68">
        <f t="shared" si="137"/>
        <v>172.37</v>
      </c>
      <c r="AP141" s="37" t="s">
        <v>77</v>
      </c>
      <c r="AQ141" s="37" t="s">
        <v>37</v>
      </c>
      <c r="AR141" s="37" t="s">
        <v>1093</v>
      </c>
      <c r="AS141" s="66" t="e">
        <f>VLOOKUP(A141,'CMI Data'!$A$3:$J$209,10,FALSE)</f>
        <v>#DIV/0!</v>
      </c>
      <c r="AT141" s="68">
        <f t="shared" si="107"/>
        <v>222.57</v>
      </c>
      <c r="AU141" s="68" t="e">
        <f t="shared" si="108"/>
        <v>#DIV/0!</v>
      </c>
      <c r="AV141" s="75" t="e">
        <f t="shared" si="138"/>
        <v>#DIV/0!</v>
      </c>
      <c r="AW141" s="68" t="e">
        <f>IF($I141="NA","NA",ROUND(#REF!*$AS141/$I141,2))</f>
        <v>#REF!</v>
      </c>
      <c r="AX141" s="75" t="e">
        <f t="shared" si="105"/>
        <v>#REF!</v>
      </c>
      <c r="AY141" s="68" t="e">
        <f t="shared" si="139"/>
        <v>#REF!</v>
      </c>
      <c r="AZ141" s="4">
        <f t="shared" si="140"/>
        <v>95217</v>
      </c>
      <c r="BA141" s="4">
        <f t="shared" si="141"/>
        <v>76050</v>
      </c>
      <c r="BB141" s="4">
        <f t="shared" si="142"/>
        <v>68008</v>
      </c>
      <c r="BC141" s="142">
        <f>IF(ISNA(VLOOKUP($A141&amp;$AB141,'Days Exceptions'!$C$3:$I$7,6,FALSE)),ROUND(AZ141/MAX(BB141,(BA141*Min_Occ)),2),ROUND(AZ141/VLOOKUP($A141&amp;$AB141,'Days Exceptions'!$C$3:$I$7,6,FALSE),2))</f>
        <v>1.4</v>
      </c>
      <c r="BD141" s="143" t="e">
        <f t="shared" si="109"/>
        <v>#REF!</v>
      </c>
      <c r="BE141" s="143" t="e">
        <f t="shared" si="110"/>
        <v>#REF!</v>
      </c>
      <c r="BF141" s="143">
        <f t="shared" si="111"/>
        <v>168.56</v>
      </c>
      <c r="BG141" s="37" t="s">
        <v>77</v>
      </c>
      <c r="BH141" s="37" t="s">
        <v>37</v>
      </c>
      <c r="BI141" s="37" t="s">
        <v>1297</v>
      </c>
      <c r="BJ141" s="66" t="e">
        <f>VLOOKUP(A141,'CMI Data'!$A$3:$AZ$209,15,FALSE)</f>
        <v>#DIV/0!</v>
      </c>
      <c r="BK141" s="68">
        <f t="shared" si="112"/>
        <v>222.57</v>
      </c>
      <c r="BL141" s="68" t="e">
        <f t="shared" si="113"/>
        <v>#DIV/0!</v>
      </c>
      <c r="BM141" s="75" t="e">
        <f t="shared" si="143"/>
        <v>#DIV/0!</v>
      </c>
      <c r="BN141" s="68" t="e">
        <f>IF($I141="NA","NA",ROUND(#REF!*$BJ141/$I141,2))</f>
        <v>#REF!</v>
      </c>
      <c r="BO141" s="75" t="e">
        <f t="shared" si="144"/>
        <v>#REF!</v>
      </c>
      <c r="BP141" s="68" t="e">
        <f t="shared" si="145"/>
        <v>#REF!</v>
      </c>
      <c r="BQ141" s="4">
        <f t="shared" si="146"/>
        <v>95217</v>
      </c>
      <c r="BR141" s="4">
        <f t="shared" si="147"/>
        <v>76050</v>
      </c>
      <c r="BS141" s="4">
        <f t="shared" si="148"/>
        <v>68008</v>
      </c>
      <c r="BT141" s="142">
        <f>IF(ISNA(VLOOKUP($A141&amp;$AB141,'Days Exceptions'!$C$3:$I$7,6,FALSE)),ROUND(BQ141/MAX(BS141,(BR141*Min_Occ)),2),ROUND(BQ141/VLOOKUP($A141&amp;$AB141,'Days Exceptions'!$C$3:$I$7,6,FALSE),2))</f>
        <v>1.4</v>
      </c>
      <c r="BU141" s="143" t="e">
        <f t="shared" si="114"/>
        <v>#REF!</v>
      </c>
      <c r="BV141" s="143" t="e">
        <f t="shared" si="115"/>
        <v>#REF!</v>
      </c>
      <c r="BW141" s="143">
        <f t="shared" si="116"/>
        <v>168.56</v>
      </c>
      <c r="BX141" s="37" t="s">
        <v>77</v>
      </c>
      <c r="BY141" s="37" t="s">
        <v>37</v>
      </c>
      <c r="BZ141" s="37" t="s">
        <v>1638</v>
      </c>
      <c r="CA141" s="66" t="e">
        <f>VLOOKUP(A141,'CMI Data'!$A$3:$AZ$209,20,FALSE)</f>
        <v>#DIV/0!</v>
      </c>
      <c r="CB141" s="68">
        <f t="shared" si="117"/>
        <v>222.57</v>
      </c>
      <c r="CC141" s="68" t="e">
        <f t="shared" si="118"/>
        <v>#DIV/0!</v>
      </c>
      <c r="CD141" s="75" t="e">
        <f t="shared" si="149"/>
        <v>#DIV/0!</v>
      </c>
      <c r="CE141" s="68" t="e">
        <f>IF($I141="NA","NA",ROUND(#REF!*$CA141/$I141,2))</f>
        <v>#REF!</v>
      </c>
      <c r="CF141" s="75" t="e">
        <f t="shared" si="150"/>
        <v>#REF!</v>
      </c>
      <c r="CG141" s="68" t="e">
        <f t="shared" si="151"/>
        <v>#REF!</v>
      </c>
      <c r="CH141" s="4">
        <f t="shared" si="152"/>
        <v>95217</v>
      </c>
      <c r="CI141" s="4">
        <f t="shared" si="153"/>
        <v>76050</v>
      </c>
      <c r="CJ141" s="4">
        <f t="shared" si="154"/>
        <v>68008</v>
      </c>
      <c r="CK141" s="142">
        <f>IF(ISNA(VLOOKUP($A141&amp;$AB141,'Days Exceptions'!$C$3:$I$7,6,FALSE)),ROUND(CH141/MAX(CJ141,(CI141*Min_Occ)),2),ROUND(CH141/VLOOKUP($A141&amp;$AB141,'Days Exceptions'!$C$3:$I$7,6,FALSE),2))</f>
        <v>1.4</v>
      </c>
      <c r="CL141" s="143" t="e">
        <f t="shared" si="119"/>
        <v>#REF!</v>
      </c>
      <c r="CM141" s="143" t="e">
        <f t="shared" si="120"/>
        <v>#REF!</v>
      </c>
      <c r="CN141" s="143">
        <f t="shared" si="121"/>
        <v>168.56</v>
      </c>
      <c r="CO141" s="37" t="s">
        <v>77</v>
      </c>
      <c r="CP141" s="37" t="s">
        <v>37</v>
      </c>
      <c r="CQ141" s="37" t="s">
        <v>1639</v>
      </c>
    </row>
    <row r="142" spans="1:95" x14ac:dyDescent="0.15">
      <c r="A142" s="130">
        <v>1209</v>
      </c>
      <c r="B142" s="37" t="s">
        <v>217</v>
      </c>
      <c r="C142" s="1" t="s">
        <v>148</v>
      </c>
      <c r="D142" s="1" t="s">
        <v>117</v>
      </c>
      <c r="E142" s="1" t="str">
        <f>VLOOKUP(D142,Documentation!$B$4:$D$27,3,FALSE)</f>
        <v>BALTIMORE METRO</v>
      </c>
      <c r="F142" s="1" t="str">
        <f>VLOOKUP(D142,Documentation!$B$4:$C$27,2,FALSE)</f>
        <v>BALTIMORE METRO</v>
      </c>
      <c r="G142" s="82">
        <f>VLOOKUP(A142,'2022 CR and CMI'!$A$3:$D$207,3,FALSE)</f>
        <v>44562</v>
      </c>
      <c r="H142" s="82">
        <f>VLOOKUP(A142,'2022 CR and CMI'!$A$3:$D$207,4,FALSE)</f>
        <v>44926</v>
      </c>
      <c r="I142" s="72">
        <f>VLOOKUP(A142,'2022 CR and CMI'!$A$2:$T$210,19,FALSE)</f>
        <v>1.5121</v>
      </c>
      <c r="J142" s="139">
        <f>Inflation!$G$24</f>
        <v>1.0309999999999999</v>
      </c>
      <c r="K142" s="192">
        <f>VLOOKUP(E142,Limits!$B$2:$D$5,3,FALSE)</f>
        <v>195.33</v>
      </c>
      <c r="L142" s="192">
        <f t="shared" si="124"/>
        <v>201.39</v>
      </c>
      <c r="M142" s="140">
        <f>VLOOKUP(A142,'CMI Data'!$A$4:$C$208,3,FALSE)</f>
        <v>1.3488</v>
      </c>
      <c r="N142" s="68">
        <f t="shared" si="106"/>
        <v>211</v>
      </c>
      <c r="O142" s="68">
        <f t="shared" si="125"/>
        <v>188.21</v>
      </c>
      <c r="P142" s="75">
        <f t="shared" si="126"/>
        <v>178.8</v>
      </c>
      <c r="Q142" s="75">
        <v>158.38</v>
      </c>
      <c r="R142" s="75">
        <f t="shared" si="127"/>
        <v>163.29</v>
      </c>
      <c r="S142" s="68">
        <f t="shared" si="128"/>
        <v>145.66</v>
      </c>
      <c r="T142" s="75">
        <f t="shared" si="129"/>
        <v>-33.14</v>
      </c>
      <c r="U142" s="68">
        <f t="shared" si="130"/>
        <v>155.07</v>
      </c>
      <c r="V142" s="68">
        <f>VLOOKUP($F142,Limits!$J$2:$L$5,3,FALSE)</f>
        <v>20.85</v>
      </c>
      <c r="W142" s="68">
        <f t="shared" si="131"/>
        <v>21.5</v>
      </c>
      <c r="X142" s="68">
        <f>VLOOKUP($F142,Limits!$R$2:$T$5,3,FALSE)</f>
        <v>102.02</v>
      </c>
      <c r="Y142" s="68">
        <f t="shared" si="132"/>
        <v>105.18</v>
      </c>
      <c r="Z142" s="75">
        <f>VLOOKUP(A142,FRV!$A$4:$U$208,21,FALSE)</f>
        <v>39.29</v>
      </c>
      <c r="AA142" s="141">
        <f>VLOOKUP(A142,'RE Tax'!$A$2:$G$206,3,FALSE)</f>
        <v>45292</v>
      </c>
      <c r="AB142" s="141">
        <f>VLOOKUP(A142,'RE Tax'!$A$2:$G$206,4,FALSE)</f>
        <v>45657</v>
      </c>
      <c r="AC142" s="4">
        <f>VLOOKUP(A142,'RE Tax'!$A$2:$G$206,7,FALSE)</f>
        <v>89401</v>
      </c>
      <c r="AD142" s="4">
        <f>VLOOKUP($A142,'RE Tax'!$A$2:$I$206,9,FALSE)</f>
        <v>25620</v>
      </c>
      <c r="AE142" s="4">
        <f>VLOOKUP($A142,'RE Tax'!$A$2:$I$206,8,FALSE)</f>
        <v>23482</v>
      </c>
      <c r="AF142" s="142">
        <f>IF(ISNA(VLOOKUP(A142&amp;AB142,'Days Exceptions'!$C$3:$I$7,6,FALSE)),ROUND(AC142/MAX(AE142,(AD142*Min_Occ)),2),ROUND(AC142/VLOOKUP(A142&amp;AB142,'Days Exceptions'!$C$3:$I$7,6,FALSE),2))</f>
        <v>3.81</v>
      </c>
      <c r="AG142" s="68">
        <v>0</v>
      </c>
      <c r="AH142" s="68">
        <f t="shared" si="133"/>
        <v>0</v>
      </c>
      <c r="AI142" s="4">
        <v>16413</v>
      </c>
      <c r="AJ142" s="4">
        <v>23482</v>
      </c>
      <c r="AK142" s="68">
        <f>IF(AI142=0,0,IF(ISNA(MATCH(A142,Documentation!$B$66:$B$71,0)),QA_Tax_reg,QA_Tax_5high))</f>
        <v>32.92</v>
      </c>
      <c r="AL142" s="75">
        <f t="shared" si="134"/>
        <v>23.01</v>
      </c>
      <c r="AM142" s="68">
        <f t="shared" si="135"/>
        <v>324.85000000000002</v>
      </c>
      <c r="AN142" s="68">
        <f t="shared" si="136"/>
        <v>247.32</v>
      </c>
      <c r="AO142" s="68">
        <f t="shared" si="137"/>
        <v>169.78</v>
      </c>
      <c r="AP142" s="37" t="s">
        <v>140</v>
      </c>
      <c r="AQ142" s="37" t="s">
        <v>217</v>
      </c>
      <c r="AR142" s="37" t="s">
        <v>1094</v>
      </c>
      <c r="AS142" s="66" t="e">
        <f>VLOOKUP(A142,'CMI Data'!$A$3:$J$209,10,FALSE)</f>
        <v>#DIV/0!</v>
      </c>
      <c r="AT142" s="68">
        <f t="shared" si="107"/>
        <v>204.66</v>
      </c>
      <c r="AU142" s="68" t="e">
        <f t="shared" si="108"/>
        <v>#DIV/0!</v>
      </c>
      <c r="AV142" s="75" t="e">
        <f t="shared" si="138"/>
        <v>#DIV/0!</v>
      </c>
      <c r="AW142" s="68" t="e">
        <f>IF($I142="NA","NA",ROUND(#REF!*$AS142/$I142,2))</f>
        <v>#REF!</v>
      </c>
      <c r="AX142" s="75" t="e">
        <f t="shared" si="105"/>
        <v>#REF!</v>
      </c>
      <c r="AY142" s="68" t="e">
        <f t="shared" si="139"/>
        <v>#REF!</v>
      </c>
      <c r="AZ142" s="4">
        <f t="shared" si="140"/>
        <v>89401</v>
      </c>
      <c r="BA142" s="4">
        <f t="shared" si="141"/>
        <v>25620</v>
      </c>
      <c r="BB142" s="4">
        <f t="shared" si="142"/>
        <v>23482</v>
      </c>
      <c r="BC142" s="142">
        <f>IF(ISNA(VLOOKUP($A142&amp;$AB142,'Days Exceptions'!$C$3:$I$7,6,FALSE)),ROUND(AZ142/MAX(BB142,(BA142*Min_Occ)),2),ROUND(AZ142/VLOOKUP($A142&amp;$AB142,'Days Exceptions'!$C$3:$I$7,6,FALSE),2))</f>
        <v>3.81</v>
      </c>
      <c r="BD142" s="143" t="e">
        <f t="shared" si="109"/>
        <v>#REF!</v>
      </c>
      <c r="BE142" s="143" t="e">
        <f t="shared" si="110"/>
        <v>#REF!</v>
      </c>
      <c r="BF142" s="143">
        <f t="shared" si="111"/>
        <v>165.97</v>
      </c>
      <c r="BG142" s="37" t="s">
        <v>140</v>
      </c>
      <c r="BH142" s="37" t="s">
        <v>217</v>
      </c>
      <c r="BI142" s="37" t="s">
        <v>1298</v>
      </c>
      <c r="BJ142" s="66" t="e">
        <f>VLOOKUP(A142,'CMI Data'!$A$3:$AZ$209,15,FALSE)</f>
        <v>#DIV/0!</v>
      </c>
      <c r="BK142" s="68">
        <f t="shared" si="112"/>
        <v>204.66</v>
      </c>
      <c r="BL142" s="68" t="e">
        <f t="shared" si="113"/>
        <v>#DIV/0!</v>
      </c>
      <c r="BM142" s="75" t="e">
        <f t="shared" si="143"/>
        <v>#DIV/0!</v>
      </c>
      <c r="BN142" s="68" t="e">
        <f>IF($I142="NA","NA",ROUND(#REF!*$BJ142/$I142,2))</f>
        <v>#REF!</v>
      </c>
      <c r="BO142" s="75" t="e">
        <f t="shared" si="144"/>
        <v>#REF!</v>
      </c>
      <c r="BP142" s="68" t="e">
        <f t="shared" si="145"/>
        <v>#REF!</v>
      </c>
      <c r="BQ142" s="4">
        <f t="shared" si="146"/>
        <v>89401</v>
      </c>
      <c r="BR142" s="4">
        <f t="shared" si="147"/>
        <v>25620</v>
      </c>
      <c r="BS142" s="4">
        <f t="shared" si="148"/>
        <v>23482</v>
      </c>
      <c r="BT142" s="142">
        <f>IF(ISNA(VLOOKUP($A142&amp;$AB142,'Days Exceptions'!$C$3:$I$7,6,FALSE)),ROUND(BQ142/MAX(BS142,(BR142*Min_Occ)),2),ROUND(BQ142/VLOOKUP($A142&amp;$AB142,'Days Exceptions'!$C$3:$I$7,6,FALSE),2))</f>
        <v>3.81</v>
      </c>
      <c r="BU142" s="143" t="e">
        <f t="shared" si="114"/>
        <v>#REF!</v>
      </c>
      <c r="BV142" s="143" t="e">
        <f t="shared" si="115"/>
        <v>#REF!</v>
      </c>
      <c r="BW142" s="143">
        <f t="shared" si="116"/>
        <v>165.97</v>
      </c>
      <c r="BX142" s="37" t="s">
        <v>140</v>
      </c>
      <c r="BY142" s="37" t="s">
        <v>217</v>
      </c>
      <c r="BZ142" s="37" t="s">
        <v>1640</v>
      </c>
      <c r="CA142" s="66" t="e">
        <f>VLOOKUP(A142,'CMI Data'!$A$3:$AZ$209,20,FALSE)</f>
        <v>#DIV/0!</v>
      </c>
      <c r="CB142" s="68">
        <f t="shared" si="117"/>
        <v>204.66</v>
      </c>
      <c r="CC142" s="68" t="e">
        <f t="shared" si="118"/>
        <v>#DIV/0!</v>
      </c>
      <c r="CD142" s="75" t="e">
        <f t="shared" si="149"/>
        <v>#DIV/0!</v>
      </c>
      <c r="CE142" s="68" t="e">
        <f>IF($I142="NA","NA",ROUND(#REF!*$CA142/$I142,2))</f>
        <v>#REF!</v>
      </c>
      <c r="CF142" s="75" t="e">
        <f t="shared" si="150"/>
        <v>#REF!</v>
      </c>
      <c r="CG142" s="68" t="e">
        <f t="shared" si="151"/>
        <v>#REF!</v>
      </c>
      <c r="CH142" s="4">
        <f t="shared" si="152"/>
        <v>89401</v>
      </c>
      <c r="CI142" s="4">
        <f t="shared" si="153"/>
        <v>25620</v>
      </c>
      <c r="CJ142" s="4">
        <f t="shared" si="154"/>
        <v>23482</v>
      </c>
      <c r="CK142" s="142">
        <f>IF(ISNA(VLOOKUP($A142&amp;$AB142,'Days Exceptions'!$C$3:$I$7,6,FALSE)),ROUND(CH142/MAX(CJ142,(CI142*Min_Occ)),2),ROUND(CH142/VLOOKUP($A142&amp;$AB142,'Days Exceptions'!$C$3:$I$7,6,FALSE),2))</f>
        <v>3.81</v>
      </c>
      <c r="CL142" s="143" t="e">
        <f t="shared" si="119"/>
        <v>#REF!</v>
      </c>
      <c r="CM142" s="143" t="e">
        <f t="shared" si="120"/>
        <v>#REF!</v>
      </c>
      <c r="CN142" s="143">
        <f t="shared" si="121"/>
        <v>165.97</v>
      </c>
      <c r="CO142" s="37" t="s">
        <v>140</v>
      </c>
      <c r="CP142" s="37" t="s">
        <v>217</v>
      </c>
      <c r="CQ142" s="37" t="s">
        <v>1641</v>
      </c>
    </row>
    <row r="143" spans="1:95" x14ac:dyDescent="0.15">
      <c r="A143" s="130">
        <v>296</v>
      </c>
      <c r="B143" s="37" t="s">
        <v>189</v>
      </c>
      <c r="C143" s="1" t="s">
        <v>148</v>
      </c>
      <c r="D143" s="1" t="s">
        <v>110</v>
      </c>
      <c r="E143" s="1" t="str">
        <f>VLOOKUP(D143,Documentation!$B$4:$D$27,3,FALSE)</f>
        <v>BALTIMORE METRO</v>
      </c>
      <c r="F143" s="1" t="str">
        <f>VLOOKUP(D143,Documentation!$B$4:$C$27,2,FALSE)</f>
        <v>BALTIMORE METRO</v>
      </c>
      <c r="G143" s="82">
        <f>VLOOKUP(A143,'2022 CR and CMI'!$A$3:$D$207,3,FALSE)</f>
        <v>44562</v>
      </c>
      <c r="H143" s="82">
        <f>VLOOKUP(A143,'2022 CR and CMI'!$A$3:$D$207,4,FALSE)</f>
        <v>44926</v>
      </c>
      <c r="I143" s="72">
        <f>VLOOKUP(A143,'2022 CR and CMI'!$A$2:$T$210,19,FALSE)</f>
        <v>1.4441999999999999</v>
      </c>
      <c r="J143" s="139">
        <f>Inflation!$G$24</f>
        <v>1.0309999999999999</v>
      </c>
      <c r="K143" s="192">
        <f>VLOOKUP(E143,Limits!$B$2:$D$5,3,FALSE)</f>
        <v>195.33</v>
      </c>
      <c r="L143" s="192">
        <f t="shared" si="124"/>
        <v>201.39</v>
      </c>
      <c r="M143" s="140">
        <f>VLOOKUP(A143,'CMI Data'!$A$4:$C$208,3,FALSE)</f>
        <v>1.3859999999999999</v>
      </c>
      <c r="N143" s="68">
        <f t="shared" si="106"/>
        <v>201.53</v>
      </c>
      <c r="O143" s="68">
        <f t="shared" si="125"/>
        <v>193.41</v>
      </c>
      <c r="P143" s="75">
        <f t="shared" si="126"/>
        <v>183.74</v>
      </c>
      <c r="Q143" s="75">
        <v>206.84</v>
      </c>
      <c r="R143" s="75">
        <f t="shared" si="127"/>
        <v>213.25</v>
      </c>
      <c r="S143" s="68">
        <f t="shared" si="128"/>
        <v>204.66</v>
      </c>
      <c r="T143" s="75">
        <f t="shared" si="129"/>
        <v>0</v>
      </c>
      <c r="U143" s="68">
        <f t="shared" si="130"/>
        <v>193.41</v>
      </c>
      <c r="V143" s="68">
        <f>VLOOKUP($F143,Limits!$J$2:$L$5,3,FALSE)</f>
        <v>20.85</v>
      </c>
      <c r="W143" s="68">
        <f t="shared" si="131"/>
        <v>21.5</v>
      </c>
      <c r="X143" s="68">
        <f>VLOOKUP($F143,Limits!$R$2:$T$5,3,FALSE)</f>
        <v>102.02</v>
      </c>
      <c r="Y143" s="68">
        <f t="shared" si="132"/>
        <v>105.18</v>
      </c>
      <c r="Z143" s="75">
        <f>VLOOKUP(A143,FRV!$A$4:$U$208,21,FALSE)</f>
        <v>41.66</v>
      </c>
      <c r="AA143" s="141">
        <f>VLOOKUP(A143,'RE Tax'!$A$2:$G$206,3,FALSE)</f>
        <v>45292</v>
      </c>
      <c r="AB143" s="141">
        <f>VLOOKUP(A143,'RE Tax'!$A$2:$G$206,4,FALSE)</f>
        <v>45657</v>
      </c>
      <c r="AC143" s="4">
        <f>VLOOKUP(A143,'RE Tax'!$A$2:$G$206,7,FALSE)</f>
        <v>58480</v>
      </c>
      <c r="AD143" s="4">
        <f>VLOOKUP($A143,'RE Tax'!$A$2:$I$206,9,FALSE)</f>
        <v>23058</v>
      </c>
      <c r="AE143" s="4">
        <f>VLOOKUP($A143,'RE Tax'!$A$2:$I$206,8,FALSE)</f>
        <v>19929</v>
      </c>
      <c r="AF143" s="142">
        <f>IF(ISNA(VLOOKUP(A143&amp;AB143,'Days Exceptions'!$C$3:$I$7,6,FALSE)),ROUND(AC143/MAX(AE143,(AD143*Min_Occ)),2),ROUND(AC143/VLOOKUP(A143&amp;AB143,'Days Exceptions'!$C$3:$I$7,6,FALSE),2))</f>
        <v>2.93</v>
      </c>
      <c r="AG143" s="68">
        <v>0</v>
      </c>
      <c r="AH143" s="68">
        <f t="shared" si="133"/>
        <v>0</v>
      </c>
      <c r="AI143" s="4">
        <v>14757</v>
      </c>
      <c r="AJ143" s="4">
        <v>19929</v>
      </c>
      <c r="AK143" s="68">
        <f>IF(AI143=0,0,IF(ISNA(MATCH(A143,Documentation!$B$66:$B$71,0)),QA_Tax_reg,QA_Tax_5high))</f>
        <v>32.92</v>
      </c>
      <c r="AL143" s="75">
        <f t="shared" si="134"/>
        <v>24.38</v>
      </c>
      <c r="AM143" s="68">
        <f t="shared" si="135"/>
        <v>364.68</v>
      </c>
      <c r="AN143" s="68">
        <f t="shared" si="136"/>
        <v>267.98</v>
      </c>
      <c r="AO143" s="68">
        <f t="shared" si="137"/>
        <v>171.27</v>
      </c>
      <c r="AP143" s="37" t="s">
        <v>101</v>
      </c>
      <c r="AQ143" s="37" t="s">
        <v>189</v>
      </c>
      <c r="AR143" s="37" t="s">
        <v>1095</v>
      </c>
      <c r="AS143" s="66" t="e">
        <f>VLOOKUP(A143,'CMI Data'!$A$3:$J$209,10,FALSE)</f>
        <v>#DIV/0!</v>
      </c>
      <c r="AT143" s="68">
        <f t="shared" si="107"/>
        <v>195.47</v>
      </c>
      <c r="AU143" s="68" t="e">
        <f t="shared" si="108"/>
        <v>#DIV/0!</v>
      </c>
      <c r="AV143" s="75" t="e">
        <f t="shared" si="138"/>
        <v>#DIV/0!</v>
      </c>
      <c r="AW143" s="68" t="e">
        <f>IF($I143="NA","NA",ROUND(#REF!*$AS143/$I143,2))</f>
        <v>#REF!</v>
      </c>
      <c r="AX143" s="75" t="e">
        <f t="shared" si="105"/>
        <v>#REF!</v>
      </c>
      <c r="AY143" s="68" t="e">
        <f t="shared" si="139"/>
        <v>#REF!</v>
      </c>
      <c r="AZ143" s="4">
        <f t="shared" si="140"/>
        <v>58480</v>
      </c>
      <c r="BA143" s="4">
        <f t="shared" si="141"/>
        <v>23058</v>
      </c>
      <c r="BB143" s="4">
        <f t="shared" si="142"/>
        <v>19929</v>
      </c>
      <c r="BC143" s="142">
        <f>IF(ISNA(VLOOKUP($A143&amp;$AB143,'Days Exceptions'!$C$3:$I$7,6,FALSE)),ROUND(AZ143/MAX(BB143,(BA143*Min_Occ)),2),ROUND(AZ143/VLOOKUP($A143&amp;$AB143,'Days Exceptions'!$C$3:$I$7,6,FALSE),2))</f>
        <v>2.93</v>
      </c>
      <c r="BD143" s="143" t="e">
        <f t="shared" si="109"/>
        <v>#REF!</v>
      </c>
      <c r="BE143" s="143" t="e">
        <f t="shared" si="110"/>
        <v>#REF!</v>
      </c>
      <c r="BF143" s="143">
        <f t="shared" si="111"/>
        <v>167.46</v>
      </c>
      <c r="BG143" s="37" t="s">
        <v>101</v>
      </c>
      <c r="BH143" s="37" t="s">
        <v>189</v>
      </c>
      <c r="BI143" s="37" t="s">
        <v>1299</v>
      </c>
      <c r="BJ143" s="66" t="e">
        <f>VLOOKUP(A143,'CMI Data'!$A$3:$AZ$209,15,FALSE)</f>
        <v>#DIV/0!</v>
      </c>
      <c r="BK143" s="68">
        <f t="shared" si="112"/>
        <v>195.47</v>
      </c>
      <c r="BL143" s="68" t="e">
        <f t="shared" si="113"/>
        <v>#DIV/0!</v>
      </c>
      <c r="BM143" s="75" t="e">
        <f t="shared" si="143"/>
        <v>#DIV/0!</v>
      </c>
      <c r="BN143" s="68" t="e">
        <f>IF($I143="NA","NA",ROUND(#REF!*$BJ143/$I143,2))</f>
        <v>#REF!</v>
      </c>
      <c r="BO143" s="75" t="e">
        <f t="shared" si="144"/>
        <v>#REF!</v>
      </c>
      <c r="BP143" s="68" t="e">
        <f t="shared" si="145"/>
        <v>#REF!</v>
      </c>
      <c r="BQ143" s="4">
        <f t="shared" si="146"/>
        <v>58480</v>
      </c>
      <c r="BR143" s="4">
        <f t="shared" si="147"/>
        <v>23058</v>
      </c>
      <c r="BS143" s="4">
        <f t="shared" si="148"/>
        <v>19929</v>
      </c>
      <c r="BT143" s="142">
        <f>IF(ISNA(VLOOKUP($A143&amp;$AB143,'Days Exceptions'!$C$3:$I$7,6,FALSE)),ROUND(BQ143/MAX(BS143,(BR143*Min_Occ)),2),ROUND(BQ143/VLOOKUP($A143&amp;$AB143,'Days Exceptions'!$C$3:$I$7,6,FALSE),2))</f>
        <v>2.93</v>
      </c>
      <c r="BU143" s="143" t="e">
        <f t="shared" si="114"/>
        <v>#REF!</v>
      </c>
      <c r="BV143" s="143" t="e">
        <f t="shared" si="115"/>
        <v>#REF!</v>
      </c>
      <c r="BW143" s="143">
        <f t="shared" si="116"/>
        <v>167.46</v>
      </c>
      <c r="BX143" s="37" t="s">
        <v>101</v>
      </c>
      <c r="BY143" s="37" t="s">
        <v>189</v>
      </c>
      <c r="BZ143" s="37" t="s">
        <v>1642</v>
      </c>
      <c r="CA143" s="66" t="e">
        <f>VLOOKUP(A143,'CMI Data'!$A$3:$AZ$209,20,FALSE)</f>
        <v>#DIV/0!</v>
      </c>
      <c r="CB143" s="68">
        <f t="shared" si="117"/>
        <v>195.47</v>
      </c>
      <c r="CC143" s="68" t="e">
        <f t="shared" si="118"/>
        <v>#DIV/0!</v>
      </c>
      <c r="CD143" s="75" t="e">
        <f t="shared" si="149"/>
        <v>#DIV/0!</v>
      </c>
      <c r="CE143" s="68" t="e">
        <f>IF($I143="NA","NA",ROUND(#REF!*$CA143/$I143,2))</f>
        <v>#REF!</v>
      </c>
      <c r="CF143" s="75" t="e">
        <f t="shared" si="150"/>
        <v>#REF!</v>
      </c>
      <c r="CG143" s="68" t="e">
        <f t="shared" si="151"/>
        <v>#REF!</v>
      </c>
      <c r="CH143" s="4">
        <f t="shared" si="152"/>
        <v>58480</v>
      </c>
      <c r="CI143" s="4">
        <f t="shared" si="153"/>
        <v>23058</v>
      </c>
      <c r="CJ143" s="4">
        <f t="shared" si="154"/>
        <v>19929</v>
      </c>
      <c r="CK143" s="142">
        <f>IF(ISNA(VLOOKUP($A143&amp;$AB143,'Days Exceptions'!$C$3:$I$7,6,FALSE)),ROUND(CH143/MAX(CJ143,(CI143*Min_Occ)),2),ROUND(CH143/VLOOKUP($A143&amp;$AB143,'Days Exceptions'!$C$3:$I$7,6,FALSE),2))</f>
        <v>2.93</v>
      </c>
      <c r="CL143" s="143" t="e">
        <f t="shared" si="119"/>
        <v>#REF!</v>
      </c>
      <c r="CM143" s="143" t="e">
        <f t="shared" si="120"/>
        <v>#REF!</v>
      </c>
      <c r="CN143" s="143">
        <f t="shared" si="121"/>
        <v>167.46</v>
      </c>
      <c r="CO143" s="37" t="s">
        <v>101</v>
      </c>
      <c r="CP143" s="37" t="s">
        <v>189</v>
      </c>
      <c r="CQ143" s="37" t="s">
        <v>1643</v>
      </c>
    </row>
    <row r="144" spans="1:95" x14ac:dyDescent="0.15">
      <c r="A144" s="130">
        <v>292</v>
      </c>
      <c r="B144" s="37" t="s">
        <v>191</v>
      </c>
      <c r="C144" s="1" t="s">
        <v>148</v>
      </c>
      <c r="D144" s="1" t="s">
        <v>116</v>
      </c>
      <c r="E144" s="1" t="str">
        <f>VLOOKUP(D144,Documentation!$B$4:$D$27,3,FALSE)</f>
        <v>BALTIMORE METRO</v>
      </c>
      <c r="F144" s="1" t="str">
        <f>VLOOKUP(D144,Documentation!$B$4:$C$27,2,FALSE)</f>
        <v>BALTIMORE METRO</v>
      </c>
      <c r="G144" s="82">
        <f>VLOOKUP(A144,'2022 CR and CMI'!$A$3:$D$207,3,FALSE)</f>
        <v>44562</v>
      </c>
      <c r="H144" s="82">
        <f>VLOOKUP(A144,'2022 CR and CMI'!$A$3:$D$207,4,FALSE)</f>
        <v>44926</v>
      </c>
      <c r="I144" s="72">
        <f>VLOOKUP(A144,'2022 CR and CMI'!$A$2:$T$210,19,FALSE)</f>
        <v>1.383</v>
      </c>
      <c r="J144" s="139">
        <f>Inflation!$G$24</f>
        <v>1.0309999999999999</v>
      </c>
      <c r="K144" s="192">
        <f>VLOOKUP(E144,Limits!$B$2:$D$5,3,FALSE)</f>
        <v>195.33</v>
      </c>
      <c r="L144" s="192">
        <f t="shared" si="124"/>
        <v>201.39</v>
      </c>
      <c r="M144" s="140">
        <f>VLOOKUP(A144,'CMI Data'!$A$4:$C$208,3,FALSE)</f>
        <v>1.3388</v>
      </c>
      <c r="N144" s="68">
        <f t="shared" si="106"/>
        <v>192.99</v>
      </c>
      <c r="O144" s="68">
        <f t="shared" si="125"/>
        <v>186.82</v>
      </c>
      <c r="P144" s="75">
        <f t="shared" si="126"/>
        <v>177.48</v>
      </c>
      <c r="Q144" s="75">
        <v>206.06</v>
      </c>
      <c r="R144" s="75">
        <f t="shared" si="127"/>
        <v>212.45</v>
      </c>
      <c r="S144" s="68">
        <f t="shared" si="128"/>
        <v>205.66</v>
      </c>
      <c r="T144" s="75">
        <f t="shared" si="129"/>
        <v>0</v>
      </c>
      <c r="U144" s="68">
        <f t="shared" si="130"/>
        <v>186.82</v>
      </c>
      <c r="V144" s="68">
        <f>VLOOKUP($F144,Limits!$J$2:$L$5,3,FALSE)</f>
        <v>20.85</v>
      </c>
      <c r="W144" s="68">
        <f t="shared" si="131"/>
        <v>21.5</v>
      </c>
      <c r="X144" s="68">
        <f>VLOOKUP($F144,Limits!$R$2:$T$5,3,FALSE)</f>
        <v>102.02</v>
      </c>
      <c r="Y144" s="68">
        <f t="shared" si="132"/>
        <v>105.18</v>
      </c>
      <c r="Z144" s="75">
        <f>VLOOKUP(A144,FRV!$A$4:$U$208,21,FALSE)</f>
        <v>44.29</v>
      </c>
      <c r="AA144" s="141">
        <f>VLOOKUP(A144,'RE Tax'!$A$2:$G$206,3,FALSE)</f>
        <v>45292</v>
      </c>
      <c r="AB144" s="141">
        <f>VLOOKUP(A144,'RE Tax'!$A$2:$G$206,4,FALSE)</f>
        <v>45657</v>
      </c>
      <c r="AC144" s="4">
        <f>VLOOKUP(A144,'RE Tax'!$A$2:$G$206,7,FALSE)</f>
        <v>74600</v>
      </c>
      <c r="AD144" s="4">
        <f>VLOOKUP($A144,'RE Tax'!$A$2:$I$206,9,FALSE)</f>
        <v>43920</v>
      </c>
      <c r="AE144" s="4">
        <f>VLOOKUP($A144,'RE Tax'!$A$2:$I$206,8,FALSE)</f>
        <v>41447</v>
      </c>
      <c r="AF144" s="142">
        <f>IF(ISNA(VLOOKUP(A144&amp;AB144,'Days Exceptions'!$C$3:$I$7,6,FALSE)),ROUND(AC144/MAX(AE144,(AD144*Min_Occ)),2),ROUND(AC144/VLOOKUP(A144&amp;AB144,'Days Exceptions'!$C$3:$I$7,6,FALSE),2))</f>
        <v>1.8</v>
      </c>
      <c r="AG144" s="68">
        <v>0</v>
      </c>
      <c r="AH144" s="68">
        <f t="shared" si="133"/>
        <v>0</v>
      </c>
      <c r="AI144" s="4">
        <v>26624</v>
      </c>
      <c r="AJ144" s="4">
        <v>41399</v>
      </c>
      <c r="AK144" s="68">
        <f>IF(AI144=0,0,IF(ISNA(MATCH(A144,Documentation!$B$66:$B$71,0)),QA_Tax_reg,QA_Tax_5high))</f>
        <v>32.92</v>
      </c>
      <c r="AL144" s="75">
        <f t="shared" si="134"/>
        <v>21.17</v>
      </c>
      <c r="AM144" s="68">
        <f t="shared" si="135"/>
        <v>359.59</v>
      </c>
      <c r="AN144" s="68">
        <f t="shared" si="136"/>
        <v>266.18</v>
      </c>
      <c r="AO144" s="68">
        <f t="shared" si="137"/>
        <v>172.77</v>
      </c>
      <c r="AP144" s="37" t="s">
        <v>3</v>
      </c>
      <c r="AQ144" s="37" t="s">
        <v>191</v>
      </c>
      <c r="AR144" s="37" t="s">
        <v>1096</v>
      </c>
      <c r="AS144" s="66" t="e">
        <f>VLOOKUP(A144,'CMI Data'!$A$3:$J$209,10,FALSE)</f>
        <v>#DIV/0!</v>
      </c>
      <c r="AT144" s="68">
        <f t="shared" si="107"/>
        <v>187.18</v>
      </c>
      <c r="AU144" s="68" t="e">
        <f t="shared" si="108"/>
        <v>#DIV/0!</v>
      </c>
      <c r="AV144" s="75" t="e">
        <f t="shared" si="138"/>
        <v>#DIV/0!</v>
      </c>
      <c r="AW144" s="68" t="e">
        <f>IF($I144="NA","NA",ROUND(#REF!*$AS144/$I144,2))</f>
        <v>#REF!</v>
      </c>
      <c r="AX144" s="75" t="e">
        <f t="shared" si="105"/>
        <v>#REF!</v>
      </c>
      <c r="AY144" s="68" t="e">
        <f t="shared" si="139"/>
        <v>#REF!</v>
      </c>
      <c r="AZ144" s="4">
        <f t="shared" si="140"/>
        <v>74600</v>
      </c>
      <c r="BA144" s="4">
        <f t="shared" si="141"/>
        <v>43920</v>
      </c>
      <c r="BB144" s="4">
        <f t="shared" si="142"/>
        <v>41447</v>
      </c>
      <c r="BC144" s="142">
        <f>IF(ISNA(VLOOKUP($A144&amp;$AB144,'Days Exceptions'!$C$3:$I$7,6,FALSE)),ROUND(AZ144/MAX(BB144,(BA144*Min_Occ)),2),ROUND(AZ144/VLOOKUP($A144&amp;$AB144,'Days Exceptions'!$C$3:$I$7,6,FALSE),2))</f>
        <v>1.8</v>
      </c>
      <c r="BD144" s="143" t="e">
        <f t="shared" si="109"/>
        <v>#REF!</v>
      </c>
      <c r="BE144" s="143" t="e">
        <f t="shared" si="110"/>
        <v>#REF!</v>
      </c>
      <c r="BF144" s="143">
        <f t="shared" si="111"/>
        <v>168.96</v>
      </c>
      <c r="BG144" s="37" t="s">
        <v>3</v>
      </c>
      <c r="BH144" s="37" t="s">
        <v>191</v>
      </c>
      <c r="BI144" s="37" t="s">
        <v>1300</v>
      </c>
      <c r="BJ144" s="66" t="e">
        <f>VLOOKUP(A144,'CMI Data'!$A$3:$AZ$209,15,FALSE)</f>
        <v>#DIV/0!</v>
      </c>
      <c r="BK144" s="68">
        <f t="shared" si="112"/>
        <v>187.18</v>
      </c>
      <c r="BL144" s="68" t="e">
        <f t="shared" si="113"/>
        <v>#DIV/0!</v>
      </c>
      <c r="BM144" s="75" t="e">
        <f t="shared" si="143"/>
        <v>#DIV/0!</v>
      </c>
      <c r="BN144" s="68" t="e">
        <f>IF($I144="NA","NA",ROUND(#REF!*$BJ144/$I144,2))</f>
        <v>#REF!</v>
      </c>
      <c r="BO144" s="75" t="e">
        <f t="shared" si="144"/>
        <v>#REF!</v>
      </c>
      <c r="BP144" s="68" t="e">
        <f t="shared" si="145"/>
        <v>#REF!</v>
      </c>
      <c r="BQ144" s="4">
        <f t="shared" si="146"/>
        <v>74600</v>
      </c>
      <c r="BR144" s="4">
        <f t="shared" si="147"/>
        <v>43920</v>
      </c>
      <c r="BS144" s="4">
        <f t="shared" si="148"/>
        <v>41447</v>
      </c>
      <c r="BT144" s="142">
        <f>IF(ISNA(VLOOKUP($A144&amp;$AB144,'Days Exceptions'!$C$3:$I$7,6,FALSE)),ROUND(BQ144/MAX(BS144,(BR144*Min_Occ)),2),ROUND(BQ144/VLOOKUP($A144&amp;$AB144,'Days Exceptions'!$C$3:$I$7,6,FALSE),2))</f>
        <v>1.8</v>
      </c>
      <c r="BU144" s="143" t="e">
        <f t="shared" si="114"/>
        <v>#REF!</v>
      </c>
      <c r="BV144" s="143" t="e">
        <f t="shared" si="115"/>
        <v>#REF!</v>
      </c>
      <c r="BW144" s="143">
        <f t="shared" si="116"/>
        <v>168.96</v>
      </c>
      <c r="BX144" s="37" t="s">
        <v>3</v>
      </c>
      <c r="BY144" s="37" t="s">
        <v>191</v>
      </c>
      <c r="BZ144" s="37" t="s">
        <v>1644</v>
      </c>
      <c r="CA144" s="66" t="e">
        <f>VLOOKUP(A144,'CMI Data'!$A$3:$AZ$209,20,FALSE)</f>
        <v>#DIV/0!</v>
      </c>
      <c r="CB144" s="68">
        <f t="shared" si="117"/>
        <v>187.18</v>
      </c>
      <c r="CC144" s="68" t="e">
        <f t="shared" si="118"/>
        <v>#DIV/0!</v>
      </c>
      <c r="CD144" s="75" t="e">
        <f t="shared" si="149"/>
        <v>#DIV/0!</v>
      </c>
      <c r="CE144" s="68" t="e">
        <f>IF($I144="NA","NA",ROUND(#REF!*$CA144/$I144,2))</f>
        <v>#REF!</v>
      </c>
      <c r="CF144" s="75" t="e">
        <f t="shared" si="150"/>
        <v>#REF!</v>
      </c>
      <c r="CG144" s="68" t="e">
        <f t="shared" si="151"/>
        <v>#REF!</v>
      </c>
      <c r="CH144" s="4">
        <f t="shared" si="152"/>
        <v>74600</v>
      </c>
      <c r="CI144" s="4">
        <f t="shared" si="153"/>
        <v>43920</v>
      </c>
      <c r="CJ144" s="4">
        <f t="shared" si="154"/>
        <v>41447</v>
      </c>
      <c r="CK144" s="142">
        <f>IF(ISNA(VLOOKUP($A144&amp;$AB144,'Days Exceptions'!$C$3:$I$7,6,FALSE)),ROUND(CH144/MAX(CJ144,(CI144*Min_Occ)),2),ROUND(CH144/VLOOKUP($A144&amp;$AB144,'Days Exceptions'!$C$3:$I$7,6,FALSE),2))</f>
        <v>1.8</v>
      </c>
      <c r="CL144" s="143" t="e">
        <f t="shared" si="119"/>
        <v>#REF!</v>
      </c>
      <c r="CM144" s="143" t="e">
        <f t="shared" si="120"/>
        <v>#REF!</v>
      </c>
      <c r="CN144" s="143">
        <f t="shared" si="121"/>
        <v>168.96</v>
      </c>
      <c r="CO144" s="37" t="s">
        <v>3</v>
      </c>
      <c r="CP144" s="37" t="s">
        <v>191</v>
      </c>
      <c r="CQ144" s="37" t="s">
        <v>1645</v>
      </c>
    </row>
    <row r="145" spans="1:95" x14ac:dyDescent="0.15">
      <c r="A145" s="130">
        <v>693</v>
      </c>
      <c r="B145" s="37" t="s">
        <v>670</v>
      </c>
      <c r="C145" s="1" t="s">
        <v>148</v>
      </c>
      <c r="D145" s="1" t="s">
        <v>113</v>
      </c>
      <c r="E145" s="1" t="str">
        <f>VLOOKUP(D145,Documentation!$B$4:$D$27,3,FALSE)</f>
        <v>EASTERN REGION</v>
      </c>
      <c r="F145" s="1" t="str">
        <f>VLOOKUP(D145,Documentation!$B$4:$C$27,2,FALSE)</f>
        <v>NON METRO</v>
      </c>
      <c r="G145" s="82">
        <f>VLOOKUP(A145,'2022 CR and CMI'!$A$3:$D$207,3,FALSE)</f>
        <v>44562</v>
      </c>
      <c r="H145" s="82">
        <f>VLOOKUP(A145,'2022 CR and CMI'!$A$3:$D$207,4,FALSE)</f>
        <v>44865</v>
      </c>
      <c r="I145" s="72">
        <f>VLOOKUP(A145,'2022 CR and CMI'!$A$2:$T$210,19,FALSE)</f>
        <v>1.4384999999999999</v>
      </c>
      <c r="J145" s="139">
        <f>Inflation!$G$24</f>
        <v>1.0309999999999999</v>
      </c>
      <c r="K145" s="192">
        <f>VLOOKUP(E145,Limits!$B$2:$D$5,3,FALSE)</f>
        <v>186.31</v>
      </c>
      <c r="L145" s="192">
        <f t="shared" si="124"/>
        <v>192.09</v>
      </c>
      <c r="M145" s="140">
        <f>VLOOKUP(A145,'CMI Data'!$A$4:$C$208,3,FALSE)</f>
        <v>1.6040000000000001</v>
      </c>
      <c r="N145" s="68">
        <f t="shared" si="106"/>
        <v>191.46</v>
      </c>
      <c r="O145" s="68">
        <f t="shared" si="125"/>
        <v>213.49</v>
      </c>
      <c r="P145" s="75">
        <f t="shared" si="126"/>
        <v>202.82</v>
      </c>
      <c r="Q145" s="75">
        <v>156.57</v>
      </c>
      <c r="R145" s="75">
        <f t="shared" si="127"/>
        <v>161.41999999999999</v>
      </c>
      <c r="S145" s="68">
        <f t="shared" si="128"/>
        <v>179.99</v>
      </c>
      <c r="T145" s="75">
        <f t="shared" si="129"/>
        <v>-22.83</v>
      </c>
      <c r="U145" s="68">
        <f t="shared" si="130"/>
        <v>190.66</v>
      </c>
      <c r="V145" s="68">
        <f>VLOOKUP($F145,Limits!$J$2:$L$5,3,FALSE)</f>
        <v>20.239999999999998</v>
      </c>
      <c r="W145" s="68">
        <f t="shared" si="131"/>
        <v>20.87</v>
      </c>
      <c r="X145" s="68">
        <f>VLOOKUP($F145,Limits!$R$2:$T$5,3,FALSE)</f>
        <v>89.55</v>
      </c>
      <c r="Y145" s="68">
        <f t="shared" si="132"/>
        <v>92.33</v>
      </c>
      <c r="Z145" s="75">
        <f>VLOOKUP(A145,FRV!$A$4:$U$208,21,FALSE)</f>
        <v>23.62</v>
      </c>
      <c r="AA145" s="141">
        <f>VLOOKUP(A145,'RE Tax'!$A$2:$G$206,3,FALSE)</f>
        <v>45292</v>
      </c>
      <c r="AB145" s="141">
        <f>VLOOKUP(A145,'RE Tax'!$A$2:$G$206,4,FALSE)</f>
        <v>45657</v>
      </c>
      <c r="AC145" s="4">
        <f>VLOOKUP(A145,'RE Tax'!$A$2:$G$206,7,FALSE)</f>
        <v>82689</v>
      </c>
      <c r="AD145" s="4">
        <f>VLOOKUP($A145,'RE Tax'!$A$2:$I$206,9,FALSE)</f>
        <v>58560</v>
      </c>
      <c r="AE145" s="4">
        <f>VLOOKUP($A145,'RE Tax'!$A$2:$I$206,8,FALSE)</f>
        <v>34922</v>
      </c>
      <c r="AF145" s="142">
        <f>IF(ISNA(VLOOKUP(A145&amp;AB145,'Days Exceptions'!$C$3:$I$7,6,FALSE)),ROUND(AC145/MAX(AE145,(AD145*Min_Occ)),2),ROUND(AC145/VLOOKUP(A145&amp;AB145,'Days Exceptions'!$C$3:$I$7,6,FALSE),2))</f>
        <v>1.73</v>
      </c>
      <c r="AG145" s="68">
        <v>0</v>
      </c>
      <c r="AH145" s="68">
        <f t="shared" si="133"/>
        <v>0</v>
      </c>
      <c r="AI145" s="4">
        <v>31687</v>
      </c>
      <c r="AJ145" s="4">
        <v>39068</v>
      </c>
      <c r="AK145" s="68">
        <f>IF(AI145=0,0,IF(ISNA(MATCH(A145,Documentation!$B$66:$B$71,0)),QA_Tax_reg,QA_Tax_5high))</f>
        <v>32.92</v>
      </c>
      <c r="AL145" s="75">
        <f t="shared" si="134"/>
        <v>26.7</v>
      </c>
      <c r="AM145" s="68">
        <f t="shared" si="135"/>
        <v>329.21</v>
      </c>
      <c r="AN145" s="68">
        <f t="shared" si="136"/>
        <v>233.88</v>
      </c>
      <c r="AO145" s="68">
        <f t="shared" si="137"/>
        <v>138.55000000000001</v>
      </c>
      <c r="AP145" s="37" t="s">
        <v>669</v>
      </c>
      <c r="AQ145" s="37" t="s">
        <v>670</v>
      </c>
      <c r="AR145" s="37" t="s">
        <v>1097</v>
      </c>
      <c r="AS145" s="66" t="e">
        <f>VLOOKUP(A145,'CMI Data'!$A$3:$J$209,10,FALSE)</f>
        <v>#DIV/0!</v>
      </c>
      <c r="AT145" s="68">
        <f t="shared" si="107"/>
        <v>185.7</v>
      </c>
      <c r="AU145" s="68" t="e">
        <f t="shared" si="108"/>
        <v>#DIV/0!</v>
      </c>
      <c r="AV145" s="75" t="e">
        <f t="shared" si="138"/>
        <v>#DIV/0!</v>
      </c>
      <c r="AW145" s="68" t="e">
        <f>IF($I145="NA","NA",ROUND(#REF!*$AS145/$I145,2))</f>
        <v>#REF!</v>
      </c>
      <c r="AX145" s="75" t="e">
        <f t="shared" si="105"/>
        <v>#REF!</v>
      </c>
      <c r="AY145" s="68" t="e">
        <f t="shared" si="139"/>
        <v>#REF!</v>
      </c>
      <c r="AZ145" s="4">
        <f t="shared" si="140"/>
        <v>82689</v>
      </c>
      <c r="BA145" s="4">
        <f t="shared" si="141"/>
        <v>58560</v>
      </c>
      <c r="BB145" s="4">
        <f t="shared" si="142"/>
        <v>34922</v>
      </c>
      <c r="BC145" s="142">
        <f>IF(ISNA(VLOOKUP($A145&amp;$AB145,'Days Exceptions'!$C$3:$I$7,6,FALSE)),ROUND(AZ145/MAX(BB145,(BA145*Min_Occ)),2),ROUND(AZ145/VLOOKUP($A145&amp;$AB145,'Days Exceptions'!$C$3:$I$7,6,FALSE),2))</f>
        <v>1.73</v>
      </c>
      <c r="BD145" s="143" t="e">
        <f t="shared" si="109"/>
        <v>#REF!</v>
      </c>
      <c r="BE145" s="143" t="e">
        <f t="shared" si="110"/>
        <v>#REF!</v>
      </c>
      <c r="BF145" s="143">
        <f t="shared" si="111"/>
        <v>135.13999999999999</v>
      </c>
      <c r="BG145" s="37" t="s">
        <v>669</v>
      </c>
      <c r="BH145" s="37" t="s">
        <v>670</v>
      </c>
      <c r="BI145" s="37" t="s">
        <v>1301</v>
      </c>
      <c r="BJ145" s="66" t="e">
        <f>VLOOKUP(A145,'CMI Data'!$A$3:$AZ$209,15,FALSE)</f>
        <v>#DIV/0!</v>
      </c>
      <c r="BK145" s="68">
        <f t="shared" si="112"/>
        <v>185.7</v>
      </c>
      <c r="BL145" s="68" t="e">
        <f t="shared" si="113"/>
        <v>#DIV/0!</v>
      </c>
      <c r="BM145" s="75" t="e">
        <f t="shared" si="143"/>
        <v>#DIV/0!</v>
      </c>
      <c r="BN145" s="68" t="e">
        <f>IF($I145="NA","NA",ROUND(#REF!*$BJ145/$I145,2))</f>
        <v>#REF!</v>
      </c>
      <c r="BO145" s="75" t="e">
        <f t="shared" si="144"/>
        <v>#REF!</v>
      </c>
      <c r="BP145" s="68" t="e">
        <f t="shared" si="145"/>
        <v>#REF!</v>
      </c>
      <c r="BQ145" s="4">
        <f t="shared" si="146"/>
        <v>82689</v>
      </c>
      <c r="BR145" s="4">
        <f t="shared" si="147"/>
        <v>58560</v>
      </c>
      <c r="BS145" s="4">
        <f t="shared" si="148"/>
        <v>34922</v>
      </c>
      <c r="BT145" s="142">
        <f>IF(ISNA(VLOOKUP($A145&amp;$AB145,'Days Exceptions'!$C$3:$I$7,6,FALSE)),ROUND(BQ145/MAX(BS145,(BR145*Min_Occ)),2),ROUND(BQ145/VLOOKUP($A145&amp;$AB145,'Days Exceptions'!$C$3:$I$7,6,FALSE),2))</f>
        <v>1.73</v>
      </c>
      <c r="BU145" s="143" t="e">
        <f t="shared" si="114"/>
        <v>#REF!</v>
      </c>
      <c r="BV145" s="143" t="e">
        <f t="shared" si="115"/>
        <v>#REF!</v>
      </c>
      <c r="BW145" s="143">
        <f t="shared" si="116"/>
        <v>135.13999999999999</v>
      </c>
      <c r="BX145" s="37" t="s">
        <v>669</v>
      </c>
      <c r="BY145" s="37" t="s">
        <v>670</v>
      </c>
      <c r="BZ145" s="37" t="s">
        <v>1646</v>
      </c>
      <c r="CA145" s="66" t="e">
        <f>VLOOKUP(A145,'CMI Data'!$A$3:$AZ$209,20,FALSE)</f>
        <v>#DIV/0!</v>
      </c>
      <c r="CB145" s="68">
        <f t="shared" si="117"/>
        <v>185.7</v>
      </c>
      <c r="CC145" s="68" t="e">
        <f t="shared" si="118"/>
        <v>#DIV/0!</v>
      </c>
      <c r="CD145" s="75" t="e">
        <f t="shared" si="149"/>
        <v>#DIV/0!</v>
      </c>
      <c r="CE145" s="68" t="e">
        <f>IF($I145="NA","NA",ROUND(#REF!*$CA145/$I145,2))</f>
        <v>#REF!</v>
      </c>
      <c r="CF145" s="75" t="e">
        <f t="shared" si="150"/>
        <v>#REF!</v>
      </c>
      <c r="CG145" s="68" t="e">
        <f t="shared" si="151"/>
        <v>#REF!</v>
      </c>
      <c r="CH145" s="4">
        <f t="shared" si="152"/>
        <v>82689</v>
      </c>
      <c r="CI145" s="4">
        <f t="shared" si="153"/>
        <v>58560</v>
      </c>
      <c r="CJ145" s="4">
        <f t="shared" si="154"/>
        <v>34922</v>
      </c>
      <c r="CK145" s="142">
        <f>IF(ISNA(VLOOKUP($A145&amp;$AB145,'Days Exceptions'!$C$3:$I$7,6,FALSE)),ROUND(CH145/MAX(CJ145,(CI145*Min_Occ)),2),ROUND(CH145/VLOOKUP($A145&amp;$AB145,'Days Exceptions'!$C$3:$I$7,6,FALSE),2))</f>
        <v>1.73</v>
      </c>
      <c r="CL145" s="143" t="e">
        <f t="shared" si="119"/>
        <v>#REF!</v>
      </c>
      <c r="CM145" s="143" t="e">
        <f t="shared" si="120"/>
        <v>#REF!</v>
      </c>
      <c r="CN145" s="143">
        <f t="shared" si="121"/>
        <v>135.13999999999999</v>
      </c>
      <c r="CO145" s="37" t="s">
        <v>669</v>
      </c>
      <c r="CP145" s="37" t="s">
        <v>670</v>
      </c>
      <c r="CQ145" s="37" t="s">
        <v>1647</v>
      </c>
    </row>
    <row r="146" spans="1:95" x14ac:dyDescent="0.15">
      <c r="A146" s="130">
        <v>302</v>
      </c>
      <c r="B146" s="37" t="s">
        <v>662</v>
      </c>
      <c r="C146" s="1" t="s">
        <v>148</v>
      </c>
      <c r="D146" s="1" t="s">
        <v>123</v>
      </c>
      <c r="E146" s="1" t="str">
        <f>VLOOKUP(D146,Documentation!$B$4:$D$27,3,FALSE)</f>
        <v>EASTERN REGION</v>
      </c>
      <c r="F146" s="1" t="str">
        <f>VLOOKUP(D146,Documentation!$B$4:$C$27,2,FALSE)</f>
        <v>NON METRO</v>
      </c>
      <c r="G146" s="82">
        <f>VLOOKUP(A146,'2022 CR and CMI'!$A$3:$D$207,3,FALSE)</f>
        <v>44774</v>
      </c>
      <c r="H146" s="82">
        <f>VLOOKUP(A146,'2022 CR and CMI'!$A$3:$D$207,4,FALSE)</f>
        <v>44926</v>
      </c>
      <c r="I146" s="72">
        <f>VLOOKUP(A146,'2022 CR and CMI'!$A$2:$T$210,19,FALSE)</f>
        <v>1.3261000000000001</v>
      </c>
      <c r="J146" s="139">
        <f>Inflation!$G$24</f>
        <v>1.0309999999999999</v>
      </c>
      <c r="K146" s="192">
        <f>VLOOKUP(E146,Limits!$B$2:$D$5,3,FALSE)</f>
        <v>186.31</v>
      </c>
      <c r="L146" s="192">
        <f t="shared" si="124"/>
        <v>192.09</v>
      </c>
      <c r="M146" s="140">
        <f>VLOOKUP(A146,'CMI Data'!$A$4:$C$208,3,FALSE)</f>
        <v>1.3723000000000001</v>
      </c>
      <c r="N146" s="68">
        <f t="shared" si="106"/>
        <v>176.5</v>
      </c>
      <c r="O146" s="68">
        <f t="shared" si="125"/>
        <v>182.65</v>
      </c>
      <c r="P146" s="75">
        <f t="shared" si="126"/>
        <v>173.52</v>
      </c>
      <c r="Q146" s="75">
        <v>132.21</v>
      </c>
      <c r="R146" s="75">
        <f t="shared" si="127"/>
        <v>136.31</v>
      </c>
      <c r="S146" s="68">
        <f t="shared" si="128"/>
        <v>141.06</v>
      </c>
      <c r="T146" s="75">
        <f t="shared" si="129"/>
        <v>-32.46</v>
      </c>
      <c r="U146" s="68">
        <f t="shared" si="130"/>
        <v>150.19</v>
      </c>
      <c r="V146" s="68">
        <f>VLOOKUP($F146,Limits!$J$2:$L$5,3,FALSE)</f>
        <v>20.239999999999998</v>
      </c>
      <c r="W146" s="68">
        <f t="shared" si="131"/>
        <v>20.87</v>
      </c>
      <c r="X146" s="68">
        <f>VLOOKUP($F146,Limits!$R$2:$T$5,3,FALSE)</f>
        <v>89.55</v>
      </c>
      <c r="Y146" s="68">
        <f t="shared" si="132"/>
        <v>92.33</v>
      </c>
      <c r="Z146" s="75">
        <f>VLOOKUP(A146,FRV!$A$4:$U$208,21,FALSE)</f>
        <v>26.6</v>
      </c>
      <c r="AA146" s="141">
        <f>VLOOKUP(A146,'RE Tax'!$A$2:$G$206,3,FALSE)</f>
        <v>45292</v>
      </c>
      <c r="AB146" s="141">
        <f>VLOOKUP(A146,'RE Tax'!$A$2:$G$206,4,FALSE)</f>
        <v>45657</v>
      </c>
      <c r="AC146" s="4">
        <f>VLOOKUP(A146,'RE Tax'!$A$2:$G$206,7,FALSE)</f>
        <v>91776</v>
      </c>
      <c r="AD146" s="4">
        <f>VLOOKUP($A146,'RE Tax'!$A$2:$I$206,9,FALSE)</f>
        <v>49410</v>
      </c>
      <c r="AE146" s="4">
        <f>VLOOKUP($A146,'RE Tax'!$A$2:$I$206,8,FALSE)</f>
        <v>41632</v>
      </c>
      <c r="AF146" s="142">
        <f>IF(ISNA(VLOOKUP(A146&amp;AB146,'Days Exceptions'!$C$3:$I$7,6,FALSE)),ROUND(AC146/MAX(AE146,(AD146*Min_Occ)),2),ROUND(AC146/VLOOKUP(A146&amp;AB146,'Days Exceptions'!$C$3:$I$7,6,FALSE),2))</f>
        <v>2.2000000000000002</v>
      </c>
      <c r="AG146" s="68">
        <v>0</v>
      </c>
      <c r="AH146" s="68">
        <f t="shared" si="133"/>
        <v>0</v>
      </c>
      <c r="AI146" s="4">
        <v>40089</v>
      </c>
      <c r="AJ146" s="4">
        <v>43916</v>
      </c>
      <c r="AK146" s="68">
        <f>IF(AI146=0,0,IF(ISNA(MATCH(A146,Documentation!$B$66:$B$71,0)),QA_Tax_reg,QA_Tax_5high))</f>
        <v>32.92</v>
      </c>
      <c r="AL146" s="75">
        <f t="shared" si="134"/>
        <v>30.05</v>
      </c>
      <c r="AM146" s="68">
        <f t="shared" si="135"/>
        <v>292.19</v>
      </c>
      <c r="AN146" s="68">
        <f t="shared" si="136"/>
        <v>217.1</v>
      </c>
      <c r="AO146" s="68">
        <f t="shared" si="137"/>
        <v>142</v>
      </c>
      <c r="AP146" s="37" t="s">
        <v>661</v>
      </c>
      <c r="AQ146" s="37" t="s">
        <v>662</v>
      </c>
      <c r="AR146" s="37" t="s">
        <v>1098</v>
      </c>
      <c r="AS146" s="66" t="e">
        <f>VLOOKUP(A146,'CMI Data'!$A$3:$J$209,10,FALSE)</f>
        <v>#DIV/0!</v>
      </c>
      <c r="AT146" s="68">
        <f t="shared" si="107"/>
        <v>171.19</v>
      </c>
      <c r="AU146" s="68" t="e">
        <f t="shared" si="108"/>
        <v>#DIV/0!</v>
      </c>
      <c r="AV146" s="75" t="e">
        <f t="shared" si="138"/>
        <v>#DIV/0!</v>
      </c>
      <c r="AW146" s="68" t="e">
        <f>IF($I146="NA","NA",ROUND(#REF!*$AS146/$I146,2))</f>
        <v>#REF!</v>
      </c>
      <c r="AX146" s="75" t="e">
        <f t="shared" si="105"/>
        <v>#REF!</v>
      </c>
      <c r="AY146" s="68" t="e">
        <f t="shared" si="139"/>
        <v>#REF!</v>
      </c>
      <c r="AZ146" s="4">
        <f t="shared" si="140"/>
        <v>91776</v>
      </c>
      <c r="BA146" s="4">
        <f t="shared" si="141"/>
        <v>49410</v>
      </c>
      <c r="BB146" s="4">
        <f t="shared" si="142"/>
        <v>41632</v>
      </c>
      <c r="BC146" s="142">
        <f>IF(ISNA(VLOOKUP($A146&amp;$AB146,'Days Exceptions'!$C$3:$I$7,6,FALSE)),ROUND(AZ146/MAX(BB146,(BA146*Min_Occ)),2),ROUND(AZ146/VLOOKUP($A146&amp;$AB146,'Days Exceptions'!$C$3:$I$7,6,FALSE),2))</f>
        <v>2.2000000000000002</v>
      </c>
      <c r="BD146" s="143" t="e">
        <f t="shared" si="109"/>
        <v>#REF!</v>
      </c>
      <c r="BE146" s="143" t="e">
        <f t="shared" si="110"/>
        <v>#REF!</v>
      </c>
      <c r="BF146" s="143">
        <f t="shared" si="111"/>
        <v>138.59</v>
      </c>
      <c r="BG146" s="37" t="s">
        <v>661</v>
      </c>
      <c r="BH146" s="37" t="s">
        <v>662</v>
      </c>
      <c r="BI146" s="37" t="s">
        <v>1302</v>
      </c>
      <c r="BJ146" s="66" t="e">
        <f>VLOOKUP(A146,'CMI Data'!$A$3:$AZ$209,15,FALSE)</f>
        <v>#DIV/0!</v>
      </c>
      <c r="BK146" s="68">
        <f t="shared" si="112"/>
        <v>171.19</v>
      </c>
      <c r="BL146" s="68" t="e">
        <f t="shared" si="113"/>
        <v>#DIV/0!</v>
      </c>
      <c r="BM146" s="75" t="e">
        <f t="shared" si="143"/>
        <v>#DIV/0!</v>
      </c>
      <c r="BN146" s="68" t="e">
        <f>IF($I146="NA","NA",ROUND(#REF!*$BJ146/$I146,2))</f>
        <v>#REF!</v>
      </c>
      <c r="BO146" s="75" t="e">
        <f t="shared" si="144"/>
        <v>#REF!</v>
      </c>
      <c r="BP146" s="68" t="e">
        <f t="shared" si="145"/>
        <v>#REF!</v>
      </c>
      <c r="BQ146" s="4">
        <f t="shared" si="146"/>
        <v>91776</v>
      </c>
      <c r="BR146" s="4">
        <f t="shared" si="147"/>
        <v>49410</v>
      </c>
      <c r="BS146" s="4">
        <f t="shared" si="148"/>
        <v>41632</v>
      </c>
      <c r="BT146" s="142">
        <f>IF(ISNA(VLOOKUP($A146&amp;$AB146,'Days Exceptions'!$C$3:$I$7,6,FALSE)),ROUND(BQ146/MAX(BS146,(BR146*Min_Occ)),2),ROUND(BQ146/VLOOKUP($A146&amp;$AB146,'Days Exceptions'!$C$3:$I$7,6,FALSE),2))</f>
        <v>2.2000000000000002</v>
      </c>
      <c r="BU146" s="143" t="e">
        <f t="shared" si="114"/>
        <v>#REF!</v>
      </c>
      <c r="BV146" s="143" t="e">
        <f t="shared" si="115"/>
        <v>#REF!</v>
      </c>
      <c r="BW146" s="143">
        <f t="shared" si="116"/>
        <v>138.59</v>
      </c>
      <c r="BX146" s="37" t="s">
        <v>661</v>
      </c>
      <c r="BY146" s="37" t="s">
        <v>662</v>
      </c>
      <c r="BZ146" s="37" t="s">
        <v>1648</v>
      </c>
      <c r="CA146" s="66" t="e">
        <f>VLOOKUP(A146,'CMI Data'!$A$3:$AZ$209,20,FALSE)</f>
        <v>#DIV/0!</v>
      </c>
      <c r="CB146" s="68">
        <f t="shared" si="117"/>
        <v>171.19</v>
      </c>
      <c r="CC146" s="68" t="e">
        <f t="shared" si="118"/>
        <v>#DIV/0!</v>
      </c>
      <c r="CD146" s="75" t="e">
        <f t="shared" si="149"/>
        <v>#DIV/0!</v>
      </c>
      <c r="CE146" s="68" t="e">
        <f>IF($I146="NA","NA",ROUND(#REF!*$CA146/$I146,2))</f>
        <v>#REF!</v>
      </c>
      <c r="CF146" s="75" t="e">
        <f t="shared" si="150"/>
        <v>#REF!</v>
      </c>
      <c r="CG146" s="68" t="e">
        <f t="shared" si="151"/>
        <v>#REF!</v>
      </c>
      <c r="CH146" s="4">
        <f t="shared" si="152"/>
        <v>91776</v>
      </c>
      <c r="CI146" s="4">
        <f t="shared" si="153"/>
        <v>49410</v>
      </c>
      <c r="CJ146" s="4">
        <f t="shared" si="154"/>
        <v>41632</v>
      </c>
      <c r="CK146" s="142">
        <f>IF(ISNA(VLOOKUP($A146&amp;$AB146,'Days Exceptions'!$C$3:$I$7,6,FALSE)),ROUND(CH146/MAX(CJ146,(CI146*Min_Occ)),2),ROUND(CH146/VLOOKUP($A146&amp;$AB146,'Days Exceptions'!$C$3:$I$7,6,FALSE),2))</f>
        <v>2.2000000000000002</v>
      </c>
      <c r="CL146" s="143" t="e">
        <f t="shared" si="119"/>
        <v>#REF!</v>
      </c>
      <c r="CM146" s="143" t="e">
        <f t="shared" si="120"/>
        <v>#REF!</v>
      </c>
      <c r="CN146" s="143">
        <f t="shared" si="121"/>
        <v>138.59</v>
      </c>
      <c r="CO146" s="37" t="s">
        <v>661</v>
      </c>
      <c r="CP146" s="37" t="s">
        <v>662</v>
      </c>
      <c r="CQ146" s="37" t="s">
        <v>1649</v>
      </c>
    </row>
    <row r="147" spans="1:95" x14ac:dyDescent="0.15">
      <c r="A147" s="130">
        <v>320</v>
      </c>
      <c r="B147" s="37" t="s">
        <v>751</v>
      </c>
      <c r="C147" s="1" t="s">
        <v>148</v>
      </c>
      <c r="D147" s="1" t="s">
        <v>102</v>
      </c>
      <c r="E147" s="1" t="str">
        <f>VLOOKUP(D147,Documentation!$B$4:$D$27,3,FALSE)</f>
        <v>BALTIMORE METRO</v>
      </c>
      <c r="F147" s="1" t="str">
        <f>VLOOKUP(D147,Documentation!$B$4:$C$27,2,FALSE)</f>
        <v>BALTIMORE CITY</v>
      </c>
      <c r="G147" s="82">
        <f>VLOOKUP(A147,'2022 CR and CMI'!$A$3:$D$207,3,FALSE)</f>
        <v>44348</v>
      </c>
      <c r="H147" s="82">
        <f>VLOOKUP(A147,'2022 CR and CMI'!$A$3:$D$207,4,FALSE)</f>
        <v>44712</v>
      </c>
      <c r="I147" s="72">
        <f>VLOOKUP(A147,'2022 CR and CMI'!$A$2:$T$210,19,FALSE)</f>
        <v>1.3418000000000001</v>
      </c>
      <c r="J147" s="139">
        <f>Inflation!$G$24</f>
        <v>1.0309999999999999</v>
      </c>
      <c r="K147" s="192">
        <f>VLOOKUP(E147,Limits!$B$2:$D$5,3,FALSE)</f>
        <v>195.33</v>
      </c>
      <c r="L147" s="192">
        <f t="shared" si="124"/>
        <v>201.39</v>
      </c>
      <c r="M147" s="140">
        <f>VLOOKUP(A147,'CMI Data'!$A$4:$C$208,3,FALSE)</f>
        <v>1.2918000000000001</v>
      </c>
      <c r="N147" s="68">
        <f t="shared" si="106"/>
        <v>187.24</v>
      </c>
      <c r="O147" s="68">
        <f t="shared" si="125"/>
        <v>180.26</v>
      </c>
      <c r="P147" s="75">
        <f t="shared" si="126"/>
        <v>171.25</v>
      </c>
      <c r="Q147" s="75">
        <v>171.61</v>
      </c>
      <c r="R147" s="75">
        <f t="shared" si="127"/>
        <v>176.93</v>
      </c>
      <c r="S147" s="68">
        <f t="shared" si="128"/>
        <v>170.34</v>
      </c>
      <c r="T147" s="75">
        <f t="shared" si="129"/>
        <v>-0.91</v>
      </c>
      <c r="U147" s="68">
        <f t="shared" si="130"/>
        <v>179.35</v>
      </c>
      <c r="V147" s="68">
        <f>VLOOKUP($F147,Limits!$J$2:$L$5,3,FALSE)</f>
        <v>24.89</v>
      </c>
      <c r="W147" s="68">
        <f t="shared" si="131"/>
        <v>25.66</v>
      </c>
      <c r="X147" s="68">
        <f>VLOOKUP($F147,Limits!$R$2:$T$5,3,FALSE)</f>
        <v>114.15</v>
      </c>
      <c r="Y147" s="68">
        <f t="shared" si="132"/>
        <v>117.69</v>
      </c>
      <c r="Z147" s="75">
        <f>VLOOKUP(A147,FRV!$A$4:$U$208,21,FALSE)</f>
        <v>51.08</v>
      </c>
      <c r="AA147" s="141">
        <f>VLOOKUP(A147,'RE Tax'!$A$2:$G$206,3,FALSE)</f>
        <v>45261</v>
      </c>
      <c r="AB147" s="141">
        <f>VLOOKUP(A147,'RE Tax'!$A$2:$G$206,4,FALSE)</f>
        <v>45657</v>
      </c>
      <c r="AC147" s="4">
        <f>VLOOKUP(A147,'RE Tax'!$A$2:$G$206,7,FALSE)</f>
        <v>184301</v>
      </c>
      <c r="AD147" s="4">
        <f>VLOOKUP($A147,'RE Tax'!$A$2:$I$206,9,FALSE)</f>
        <v>47640</v>
      </c>
      <c r="AE147" s="4">
        <f>VLOOKUP($A147,'RE Tax'!$A$2:$I$206,8,FALSE)</f>
        <v>41206</v>
      </c>
      <c r="AF147" s="142">
        <f>IF(ISNA(VLOOKUP(A147&amp;AB147,'Days Exceptions'!$C$3:$I$7,6,FALSE)),ROUND(AC147/MAX(AE147,(AD147*Min_Occ)),2),ROUND(AC147/VLOOKUP(A147&amp;AB147,'Days Exceptions'!$C$3:$I$7,6,FALSE),2))</f>
        <v>4.47</v>
      </c>
      <c r="AG147" s="68">
        <v>0</v>
      </c>
      <c r="AH147" s="68">
        <f t="shared" si="133"/>
        <v>0</v>
      </c>
      <c r="AI147" s="4">
        <v>31112</v>
      </c>
      <c r="AJ147" s="4">
        <v>37837</v>
      </c>
      <c r="AK147" s="68">
        <f>IF(AI147=0,0,IF(ISNA(MATCH(A147,Documentation!$B$66:$B$71,0)),QA_Tax_reg,QA_Tax_5high))</f>
        <v>32.92</v>
      </c>
      <c r="AL147" s="75">
        <f t="shared" si="134"/>
        <v>27.07</v>
      </c>
      <c r="AM147" s="68">
        <f t="shared" si="135"/>
        <v>378.25</v>
      </c>
      <c r="AN147" s="68">
        <f t="shared" si="136"/>
        <v>288.58</v>
      </c>
      <c r="AO147" s="68">
        <f t="shared" si="137"/>
        <v>198.9</v>
      </c>
      <c r="AP147" s="37" t="s">
        <v>750</v>
      </c>
      <c r="AQ147" s="37" t="s">
        <v>751</v>
      </c>
      <c r="AR147" s="37" t="s">
        <v>1099</v>
      </c>
      <c r="AS147" s="66" t="e">
        <f>VLOOKUP(A147,'CMI Data'!$A$3:$J$209,10,FALSE)</f>
        <v>#DIV/0!</v>
      </c>
      <c r="AT147" s="68">
        <f t="shared" si="107"/>
        <v>181.61</v>
      </c>
      <c r="AU147" s="68" t="e">
        <f t="shared" si="108"/>
        <v>#DIV/0!</v>
      </c>
      <c r="AV147" s="75" t="e">
        <f t="shared" si="138"/>
        <v>#DIV/0!</v>
      </c>
      <c r="AW147" s="68" t="e">
        <f>IF($I147="NA","NA",ROUND(#REF!*$AS147/$I147,2))</f>
        <v>#REF!</v>
      </c>
      <c r="AX147" s="75" t="e">
        <f t="shared" si="105"/>
        <v>#REF!</v>
      </c>
      <c r="AY147" s="68" t="e">
        <f t="shared" si="139"/>
        <v>#REF!</v>
      </c>
      <c r="AZ147" s="4">
        <f t="shared" si="140"/>
        <v>184301</v>
      </c>
      <c r="BA147" s="4">
        <f t="shared" si="141"/>
        <v>47640</v>
      </c>
      <c r="BB147" s="4">
        <f t="shared" si="142"/>
        <v>41206</v>
      </c>
      <c r="BC147" s="142">
        <f>IF(ISNA(VLOOKUP($A147&amp;$AB147,'Days Exceptions'!$C$3:$I$7,6,FALSE)),ROUND(AZ147/MAX(BB147,(BA147*Min_Occ)),2),ROUND(AZ147/VLOOKUP($A147&amp;$AB147,'Days Exceptions'!$C$3:$I$7,6,FALSE),2))</f>
        <v>4.47</v>
      </c>
      <c r="BD147" s="143" t="e">
        <f t="shared" si="109"/>
        <v>#REF!</v>
      </c>
      <c r="BE147" s="143" t="e">
        <f t="shared" si="110"/>
        <v>#REF!</v>
      </c>
      <c r="BF147" s="143">
        <f t="shared" si="111"/>
        <v>194.59</v>
      </c>
      <c r="BG147" s="37" t="s">
        <v>750</v>
      </c>
      <c r="BH147" s="37" t="s">
        <v>751</v>
      </c>
      <c r="BI147" s="37" t="s">
        <v>1303</v>
      </c>
      <c r="BJ147" s="66" t="e">
        <f>VLOOKUP(A147,'CMI Data'!$A$3:$AZ$209,15,FALSE)</f>
        <v>#DIV/0!</v>
      </c>
      <c r="BK147" s="68">
        <f t="shared" si="112"/>
        <v>181.61</v>
      </c>
      <c r="BL147" s="68" t="e">
        <f t="shared" si="113"/>
        <v>#DIV/0!</v>
      </c>
      <c r="BM147" s="75" t="e">
        <f t="shared" si="143"/>
        <v>#DIV/0!</v>
      </c>
      <c r="BN147" s="68" t="e">
        <f>IF($I147="NA","NA",ROUND(#REF!*$BJ147/$I147,2))</f>
        <v>#REF!</v>
      </c>
      <c r="BO147" s="75" t="e">
        <f t="shared" si="144"/>
        <v>#REF!</v>
      </c>
      <c r="BP147" s="68" t="e">
        <f t="shared" si="145"/>
        <v>#REF!</v>
      </c>
      <c r="BQ147" s="4">
        <f t="shared" si="146"/>
        <v>184301</v>
      </c>
      <c r="BR147" s="4">
        <f t="shared" si="147"/>
        <v>47640</v>
      </c>
      <c r="BS147" s="4">
        <f t="shared" si="148"/>
        <v>41206</v>
      </c>
      <c r="BT147" s="142">
        <f>IF(ISNA(VLOOKUP($A147&amp;$AB147,'Days Exceptions'!$C$3:$I$7,6,FALSE)),ROUND(BQ147/MAX(BS147,(BR147*Min_Occ)),2),ROUND(BQ147/VLOOKUP($A147&amp;$AB147,'Days Exceptions'!$C$3:$I$7,6,FALSE),2))</f>
        <v>4.47</v>
      </c>
      <c r="BU147" s="143" t="e">
        <f t="shared" si="114"/>
        <v>#REF!</v>
      </c>
      <c r="BV147" s="143" t="e">
        <f t="shared" si="115"/>
        <v>#REF!</v>
      </c>
      <c r="BW147" s="143">
        <f t="shared" si="116"/>
        <v>194.59</v>
      </c>
      <c r="BX147" s="37" t="s">
        <v>750</v>
      </c>
      <c r="BY147" s="37" t="s">
        <v>751</v>
      </c>
      <c r="BZ147" s="37" t="s">
        <v>1650</v>
      </c>
      <c r="CA147" s="66" t="e">
        <f>VLOOKUP(A147,'CMI Data'!$A$3:$AZ$209,20,FALSE)</f>
        <v>#DIV/0!</v>
      </c>
      <c r="CB147" s="68">
        <f t="shared" si="117"/>
        <v>181.61</v>
      </c>
      <c r="CC147" s="68" t="e">
        <f t="shared" si="118"/>
        <v>#DIV/0!</v>
      </c>
      <c r="CD147" s="75" t="e">
        <f t="shared" si="149"/>
        <v>#DIV/0!</v>
      </c>
      <c r="CE147" s="68" t="e">
        <f>IF($I147="NA","NA",ROUND(#REF!*$CA147/$I147,2))</f>
        <v>#REF!</v>
      </c>
      <c r="CF147" s="75" t="e">
        <f t="shared" si="150"/>
        <v>#REF!</v>
      </c>
      <c r="CG147" s="68" t="e">
        <f t="shared" si="151"/>
        <v>#REF!</v>
      </c>
      <c r="CH147" s="4">
        <f t="shared" si="152"/>
        <v>184301</v>
      </c>
      <c r="CI147" s="4">
        <f t="shared" si="153"/>
        <v>47640</v>
      </c>
      <c r="CJ147" s="4">
        <f t="shared" si="154"/>
        <v>41206</v>
      </c>
      <c r="CK147" s="142">
        <f>IF(ISNA(VLOOKUP($A147&amp;$AB147,'Days Exceptions'!$C$3:$I$7,6,FALSE)),ROUND(CH147/MAX(CJ147,(CI147*Min_Occ)),2),ROUND(CH147/VLOOKUP($A147&amp;$AB147,'Days Exceptions'!$C$3:$I$7,6,FALSE),2))</f>
        <v>4.47</v>
      </c>
      <c r="CL147" s="143" t="e">
        <f t="shared" si="119"/>
        <v>#REF!</v>
      </c>
      <c r="CM147" s="143" t="e">
        <f t="shared" si="120"/>
        <v>#REF!</v>
      </c>
      <c r="CN147" s="143">
        <f t="shared" si="121"/>
        <v>194.59</v>
      </c>
      <c r="CO147" s="37" t="s">
        <v>750</v>
      </c>
      <c r="CP147" s="37" t="s">
        <v>751</v>
      </c>
      <c r="CQ147" s="37" t="s">
        <v>1651</v>
      </c>
    </row>
    <row r="148" spans="1:95" x14ac:dyDescent="0.15">
      <c r="A148" s="130">
        <v>322</v>
      </c>
      <c r="B148" s="37" t="s">
        <v>741</v>
      </c>
      <c r="C148" s="1" t="s">
        <v>148</v>
      </c>
      <c r="D148" s="1" t="s">
        <v>107</v>
      </c>
      <c r="E148" s="1" t="str">
        <f>VLOOKUP(D148,Documentation!$B$4:$D$27,3,FALSE)</f>
        <v>BALTIMORE METRO</v>
      </c>
      <c r="F148" s="1" t="str">
        <f>VLOOKUP(D148,Documentation!$B$4:$C$27,2,FALSE)</f>
        <v>BALTIMORE METRO</v>
      </c>
      <c r="G148" s="82">
        <f>VLOOKUP(A148,'2022 CR and CMI'!$A$3:$D$207,3,FALSE)</f>
        <v>44378</v>
      </c>
      <c r="H148" s="82">
        <f>VLOOKUP(A148,'2022 CR and CMI'!$A$3:$D$207,4,FALSE)</f>
        <v>44742</v>
      </c>
      <c r="I148" s="72">
        <f>VLOOKUP(A148,'2022 CR and CMI'!$A$2:$T$210,19,FALSE)</f>
        <v>1.3047</v>
      </c>
      <c r="J148" s="139">
        <f>Inflation!$G$24</f>
        <v>1.0309999999999999</v>
      </c>
      <c r="K148" s="192">
        <f>VLOOKUP(E148,Limits!$B$2:$D$5,3,FALSE)</f>
        <v>195.33</v>
      </c>
      <c r="L148" s="192">
        <f t="shared" si="124"/>
        <v>201.39</v>
      </c>
      <c r="M148" s="140">
        <f>VLOOKUP(A148,'CMI Data'!$A$4:$C$208,3,FALSE)</f>
        <v>1.4516</v>
      </c>
      <c r="N148" s="68">
        <f t="shared" si="106"/>
        <v>182.06</v>
      </c>
      <c r="O148" s="68">
        <f t="shared" si="125"/>
        <v>202.56</v>
      </c>
      <c r="P148" s="75">
        <f t="shared" si="126"/>
        <v>192.43</v>
      </c>
      <c r="Q148" s="75">
        <v>167.35</v>
      </c>
      <c r="R148" s="75">
        <f t="shared" si="127"/>
        <v>172.54</v>
      </c>
      <c r="S148" s="68">
        <f t="shared" si="128"/>
        <v>191.97</v>
      </c>
      <c r="T148" s="75">
        <f t="shared" si="129"/>
        <v>-0.46</v>
      </c>
      <c r="U148" s="68">
        <f t="shared" si="130"/>
        <v>202.1</v>
      </c>
      <c r="V148" s="68">
        <f>VLOOKUP($F148,Limits!$J$2:$L$5,3,FALSE)</f>
        <v>20.85</v>
      </c>
      <c r="W148" s="68">
        <f t="shared" si="131"/>
        <v>21.5</v>
      </c>
      <c r="X148" s="68">
        <f>VLOOKUP($F148,Limits!$R$2:$T$5,3,FALSE)</f>
        <v>102.02</v>
      </c>
      <c r="Y148" s="68">
        <f t="shared" si="132"/>
        <v>105.18</v>
      </c>
      <c r="Z148" s="75">
        <f>VLOOKUP(A148,FRV!$A$4:$U$208,21,FALSE)</f>
        <v>25.86</v>
      </c>
      <c r="AA148" s="141">
        <f>VLOOKUP(A148,'RE Tax'!$A$2:$G$206,3,FALSE)</f>
        <v>45261</v>
      </c>
      <c r="AB148" s="141">
        <f>VLOOKUP(A148,'RE Tax'!$A$2:$G$206,4,FALSE)</f>
        <v>45657</v>
      </c>
      <c r="AC148" s="4">
        <f>VLOOKUP(A148,'RE Tax'!$A$2:$G$206,7,FALSE)</f>
        <v>63801</v>
      </c>
      <c r="AD148" s="4">
        <f>VLOOKUP($A148,'RE Tax'!$A$2:$I$206,9,FALSE)</f>
        <v>68284</v>
      </c>
      <c r="AE148" s="4">
        <f>VLOOKUP($A148,'RE Tax'!$A$2:$I$206,8,FALSE)</f>
        <v>55500</v>
      </c>
      <c r="AF148" s="142">
        <f>IF(ISNA(VLOOKUP(A148&amp;AB148,'Days Exceptions'!$C$3:$I$7,6,FALSE)),ROUND(AC148/MAX(AE148,(AD148*Min_Occ)),2),ROUND(AC148/VLOOKUP(A148&amp;AB148,'Days Exceptions'!$C$3:$I$7,6,FALSE),2))</f>
        <v>1.1499999999999999</v>
      </c>
      <c r="AG148" s="68">
        <v>0</v>
      </c>
      <c r="AH148" s="68">
        <f t="shared" si="133"/>
        <v>0</v>
      </c>
      <c r="AI148" s="4">
        <v>35472</v>
      </c>
      <c r="AJ148" s="4">
        <v>51151</v>
      </c>
      <c r="AK148" s="68">
        <f>IF(AI148=0,0,IF(ISNA(MATCH(A148,Documentation!$B$66:$B$71,0)),QA_Tax_reg,QA_Tax_5high))</f>
        <v>32.92</v>
      </c>
      <c r="AL148" s="75">
        <f t="shared" si="134"/>
        <v>22.83</v>
      </c>
      <c r="AM148" s="68">
        <f t="shared" si="135"/>
        <v>355.79</v>
      </c>
      <c r="AN148" s="68">
        <f t="shared" si="136"/>
        <v>254.74</v>
      </c>
      <c r="AO148" s="68">
        <f t="shared" si="137"/>
        <v>153.69</v>
      </c>
      <c r="AP148" s="37" t="s">
        <v>752</v>
      </c>
      <c r="AQ148" s="37" t="s">
        <v>741</v>
      </c>
      <c r="AR148" s="37" t="s">
        <v>1100</v>
      </c>
      <c r="AS148" s="66" t="e">
        <f>VLOOKUP(A148,'CMI Data'!$A$3:$J$209,10,FALSE)</f>
        <v>#DIV/0!</v>
      </c>
      <c r="AT148" s="68">
        <f t="shared" si="107"/>
        <v>176.58</v>
      </c>
      <c r="AU148" s="68" t="e">
        <f t="shared" si="108"/>
        <v>#DIV/0!</v>
      </c>
      <c r="AV148" s="75" t="e">
        <f t="shared" si="138"/>
        <v>#DIV/0!</v>
      </c>
      <c r="AW148" s="68" t="e">
        <f>IF($I148="NA","NA",ROUND(#REF!*$AS148/$I148,2))</f>
        <v>#REF!</v>
      </c>
      <c r="AX148" s="75" t="e">
        <f t="shared" si="105"/>
        <v>#REF!</v>
      </c>
      <c r="AY148" s="68" t="e">
        <f t="shared" si="139"/>
        <v>#REF!</v>
      </c>
      <c r="AZ148" s="4">
        <f t="shared" si="140"/>
        <v>63801</v>
      </c>
      <c r="BA148" s="4">
        <f t="shared" si="141"/>
        <v>68284</v>
      </c>
      <c r="BB148" s="4">
        <f t="shared" si="142"/>
        <v>55500</v>
      </c>
      <c r="BC148" s="142">
        <f>IF(ISNA(VLOOKUP($A148&amp;$AB148,'Days Exceptions'!$C$3:$I$7,6,FALSE)),ROUND(AZ148/MAX(BB148,(BA148*Min_Occ)),2),ROUND(AZ148/VLOOKUP($A148&amp;$AB148,'Days Exceptions'!$C$3:$I$7,6,FALSE),2))</f>
        <v>1.1499999999999999</v>
      </c>
      <c r="BD148" s="143" t="e">
        <f t="shared" si="109"/>
        <v>#REF!</v>
      </c>
      <c r="BE148" s="143" t="e">
        <f t="shared" si="110"/>
        <v>#REF!</v>
      </c>
      <c r="BF148" s="143">
        <f t="shared" si="111"/>
        <v>149.88</v>
      </c>
      <c r="BG148" s="37" t="s">
        <v>752</v>
      </c>
      <c r="BH148" s="37" t="s">
        <v>741</v>
      </c>
      <c r="BI148" s="37" t="s">
        <v>1304</v>
      </c>
      <c r="BJ148" s="66" t="e">
        <f>VLOOKUP(A148,'CMI Data'!$A$3:$AZ$209,15,FALSE)</f>
        <v>#DIV/0!</v>
      </c>
      <c r="BK148" s="68">
        <f t="shared" si="112"/>
        <v>176.58</v>
      </c>
      <c r="BL148" s="68" t="e">
        <f t="shared" si="113"/>
        <v>#DIV/0!</v>
      </c>
      <c r="BM148" s="75" t="e">
        <f t="shared" si="143"/>
        <v>#DIV/0!</v>
      </c>
      <c r="BN148" s="68" t="e">
        <f>IF($I148="NA","NA",ROUND(#REF!*$BJ148/$I148,2))</f>
        <v>#REF!</v>
      </c>
      <c r="BO148" s="75" t="e">
        <f t="shared" si="144"/>
        <v>#REF!</v>
      </c>
      <c r="BP148" s="68" t="e">
        <f t="shared" si="145"/>
        <v>#REF!</v>
      </c>
      <c r="BQ148" s="4">
        <f t="shared" si="146"/>
        <v>63801</v>
      </c>
      <c r="BR148" s="4">
        <f t="shared" si="147"/>
        <v>68284</v>
      </c>
      <c r="BS148" s="4">
        <f t="shared" si="148"/>
        <v>55500</v>
      </c>
      <c r="BT148" s="142">
        <f>IF(ISNA(VLOOKUP($A148&amp;$AB148,'Days Exceptions'!$C$3:$I$7,6,FALSE)),ROUND(BQ148/MAX(BS148,(BR148*Min_Occ)),2),ROUND(BQ148/VLOOKUP($A148&amp;$AB148,'Days Exceptions'!$C$3:$I$7,6,FALSE),2))</f>
        <v>1.1499999999999999</v>
      </c>
      <c r="BU148" s="143" t="e">
        <f t="shared" si="114"/>
        <v>#REF!</v>
      </c>
      <c r="BV148" s="143" t="e">
        <f t="shared" si="115"/>
        <v>#REF!</v>
      </c>
      <c r="BW148" s="143">
        <f t="shared" si="116"/>
        <v>149.88</v>
      </c>
      <c r="BX148" s="37" t="s">
        <v>752</v>
      </c>
      <c r="BY148" s="37" t="s">
        <v>741</v>
      </c>
      <c r="BZ148" s="37" t="s">
        <v>1652</v>
      </c>
      <c r="CA148" s="66" t="e">
        <f>VLOOKUP(A148,'CMI Data'!$A$3:$AZ$209,20,FALSE)</f>
        <v>#DIV/0!</v>
      </c>
      <c r="CB148" s="68">
        <f t="shared" si="117"/>
        <v>176.58</v>
      </c>
      <c r="CC148" s="68" t="e">
        <f t="shared" si="118"/>
        <v>#DIV/0!</v>
      </c>
      <c r="CD148" s="75" t="e">
        <f t="shared" si="149"/>
        <v>#DIV/0!</v>
      </c>
      <c r="CE148" s="68" t="e">
        <f>IF($I148="NA","NA",ROUND(#REF!*$CA148/$I148,2))</f>
        <v>#REF!</v>
      </c>
      <c r="CF148" s="75" t="e">
        <f t="shared" si="150"/>
        <v>#REF!</v>
      </c>
      <c r="CG148" s="68" t="e">
        <f t="shared" si="151"/>
        <v>#REF!</v>
      </c>
      <c r="CH148" s="4">
        <f t="shared" si="152"/>
        <v>63801</v>
      </c>
      <c r="CI148" s="4">
        <f t="shared" si="153"/>
        <v>68284</v>
      </c>
      <c r="CJ148" s="4">
        <f t="shared" si="154"/>
        <v>55500</v>
      </c>
      <c r="CK148" s="142">
        <f>IF(ISNA(VLOOKUP($A148&amp;$AB148,'Days Exceptions'!$C$3:$I$7,6,FALSE)),ROUND(CH148/MAX(CJ148,(CI148*Min_Occ)),2),ROUND(CH148/VLOOKUP($A148&amp;$AB148,'Days Exceptions'!$C$3:$I$7,6,FALSE),2))</f>
        <v>1.1499999999999999</v>
      </c>
      <c r="CL148" s="143" t="e">
        <f t="shared" si="119"/>
        <v>#REF!</v>
      </c>
      <c r="CM148" s="143" t="e">
        <f t="shared" si="120"/>
        <v>#REF!</v>
      </c>
      <c r="CN148" s="143">
        <f t="shared" si="121"/>
        <v>149.88</v>
      </c>
      <c r="CO148" s="37" t="s">
        <v>752</v>
      </c>
      <c r="CP148" s="37" t="s">
        <v>741</v>
      </c>
      <c r="CQ148" s="37" t="s">
        <v>1653</v>
      </c>
    </row>
    <row r="149" spans="1:95" x14ac:dyDescent="0.15">
      <c r="A149" s="130">
        <v>316</v>
      </c>
      <c r="B149" s="37" t="s">
        <v>740</v>
      </c>
      <c r="C149" s="1" t="s">
        <v>148</v>
      </c>
      <c r="D149" s="1" t="s">
        <v>107</v>
      </c>
      <c r="E149" s="1" t="str">
        <f>VLOOKUP(D149,Documentation!$B$4:$D$27,3,FALSE)</f>
        <v>BALTIMORE METRO</v>
      </c>
      <c r="F149" s="1" t="str">
        <f>VLOOKUP(D149,Documentation!$B$4:$C$27,2,FALSE)</f>
        <v>BALTIMORE METRO</v>
      </c>
      <c r="G149" s="82">
        <f>VLOOKUP(A149,'2022 CR and CMI'!$A$3:$D$207,3,FALSE)</f>
        <v>44348</v>
      </c>
      <c r="H149" s="82">
        <f>VLOOKUP(A149,'2022 CR and CMI'!$A$3:$D$207,4,FALSE)</f>
        <v>44712</v>
      </c>
      <c r="I149" s="72">
        <f>VLOOKUP(A149,'2022 CR and CMI'!$A$2:$T$210,19,FALSE)</f>
        <v>1.3277000000000001</v>
      </c>
      <c r="J149" s="139">
        <f>Inflation!$G$24</f>
        <v>1.0309999999999999</v>
      </c>
      <c r="K149" s="192">
        <f>VLOOKUP(E149,Limits!$B$2:$D$5,3,FALSE)</f>
        <v>195.33</v>
      </c>
      <c r="L149" s="192">
        <f t="shared" si="124"/>
        <v>201.39</v>
      </c>
      <c r="M149" s="140">
        <f>VLOOKUP(A149,'CMI Data'!$A$4:$C$208,3,FALSE)</f>
        <v>1.4145000000000001</v>
      </c>
      <c r="N149" s="68">
        <f t="shared" si="106"/>
        <v>185.27</v>
      </c>
      <c r="O149" s="68">
        <f t="shared" si="125"/>
        <v>197.38</v>
      </c>
      <c r="P149" s="75">
        <f t="shared" si="126"/>
        <v>187.51</v>
      </c>
      <c r="Q149" s="75">
        <v>191.12</v>
      </c>
      <c r="R149" s="75">
        <f t="shared" si="127"/>
        <v>197.04</v>
      </c>
      <c r="S149" s="68">
        <f t="shared" si="128"/>
        <v>209.92</v>
      </c>
      <c r="T149" s="75">
        <f t="shared" si="129"/>
        <v>0</v>
      </c>
      <c r="U149" s="68">
        <f t="shared" si="130"/>
        <v>197.38</v>
      </c>
      <c r="V149" s="68">
        <f>VLOOKUP($F149,Limits!$J$2:$L$5,3,FALSE)</f>
        <v>20.85</v>
      </c>
      <c r="W149" s="68">
        <f t="shared" si="131"/>
        <v>21.5</v>
      </c>
      <c r="X149" s="68">
        <f>VLOOKUP($F149,Limits!$R$2:$T$5,3,FALSE)</f>
        <v>102.02</v>
      </c>
      <c r="Y149" s="68">
        <f t="shared" si="132"/>
        <v>105.18</v>
      </c>
      <c r="Z149" s="75">
        <f>VLOOKUP(A149,FRV!$A$4:$U$208,21,FALSE)</f>
        <v>27.47</v>
      </c>
      <c r="AA149" s="141">
        <f>VLOOKUP(A149,'RE Tax'!$A$2:$G$206,3,FALSE)</f>
        <v>45261</v>
      </c>
      <c r="AB149" s="141">
        <f>VLOOKUP(A149,'RE Tax'!$A$2:$G$206,4,FALSE)</f>
        <v>45657</v>
      </c>
      <c r="AC149" s="4">
        <f>VLOOKUP(A149,'RE Tax'!$A$2:$G$206,7,FALSE)</f>
        <v>78081</v>
      </c>
      <c r="AD149" s="4">
        <f>VLOOKUP($A149,'RE Tax'!$A$2:$I$206,9,FALSE)</f>
        <v>49625</v>
      </c>
      <c r="AE149" s="4">
        <f>VLOOKUP($A149,'RE Tax'!$A$2:$I$206,8,FALSE)</f>
        <v>43725</v>
      </c>
      <c r="AF149" s="142">
        <f>IF(ISNA(VLOOKUP(A149&amp;AB149,'Days Exceptions'!$C$3:$I$7,6,FALSE)),ROUND(AC149/MAX(AE149,(AD149*Min_Occ)),2),ROUND(AC149/VLOOKUP(A149&amp;AB149,'Days Exceptions'!$C$3:$I$7,6,FALSE),2))</f>
        <v>1.79</v>
      </c>
      <c r="AG149" s="68">
        <v>0</v>
      </c>
      <c r="AH149" s="68">
        <f t="shared" si="133"/>
        <v>0</v>
      </c>
      <c r="AI149" s="4">
        <v>29159</v>
      </c>
      <c r="AJ149" s="4">
        <v>40400</v>
      </c>
      <c r="AK149" s="68">
        <f>IF(AI149=0,0,IF(ISNA(MATCH(A149,Documentation!$B$66:$B$71,0)),QA_Tax_reg,QA_Tax_5high))</f>
        <v>32.92</v>
      </c>
      <c r="AL149" s="75">
        <f t="shared" si="134"/>
        <v>23.76</v>
      </c>
      <c r="AM149" s="68">
        <f t="shared" si="135"/>
        <v>353.32</v>
      </c>
      <c r="AN149" s="68">
        <f t="shared" si="136"/>
        <v>254.63</v>
      </c>
      <c r="AO149" s="68">
        <f t="shared" si="137"/>
        <v>155.94</v>
      </c>
      <c r="AP149" s="37" t="s">
        <v>749</v>
      </c>
      <c r="AQ149" s="37" t="s">
        <v>740</v>
      </c>
      <c r="AR149" s="37" t="s">
        <v>1101</v>
      </c>
      <c r="AS149" s="66" t="e">
        <f>VLOOKUP(A149,'CMI Data'!$A$3:$J$209,10,FALSE)</f>
        <v>#DIV/0!</v>
      </c>
      <c r="AT149" s="68">
        <f t="shared" si="107"/>
        <v>179.7</v>
      </c>
      <c r="AU149" s="68" t="e">
        <f t="shared" si="108"/>
        <v>#DIV/0!</v>
      </c>
      <c r="AV149" s="75" t="e">
        <f t="shared" si="138"/>
        <v>#DIV/0!</v>
      </c>
      <c r="AW149" s="68" t="e">
        <f>IF($I149="NA","NA",ROUND(#REF!*$AS149/$I149,2))</f>
        <v>#REF!</v>
      </c>
      <c r="AX149" s="75" t="e">
        <f t="shared" si="105"/>
        <v>#REF!</v>
      </c>
      <c r="AY149" s="68" t="e">
        <f t="shared" si="139"/>
        <v>#REF!</v>
      </c>
      <c r="AZ149" s="4">
        <f t="shared" si="140"/>
        <v>78081</v>
      </c>
      <c r="BA149" s="4">
        <f t="shared" si="141"/>
        <v>49625</v>
      </c>
      <c r="BB149" s="4">
        <f t="shared" si="142"/>
        <v>43725</v>
      </c>
      <c r="BC149" s="142">
        <f>IF(ISNA(VLOOKUP($A149&amp;$AB149,'Days Exceptions'!$C$3:$I$7,6,FALSE)),ROUND(AZ149/MAX(BB149,(BA149*Min_Occ)),2),ROUND(AZ149/VLOOKUP($A149&amp;$AB149,'Days Exceptions'!$C$3:$I$7,6,FALSE),2))</f>
        <v>1.79</v>
      </c>
      <c r="BD149" s="143" t="e">
        <f t="shared" si="109"/>
        <v>#REF!</v>
      </c>
      <c r="BE149" s="143" t="e">
        <f t="shared" si="110"/>
        <v>#REF!</v>
      </c>
      <c r="BF149" s="143">
        <f t="shared" si="111"/>
        <v>152.13</v>
      </c>
      <c r="BG149" s="37" t="s">
        <v>749</v>
      </c>
      <c r="BH149" s="37" t="s">
        <v>740</v>
      </c>
      <c r="BI149" s="37" t="s">
        <v>1305</v>
      </c>
      <c r="BJ149" s="66" t="e">
        <f>VLOOKUP(A149,'CMI Data'!$A$3:$AZ$209,15,FALSE)</f>
        <v>#DIV/0!</v>
      </c>
      <c r="BK149" s="68">
        <f t="shared" si="112"/>
        <v>179.7</v>
      </c>
      <c r="BL149" s="68" t="e">
        <f t="shared" si="113"/>
        <v>#DIV/0!</v>
      </c>
      <c r="BM149" s="75" t="e">
        <f t="shared" si="143"/>
        <v>#DIV/0!</v>
      </c>
      <c r="BN149" s="68" t="e">
        <f>IF($I149="NA","NA",ROUND(#REF!*$BJ149/$I149,2))</f>
        <v>#REF!</v>
      </c>
      <c r="BO149" s="75" t="e">
        <f t="shared" si="144"/>
        <v>#REF!</v>
      </c>
      <c r="BP149" s="68" t="e">
        <f t="shared" si="145"/>
        <v>#REF!</v>
      </c>
      <c r="BQ149" s="4">
        <f t="shared" si="146"/>
        <v>78081</v>
      </c>
      <c r="BR149" s="4">
        <f t="shared" si="147"/>
        <v>49625</v>
      </c>
      <c r="BS149" s="4">
        <f t="shared" si="148"/>
        <v>43725</v>
      </c>
      <c r="BT149" s="142">
        <f>IF(ISNA(VLOOKUP($A149&amp;$AB149,'Days Exceptions'!$C$3:$I$7,6,FALSE)),ROUND(BQ149/MAX(BS149,(BR149*Min_Occ)),2),ROUND(BQ149/VLOOKUP($A149&amp;$AB149,'Days Exceptions'!$C$3:$I$7,6,FALSE),2))</f>
        <v>1.79</v>
      </c>
      <c r="BU149" s="143" t="e">
        <f t="shared" si="114"/>
        <v>#REF!</v>
      </c>
      <c r="BV149" s="143" t="e">
        <f t="shared" si="115"/>
        <v>#REF!</v>
      </c>
      <c r="BW149" s="143">
        <f t="shared" si="116"/>
        <v>152.13</v>
      </c>
      <c r="BX149" s="37" t="s">
        <v>749</v>
      </c>
      <c r="BY149" s="37" t="s">
        <v>740</v>
      </c>
      <c r="BZ149" s="37" t="s">
        <v>1654</v>
      </c>
      <c r="CA149" s="66" t="e">
        <f>VLOOKUP(A149,'CMI Data'!$A$3:$AZ$209,20,FALSE)</f>
        <v>#DIV/0!</v>
      </c>
      <c r="CB149" s="68">
        <f t="shared" si="117"/>
        <v>179.7</v>
      </c>
      <c r="CC149" s="68" t="e">
        <f t="shared" si="118"/>
        <v>#DIV/0!</v>
      </c>
      <c r="CD149" s="75" t="e">
        <f t="shared" si="149"/>
        <v>#DIV/0!</v>
      </c>
      <c r="CE149" s="68" t="e">
        <f>IF($I149="NA","NA",ROUND(#REF!*$CA149/$I149,2))</f>
        <v>#REF!</v>
      </c>
      <c r="CF149" s="75" t="e">
        <f t="shared" si="150"/>
        <v>#REF!</v>
      </c>
      <c r="CG149" s="68" t="e">
        <f t="shared" si="151"/>
        <v>#REF!</v>
      </c>
      <c r="CH149" s="4">
        <f t="shared" si="152"/>
        <v>78081</v>
      </c>
      <c r="CI149" s="4">
        <f t="shared" si="153"/>
        <v>49625</v>
      </c>
      <c r="CJ149" s="4">
        <f t="shared" si="154"/>
        <v>43725</v>
      </c>
      <c r="CK149" s="142">
        <f>IF(ISNA(VLOOKUP($A149&amp;$AB149,'Days Exceptions'!$C$3:$I$7,6,FALSE)),ROUND(CH149/MAX(CJ149,(CI149*Min_Occ)),2),ROUND(CH149/VLOOKUP($A149&amp;$AB149,'Days Exceptions'!$C$3:$I$7,6,FALSE),2))</f>
        <v>1.79</v>
      </c>
      <c r="CL149" s="143" t="e">
        <f t="shared" si="119"/>
        <v>#REF!</v>
      </c>
      <c r="CM149" s="143" t="e">
        <f t="shared" si="120"/>
        <v>#REF!</v>
      </c>
      <c r="CN149" s="143">
        <f t="shared" si="121"/>
        <v>152.13</v>
      </c>
      <c r="CO149" s="37" t="s">
        <v>749</v>
      </c>
      <c r="CP149" s="37" t="s">
        <v>740</v>
      </c>
      <c r="CQ149" s="37" t="s">
        <v>1655</v>
      </c>
    </row>
    <row r="150" spans="1:95" x14ac:dyDescent="0.15">
      <c r="A150" s="130">
        <v>739</v>
      </c>
      <c r="B150" s="37" t="s">
        <v>212</v>
      </c>
      <c r="C150" s="1" t="s">
        <v>148</v>
      </c>
      <c r="D150" s="1" t="s">
        <v>106</v>
      </c>
      <c r="E150" s="1" t="str">
        <f>VLOOKUP(D150,Documentation!$B$4:$D$27,3,FALSE)</f>
        <v>BALTIMORE METRO</v>
      </c>
      <c r="F150" s="1" t="str">
        <f>VLOOKUP(D150,Documentation!$B$4:$C$27,2,FALSE)</f>
        <v>BALTIMORE METRO</v>
      </c>
      <c r="G150" s="82">
        <f>VLOOKUP(A150,'2022 CR and CMI'!$A$3:$D$207,3,FALSE)</f>
        <v>44378</v>
      </c>
      <c r="H150" s="82">
        <f>VLOOKUP(A150,'2022 CR and CMI'!$A$3:$D$207,4,FALSE)</f>
        <v>44742</v>
      </c>
      <c r="I150" s="72">
        <f>VLOOKUP(A150,'2022 CR and CMI'!$A$2:$T$210,19,FALSE)</f>
        <v>1.3085</v>
      </c>
      <c r="J150" s="139">
        <f>Inflation!$G$24</f>
        <v>1.0309999999999999</v>
      </c>
      <c r="K150" s="192">
        <f>VLOOKUP(E150,Limits!$B$2:$D$5,3,FALSE)</f>
        <v>195.33</v>
      </c>
      <c r="L150" s="192">
        <f t="shared" si="124"/>
        <v>201.39</v>
      </c>
      <c r="M150" s="140">
        <f>VLOOKUP(A150,'CMI Data'!$A$4:$C$208,3,FALSE)</f>
        <v>1.3144</v>
      </c>
      <c r="N150" s="68">
        <f t="shared" si="106"/>
        <v>182.59</v>
      </c>
      <c r="O150" s="68">
        <f t="shared" si="125"/>
        <v>183.41</v>
      </c>
      <c r="P150" s="75">
        <f t="shared" si="126"/>
        <v>174.24</v>
      </c>
      <c r="Q150" s="75">
        <v>146.80000000000001</v>
      </c>
      <c r="R150" s="75">
        <f t="shared" si="127"/>
        <v>151.35</v>
      </c>
      <c r="S150" s="68">
        <f t="shared" si="128"/>
        <v>152.03</v>
      </c>
      <c r="T150" s="75">
        <f t="shared" si="129"/>
        <v>-22.21</v>
      </c>
      <c r="U150" s="68">
        <f t="shared" si="130"/>
        <v>161.19999999999999</v>
      </c>
      <c r="V150" s="68">
        <f>VLOOKUP($F150,Limits!$J$2:$L$5,3,FALSE)</f>
        <v>20.85</v>
      </c>
      <c r="W150" s="68">
        <f t="shared" si="131"/>
        <v>21.5</v>
      </c>
      <c r="X150" s="68">
        <f>VLOOKUP($F150,Limits!$R$2:$T$5,3,FALSE)</f>
        <v>102.02</v>
      </c>
      <c r="Y150" s="68">
        <f t="shared" si="132"/>
        <v>105.18</v>
      </c>
      <c r="Z150" s="75">
        <f>VLOOKUP(A150,FRV!$A$4:$U$208,21,FALSE)</f>
        <v>21.43</v>
      </c>
      <c r="AA150" s="141">
        <f>VLOOKUP(A150,'RE Tax'!$A$2:$G$206,3,FALSE)</f>
        <v>45108</v>
      </c>
      <c r="AB150" s="141">
        <f>VLOOKUP(A150,'RE Tax'!$A$2:$G$206,4,FALSE)</f>
        <v>45473</v>
      </c>
      <c r="AC150" s="4">
        <f>VLOOKUP(A150,'RE Tax'!$A$2:$G$206,7,FALSE)</f>
        <v>87188</v>
      </c>
      <c r="AD150" s="4">
        <f>VLOOKUP($A150,'RE Tax'!$A$2:$I$206,9,FALSE)</f>
        <v>34770</v>
      </c>
      <c r="AE150" s="4">
        <f>VLOOKUP($A150,'RE Tax'!$A$2:$I$206,8,FALSE)</f>
        <v>33432</v>
      </c>
      <c r="AF150" s="142">
        <f>IF(ISNA(VLOOKUP(A150&amp;AB150,'Days Exceptions'!$C$3:$I$7,6,FALSE)),ROUND(AC150/MAX(AE150,(AD150*Min_Occ)),2),ROUND(AC150/VLOOKUP(A150&amp;AB150,'Days Exceptions'!$C$3:$I$7,6,FALSE),2))</f>
        <v>2.61</v>
      </c>
      <c r="AG150" s="68">
        <v>0</v>
      </c>
      <c r="AH150" s="68">
        <f t="shared" si="133"/>
        <v>0</v>
      </c>
      <c r="AI150" s="4">
        <v>26264</v>
      </c>
      <c r="AJ150" s="4">
        <v>33553</v>
      </c>
      <c r="AK150" s="68">
        <f>IF(AI150=0,0,IF(ISNA(MATCH(A150,Documentation!$B$66:$B$71,0)),QA_Tax_reg,QA_Tax_5high))</f>
        <v>32.92</v>
      </c>
      <c r="AL150" s="75">
        <f t="shared" si="134"/>
        <v>25.77</v>
      </c>
      <c r="AM150" s="68">
        <f t="shared" si="135"/>
        <v>311.92</v>
      </c>
      <c r="AN150" s="68">
        <f t="shared" si="136"/>
        <v>231.32</v>
      </c>
      <c r="AO150" s="68">
        <f t="shared" si="137"/>
        <v>150.72</v>
      </c>
      <c r="AP150" s="37" t="s">
        <v>12</v>
      </c>
      <c r="AQ150" s="37" t="s">
        <v>212</v>
      </c>
      <c r="AR150" s="37" t="s">
        <v>1102</v>
      </c>
      <c r="AS150" s="66" t="e">
        <f>VLOOKUP(A150,'CMI Data'!$A$3:$J$209,10,FALSE)</f>
        <v>#DIV/0!</v>
      </c>
      <c r="AT150" s="68">
        <f t="shared" si="107"/>
        <v>177.1</v>
      </c>
      <c r="AU150" s="68" t="e">
        <f t="shared" si="108"/>
        <v>#DIV/0!</v>
      </c>
      <c r="AV150" s="75" t="e">
        <f t="shared" si="138"/>
        <v>#DIV/0!</v>
      </c>
      <c r="AW150" s="68" t="e">
        <f>IF($I150="NA","NA",ROUND(#REF!*$AS150/$I150,2))</f>
        <v>#REF!</v>
      </c>
      <c r="AX150" s="75" t="e">
        <f t="shared" si="105"/>
        <v>#REF!</v>
      </c>
      <c r="AY150" s="68" t="e">
        <f t="shared" si="139"/>
        <v>#REF!</v>
      </c>
      <c r="AZ150" s="4">
        <f t="shared" si="140"/>
        <v>87188</v>
      </c>
      <c r="BA150" s="4">
        <f t="shared" si="141"/>
        <v>34770</v>
      </c>
      <c r="BB150" s="4">
        <f t="shared" si="142"/>
        <v>33432</v>
      </c>
      <c r="BC150" s="142">
        <f>IF(ISNA(VLOOKUP($A150&amp;$AB150,'Days Exceptions'!$C$3:$I$7,6,FALSE)),ROUND(AZ150/MAX(BB150,(BA150*Min_Occ)),2),ROUND(AZ150/VLOOKUP($A150&amp;$AB150,'Days Exceptions'!$C$3:$I$7,6,FALSE),2))</f>
        <v>2.61</v>
      </c>
      <c r="BD150" s="143" t="e">
        <f t="shared" si="109"/>
        <v>#REF!</v>
      </c>
      <c r="BE150" s="143" t="e">
        <f t="shared" si="110"/>
        <v>#REF!</v>
      </c>
      <c r="BF150" s="143">
        <f t="shared" si="111"/>
        <v>146.91</v>
      </c>
      <c r="BG150" s="37" t="s">
        <v>12</v>
      </c>
      <c r="BH150" s="37" t="s">
        <v>212</v>
      </c>
      <c r="BI150" s="37" t="s">
        <v>1306</v>
      </c>
      <c r="BJ150" s="66" t="e">
        <f>VLOOKUP(A150,'CMI Data'!$A$3:$AZ$209,15,FALSE)</f>
        <v>#DIV/0!</v>
      </c>
      <c r="BK150" s="68">
        <f t="shared" si="112"/>
        <v>177.1</v>
      </c>
      <c r="BL150" s="68" t="e">
        <f t="shared" si="113"/>
        <v>#DIV/0!</v>
      </c>
      <c r="BM150" s="75" t="e">
        <f t="shared" si="143"/>
        <v>#DIV/0!</v>
      </c>
      <c r="BN150" s="68" t="e">
        <f>IF($I150="NA","NA",ROUND(#REF!*$BJ150/$I150,2))</f>
        <v>#REF!</v>
      </c>
      <c r="BO150" s="75" t="e">
        <f t="shared" si="144"/>
        <v>#REF!</v>
      </c>
      <c r="BP150" s="68" t="e">
        <f t="shared" si="145"/>
        <v>#REF!</v>
      </c>
      <c r="BQ150" s="4">
        <f t="shared" si="146"/>
        <v>87188</v>
      </c>
      <c r="BR150" s="4">
        <f t="shared" si="147"/>
        <v>34770</v>
      </c>
      <c r="BS150" s="4">
        <f t="shared" si="148"/>
        <v>33432</v>
      </c>
      <c r="BT150" s="142">
        <f>IF(ISNA(VLOOKUP($A150&amp;$AB150,'Days Exceptions'!$C$3:$I$7,6,FALSE)),ROUND(BQ150/MAX(BS150,(BR150*Min_Occ)),2),ROUND(BQ150/VLOOKUP($A150&amp;$AB150,'Days Exceptions'!$C$3:$I$7,6,FALSE),2))</f>
        <v>2.61</v>
      </c>
      <c r="BU150" s="143" t="e">
        <f t="shared" si="114"/>
        <v>#REF!</v>
      </c>
      <c r="BV150" s="143" t="e">
        <f t="shared" si="115"/>
        <v>#REF!</v>
      </c>
      <c r="BW150" s="143">
        <f t="shared" si="116"/>
        <v>146.91</v>
      </c>
      <c r="BX150" s="37" t="s">
        <v>12</v>
      </c>
      <c r="BY150" s="37" t="s">
        <v>212</v>
      </c>
      <c r="BZ150" s="37" t="s">
        <v>1656</v>
      </c>
      <c r="CA150" s="66" t="e">
        <f>VLOOKUP(A150,'CMI Data'!$A$3:$AZ$209,20,FALSE)</f>
        <v>#DIV/0!</v>
      </c>
      <c r="CB150" s="68">
        <f t="shared" si="117"/>
        <v>177.1</v>
      </c>
      <c r="CC150" s="68" t="e">
        <f t="shared" si="118"/>
        <v>#DIV/0!</v>
      </c>
      <c r="CD150" s="75" t="e">
        <f t="shared" si="149"/>
        <v>#DIV/0!</v>
      </c>
      <c r="CE150" s="68" t="e">
        <f>IF($I150="NA","NA",ROUND(#REF!*$CA150/$I150,2))</f>
        <v>#REF!</v>
      </c>
      <c r="CF150" s="75" t="e">
        <f t="shared" si="150"/>
        <v>#REF!</v>
      </c>
      <c r="CG150" s="68" t="e">
        <f t="shared" si="151"/>
        <v>#REF!</v>
      </c>
      <c r="CH150" s="4">
        <f t="shared" si="152"/>
        <v>87188</v>
      </c>
      <c r="CI150" s="4">
        <f t="shared" si="153"/>
        <v>34770</v>
      </c>
      <c r="CJ150" s="4">
        <f t="shared" si="154"/>
        <v>33432</v>
      </c>
      <c r="CK150" s="142">
        <f>IF(ISNA(VLOOKUP($A150&amp;$AB150,'Days Exceptions'!$C$3:$I$7,6,FALSE)),ROUND(CH150/MAX(CJ150,(CI150*Min_Occ)),2),ROUND(CH150/VLOOKUP($A150&amp;$AB150,'Days Exceptions'!$C$3:$I$7,6,FALSE),2))</f>
        <v>2.61</v>
      </c>
      <c r="CL150" s="143" t="e">
        <f t="shared" si="119"/>
        <v>#REF!</v>
      </c>
      <c r="CM150" s="143" t="e">
        <f t="shared" si="120"/>
        <v>#REF!</v>
      </c>
      <c r="CN150" s="143">
        <f t="shared" si="121"/>
        <v>146.91</v>
      </c>
      <c r="CO150" s="37" t="s">
        <v>12</v>
      </c>
      <c r="CP150" s="37" t="s">
        <v>212</v>
      </c>
      <c r="CQ150" s="37" t="s">
        <v>1657</v>
      </c>
    </row>
    <row r="151" spans="1:95" x14ac:dyDescent="0.15">
      <c r="A151" s="130">
        <v>332</v>
      </c>
      <c r="B151" s="37" t="s">
        <v>172</v>
      </c>
      <c r="C151" s="1" t="s">
        <v>148</v>
      </c>
      <c r="D151" s="1" t="s">
        <v>102</v>
      </c>
      <c r="E151" s="1" t="str">
        <f>VLOOKUP(D151,Documentation!$B$4:$D$27,3,FALSE)</f>
        <v>BALTIMORE METRO</v>
      </c>
      <c r="F151" s="1" t="str">
        <f>VLOOKUP(D151,Documentation!$B$4:$C$27,2,FALSE)</f>
        <v>BALTIMORE CITY</v>
      </c>
      <c r="G151" s="82">
        <f>VLOOKUP(A151,'2022 CR and CMI'!$A$3:$D$207,3,FALSE)</f>
        <v>44256</v>
      </c>
      <c r="H151" s="82">
        <f>VLOOKUP(A151,'2022 CR and CMI'!$A$3:$D$207,4,FALSE)</f>
        <v>44620</v>
      </c>
      <c r="I151" s="72">
        <f>VLOOKUP(A151,'2022 CR and CMI'!$A$2:$T$210,19,FALSE)</f>
        <v>1.101</v>
      </c>
      <c r="J151" s="139">
        <f>Inflation!$G$24</f>
        <v>1.0309999999999999</v>
      </c>
      <c r="K151" s="192">
        <f>VLOOKUP(E151,Limits!$B$2:$D$5,3,FALSE)</f>
        <v>195.33</v>
      </c>
      <c r="L151" s="192">
        <f t="shared" si="124"/>
        <v>201.39</v>
      </c>
      <c r="M151" s="140">
        <f>VLOOKUP(A151,'CMI Data'!$A$4:$C$208,3,FALSE)</f>
        <v>1.1168</v>
      </c>
      <c r="N151" s="68">
        <f t="shared" si="106"/>
        <v>153.63999999999999</v>
      </c>
      <c r="O151" s="68">
        <f t="shared" si="125"/>
        <v>155.84</v>
      </c>
      <c r="P151" s="75">
        <f t="shared" si="126"/>
        <v>148.05000000000001</v>
      </c>
      <c r="Q151" s="75">
        <v>108.39</v>
      </c>
      <c r="R151" s="75">
        <f t="shared" si="127"/>
        <v>111.75</v>
      </c>
      <c r="S151" s="68">
        <f t="shared" si="128"/>
        <v>113.35</v>
      </c>
      <c r="T151" s="75">
        <f t="shared" si="129"/>
        <v>-34.700000000000003</v>
      </c>
      <c r="U151" s="68">
        <f t="shared" si="130"/>
        <v>121.14</v>
      </c>
      <c r="V151" s="68">
        <f>VLOOKUP($F151,Limits!$J$2:$L$5,3,FALSE)</f>
        <v>24.89</v>
      </c>
      <c r="W151" s="68">
        <f t="shared" si="131"/>
        <v>25.66</v>
      </c>
      <c r="X151" s="68">
        <f>VLOOKUP($F151,Limits!$R$2:$T$5,3,FALSE)</f>
        <v>114.15</v>
      </c>
      <c r="Y151" s="68">
        <f t="shared" si="132"/>
        <v>117.69</v>
      </c>
      <c r="Z151" s="75">
        <f>VLOOKUP(A151,FRV!$A$4:$U$208,21,FALSE)</f>
        <v>15.44</v>
      </c>
      <c r="AA151" s="141">
        <f>VLOOKUP(A151,'RE Tax'!$A$2:$G$206,3,FALSE)</f>
        <v>44986</v>
      </c>
      <c r="AB151" s="141">
        <f>VLOOKUP(A151,'RE Tax'!$A$2:$G$206,4,FALSE)</f>
        <v>45351</v>
      </c>
      <c r="AC151" s="4">
        <f>VLOOKUP(A151,'RE Tax'!$A$2:$G$206,7,FALSE)</f>
        <v>0</v>
      </c>
      <c r="AD151" s="4">
        <f>VLOOKUP($A151,'RE Tax'!$A$2:$I$206,9,FALSE)</f>
        <v>10614</v>
      </c>
      <c r="AE151" s="4">
        <f>VLOOKUP($A151,'RE Tax'!$A$2:$I$206,8,FALSE)</f>
        <v>9317</v>
      </c>
      <c r="AF151" s="142">
        <f>IF(ISNA(VLOOKUP(A151&amp;AB151,'Days Exceptions'!$C$3:$I$7,6,FALSE)),ROUND(AC151/MAX(AE151,(AD151*Min_Occ)),2),ROUND(AC151/VLOOKUP(A151&amp;AB151,'Days Exceptions'!$C$3:$I$7,6,FALSE),2))</f>
        <v>0</v>
      </c>
      <c r="AG151" s="68">
        <v>0</v>
      </c>
      <c r="AH151" s="68">
        <f t="shared" si="133"/>
        <v>0</v>
      </c>
      <c r="AI151" s="4">
        <v>0</v>
      </c>
      <c r="AJ151" s="4">
        <v>0</v>
      </c>
      <c r="AK151" s="68">
        <f>IF(AI151=0,0,IF(ISNA(MATCH(A151,Documentation!$B$66:$B$71,0)),QA_Tax_reg,QA_Tax_5high))</f>
        <v>0</v>
      </c>
      <c r="AL151" s="75">
        <f t="shared" si="134"/>
        <v>0</v>
      </c>
      <c r="AM151" s="68">
        <f t="shared" si="135"/>
        <v>279.93</v>
      </c>
      <c r="AN151" s="68">
        <f t="shared" si="136"/>
        <v>219.36</v>
      </c>
      <c r="AO151" s="68">
        <f t="shared" si="137"/>
        <v>158.79</v>
      </c>
      <c r="AP151" s="37" t="s">
        <v>97</v>
      </c>
      <c r="AQ151" s="37" t="s">
        <v>172</v>
      </c>
      <c r="AR151" s="37" t="s">
        <v>1103</v>
      </c>
      <c r="AS151" s="66" t="e">
        <f>VLOOKUP(A151,'CMI Data'!$A$3:$J$209,10,FALSE)</f>
        <v>#DIV/0!</v>
      </c>
      <c r="AT151" s="68">
        <f t="shared" si="107"/>
        <v>149.01</v>
      </c>
      <c r="AU151" s="68" t="e">
        <f t="shared" si="108"/>
        <v>#DIV/0!</v>
      </c>
      <c r="AV151" s="75" t="e">
        <f t="shared" si="138"/>
        <v>#DIV/0!</v>
      </c>
      <c r="AW151" s="68" t="e">
        <f>IF($I151="NA","NA",ROUND(#REF!*$AS151/$I151,2))</f>
        <v>#REF!</v>
      </c>
      <c r="AX151" s="75" t="e">
        <f t="shared" si="105"/>
        <v>#REF!</v>
      </c>
      <c r="AY151" s="68" t="e">
        <f t="shared" si="139"/>
        <v>#REF!</v>
      </c>
      <c r="AZ151" s="4">
        <f t="shared" si="140"/>
        <v>0</v>
      </c>
      <c r="BA151" s="4">
        <f t="shared" si="141"/>
        <v>10614</v>
      </c>
      <c r="BB151" s="4">
        <f t="shared" si="142"/>
        <v>9317</v>
      </c>
      <c r="BC151" s="142">
        <f>IF(ISNA(VLOOKUP($A151&amp;$AB151,'Days Exceptions'!$C$3:$I$7,6,FALSE)),ROUND(AZ151/MAX(BB151,(BA151*Min_Occ)),2),ROUND(AZ151/VLOOKUP($A151&amp;$AB151,'Days Exceptions'!$C$3:$I$7,6,FALSE),2))</f>
        <v>0</v>
      </c>
      <c r="BD151" s="143" t="e">
        <f t="shared" si="109"/>
        <v>#REF!</v>
      </c>
      <c r="BE151" s="143" t="e">
        <f t="shared" si="110"/>
        <v>#REF!</v>
      </c>
      <c r="BF151" s="143">
        <f t="shared" si="111"/>
        <v>154.47999999999999</v>
      </c>
      <c r="BG151" s="37" t="s">
        <v>97</v>
      </c>
      <c r="BH151" s="37" t="s">
        <v>172</v>
      </c>
      <c r="BI151" s="37" t="s">
        <v>1307</v>
      </c>
      <c r="BJ151" s="66" t="e">
        <f>VLOOKUP(A151,'CMI Data'!$A$3:$AZ$209,15,FALSE)</f>
        <v>#DIV/0!</v>
      </c>
      <c r="BK151" s="68">
        <f t="shared" si="112"/>
        <v>149.01</v>
      </c>
      <c r="BL151" s="68" t="e">
        <f t="shared" si="113"/>
        <v>#DIV/0!</v>
      </c>
      <c r="BM151" s="75" t="e">
        <f t="shared" si="143"/>
        <v>#DIV/0!</v>
      </c>
      <c r="BN151" s="68" t="e">
        <f>IF($I151="NA","NA",ROUND(#REF!*$BJ151/$I151,2))</f>
        <v>#REF!</v>
      </c>
      <c r="BO151" s="75" t="e">
        <f t="shared" si="144"/>
        <v>#REF!</v>
      </c>
      <c r="BP151" s="68" t="e">
        <f t="shared" si="145"/>
        <v>#REF!</v>
      </c>
      <c r="BQ151" s="4">
        <f t="shared" si="146"/>
        <v>0</v>
      </c>
      <c r="BR151" s="4">
        <f t="shared" si="147"/>
        <v>10614</v>
      </c>
      <c r="BS151" s="4">
        <f t="shared" si="148"/>
        <v>9317</v>
      </c>
      <c r="BT151" s="142">
        <f>IF(ISNA(VLOOKUP($A151&amp;$AB151,'Days Exceptions'!$C$3:$I$7,6,FALSE)),ROUND(BQ151/MAX(BS151,(BR151*Min_Occ)),2),ROUND(BQ151/VLOOKUP($A151&amp;$AB151,'Days Exceptions'!$C$3:$I$7,6,FALSE),2))</f>
        <v>0</v>
      </c>
      <c r="BU151" s="143" t="e">
        <f t="shared" si="114"/>
        <v>#REF!</v>
      </c>
      <c r="BV151" s="143" t="e">
        <f t="shared" si="115"/>
        <v>#REF!</v>
      </c>
      <c r="BW151" s="143">
        <f t="shared" si="116"/>
        <v>154.47999999999999</v>
      </c>
      <c r="BX151" s="37" t="s">
        <v>97</v>
      </c>
      <c r="BY151" s="37" t="s">
        <v>172</v>
      </c>
      <c r="BZ151" s="37" t="s">
        <v>1658</v>
      </c>
      <c r="CA151" s="66" t="e">
        <f>VLOOKUP(A151,'CMI Data'!$A$3:$AZ$209,20,FALSE)</f>
        <v>#DIV/0!</v>
      </c>
      <c r="CB151" s="68">
        <f t="shared" si="117"/>
        <v>149.01</v>
      </c>
      <c r="CC151" s="68" t="e">
        <f t="shared" si="118"/>
        <v>#DIV/0!</v>
      </c>
      <c r="CD151" s="75" t="e">
        <f t="shared" si="149"/>
        <v>#DIV/0!</v>
      </c>
      <c r="CE151" s="68" t="e">
        <f>IF($I151="NA","NA",ROUND(#REF!*$CA151/$I151,2))</f>
        <v>#REF!</v>
      </c>
      <c r="CF151" s="75" t="e">
        <f t="shared" si="150"/>
        <v>#REF!</v>
      </c>
      <c r="CG151" s="68" t="e">
        <f t="shared" si="151"/>
        <v>#REF!</v>
      </c>
      <c r="CH151" s="4">
        <f t="shared" si="152"/>
        <v>0</v>
      </c>
      <c r="CI151" s="4">
        <f t="shared" si="153"/>
        <v>10614</v>
      </c>
      <c r="CJ151" s="4">
        <f t="shared" si="154"/>
        <v>9317</v>
      </c>
      <c r="CK151" s="142">
        <f>IF(ISNA(VLOOKUP($A151&amp;$AB151,'Days Exceptions'!$C$3:$I$7,6,FALSE)),ROUND(CH151/MAX(CJ151,(CI151*Min_Occ)),2),ROUND(CH151/VLOOKUP($A151&amp;$AB151,'Days Exceptions'!$C$3:$I$7,6,FALSE),2))</f>
        <v>0</v>
      </c>
      <c r="CL151" s="143" t="e">
        <f t="shared" si="119"/>
        <v>#REF!</v>
      </c>
      <c r="CM151" s="143" t="e">
        <f t="shared" si="120"/>
        <v>#REF!</v>
      </c>
      <c r="CN151" s="143">
        <f t="shared" si="121"/>
        <v>154.47999999999999</v>
      </c>
      <c r="CO151" s="37" t="s">
        <v>97</v>
      </c>
      <c r="CP151" s="37" t="s">
        <v>172</v>
      </c>
      <c r="CQ151" s="37" t="s">
        <v>1659</v>
      </c>
    </row>
    <row r="152" spans="1:95" x14ac:dyDescent="0.15">
      <c r="A152" s="130">
        <v>1326</v>
      </c>
      <c r="B152" s="37" t="s">
        <v>675</v>
      </c>
      <c r="C152" s="1" t="s">
        <v>148</v>
      </c>
      <c r="D152" s="1" t="s">
        <v>107</v>
      </c>
      <c r="E152" s="1" t="str">
        <f>VLOOKUP(D152,Documentation!$B$4:$D$27,3,FALSE)</f>
        <v>BALTIMORE METRO</v>
      </c>
      <c r="F152" s="1" t="str">
        <f>VLOOKUP(D152,Documentation!$B$4:$C$27,2,FALSE)</f>
        <v>BALTIMORE METRO</v>
      </c>
      <c r="G152" s="82">
        <f>VLOOKUP(A152,'2022 CR and CMI'!$A$3:$D$207,3,FALSE)</f>
        <v>44562</v>
      </c>
      <c r="H152" s="82">
        <f>VLOOKUP(A152,'2022 CR and CMI'!$A$3:$D$207,4,FALSE)</f>
        <v>44926</v>
      </c>
      <c r="I152" s="72">
        <f>VLOOKUP(A152,'2022 CR and CMI'!$A$2:$T$210,19,FALSE)</f>
        <v>1.4297</v>
      </c>
      <c r="J152" s="139">
        <f>Inflation!$G$24</f>
        <v>1.0309999999999999</v>
      </c>
      <c r="K152" s="192">
        <f>VLOOKUP(E152,Limits!$B$2:$D$5,3,FALSE)</f>
        <v>195.33</v>
      </c>
      <c r="L152" s="192">
        <f t="shared" si="124"/>
        <v>201.39</v>
      </c>
      <c r="M152" s="140">
        <f>VLOOKUP(A152,'CMI Data'!$A$4:$C$208,3,FALSE)</f>
        <v>1.2616000000000001</v>
      </c>
      <c r="N152" s="68">
        <f t="shared" si="106"/>
        <v>199.51</v>
      </c>
      <c r="O152" s="68">
        <f t="shared" si="125"/>
        <v>176.05</v>
      </c>
      <c r="P152" s="75">
        <f t="shared" si="126"/>
        <v>167.25</v>
      </c>
      <c r="Q152" s="75">
        <v>252.71</v>
      </c>
      <c r="R152" s="75">
        <f t="shared" si="127"/>
        <v>260.54000000000002</v>
      </c>
      <c r="S152" s="68">
        <f t="shared" si="128"/>
        <v>229.91</v>
      </c>
      <c r="T152" s="75">
        <f t="shared" si="129"/>
        <v>0</v>
      </c>
      <c r="U152" s="68">
        <f t="shared" si="130"/>
        <v>176.05</v>
      </c>
      <c r="V152" s="68">
        <f>VLOOKUP($F152,Limits!$J$2:$L$5,3,FALSE)</f>
        <v>20.85</v>
      </c>
      <c r="W152" s="68">
        <f t="shared" si="131"/>
        <v>21.5</v>
      </c>
      <c r="X152" s="68">
        <f>VLOOKUP($F152,Limits!$R$2:$T$5,3,FALSE)</f>
        <v>102.02</v>
      </c>
      <c r="Y152" s="68">
        <f t="shared" si="132"/>
        <v>105.18</v>
      </c>
      <c r="Z152" s="75">
        <f>VLOOKUP(A152,FRV!$A$4:$U$208,21,FALSE)</f>
        <v>44.29</v>
      </c>
      <c r="AA152" s="141">
        <f>VLOOKUP(A152,'RE Tax'!$A$2:$G$206,3,FALSE)</f>
        <v>45292</v>
      </c>
      <c r="AB152" s="141">
        <f>VLOOKUP(A152,'RE Tax'!$A$2:$G$206,4,FALSE)</f>
        <v>45657</v>
      </c>
      <c r="AC152" s="4">
        <f>VLOOKUP(A152,'RE Tax'!$A$2:$G$206,7,FALSE)</f>
        <v>27696</v>
      </c>
      <c r="AD152" s="4">
        <f>VLOOKUP($A152,'RE Tax'!$A$2:$I$206,9,FALSE)</f>
        <v>32208</v>
      </c>
      <c r="AE152" s="4">
        <f>VLOOKUP($A152,'RE Tax'!$A$2:$I$206,8,FALSE)</f>
        <v>24678</v>
      </c>
      <c r="AF152" s="142">
        <f>IF(ISNA(VLOOKUP(A152&amp;AB152,'Days Exceptions'!$C$3:$I$7,6,FALSE)),ROUND(AC152/MAX(AE152,(AD152*Min_Occ)),2),ROUND(AC152/VLOOKUP(A152&amp;AB152,'Days Exceptions'!$C$3:$I$7,6,FALSE),2))</f>
        <v>1.05</v>
      </c>
      <c r="AG152" s="68">
        <v>0</v>
      </c>
      <c r="AH152" s="68">
        <f t="shared" si="133"/>
        <v>0</v>
      </c>
      <c r="AI152" s="4">
        <v>0</v>
      </c>
      <c r="AJ152" s="4">
        <v>0</v>
      </c>
      <c r="AK152" s="68">
        <f>IF(AI152=0,0,IF(ISNA(MATCH(A152,Documentation!$B$66:$B$71,0)),QA_Tax_reg,QA_Tax_5high))</f>
        <v>0</v>
      </c>
      <c r="AL152" s="75">
        <f t="shared" si="134"/>
        <v>0</v>
      </c>
      <c r="AM152" s="68">
        <f t="shared" si="135"/>
        <v>348.07</v>
      </c>
      <c r="AN152" s="68">
        <f t="shared" si="136"/>
        <v>260.05</v>
      </c>
      <c r="AO152" s="68">
        <f t="shared" si="137"/>
        <v>172.02</v>
      </c>
      <c r="AP152" s="37" t="s">
        <v>392</v>
      </c>
      <c r="AQ152" s="37" t="s">
        <v>675</v>
      </c>
      <c r="AR152" s="37" t="s">
        <v>1104</v>
      </c>
      <c r="AS152" s="66" t="e">
        <f>VLOOKUP(A152,'CMI Data'!$A$3:$J$209,10,FALSE)</f>
        <v>#DIV/0!</v>
      </c>
      <c r="AT152" s="68">
        <f t="shared" si="107"/>
        <v>193.5</v>
      </c>
      <c r="AU152" s="68" t="e">
        <f t="shared" si="108"/>
        <v>#DIV/0!</v>
      </c>
      <c r="AV152" s="75" t="e">
        <f t="shared" si="138"/>
        <v>#DIV/0!</v>
      </c>
      <c r="AW152" s="68" t="e">
        <f>IF($I152="NA","NA",ROUND(#REF!*$AS152/$I152,2))</f>
        <v>#REF!</v>
      </c>
      <c r="AX152" s="75" t="e">
        <f t="shared" si="105"/>
        <v>#REF!</v>
      </c>
      <c r="AY152" s="68" t="e">
        <f t="shared" si="139"/>
        <v>#REF!</v>
      </c>
      <c r="AZ152" s="4">
        <f t="shared" si="140"/>
        <v>27696</v>
      </c>
      <c r="BA152" s="4">
        <f t="shared" si="141"/>
        <v>32208</v>
      </c>
      <c r="BB152" s="4">
        <f t="shared" si="142"/>
        <v>24678</v>
      </c>
      <c r="BC152" s="142">
        <f>IF(ISNA(VLOOKUP($A152&amp;$AB152,'Days Exceptions'!$C$3:$I$7,6,FALSE)),ROUND(AZ152/MAX(BB152,(BA152*Min_Occ)),2),ROUND(AZ152/VLOOKUP($A152&amp;$AB152,'Days Exceptions'!$C$3:$I$7,6,FALSE),2))</f>
        <v>1.05</v>
      </c>
      <c r="BD152" s="143" t="e">
        <f t="shared" si="109"/>
        <v>#REF!</v>
      </c>
      <c r="BE152" s="143" t="e">
        <f t="shared" si="110"/>
        <v>#REF!</v>
      </c>
      <c r="BF152" s="143">
        <f t="shared" si="111"/>
        <v>168.21</v>
      </c>
      <c r="BG152" s="37" t="s">
        <v>392</v>
      </c>
      <c r="BH152" s="37" t="s">
        <v>675</v>
      </c>
      <c r="BI152" s="37" t="s">
        <v>1308</v>
      </c>
      <c r="BJ152" s="66" t="e">
        <f>VLOOKUP(A152,'CMI Data'!$A$3:$AZ$209,15,FALSE)</f>
        <v>#DIV/0!</v>
      </c>
      <c r="BK152" s="68">
        <f t="shared" si="112"/>
        <v>193.5</v>
      </c>
      <c r="BL152" s="68" t="e">
        <f t="shared" si="113"/>
        <v>#DIV/0!</v>
      </c>
      <c r="BM152" s="75" t="e">
        <f t="shared" si="143"/>
        <v>#DIV/0!</v>
      </c>
      <c r="BN152" s="68" t="e">
        <f>IF($I152="NA","NA",ROUND(#REF!*$BJ152/$I152,2))</f>
        <v>#REF!</v>
      </c>
      <c r="BO152" s="75" t="e">
        <f t="shared" si="144"/>
        <v>#REF!</v>
      </c>
      <c r="BP152" s="68" t="e">
        <f t="shared" si="145"/>
        <v>#REF!</v>
      </c>
      <c r="BQ152" s="4">
        <f t="shared" si="146"/>
        <v>27696</v>
      </c>
      <c r="BR152" s="4">
        <f t="shared" si="147"/>
        <v>32208</v>
      </c>
      <c r="BS152" s="4">
        <f t="shared" si="148"/>
        <v>24678</v>
      </c>
      <c r="BT152" s="142">
        <f>IF(ISNA(VLOOKUP($A152&amp;$AB152,'Days Exceptions'!$C$3:$I$7,6,FALSE)),ROUND(BQ152/MAX(BS152,(BR152*Min_Occ)),2),ROUND(BQ152/VLOOKUP($A152&amp;$AB152,'Days Exceptions'!$C$3:$I$7,6,FALSE),2))</f>
        <v>1.05</v>
      </c>
      <c r="BU152" s="143" t="e">
        <f t="shared" si="114"/>
        <v>#REF!</v>
      </c>
      <c r="BV152" s="143" t="e">
        <f t="shared" si="115"/>
        <v>#REF!</v>
      </c>
      <c r="BW152" s="143">
        <f t="shared" si="116"/>
        <v>168.21</v>
      </c>
      <c r="BX152" s="37" t="s">
        <v>392</v>
      </c>
      <c r="BY152" s="37" t="s">
        <v>675</v>
      </c>
      <c r="BZ152" s="37" t="s">
        <v>1660</v>
      </c>
      <c r="CA152" s="66" t="e">
        <f>VLOOKUP(A152,'CMI Data'!$A$3:$AZ$209,20,FALSE)</f>
        <v>#DIV/0!</v>
      </c>
      <c r="CB152" s="68">
        <f t="shared" si="117"/>
        <v>193.5</v>
      </c>
      <c r="CC152" s="68" t="e">
        <f t="shared" si="118"/>
        <v>#DIV/0!</v>
      </c>
      <c r="CD152" s="75" t="e">
        <f t="shared" si="149"/>
        <v>#DIV/0!</v>
      </c>
      <c r="CE152" s="68" t="e">
        <f>IF($I152="NA","NA",ROUND(#REF!*$CA152/$I152,2))</f>
        <v>#REF!</v>
      </c>
      <c r="CF152" s="75" t="e">
        <f t="shared" si="150"/>
        <v>#REF!</v>
      </c>
      <c r="CG152" s="68" t="e">
        <f t="shared" si="151"/>
        <v>#REF!</v>
      </c>
      <c r="CH152" s="4">
        <f t="shared" si="152"/>
        <v>27696</v>
      </c>
      <c r="CI152" s="4">
        <f t="shared" si="153"/>
        <v>32208</v>
      </c>
      <c r="CJ152" s="4">
        <f t="shared" si="154"/>
        <v>24678</v>
      </c>
      <c r="CK152" s="142">
        <f>IF(ISNA(VLOOKUP($A152&amp;$AB152,'Days Exceptions'!$C$3:$I$7,6,FALSE)),ROUND(CH152/MAX(CJ152,(CI152*Min_Occ)),2),ROUND(CH152/VLOOKUP($A152&amp;$AB152,'Days Exceptions'!$C$3:$I$7,6,FALSE),2))</f>
        <v>1.05</v>
      </c>
      <c r="CL152" s="143" t="e">
        <f t="shared" si="119"/>
        <v>#REF!</v>
      </c>
      <c r="CM152" s="143" t="e">
        <f t="shared" si="120"/>
        <v>#REF!</v>
      </c>
      <c r="CN152" s="143">
        <f t="shared" si="121"/>
        <v>168.21</v>
      </c>
      <c r="CO152" s="37" t="s">
        <v>392</v>
      </c>
      <c r="CP152" s="37" t="s">
        <v>675</v>
      </c>
      <c r="CQ152" s="37" t="s">
        <v>1661</v>
      </c>
    </row>
    <row r="153" spans="1:95" x14ac:dyDescent="0.15">
      <c r="A153" s="130">
        <v>326</v>
      </c>
      <c r="B153" s="37" t="s">
        <v>456</v>
      </c>
      <c r="C153" s="1" t="s">
        <v>148</v>
      </c>
      <c r="D153" s="1" t="s">
        <v>107</v>
      </c>
      <c r="E153" s="1" t="str">
        <f>VLOOKUP(D153,Documentation!$B$4:$D$27,3,FALSE)</f>
        <v>BALTIMORE METRO</v>
      </c>
      <c r="F153" s="1" t="str">
        <f>VLOOKUP(D153,Documentation!$B$4:$C$27,2,FALSE)</f>
        <v>BALTIMORE METRO</v>
      </c>
      <c r="G153" s="82">
        <f>VLOOKUP(A153,'2022 CR and CMI'!$A$3:$D$207,3,FALSE)</f>
        <v>44562</v>
      </c>
      <c r="H153" s="82">
        <f>VLOOKUP(A153,'2022 CR and CMI'!$A$3:$D$207,4,FALSE)</f>
        <v>44926</v>
      </c>
      <c r="I153" s="72">
        <f>VLOOKUP(A153,'2022 CR and CMI'!$A$2:$T$210,19,FALSE)</f>
        <v>1.5018</v>
      </c>
      <c r="J153" s="139">
        <f>Inflation!$G$24</f>
        <v>1.0309999999999999</v>
      </c>
      <c r="K153" s="192">
        <f>VLOOKUP(E153,Limits!$B$2:$D$5,3,FALSE)</f>
        <v>195.33</v>
      </c>
      <c r="L153" s="192">
        <f t="shared" si="124"/>
        <v>201.39</v>
      </c>
      <c r="M153" s="140">
        <f>VLOOKUP(A153,'CMI Data'!$A$4:$C$208,3,FALSE)</f>
        <v>1.8391</v>
      </c>
      <c r="N153" s="68">
        <f t="shared" si="106"/>
        <v>209.57</v>
      </c>
      <c r="O153" s="68">
        <f t="shared" si="125"/>
        <v>256.64</v>
      </c>
      <c r="P153" s="75">
        <f t="shared" si="126"/>
        <v>243.81</v>
      </c>
      <c r="Q153" s="75">
        <v>165.95</v>
      </c>
      <c r="R153" s="75">
        <f t="shared" si="127"/>
        <v>171.09</v>
      </c>
      <c r="S153" s="68">
        <f t="shared" si="128"/>
        <v>209.52</v>
      </c>
      <c r="T153" s="75">
        <f t="shared" si="129"/>
        <v>-34.29</v>
      </c>
      <c r="U153" s="68">
        <f t="shared" si="130"/>
        <v>222.35</v>
      </c>
      <c r="V153" s="68">
        <f>VLOOKUP($F153,Limits!$J$2:$L$5,3,FALSE)</f>
        <v>20.85</v>
      </c>
      <c r="W153" s="68">
        <f t="shared" si="131"/>
        <v>21.5</v>
      </c>
      <c r="X153" s="68">
        <f>VLOOKUP($F153,Limits!$R$2:$T$5,3,FALSE)</f>
        <v>102.02</v>
      </c>
      <c r="Y153" s="68">
        <f t="shared" si="132"/>
        <v>105.18</v>
      </c>
      <c r="Z153" s="75">
        <f>VLOOKUP(A153,FRV!$A$4:$U$208,21,FALSE)</f>
        <v>33.799999999999997</v>
      </c>
      <c r="AA153" s="141">
        <f>VLOOKUP(A153,'RE Tax'!$A$2:$G$206,3,FALSE)</f>
        <v>45292</v>
      </c>
      <c r="AB153" s="141">
        <f>VLOOKUP(A153,'RE Tax'!$A$2:$G$206,4,FALSE)</f>
        <v>45657</v>
      </c>
      <c r="AC153" s="4">
        <f>VLOOKUP(A153,'RE Tax'!$A$2:$G$206,7,FALSE)</f>
        <v>115133</v>
      </c>
      <c r="AD153" s="4">
        <f>VLOOKUP($A153,'RE Tax'!$A$2:$I$206,9,FALSE)</f>
        <v>43920</v>
      </c>
      <c r="AE153" s="4">
        <f>VLOOKUP($A153,'RE Tax'!$A$2:$I$206,8,FALSE)</f>
        <v>42339</v>
      </c>
      <c r="AF153" s="142">
        <f>IF(ISNA(VLOOKUP(A153&amp;AB153,'Days Exceptions'!$C$3:$I$7,6,FALSE)),ROUND(AC153/MAX(AE153,(AD153*Min_Occ)),2),ROUND(AC153/VLOOKUP(A153&amp;AB153,'Days Exceptions'!$C$3:$I$7,6,FALSE),2))</f>
        <v>2.72</v>
      </c>
      <c r="AG153" s="68">
        <v>0</v>
      </c>
      <c r="AH153" s="68">
        <f t="shared" si="133"/>
        <v>0</v>
      </c>
      <c r="AI153" s="4">
        <v>31347</v>
      </c>
      <c r="AJ153" s="4">
        <v>42339</v>
      </c>
      <c r="AK153" s="68">
        <f>IF(AI153=0,0,IF(ISNA(MATCH(A153,Documentation!$B$66:$B$71,0)),QA_Tax_reg,QA_Tax_5high))</f>
        <v>32.92</v>
      </c>
      <c r="AL153" s="75">
        <f t="shared" si="134"/>
        <v>24.37</v>
      </c>
      <c r="AM153" s="68">
        <f t="shared" si="135"/>
        <v>385.55</v>
      </c>
      <c r="AN153" s="68">
        <f t="shared" si="136"/>
        <v>274.38</v>
      </c>
      <c r="AO153" s="68">
        <f t="shared" si="137"/>
        <v>163.19999999999999</v>
      </c>
      <c r="AP153" s="37" t="s">
        <v>455</v>
      </c>
      <c r="AQ153" s="37" t="s">
        <v>456</v>
      </c>
      <c r="AR153" s="37" t="s">
        <v>1105</v>
      </c>
      <c r="AS153" s="66" t="e">
        <f>VLOOKUP(A153,'CMI Data'!$A$3:$J$209,10,FALSE)</f>
        <v>#DIV/0!</v>
      </c>
      <c r="AT153" s="68">
        <f t="shared" si="107"/>
        <v>203.26</v>
      </c>
      <c r="AU153" s="68" t="e">
        <f t="shared" si="108"/>
        <v>#DIV/0!</v>
      </c>
      <c r="AV153" s="75" t="e">
        <f t="shared" si="138"/>
        <v>#DIV/0!</v>
      </c>
      <c r="AW153" s="68" t="e">
        <f>IF($I153="NA","NA",ROUND(#REF!*$AS153/$I153,2))</f>
        <v>#REF!</v>
      </c>
      <c r="AX153" s="75" t="e">
        <f t="shared" si="105"/>
        <v>#REF!</v>
      </c>
      <c r="AY153" s="68" t="e">
        <f t="shared" si="139"/>
        <v>#REF!</v>
      </c>
      <c r="AZ153" s="4">
        <f t="shared" si="140"/>
        <v>115133</v>
      </c>
      <c r="BA153" s="4">
        <f t="shared" si="141"/>
        <v>43920</v>
      </c>
      <c r="BB153" s="4">
        <f t="shared" si="142"/>
        <v>42339</v>
      </c>
      <c r="BC153" s="142">
        <f>IF(ISNA(VLOOKUP($A153&amp;$AB153,'Days Exceptions'!$C$3:$I$7,6,FALSE)),ROUND(AZ153/MAX(BB153,(BA153*Min_Occ)),2),ROUND(AZ153/VLOOKUP($A153&amp;$AB153,'Days Exceptions'!$C$3:$I$7,6,FALSE),2))</f>
        <v>2.72</v>
      </c>
      <c r="BD153" s="143" t="e">
        <f t="shared" si="109"/>
        <v>#REF!</v>
      </c>
      <c r="BE153" s="143" t="e">
        <f t="shared" si="110"/>
        <v>#REF!</v>
      </c>
      <c r="BF153" s="143">
        <f t="shared" si="111"/>
        <v>159.38999999999999</v>
      </c>
      <c r="BG153" s="37" t="s">
        <v>455</v>
      </c>
      <c r="BH153" s="37" t="s">
        <v>456</v>
      </c>
      <c r="BI153" s="37" t="s">
        <v>1309</v>
      </c>
      <c r="BJ153" s="66" t="e">
        <f>VLOOKUP(A153,'CMI Data'!$A$3:$AZ$209,15,FALSE)</f>
        <v>#DIV/0!</v>
      </c>
      <c r="BK153" s="68">
        <f t="shared" si="112"/>
        <v>203.26</v>
      </c>
      <c r="BL153" s="68" t="e">
        <f t="shared" si="113"/>
        <v>#DIV/0!</v>
      </c>
      <c r="BM153" s="75" t="e">
        <f t="shared" si="143"/>
        <v>#DIV/0!</v>
      </c>
      <c r="BN153" s="68" t="e">
        <f>IF($I153="NA","NA",ROUND(#REF!*$BJ153/$I153,2))</f>
        <v>#REF!</v>
      </c>
      <c r="BO153" s="75" t="e">
        <f t="shared" si="144"/>
        <v>#REF!</v>
      </c>
      <c r="BP153" s="68" t="e">
        <f t="shared" si="145"/>
        <v>#REF!</v>
      </c>
      <c r="BQ153" s="4">
        <f t="shared" si="146"/>
        <v>115133</v>
      </c>
      <c r="BR153" s="4">
        <f t="shared" si="147"/>
        <v>43920</v>
      </c>
      <c r="BS153" s="4">
        <f t="shared" si="148"/>
        <v>42339</v>
      </c>
      <c r="BT153" s="142">
        <f>IF(ISNA(VLOOKUP($A153&amp;$AB153,'Days Exceptions'!$C$3:$I$7,6,FALSE)),ROUND(BQ153/MAX(BS153,(BR153*Min_Occ)),2),ROUND(BQ153/VLOOKUP($A153&amp;$AB153,'Days Exceptions'!$C$3:$I$7,6,FALSE),2))</f>
        <v>2.72</v>
      </c>
      <c r="BU153" s="143" t="e">
        <f t="shared" si="114"/>
        <v>#REF!</v>
      </c>
      <c r="BV153" s="143" t="e">
        <f t="shared" si="115"/>
        <v>#REF!</v>
      </c>
      <c r="BW153" s="143">
        <f t="shared" si="116"/>
        <v>159.38999999999999</v>
      </c>
      <c r="BX153" s="37" t="s">
        <v>455</v>
      </c>
      <c r="BY153" s="37" t="s">
        <v>456</v>
      </c>
      <c r="BZ153" s="37" t="s">
        <v>1662</v>
      </c>
      <c r="CA153" s="66" t="e">
        <f>VLOOKUP(A153,'CMI Data'!$A$3:$AZ$209,20,FALSE)</f>
        <v>#DIV/0!</v>
      </c>
      <c r="CB153" s="68">
        <f t="shared" si="117"/>
        <v>203.26</v>
      </c>
      <c r="CC153" s="68" t="e">
        <f t="shared" si="118"/>
        <v>#DIV/0!</v>
      </c>
      <c r="CD153" s="75" t="e">
        <f t="shared" si="149"/>
        <v>#DIV/0!</v>
      </c>
      <c r="CE153" s="68" t="e">
        <f>IF($I153="NA","NA",ROUND(#REF!*$CA153/$I153,2))</f>
        <v>#REF!</v>
      </c>
      <c r="CF153" s="75" t="e">
        <f t="shared" si="150"/>
        <v>#REF!</v>
      </c>
      <c r="CG153" s="68" t="e">
        <f t="shared" si="151"/>
        <v>#REF!</v>
      </c>
      <c r="CH153" s="4">
        <f t="shared" si="152"/>
        <v>115133</v>
      </c>
      <c r="CI153" s="4">
        <f t="shared" si="153"/>
        <v>43920</v>
      </c>
      <c r="CJ153" s="4">
        <f t="shared" si="154"/>
        <v>42339</v>
      </c>
      <c r="CK153" s="142">
        <f>IF(ISNA(VLOOKUP($A153&amp;$AB153,'Days Exceptions'!$C$3:$I$7,6,FALSE)),ROUND(CH153/MAX(CJ153,(CI153*Min_Occ)),2),ROUND(CH153/VLOOKUP($A153&amp;$AB153,'Days Exceptions'!$C$3:$I$7,6,FALSE),2))</f>
        <v>2.72</v>
      </c>
      <c r="CL153" s="143" t="e">
        <f t="shared" si="119"/>
        <v>#REF!</v>
      </c>
      <c r="CM153" s="143" t="e">
        <f t="shared" si="120"/>
        <v>#REF!</v>
      </c>
      <c r="CN153" s="143">
        <f t="shared" si="121"/>
        <v>159.38999999999999</v>
      </c>
      <c r="CO153" s="37" t="s">
        <v>455</v>
      </c>
      <c r="CP153" s="37" t="s">
        <v>456</v>
      </c>
      <c r="CQ153" s="37" t="s">
        <v>1663</v>
      </c>
    </row>
    <row r="154" spans="1:95" x14ac:dyDescent="0.15">
      <c r="A154" s="130">
        <v>304</v>
      </c>
      <c r="B154" s="37" t="s">
        <v>699</v>
      </c>
      <c r="C154" s="1" t="s">
        <v>148</v>
      </c>
      <c r="D154" s="1" t="s">
        <v>119</v>
      </c>
      <c r="E154" s="1" t="str">
        <f>VLOOKUP(D154,Documentation!$B$4:$D$27,3,FALSE)</f>
        <v>WASHINGTON METRO</v>
      </c>
      <c r="F154" s="1" t="str">
        <f>VLOOKUP(D154,Documentation!$B$4:$C$27,2,FALSE)</f>
        <v>WASHINGTON METRO</v>
      </c>
      <c r="G154" s="82">
        <f>VLOOKUP(A154,'2022 CR and CMI'!$A$3:$D$207,3,FALSE)</f>
        <v>44348</v>
      </c>
      <c r="H154" s="82">
        <f>VLOOKUP(A154,'2022 CR and CMI'!$A$3:$D$207,4,FALSE)</f>
        <v>44712</v>
      </c>
      <c r="I154" s="72">
        <f>VLOOKUP(A154,'2022 CR and CMI'!$A$2:$T$210,19,FALSE)</f>
        <v>1.2564</v>
      </c>
      <c r="J154" s="139">
        <f>Inflation!$G$24</f>
        <v>1.0309999999999999</v>
      </c>
      <c r="K154" s="192">
        <f>VLOOKUP(E154,Limits!$B$2:$D$5,3,FALSE)</f>
        <v>176.01</v>
      </c>
      <c r="L154" s="192">
        <f t="shared" si="124"/>
        <v>181.47</v>
      </c>
      <c r="M154" s="140">
        <f>VLOOKUP(A154,'CMI Data'!$A$4:$C$208,3,FALSE)</f>
        <v>1.4463999999999999</v>
      </c>
      <c r="N154" s="68">
        <f t="shared" si="106"/>
        <v>157.97999999999999</v>
      </c>
      <c r="O154" s="68">
        <f t="shared" si="125"/>
        <v>181.87</v>
      </c>
      <c r="P154" s="75">
        <f t="shared" si="126"/>
        <v>172.78</v>
      </c>
      <c r="Q154" s="75">
        <v>148.16</v>
      </c>
      <c r="R154" s="75">
        <f t="shared" si="127"/>
        <v>152.75</v>
      </c>
      <c r="S154" s="68">
        <f t="shared" si="128"/>
        <v>175.85</v>
      </c>
      <c r="T154" s="75">
        <f t="shared" si="129"/>
        <v>0</v>
      </c>
      <c r="U154" s="68">
        <f t="shared" si="130"/>
        <v>181.87</v>
      </c>
      <c r="V154" s="68">
        <f>VLOOKUP($F154,Limits!$J$2:$L$5,3,FALSE)</f>
        <v>19.23</v>
      </c>
      <c r="W154" s="68">
        <f t="shared" si="131"/>
        <v>19.829999999999998</v>
      </c>
      <c r="X154" s="68">
        <f>VLOOKUP($F154,Limits!$R$2:$T$5,3,FALSE)</f>
        <v>100.61</v>
      </c>
      <c r="Y154" s="68">
        <f t="shared" si="132"/>
        <v>103.73</v>
      </c>
      <c r="Z154" s="75">
        <f>VLOOKUP(A154,FRV!$A$4:$U$208,21,FALSE)</f>
        <v>35.57</v>
      </c>
      <c r="AA154" s="141">
        <f>VLOOKUP(A154,'RE Tax'!$A$2:$G$206,3,FALSE)</f>
        <v>45292</v>
      </c>
      <c r="AB154" s="141">
        <f>VLOOKUP(A154,'RE Tax'!$A$2:$G$206,4,FALSE)</f>
        <v>45657</v>
      </c>
      <c r="AC154" s="4">
        <f>VLOOKUP(A154,'RE Tax'!$A$2:$G$206,7,FALSE)</f>
        <v>108363</v>
      </c>
      <c r="AD154" s="4">
        <f>VLOOKUP($A154,'RE Tax'!$A$2:$I$206,9,FALSE)</f>
        <v>40260</v>
      </c>
      <c r="AE154" s="4">
        <f>VLOOKUP($A154,'RE Tax'!$A$2:$I$206,8,FALSE)</f>
        <v>37044</v>
      </c>
      <c r="AF154" s="142">
        <f>IF(ISNA(VLOOKUP(A154&amp;AB154,'Days Exceptions'!$C$3:$I$7,6,FALSE)),ROUND(AC154/MAX(AE154,(AD154*Min_Occ)),2),ROUND(AC154/VLOOKUP(A154&amp;AB154,'Days Exceptions'!$C$3:$I$7,6,FALSE),2))</f>
        <v>2.93</v>
      </c>
      <c r="AG154" s="68">
        <v>0</v>
      </c>
      <c r="AH154" s="68">
        <f t="shared" si="133"/>
        <v>0</v>
      </c>
      <c r="AI154" s="4">
        <v>25072</v>
      </c>
      <c r="AJ154" s="4">
        <v>36899</v>
      </c>
      <c r="AK154" s="68">
        <f>IF(AI154=0,0,IF(ISNA(MATCH(A154,Documentation!$B$66:$B$71,0)),QA_Tax_reg,QA_Tax_5high))</f>
        <v>32.92</v>
      </c>
      <c r="AL154" s="75">
        <f t="shared" si="134"/>
        <v>22.37</v>
      </c>
      <c r="AM154" s="68">
        <f t="shared" si="135"/>
        <v>343.93</v>
      </c>
      <c r="AN154" s="68">
        <f t="shared" si="136"/>
        <v>253</v>
      </c>
      <c r="AO154" s="68">
        <f t="shared" si="137"/>
        <v>162.06</v>
      </c>
      <c r="AP154" s="37" t="s">
        <v>698</v>
      </c>
      <c r="AQ154" s="37" t="s">
        <v>699</v>
      </c>
      <c r="AR154" s="37" t="s">
        <v>1106</v>
      </c>
      <c r="AS154" s="66" t="e">
        <f>VLOOKUP(A154,'CMI Data'!$A$3:$J$209,10,FALSE)</f>
        <v>#DIV/0!</v>
      </c>
      <c r="AT154" s="68">
        <f t="shared" si="107"/>
        <v>153.22999999999999</v>
      </c>
      <c r="AU154" s="68" t="e">
        <f t="shared" si="108"/>
        <v>#DIV/0!</v>
      </c>
      <c r="AV154" s="75" t="e">
        <f t="shared" si="138"/>
        <v>#DIV/0!</v>
      </c>
      <c r="AW154" s="68" t="e">
        <f>IF($I154="NA","NA",ROUND(#REF!*$AS154/$I154,2))</f>
        <v>#REF!</v>
      </c>
      <c r="AX154" s="75" t="e">
        <f t="shared" si="105"/>
        <v>#REF!</v>
      </c>
      <c r="AY154" s="68" t="e">
        <f t="shared" si="139"/>
        <v>#REF!</v>
      </c>
      <c r="AZ154" s="4">
        <f t="shared" si="140"/>
        <v>108363</v>
      </c>
      <c r="BA154" s="4">
        <f t="shared" si="141"/>
        <v>40260</v>
      </c>
      <c r="BB154" s="4">
        <f t="shared" si="142"/>
        <v>37044</v>
      </c>
      <c r="BC154" s="142">
        <f>IF(ISNA(VLOOKUP($A154&amp;$AB154,'Days Exceptions'!$C$3:$I$7,6,FALSE)),ROUND(AZ154/MAX(BB154,(BA154*Min_Occ)),2),ROUND(AZ154/VLOOKUP($A154&amp;$AB154,'Days Exceptions'!$C$3:$I$7,6,FALSE),2))</f>
        <v>2.93</v>
      </c>
      <c r="BD154" s="143" t="e">
        <f t="shared" si="109"/>
        <v>#REF!</v>
      </c>
      <c r="BE154" s="143" t="e">
        <f t="shared" si="110"/>
        <v>#REF!</v>
      </c>
      <c r="BF154" s="143">
        <f t="shared" si="111"/>
        <v>158.34</v>
      </c>
      <c r="BG154" s="37" t="s">
        <v>698</v>
      </c>
      <c r="BH154" s="37" t="s">
        <v>699</v>
      </c>
      <c r="BI154" s="37" t="s">
        <v>1310</v>
      </c>
      <c r="BJ154" s="66" t="e">
        <f>VLOOKUP(A154,'CMI Data'!$A$3:$AZ$209,15,FALSE)</f>
        <v>#DIV/0!</v>
      </c>
      <c r="BK154" s="68">
        <f t="shared" si="112"/>
        <v>153.22999999999999</v>
      </c>
      <c r="BL154" s="68" t="e">
        <f t="shared" si="113"/>
        <v>#DIV/0!</v>
      </c>
      <c r="BM154" s="75" t="e">
        <f t="shared" si="143"/>
        <v>#DIV/0!</v>
      </c>
      <c r="BN154" s="68" t="e">
        <f>IF($I154="NA","NA",ROUND(#REF!*$BJ154/$I154,2))</f>
        <v>#REF!</v>
      </c>
      <c r="BO154" s="75" t="e">
        <f t="shared" si="144"/>
        <v>#REF!</v>
      </c>
      <c r="BP154" s="68" t="e">
        <f t="shared" si="145"/>
        <v>#REF!</v>
      </c>
      <c r="BQ154" s="4">
        <f t="shared" si="146"/>
        <v>108363</v>
      </c>
      <c r="BR154" s="4">
        <f t="shared" si="147"/>
        <v>40260</v>
      </c>
      <c r="BS154" s="4">
        <f t="shared" si="148"/>
        <v>37044</v>
      </c>
      <c r="BT154" s="142">
        <f>IF(ISNA(VLOOKUP($A154&amp;$AB154,'Days Exceptions'!$C$3:$I$7,6,FALSE)),ROUND(BQ154/MAX(BS154,(BR154*Min_Occ)),2),ROUND(BQ154/VLOOKUP($A154&amp;$AB154,'Days Exceptions'!$C$3:$I$7,6,FALSE),2))</f>
        <v>2.93</v>
      </c>
      <c r="BU154" s="143" t="e">
        <f t="shared" si="114"/>
        <v>#REF!</v>
      </c>
      <c r="BV154" s="143" t="e">
        <f t="shared" si="115"/>
        <v>#REF!</v>
      </c>
      <c r="BW154" s="143">
        <f t="shared" si="116"/>
        <v>158.34</v>
      </c>
      <c r="BX154" s="37" t="s">
        <v>698</v>
      </c>
      <c r="BY154" s="37" t="s">
        <v>699</v>
      </c>
      <c r="BZ154" s="37" t="s">
        <v>1664</v>
      </c>
      <c r="CA154" s="66" t="e">
        <f>VLOOKUP(A154,'CMI Data'!$A$3:$AZ$209,20,FALSE)</f>
        <v>#DIV/0!</v>
      </c>
      <c r="CB154" s="68">
        <f t="shared" si="117"/>
        <v>153.22999999999999</v>
      </c>
      <c r="CC154" s="68" t="e">
        <f t="shared" si="118"/>
        <v>#DIV/0!</v>
      </c>
      <c r="CD154" s="75" t="e">
        <f t="shared" si="149"/>
        <v>#DIV/0!</v>
      </c>
      <c r="CE154" s="68" t="e">
        <f>IF($I154="NA","NA",ROUND(#REF!*$CA154/$I154,2))</f>
        <v>#REF!</v>
      </c>
      <c r="CF154" s="75" t="e">
        <f t="shared" si="150"/>
        <v>#REF!</v>
      </c>
      <c r="CG154" s="68" t="e">
        <f t="shared" si="151"/>
        <v>#REF!</v>
      </c>
      <c r="CH154" s="4">
        <f t="shared" si="152"/>
        <v>108363</v>
      </c>
      <c r="CI154" s="4">
        <f t="shared" si="153"/>
        <v>40260</v>
      </c>
      <c r="CJ154" s="4">
        <f t="shared" si="154"/>
        <v>37044</v>
      </c>
      <c r="CK154" s="142">
        <f>IF(ISNA(VLOOKUP($A154&amp;$AB154,'Days Exceptions'!$C$3:$I$7,6,FALSE)),ROUND(CH154/MAX(CJ154,(CI154*Min_Occ)),2),ROUND(CH154/VLOOKUP($A154&amp;$AB154,'Days Exceptions'!$C$3:$I$7,6,FALSE),2))</f>
        <v>2.93</v>
      </c>
      <c r="CL154" s="143" t="e">
        <f t="shared" si="119"/>
        <v>#REF!</v>
      </c>
      <c r="CM154" s="143" t="e">
        <f t="shared" si="120"/>
        <v>#REF!</v>
      </c>
      <c r="CN154" s="143">
        <f t="shared" si="121"/>
        <v>158.34</v>
      </c>
      <c r="CO154" s="37" t="s">
        <v>698</v>
      </c>
      <c r="CP154" s="37" t="s">
        <v>699</v>
      </c>
      <c r="CQ154" s="37" t="s">
        <v>1665</v>
      </c>
    </row>
    <row r="155" spans="1:95" x14ac:dyDescent="0.15">
      <c r="A155" s="130">
        <v>306</v>
      </c>
      <c r="B155" s="37" t="s">
        <v>701</v>
      </c>
      <c r="C155" s="1" t="s">
        <v>148</v>
      </c>
      <c r="D155" s="1" t="s">
        <v>119</v>
      </c>
      <c r="E155" s="1" t="str">
        <f>VLOOKUP(D155,Documentation!$B$4:$D$27,3,FALSE)</f>
        <v>WASHINGTON METRO</v>
      </c>
      <c r="F155" s="1" t="str">
        <f>VLOOKUP(D155,Documentation!$B$4:$C$27,2,FALSE)</f>
        <v>WASHINGTON METRO</v>
      </c>
      <c r="G155" s="82">
        <f>VLOOKUP(A155,'2022 CR and CMI'!$A$3:$D$207,3,FALSE)</f>
        <v>44348</v>
      </c>
      <c r="H155" s="82">
        <f>VLOOKUP(A155,'2022 CR and CMI'!$A$3:$D$207,4,FALSE)</f>
        <v>44712</v>
      </c>
      <c r="I155" s="72">
        <f>VLOOKUP(A155,'2022 CR and CMI'!$A$2:$T$210,19,FALSE)</f>
        <v>1.3651</v>
      </c>
      <c r="J155" s="139">
        <f>Inflation!$G$24</f>
        <v>1.0309999999999999</v>
      </c>
      <c r="K155" s="192">
        <f>VLOOKUP(E155,Limits!$B$2:$D$5,3,FALSE)</f>
        <v>176.01</v>
      </c>
      <c r="L155" s="192">
        <f t="shared" si="124"/>
        <v>181.47</v>
      </c>
      <c r="M155" s="140">
        <f>VLOOKUP(A155,'CMI Data'!$A$4:$C$208,3,FALSE)</f>
        <v>1.4560999999999999</v>
      </c>
      <c r="N155" s="68">
        <f t="shared" si="106"/>
        <v>171.65</v>
      </c>
      <c r="O155" s="68">
        <f t="shared" si="125"/>
        <v>183.09</v>
      </c>
      <c r="P155" s="75">
        <f t="shared" si="126"/>
        <v>173.94</v>
      </c>
      <c r="Q155" s="75">
        <v>179.4</v>
      </c>
      <c r="R155" s="75">
        <f t="shared" si="127"/>
        <v>184.96</v>
      </c>
      <c r="S155" s="68">
        <f t="shared" si="128"/>
        <v>197.29</v>
      </c>
      <c r="T155" s="75">
        <f t="shared" si="129"/>
        <v>0</v>
      </c>
      <c r="U155" s="68">
        <f t="shared" si="130"/>
        <v>183.09</v>
      </c>
      <c r="V155" s="68">
        <f>VLOOKUP($F155,Limits!$J$2:$L$5,3,FALSE)</f>
        <v>19.23</v>
      </c>
      <c r="W155" s="68">
        <f t="shared" si="131"/>
        <v>19.829999999999998</v>
      </c>
      <c r="X155" s="68">
        <f>VLOOKUP($F155,Limits!$R$2:$T$5,3,FALSE)</f>
        <v>100.61</v>
      </c>
      <c r="Y155" s="68">
        <f t="shared" si="132"/>
        <v>103.73</v>
      </c>
      <c r="Z155" s="75">
        <f>VLOOKUP(A155,FRV!$A$4:$U$208,21,FALSE)</f>
        <v>39.36</v>
      </c>
      <c r="AA155" s="141">
        <f>VLOOKUP(A155,'RE Tax'!$A$2:$G$206,3,FALSE)</f>
        <v>45292</v>
      </c>
      <c r="AB155" s="141">
        <f>VLOOKUP(A155,'RE Tax'!$A$2:$G$206,4,FALSE)</f>
        <v>45657</v>
      </c>
      <c r="AC155" s="4">
        <f>VLOOKUP(A155,'RE Tax'!$A$2:$G$206,7,FALSE)</f>
        <v>276737</v>
      </c>
      <c r="AD155" s="4">
        <f>VLOOKUP($A155,'RE Tax'!$A$2:$I$206,9,FALSE)</f>
        <v>57828</v>
      </c>
      <c r="AE155" s="4">
        <f>VLOOKUP($A155,'RE Tax'!$A$2:$I$206,8,FALSE)</f>
        <v>54595</v>
      </c>
      <c r="AF155" s="142">
        <f>IF(ISNA(VLOOKUP(A155&amp;AB155,'Days Exceptions'!$C$3:$I$7,6,FALSE)),ROUND(AC155/MAX(AE155,(AD155*Min_Occ)),2),ROUND(AC155/VLOOKUP(A155&amp;AB155,'Days Exceptions'!$C$3:$I$7,6,FALSE),2))</f>
        <v>5.07</v>
      </c>
      <c r="AG155" s="68">
        <v>0</v>
      </c>
      <c r="AH155" s="68">
        <f t="shared" si="133"/>
        <v>0</v>
      </c>
      <c r="AI155" s="4">
        <v>33863</v>
      </c>
      <c r="AJ155" s="4">
        <v>54468</v>
      </c>
      <c r="AK155" s="68">
        <f>IF(AI155=0,0,IF(ISNA(MATCH(A155,Documentation!$B$66:$B$71,0)),QA_Tax_reg,QA_Tax_5high))</f>
        <v>32.92</v>
      </c>
      <c r="AL155" s="75">
        <f t="shared" si="134"/>
        <v>20.47</v>
      </c>
      <c r="AM155" s="68">
        <f t="shared" si="135"/>
        <v>351.08</v>
      </c>
      <c r="AN155" s="68">
        <f t="shared" si="136"/>
        <v>259.54000000000002</v>
      </c>
      <c r="AO155" s="68">
        <f t="shared" si="137"/>
        <v>167.99</v>
      </c>
      <c r="AP155" s="37" t="s">
        <v>700</v>
      </c>
      <c r="AQ155" s="37" t="s">
        <v>701</v>
      </c>
      <c r="AR155" s="37" t="s">
        <v>1107</v>
      </c>
      <c r="AS155" s="66" t="e">
        <f>VLOOKUP(A155,'CMI Data'!$A$3:$J$209,10,FALSE)</f>
        <v>#DIV/0!</v>
      </c>
      <c r="AT155" s="68">
        <f t="shared" si="107"/>
        <v>166.49</v>
      </c>
      <c r="AU155" s="68" t="e">
        <f t="shared" si="108"/>
        <v>#DIV/0!</v>
      </c>
      <c r="AV155" s="75" t="e">
        <f t="shared" si="138"/>
        <v>#DIV/0!</v>
      </c>
      <c r="AW155" s="68" t="e">
        <f>IF($I155="NA","NA",ROUND(#REF!*$AS155/$I155,2))</f>
        <v>#REF!</v>
      </c>
      <c r="AX155" s="75" t="e">
        <f t="shared" si="105"/>
        <v>#REF!</v>
      </c>
      <c r="AY155" s="68" t="e">
        <f t="shared" si="139"/>
        <v>#REF!</v>
      </c>
      <c r="AZ155" s="4">
        <f t="shared" si="140"/>
        <v>276737</v>
      </c>
      <c r="BA155" s="4">
        <f t="shared" si="141"/>
        <v>57828</v>
      </c>
      <c r="BB155" s="4">
        <f t="shared" si="142"/>
        <v>54595</v>
      </c>
      <c r="BC155" s="142">
        <f>IF(ISNA(VLOOKUP($A155&amp;$AB155,'Days Exceptions'!$C$3:$I$7,6,FALSE)),ROUND(AZ155/MAX(BB155,(BA155*Min_Occ)),2),ROUND(AZ155/VLOOKUP($A155&amp;$AB155,'Days Exceptions'!$C$3:$I$7,6,FALSE),2))</f>
        <v>5.07</v>
      </c>
      <c r="BD155" s="143" t="e">
        <f t="shared" si="109"/>
        <v>#REF!</v>
      </c>
      <c r="BE155" s="143" t="e">
        <f t="shared" si="110"/>
        <v>#REF!</v>
      </c>
      <c r="BF155" s="143">
        <f t="shared" si="111"/>
        <v>164.27</v>
      </c>
      <c r="BG155" s="37" t="s">
        <v>700</v>
      </c>
      <c r="BH155" s="37" t="s">
        <v>701</v>
      </c>
      <c r="BI155" s="37" t="s">
        <v>1311</v>
      </c>
      <c r="BJ155" s="66" t="e">
        <f>VLOOKUP(A155,'CMI Data'!$A$3:$AZ$209,15,FALSE)</f>
        <v>#DIV/0!</v>
      </c>
      <c r="BK155" s="68">
        <f t="shared" si="112"/>
        <v>166.49</v>
      </c>
      <c r="BL155" s="68" t="e">
        <f t="shared" si="113"/>
        <v>#DIV/0!</v>
      </c>
      <c r="BM155" s="75" t="e">
        <f t="shared" si="143"/>
        <v>#DIV/0!</v>
      </c>
      <c r="BN155" s="68" t="e">
        <f>IF($I155="NA","NA",ROUND(#REF!*$BJ155/$I155,2))</f>
        <v>#REF!</v>
      </c>
      <c r="BO155" s="75" t="e">
        <f t="shared" si="144"/>
        <v>#REF!</v>
      </c>
      <c r="BP155" s="68" t="e">
        <f t="shared" si="145"/>
        <v>#REF!</v>
      </c>
      <c r="BQ155" s="4">
        <f t="shared" si="146"/>
        <v>276737</v>
      </c>
      <c r="BR155" s="4">
        <f t="shared" si="147"/>
        <v>57828</v>
      </c>
      <c r="BS155" s="4">
        <f t="shared" si="148"/>
        <v>54595</v>
      </c>
      <c r="BT155" s="142">
        <f>IF(ISNA(VLOOKUP($A155&amp;$AB155,'Days Exceptions'!$C$3:$I$7,6,FALSE)),ROUND(BQ155/MAX(BS155,(BR155*Min_Occ)),2),ROUND(BQ155/VLOOKUP($A155&amp;$AB155,'Days Exceptions'!$C$3:$I$7,6,FALSE),2))</f>
        <v>5.07</v>
      </c>
      <c r="BU155" s="143" t="e">
        <f t="shared" si="114"/>
        <v>#REF!</v>
      </c>
      <c r="BV155" s="143" t="e">
        <f t="shared" si="115"/>
        <v>#REF!</v>
      </c>
      <c r="BW155" s="143">
        <f t="shared" si="116"/>
        <v>164.27</v>
      </c>
      <c r="BX155" s="37" t="s">
        <v>700</v>
      </c>
      <c r="BY155" s="37" t="s">
        <v>701</v>
      </c>
      <c r="BZ155" s="37" t="s">
        <v>1666</v>
      </c>
      <c r="CA155" s="66" t="e">
        <f>VLOOKUP(A155,'CMI Data'!$A$3:$AZ$209,20,FALSE)</f>
        <v>#DIV/0!</v>
      </c>
      <c r="CB155" s="68">
        <f t="shared" si="117"/>
        <v>166.49</v>
      </c>
      <c r="CC155" s="68" t="e">
        <f t="shared" si="118"/>
        <v>#DIV/0!</v>
      </c>
      <c r="CD155" s="75" t="e">
        <f t="shared" si="149"/>
        <v>#DIV/0!</v>
      </c>
      <c r="CE155" s="68" t="e">
        <f>IF($I155="NA","NA",ROUND(#REF!*$CA155/$I155,2))</f>
        <v>#REF!</v>
      </c>
      <c r="CF155" s="75" t="e">
        <f t="shared" si="150"/>
        <v>#REF!</v>
      </c>
      <c r="CG155" s="68" t="e">
        <f t="shared" si="151"/>
        <v>#REF!</v>
      </c>
      <c r="CH155" s="4">
        <f t="shared" si="152"/>
        <v>276737</v>
      </c>
      <c r="CI155" s="4">
        <f t="shared" si="153"/>
        <v>57828</v>
      </c>
      <c r="CJ155" s="4">
        <f t="shared" si="154"/>
        <v>54595</v>
      </c>
      <c r="CK155" s="142">
        <f>IF(ISNA(VLOOKUP($A155&amp;$AB155,'Days Exceptions'!$C$3:$I$7,6,FALSE)),ROUND(CH155/MAX(CJ155,(CI155*Min_Occ)),2),ROUND(CH155/VLOOKUP($A155&amp;$AB155,'Days Exceptions'!$C$3:$I$7,6,FALSE),2))</f>
        <v>5.07</v>
      </c>
      <c r="CL155" s="143" t="e">
        <f t="shared" si="119"/>
        <v>#REF!</v>
      </c>
      <c r="CM155" s="143" t="e">
        <f t="shared" si="120"/>
        <v>#REF!</v>
      </c>
      <c r="CN155" s="143">
        <f t="shared" si="121"/>
        <v>164.27</v>
      </c>
      <c r="CO155" s="37" t="s">
        <v>700</v>
      </c>
      <c r="CP155" s="37" t="s">
        <v>701</v>
      </c>
      <c r="CQ155" s="37" t="s">
        <v>1667</v>
      </c>
    </row>
    <row r="156" spans="1:95" x14ac:dyDescent="0.15">
      <c r="A156" s="130">
        <v>308</v>
      </c>
      <c r="B156" s="37" t="s">
        <v>703</v>
      </c>
      <c r="C156" s="1" t="s">
        <v>148</v>
      </c>
      <c r="D156" s="1" t="s">
        <v>119</v>
      </c>
      <c r="E156" s="1" t="str">
        <f>VLOOKUP(D156,Documentation!$B$4:$D$27,3,FALSE)</f>
        <v>WASHINGTON METRO</v>
      </c>
      <c r="F156" s="1" t="str">
        <f>VLOOKUP(D156,Documentation!$B$4:$C$27,2,FALSE)</f>
        <v>WASHINGTON METRO</v>
      </c>
      <c r="G156" s="82">
        <f>VLOOKUP(A156,'2022 CR and CMI'!$A$3:$D$207,3,FALSE)</f>
        <v>44348</v>
      </c>
      <c r="H156" s="82">
        <f>VLOOKUP(A156,'2022 CR and CMI'!$A$3:$D$207,4,FALSE)</f>
        <v>44712</v>
      </c>
      <c r="I156" s="72">
        <f>VLOOKUP(A156,'2022 CR and CMI'!$A$2:$T$210,19,FALSE)</f>
        <v>1.304</v>
      </c>
      <c r="J156" s="139">
        <f>Inflation!$G$24</f>
        <v>1.0309999999999999</v>
      </c>
      <c r="K156" s="192">
        <f>VLOOKUP(E156,Limits!$B$2:$D$5,3,FALSE)</f>
        <v>176.01</v>
      </c>
      <c r="L156" s="192">
        <f t="shared" si="124"/>
        <v>181.47</v>
      </c>
      <c r="M156" s="140">
        <f>VLOOKUP(A156,'CMI Data'!$A$4:$C$208,3,FALSE)</f>
        <v>1.4551000000000001</v>
      </c>
      <c r="N156" s="68">
        <f t="shared" si="106"/>
        <v>163.97</v>
      </c>
      <c r="O156" s="68">
        <f t="shared" si="125"/>
        <v>182.97</v>
      </c>
      <c r="P156" s="75">
        <f t="shared" si="126"/>
        <v>173.82</v>
      </c>
      <c r="Q156" s="75">
        <v>172.19</v>
      </c>
      <c r="R156" s="75">
        <f t="shared" si="127"/>
        <v>177.53</v>
      </c>
      <c r="S156" s="68">
        <f t="shared" si="128"/>
        <v>198.1</v>
      </c>
      <c r="T156" s="75">
        <f t="shared" si="129"/>
        <v>0</v>
      </c>
      <c r="U156" s="68">
        <f t="shared" si="130"/>
        <v>182.97</v>
      </c>
      <c r="V156" s="68">
        <f>VLOOKUP($F156,Limits!$J$2:$L$5,3,FALSE)</f>
        <v>19.23</v>
      </c>
      <c r="W156" s="68">
        <f t="shared" si="131"/>
        <v>19.829999999999998</v>
      </c>
      <c r="X156" s="68">
        <f>VLOOKUP($F156,Limits!$R$2:$T$5,3,FALSE)</f>
        <v>100.61</v>
      </c>
      <c r="Y156" s="68">
        <f t="shared" si="132"/>
        <v>103.73</v>
      </c>
      <c r="Z156" s="75">
        <f>VLOOKUP(A156,FRV!$A$4:$U$208,21,FALSE)</f>
        <v>41.32</v>
      </c>
      <c r="AA156" s="141">
        <f>VLOOKUP(A156,'RE Tax'!$A$2:$G$206,3,FALSE)</f>
        <v>45292</v>
      </c>
      <c r="AB156" s="141">
        <f>VLOOKUP(A156,'RE Tax'!$A$2:$G$206,4,FALSE)</f>
        <v>45657</v>
      </c>
      <c r="AC156" s="4">
        <f>VLOOKUP(A156,'RE Tax'!$A$2:$G$206,7,FALSE)</f>
        <v>86083</v>
      </c>
      <c r="AD156" s="4">
        <f>VLOOKUP($A156,'RE Tax'!$A$2:$I$206,9,FALSE)</f>
        <v>34404</v>
      </c>
      <c r="AE156" s="4">
        <f>VLOOKUP($A156,'RE Tax'!$A$2:$I$206,8,FALSE)</f>
        <v>32613</v>
      </c>
      <c r="AF156" s="142">
        <f>IF(ISNA(VLOOKUP(A156&amp;AB156,'Days Exceptions'!$C$3:$I$7,6,FALSE)),ROUND(AC156/MAX(AE156,(AD156*Min_Occ)),2),ROUND(AC156/VLOOKUP(A156&amp;AB156,'Days Exceptions'!$C$3:$I$7,6,FALSE),2))</f>
        <v>2.64</v>
      </c>
      <c r="AG156" s="68">
        <v>0</v>
      </c>
      <c r="AH156" s="68">
        <f t="shared" si="133"/>
        <v>0</v>
      </c>
      <c r="AI156" s="4">
        <v>19239</v>
      </c>
      <c r="AJ156" s="4">
        <v>32608</v>
      </c>
      <c r="AK156" s="68">
        <f>IF(AI156=0,0,IF(ISNA(MATCH(A156,Documentation!$B$66:$B$71,0)),QA_Tax_reg,QA_Tax_5high))</f>
        <v>32.92</v>
      </c>
      <c r="AL156" s="75">
        <f t="shared" si="134"/>
        <v>19.420000000000002</v>
      </c>
      <c r="AM156" s="68">
        <f t="shared" si="135"/>
        <v>350.49</v>
      </c>
      <c r="AN156" s="68">
        <f t="shared" si="136"/>
        <v>259.01</v>
      </c>
      <c r="AO156" s="68">
        <f t="shared" si="137"/>
        <v>167.52</v>
      </c>
      <c r="AP156" s="37" t="s">
        <v>702</v>
      </c>
      <c r="AQ156" s="37" t="s">
        <v>703</v>
      </c>
      <c r="AR156" s="37" t="s">
        <v>1108</v>
      </c>
      <c r="AS156" s="66" t="e">
        <f>VLOOKUP(A156,'CMI Data'!$A$3:$J$209,10,FALSE)</f>
        <v>#DIV/0!</v>
      </c>
      <c r="AT156" s="68">
        <f t="shared" si="107"/>
        <v>159.03</v>
      </c>
      <c r="AU156" s="68" t="e">
        <f t="shared" si="108"/>
        <v>#DIV/0!</v>
      </c>
      <c r="AV156" s="75" t="e">
        <f t="shared" si="138"/>
        <v>#DIV/0!</v>
      </c>
      <c r="AW156" s="68" t="e">
        <f>IF($I156="NA","NA",ROUND(#REF!*$AS156/$I156,2))</f>
        <v>#REF!</v>
      </c>
      <c r="AX156" s="75" t="e">
        <f t="shared" si="105"/>
        <v>#REF!</v>
      </c>
      <c r="AY156" s="68" t="e">
        <f t="shared" si="139"/>
        <v>#REF!</v>
      </c>
      <c r="AZ156" s="4">
        <f t="shared" si="140"/>
        <v>86083</v>
      </c>
      <c r="BA156" s="4">
        <f t="shared" si="141"/>
        <v>34404</v>
      </c>
      <c r="BB156" s="4">
        <f t="shared" si="142"/>
        <v>32613</v>
      </c>
      <c r="BC156" s="142">
        <f>IF(ISNA(VLOOKUP($A156&amp;$AB156,'Days Exceptions'!$C$3:$I$7,6,FALSE)),ROUND(AZ156/MAX(BB156,(BA156*Min_Occ)),2),ROUND(AZ156/VLOOKUP($A156&amp;$AB156,'Days Exceptions'!$C$3:$I$7,6,FALSE),2))</f>
        <v>2.64</v>
      </c>
      <c r="BD156" s="143" t="e">
        <f t="shared" si="109"/>
        <v>#REF!</v>
      </c>
      <c r="BE156" s="143" t="e">
        <f t="shared" si="110"/>
        <v>#REF!</v>
      </c>
      <c r="BF156" s="143">
        <f t="shared" si="111"/>
        <v>163.80000000000001</v>
      </c>
      <c r="BG156" s="37" t="s">
        <v>702</v>
      </c>
      <c r="BH156" s="37" t="s">
        <v>703</v>
      </c>
      <c r="BI156" s="37" t="s">
        <v>1312</v>
      </c>
      <c r="BJ156" s="66" t="e">
        <f>VLOOKUP(A156,'CMI Data'!$A$3:$AZ$209,15,FALSE)</f>
        <v>#DIV/0!</v>
      </c>
      <c r="BK156" s="68">
        <f t="shared" si="112"/>
        <v>159.03</v>
      </c>
      <c r="BL156" s="68" t="e">
        <f t="shared" si="113"/>
        <v>#DIV/0!</v>
      </c>
      <c r="BM156" s="75" t="e">
        <f t="shared" si="143"/>
        <v>#DIV/0!</v>
      </c>
      <c r="BN156" s="68" t="e">
        <f>IF($I156="NA","NA",ROUND(#REF!*$BJ156/$I156,2))</f>
        <v>#REF!</v>
      </c>
      <c r="BO156" s="75" t="e">
        <f t="shared" si="144"/>
        <v>#REF!</v>
      </c>
      <c r="BP156" s="68" t="e">
        <f t="shared" si="145"/>
        <v>#REF!</v>
      </c>
      <c r="BQ156" s="4">
        <f t="shared" si="146"/>
        <v>86083</v>
      </c>
      <c r="BR156" s="4">
        <f t="shared" si="147"/>
        <v>34404</v>
      </c>
      <c r="BS156" s="4">
        <f t="shared" si="148"/>
        <v>32613</v>
      </c>
      <c r="BT156" s="142">
        <f>IF(ISNA(VLOOKUP($A156&amp;$AB156,'Days Exceptions'!$C$3:$I$7,6,FALSE)),ROUND(BQ156/MAX(BS156,(BR156*Min_Occ)),2),ROUND(BQ156/VLOOKUP($A156&amp;$AB156,'Days Exceptions'!$C$3:$I$7,6,FALSE),2))</f>
        <v>2.64</v>
      </c>
      <c r="BU156" s="143" t="e">
        <f t="shared" si="114"/>
        <v>#REF!</v>
      </c>
      <c r="BV156" s="143" t="e">
        <f t="shared" si="115"/>
        <v>#REF!</v>
      </c>
      <c r="BW156" s="143">
        <f t="shared" si="116"/>
        <v>163.80000000000001</v>
      </c>
      <c r="BX156" s="37" t="s">
        <v>702</v>
      </c>
      <c r="BY156" s="37" t="s">
        <v>703</v>
      </c>
      <c r="BZ156" s="37" t="s">
        <v>1668</v>
      </c>
      <c r="CA156" s="66" t="e">
        <f>VLOOKUP(A156,'CMI Data'!$A$3:$AZ$209,20,FALSE)</f>
        <v>#DIV/0!</v>
      </c>
      <c r="CB156" s="68">
        <f t="shared" si="117"/>
        <v>159.03</v>
      </c>
      <c r="CC156" s="68" t="e">
        <f t="shared" si="118"/>
        <v>#DIV/0!</v>
      </c>
      <c r="CD156" s="75" t="e">
        <f t="shared" si="149"/>
        <v>#DIV/0!</v>
      </c>
      <c r="CE156" s="68" t="e">
        <f>IF($I156="NA","NA",ROUND(#REF!*$CA156/$I156,2))</f>
        <v>#REF!</v>
      </c>
      <c r="CF156" s="75" t="e">
        <f t="shared" si="150"/>
        <v>#REF!</v>
      </c>
      <c r="CG156" s="68" t="e">
        <f t="shared" si="151"/>
        <v>#REF!</v>
      </c>
      <c r="CH156" s="4">
        <f t="shared" si="152"/>
        <v>86083</v>
      </c>
      <c r="CI156" s="4">
        <f t="shared" si="153"/>
        <v>34404</v>
      </c>
      <c r="CJ156" s="4">
        <f t="shared" si="154"/>
        <v>32613</v>
      </c>
      <c r="CK156" s="142">
        <f>IF(ISNA(VLOOKUP($A156&amp;$AB156,'Days Exceptions'!$C$3:$I$7,6,FALSE)),ROUND(CH156/MAX(CJ156,(CI156*Min_Occ)),2),ROUND(CH156/VLOOKUP($A156&amp;$AB156,'Days Exceptions'!$C$3:$I$7,6,FALSE),2))</f>
        <v>2.64</v>
      </c>
      <c r="CL156" s="143" t="e">
        <f t="shared" si="119"/>
        <v>#REF!</v>
      </c>
      <c r="CM156" s="143" t="e">
        <f t="shared" si="120"/>
        <v>#REF!</v>
      </c>
      <c r="CN156" s="143">
        <f t="shared" si="121"/>
        <v>163.80000000000001</v>
      </c>
      <c r="CO156" s="37" t="s">
        <v>702</v>
      </c>
      <c r="CP156" s="37" t="s">
        <v>703</v>
      </c>
      <c r="CQ156" s="37" t="s">
        <v>1669</v>
      </c>
    </row>
    <row r="157" spans="1:95" x14ac:dyDescent="0.15">
      <c r="A157" s="130">
        <v>685</v>
      </c>
      <c r="B157" s="37" t="s">
        <v>607</v>
      </c>
      <c r="C157" s="1" t="s">
        <v>148</v>
      </c>
      <c r="D157" s="1" t="s">
        <v>119</v>
      </c>
      <c r="E157" s="1" t="str">
        <f>VLOOKUP(D157,Documentation!$B$4:$D$27,3,FALSE)</f>
        <v>WASHINGTON METRO</v>
      </c>
      <c r="F157" s="1" t="str">
        <f>VLOOKUP(D157,Documentation!$B$4:$C$27,2,FALSE)</f>
        <v>WASHINGTON METRO</v>
      </c>
      <c r="G157" s="82">
        <f>VLOOKUP(A157,'2022 CR and CMI'!$A$3:$D$207,3,FALSE)</f>
        <v>44621</v>
      </c>
      <c r="H157" s="82">
        <f>VLOOKUP(A157,'2022 CR and CMI'!$A$3:$D$207,4,FALSE)</f>
        <v>44926</v>
      </c>
      <c r="I157" s="72">
        <f>VLOOKUP(A157,'2022 CR and CMI'!$A$2:$T$210,19,FALSE)</f>
        <v>1.5339</v>
      </c>
      <c r="J157" s="139">
        <f>Inflation!$G$24</f>
        <v>1.0309999999999999</v>
      </c>
      <c r="K157" s="192">
        <f>VLOOKUP(E157,Limits!$B$2:$D$5,3,FALSE)</f>
        <v>176.01</v>
      </c>
      <c r="L157" s="192">
        <f t="shared" si="124"/>
        <v>181.47</v>
      </c>
      <c r="M157" s="140">
        <f>VLOOKUP(A157,'CMI Data'!$A$4:$C$208,3,FALSE)</f>
        <v>1.514</v>
      </c>
      <c r="N157" s="68">
        <f t="shared" si="106"/>
        <v>192.87</v>
      </c>
      <c r="O157" s="68">
        <f t="shared" si="125"/>
        <v>190.37</v>
      </c>
      <c r="P157" s="75">
        <f t="shared" si="126"/>
        <v>180.85</v>
      </c>
      <c r="Q157" s="75">
        <v>153.68</v>
      </c>
      <c r="R157" s="75">
        <f t="shared" si="127"/>
        <v>158.44</v>
      </c>
      <c r="S157" s="68">
        <f t="shared" si="128"/>
        <v>156.38</v>
      </c>
      <c r="T157" s="75">
        <f t="shared" si="129"/>
        <v>-24.47</v>
      </c>
      <c r="U157" s="68">
        <f t="shared" si="130"/>
        <v>165.9</v>
      </c>
      <c r="V157" s="68">
        <f>VLOOKUP($F157,Limits!$J$2:$L$5,3,FALSE)</f>
        <v>19.23</v>
      </c>
      <c r="W157" s="68">
        <f t="shared" si="131"/>
        <v>19.829999999999998</v>
      </c>
      <c r="X157" s="68">
        <f>VLOOKUP($F157,Limits!$R$2:$T$5,3,FALSE)</f>
        <v>100.61</v>
      </c>
      <c r="Y157" s="68">
        <f t="shared" si="132"/>
        <v>103.73</v>
      </c>
      <c r="Z157" s="75">
        <f>VLOOKUP(A157,FRV!$A$4:$U$208,21,FALSE)</f>
        <v>37.22</v>
      </c>
      <c r="AA157" s="141">
        <f>VLOOKUP(A157,'RE Tax'!$A$2:$G$206,3,FALSE)</f>
        <v>45292</v>
      </c>
      <c r="AB157" s="141">
        <f>VLOOKUP(A157,'RE Tax'!$A$2:$G$206,4,FALSE)</f>
        <v>45657</v>
      </c>
      <c r="AC157" s="4">
        <f>VLOOKUP(A157,'RE Tax'!$A$2:$G$206,7,FALSE)</f>
        <v>228006</v>
      </c>
      <c r="AD157" s="4">
        <f>VLOOKUP($A157,'RE Tax'!$A$2:$I$206,9,FALSE)</f>
        <v>57462</v>
      </c>
      <c r="AE157" s="4">
        <f>VLOOKUP($A157,'RE Tax'!$A$2:$I$206,8,FALSE)</f>
        <v>52970</v>
      </c>
      <c r="AF157" s="142">
        <f>IF(ISNA(VLOOKUP(A157&amp;AB157,'Days Exceptions'!$C$3:$I$7,6,FALSE)),ROUND(AC157/MAX(AE157,(AD157*Min_Occ)),2),ROUND(AC157/VLOOKUP(A157&amp;AB157,'Days Exceptions'!$C$3:$I$7,6,FALSE),2))</f>
        <v>4.3</v>
      </c>
      <c r="AG157" s="68">
        <v>0</v>
      </c>
      <c r="AH157" s="68">
        <f t="shared" si="133"/>
        <v>0</v>
      </c>
      <c r="AI157" s="4">
        <v>34175</v>
      </c>
      <c r="AJ157" s="4">
        <v>52951</v>
      </c>
      <c r="AK157" s="68">
        <f>IF(AI157=0,0,IF(ISNA(MATCH(A157,Documentation!$B$66:$B$71,0)),QA_Tax_reg,QA_Tax_5high))</f>
        <v>32.92</v>
      </c>
      <c r="AL157" s="75">
        <f t="shared" si="134"/>
        <v>21.25</v>
      </c>
      <c r="AM157" s="68">
        <f t="shared" si="135"/>
        <v>330.98</v>
      </c>
      <c r="AN157" s="68">
        <f t="shared" si="136"/>
        <v>248.03</v>
      </c>
      <c r="AO157" s="68">
        <f t="shared" si="137"/>
        <v>165.08</v>
      </c>
      <c r="AP157" s="37" t="s">
        <v>611</v>
      </c>
      <c r="AQ157" s="37" t="s">
        <v>607</v>
      </c>
      <c r="AR157" s="37" t="s">
        <v>1109</v>
      </c>
      <c r="AS157" s="66" t="e">
        <f>VLOOKUP(A157,'CMI Data'!$A$3:$J$209,10,FALSE)</f>
        <v>#DIV/0!</v>
      </c>
      <c r="AT157" s="68">
        <f t="shared" si="107"/>
        <v>187.07</v>
      </c>
      <c r="AU157" s="68" t="e">
        <f t="shared" si="108"/>
        <v>#DIV/0!</v>
      </c>
      <c r="AV157" s="75" t="e">
        <f t="shared" si="138"/>
        <v>#DIV/0!</v>
      </c>
      <c r="AW157" s="68" t="e">
        <f>IF($I157="NA","NA",ROUND(#REF!*$AS157/$I157,2))</f>
        <v>#REF!</v>
      </c>
      <c r="AX157" s="75" t="e">
        <f t="shared" si="105"/>
        <v>#REF!</v>
      </c>
      <c r="AY157" s="68" t="e">
        <f t="shared" si="139"/>
        <v>#REF!</v>
      </c>
      <c r="AZ157" s="4">
        <f t="shared" si="140"/>
        <v>228006</v>
      </c>
      <c r="BA157" s="4">
        <f t="shared" si="141"/>
        <v>57462</v>
      </c>
      <c r="BB157" s="4">
        <f t="shared" si="142"/>
        <v>52970</v>
      </c>
      <c r="BC157" s="142">
        <f>IF(ISNA(VLOOKUP($A157&amp;$AB157,'Days Exceptions'!$C$3:$I$7,6,FALSE)),ROUND(AZ157/MAX(BB157,(BA157*Min_Occ)),2),ROUND(AZ157/VLOOKUP($A157&amp;$AB157,'Days Exceptions'!$C$3:$I$7,6,FALSE),2))</f>
        <v>4.3</v>
      </c>
      <c r="BD157" s="143" t="e">
        <f t="shared" si="109"/>
        <v>#REF!</v>
      </c>
      <c r="BE157" s="143" t="e">
        <f t="shared" si="110"/>
        <v>#REF!</v>
      </c>
      <c r="BF157" s="143">
        <f t="shared" si="111"/>
        <v>161.36000000000001</v>
      </c>
      <c r="BG157" s="37" t="s">
        <v>611</v>
      </c>
      <c r="BH157" s="37" t="s">
        <v>607</v>
      </c>
      <c r="BI157" s="37" t="s">
        <v>1313</v>
      </c>
      <c r="BJ157" s="66" t="e">
        <f>VLOOKUP(A157,'CMI Data'!$A$3:$AZ$209,15,FALSE)</f>
        <v>#DIV/0!</v>
      </c>
      <c r="BK157" s="68">
        <f t="shared" si="112"/>
        <v>187.07</v>
      </c>
      <c r="BL157" s="68" t="e">
        <f t="shared" si="113"/>
        <v>#DIV/0!</v>
      </c>
      <c r="BM157" s="75" t="e">
        <f t="shared" si="143"/>
        <v>#DIV/0!</v>
      </c>
      <c r="BN157" s="68" t="e">
        <f>IF($I157="NA","NA",ROUND(#REF!*$BJ157/$I157,2))</f>
        <v>#REF!</v>
      </c>
      <c r="BO157" s="75" t="e">
        <f t="shared" si="144"/>
        <v>#REF!</v>
      </c>
      <c r="BP157" s="68" t="e">
        <f t="shared" si="145"/>
        <v>#REF!</v>
      </c>
      <c r="BQ157" s="4">
        <f t="shared" si="146"/>
        <v>228006</v>
      </c>
      <c r="BR157" s="4">
        <f t="shared" si="147"/>
        <v>57462</v>
      </c>
      <c r="BS157" s="4">
        <f t="shared" si="148"/>
        <v>52970</v>
      </c>
      <c r="BT157" s="142">
        <f>IF(ISNA(VLOOKUP($A157&amp;$AB157,'Days Exceptions'!$C$3:$I$7,6,FALSE)),ROUND(BQ157/MAX(BS157,(BR157*Min_Occ)),2),ROUND(BQ157/VLOOKUP($A157&amp;$AB157,'Days Exceptions'!$C$3:$I$7,6,FALSE),2))</f>
        <v>4.3</v>
      </c>
      <c r="BU157" s="143" t="e">
        <f t="shared" si="114"/>
        <v>#REF!</v>
      </c>
      <c r="BV157" s="143" t="e">
        <f t="shared" si="115"/>
        <v>#REF!</v>
      </c>
      <c r="BW157" s="143">
        <f t="shared" si="116"/>
        <v>161.36000000000001</v>
      </c>
      <c r="BX157" s="37" t="s">
        <v>611</v>
      </c>
      <c r="BY157" s="37" t="s">
        <v>607</v>
      </c>
      <c r="BZ157" s="37" t="s">
        <v>1670</v>
      </c>
      <c r="CA157" s="66" t="e">
        <f>VLOOKUP(A157,'CMI Data'!$A$3:$AZ$209,20,FALSE)</f>
        <v>#DIV/0!</v>
      </c>
      <c r="CB157" s="68">
        <f t="shared" si="117"/>
        <v>187.07</v>
      </c>
      <c r="CC157" s="68" t="e">
        <f t="shared" si="118"/>
        <v>#DIV/0!</v>
      </c>
      <c r="CD157" s="75" t="e">
        <f t="shared" si="149"/>
        <v>#DIV/0!</v>
      </c>
      <c r="CE157" s="68" t="e">
        <f>IF($I157="NA","NA",ROUND(#REF!*$CA157/$I157,2))</f>
        <v>#REF!</v>
      </c>
      <c r="CF157" s="75" t="e">
        <f t="shared" si="150"/>
        <v>#REF!</v>
      </c>
      <c r="CG157" s="68" t="e">
        <f t="shared" si="151"/>
        <v>#REF!</v>
      </c>
      <c r="CH157" s="4">
        <f t="shared" si="152"/>
        <v>228006</v>
      </c>
      <c r="CI157" s="4">
        <f t="shared" si="153"/>
        <v>57462</v>
      </c>
      <c r="CJ157" s="4">
        <f t="shared" si="154"/>
        <v>52970</v>
      </c>
      <c r="CK157" s="142">
        <f>IF(ISNA(VLOOKUP($A157&amp;$AB157,'Days Exceptions'!$C$3:$I$7,6,FALSE)),ROUND(CH157/MAX(CJ157,(CI157*Min_Occ)),2),ROUND(CH157/VLOOKUP($A157&amp;$AB157,'Days Exceptions'!$C$3:$I$7,6,FALSE),2))</f>
        <v>4.3</v>
      </c>
      <c r="CL157" s="143" t="e">
        <f t="shared" si="119"/>
        <v>#REF!</v>
      </c>
      <c r="CM157" s="143" t="e">
        <f t="shared" si="120"/>
        <v>#REF!</v>
      </c>
      <c r="CN157" s="143">
        <f t="shared" si="121"/>
        <v>161.36000000000001</v>
      </c>
      <c r="CO157" s="37" t="s">
        <v>611</v>
      </c>
      <c r="CP157" s="37" t="s">
        <v>607</v>
      </c>
      <c r="CQ157" s="37" t="s">
        <v>1671</v>
      </c>
    </row>
    <row r="158" spans="1:95" x14ac:dyDescent="0.15">
      <c r="A158" s="130">
        <v>340</v>
      </c>
      <c r="B158" s="37" t="s">
        <v>387</v>
      </c>
      <c r="C158" s="1" t="s">
        <v>148</v>
      </c>
      <c r="D158" s="1" t="s">
        <v>105</v>
      </c>
      <c r="E158" s="1" t="str">
        <f>VLOOKUP(D158,Documentation!$B$4:$D$27,3,FALSE)</f>
        <v>WESTERN REGION</v>
      </c>
      <c r="F158" s="1" t="str">
        <f>VLOOKUP(D158,Documentation!$B$4:$C$27,2,FALSE)</f>
        <v>NON METRO</v>
      </c>
      <c r="G158" s="82">
        <f>VLOOKUP(A158,'2022 CR and CMI'!$A$3:$D$207,3,FALSE)</f>
        <v>44562</v>
      </c>
      <c r="H158" s="82">
        <f>VLOOKUP(A158,'2022 CR and CMI'!$A$3:$D$207,4,FALSE)</f>
        <v>44926</v>
      </c>
      <c r="I158" s="72">
        <f>VLOOKUP(A158,'2022 CR and CMI'!$A$2:$T$210,19,FALSE)</f>
        <v>1.2083999999999999</v>
      </c>
      <c r="J158" s="139">
        <f>Inflation!$G$24</f>
        <v>1.0309999999999999</v>
      </c>
      <c r="K158" s="192">
        <f>VLOOKUP(E158,Limits!$B$2:$D$5,3,FALSE)</f>
        <v>166.26</v>
      </c>
      <c r="L158" s="192">
        <f t="shared" si="124"/>
        <v>171.41</v>
      </c>
      <c r="M158" s="140">
        <f>VLOOKUP(A158,'CMI Data'!$A$4:$C$208,3,FALSE)</f>
        <v>1.2511000000000001</v>
      </c>
      <c r="N158" s="68">
        <f t="shared" si="106"/>
        <v>143.52000000000001</v>
      </c>
      <c r="O158" s="68">
        <f t="shared" si="125"/>
        <v>148.59</v>
      </c>
      <c r="P158" s="75">
        <f t="shared" si="126"/>
        <v>141.16</v>
      </c>
      <c r="Q158" s="75">
        <v>137.66</v>
      </c>
      <c r="R158" s="75">
        <f t="shared" si="127"/>
        <v>141.93</v>
      </c>
      <c r="S158" s="68">
        <f t="shared" si="128"/>
        <v>146.94999999999999</v>
      </c>
      <c r="T158" s="75">
        <f t="shared" si="129"/>
        <v>0</v>
      </c>
      <c r="U158" s="68">
        <f t="shared" si="130"/>
        <v>148.59</v>
      </c>
      <c r="V158" s="68">
        <f>VLOOKUP($F158,Limits!$J$2:$L$5,3,FALSE)</f>
        <v>20.239999999999998</v>
      </c>
      <c r="W158" s="68">
        <f t="shared" si="131"/>
        <v>20.87</v>
      </c>
      <c r="X158" s="68">
        <f>VLOOKUP($F158,Limits!$R$2:$T$5,3,FALSE)</f>
        <v>89.55</v>
      </c>
      <c r="Y158" s="68">
        <f t="shared" si="132"/>
        <v>92.33</v>
      </c>
      <c r="Z158" s="75">
        <f>VLOOKUP(A158,FRV!$A$4:$U$208,21,FALSE)</f>
        <v>33.549999999999997</v>
      </c>
      <c r="AA158" s="141">
        <f>VLOOKUP(A158,'RE Tax'!$A$2:$G$206,3,FALSE)</f>
        <v>45292</v>
      </c>
      <c r="AB158" s="141">
        <f>VLOOKUP(A158,'RE Tax'!$A$2:$G$206,4,FALSE)</f>
        <v>45657</v>
      </c>
      <c r="AC158" s="4">
        <f>VLOOKUP(A158,'RE Tax'!$A$2:$G$206,7,FALSE)</f>
        <v>72290</v>
      </c>
      <c r="AD158" s="4">
        <f>VLOOKUP($A158,'RE Tax'!$A$2:$I$206,9,FALSE)</f>
        <v>43920</v>
      </c>
      <c r="AE158" s="4">
        <f>VLOOKUP($A158,'RE Tax'!$A$2:$I$206,8,FALSE)</f>
        <v>25586</v>
      </c>
      <c r="AF158" s="142">
        <f>IF(ISNA(VLOOKUP(A158&amp;AB158,'Days Exceptions'!$C$3:$I$7,6,FALSE)),ROUND(AC158/MAX(AE158,(AD158*Min_Occ)),2),ROUND(AC158/VLOOKUP(A158&amp;AB158,'Days Exceptions'!$C$3:$I$7,6,FALSE),2))</f>
        <v>2.02</v>
      </c>
      <c r="AG158" s="68">
        <v>0</v>
      </c>
      <c r="AH158" s="68">
        <f t="shared" si="133"/>
        <v>0</v>
      </c>
      <c r="AI158" s="4">
        <v>21800</v>
      </c>
      <c r="AJ158" s="4">
        <v>25586</v>
      </c>
      <c r="AK158" s="68">
        <f>IF(AI158=0,0,IF(ISNA(MATCH(A158,Documentation!$B$66:$B$71,0)),QA_Tax_reg,QA_Tax_5high))</f>
        <v>32.92</v>
      </c>
      <c r="AL158" s="75">
        <f t="shared" si="134"/>
        <v>28.05</v>
      </c>
      <c r="AM158" s="68">
        <f t="shared" si="135"/>
        <v>297.36</v>
      </c>
      <c r="AN158" s="68">
        <f t="shared" si="136"/>
        <v>223.07</v>
      </c>
      <c r="AO158" s="68">
        <f t="shared" si="137"/>
        <v>148.77000000000001</v>
      </c>
      <c r="AP158" s="37" t="s">
        <v>386</v>
      </c>
      <c r="AQ158" s="37" t="s">
        <v>387</v>
      </c>
      <c r="AR158" s="37" t="s">
        <v>1110</v>
      </c>
      <c r="AS158" s="66" t="e">
        <f>VLOOKUP(A158,'CMI Data'!$A$3:$J$209,10,FALSE)</f>
        <v>#DIV/0!</v>
      </c>
      <c r="AT158" s="68">
        <f t="shared" si="107"/>
        <v>139.21</v>
      </c>
      <c r="AU158" s="68" t="e">
        <f t="shared" si="108"/>
        <v>#DIV/0!</v>
      </c>
      <c r="AV158" s="75" t="e">
        <f t="shared" si="138"/>
        <v>#DIV/0!</v>
      </c>
      <c r="AW158" s="68" t="e">
        <f>IF($I158="NA","NA",ROUND(#REF!*$AS158/$I158,2))</f>
        <v>#REF!</v>
      </c>
      <c r="AX158" s="75" t="e">
        <f t="shared" si="105"/>
        <v>#REF!</v>
      </c>
      <c r="AY158" s="68" t="e">
        <f t="shared" si="139"/>
        <v>#REF!</v>
      </c>
      <c r="AZ158" s="4">
        <f t="shared" si="140"/>
        <v>72290</v>
      </c>
      <c r="BA158" s="4">
        <f t="shared" si="141"/>
        <v>43920</v>
      </c>
      <c r="BB158" s="4">
        <f t="shared" si="142"/>
        <v>25586</v>
      </c>
      <c r="BC158" s="142">
        <f>IF(ISNA(VLOOKUP($A158&amp;$AB158,'Days Exceptions'!$C$3:$I$7,6,FALSE)),ROUND(AZ158/MAX(BB158,(BA158*Min_Occ)),2),ROUND(AZ158/VLOOKUP($A158&amp;$AB158,'Days Exceptions'!$C$3:$I$7,6,FALSE),2))</f>
        <v>2.02</v>
      </c>
      <c r="BD158" s="143" t="e">
        <f t="shared" si="109"/>
        <v>#REF!</v>
      </c>
      <c r="BE158" s="143" t="e">
        <f t="shared" si="110"/>
        <v>#REF!</v>
      </c>
      <c r="BF158" s="143">
        <f t="shared" si="111"/>
        <v>145.36000000000001</v>
      </c>
      <c r="BG158" s="37" t="s">
        <v>386</v>
      </c>
      <c r="BH158" s="37" t="s">
        <v>387</v>
      </c>
      <c r="BI158" s="37" t="s">
        <v>1314</v>
      </c>
      <c r="BJ158" s="66" t="e">
        <f>VLOOKUP(A158,'CMI Data'!$A$3:$AZ$209,15,FALSE)</f>
        <v>#DIV/0!</v>
      </c>
      <c r="BK158" s="68">
        <f t="shared" si="112"/>
        <v>139.21</v>
      </c>
      <c r="BL158" s="68" t="e">
        <f t="shared" si="113"/>
        <v>#DIV/0!</v>
      </c>
      <c r="BM158" s="75" t="e">
        <f t="shared" si="143"/>
        <v>#DIV/0!</v>
      </c>
      <c r="BN158" s="68" t="e">
        <f>IF($I158="NA","NA",ROUND(#REF!*$BJ158/$I158,2))</f>
        <v>#REF!</v>
      </c>
      <c r="BO158" s="75" t="e">
        <f t="shared" si="144"/>
        <v>#REF!</v>
      </c>
      <c r="BP158" s="68" t="e">
        <f t="shared" si="145"/>
        <v>#REF!</v>
      </c>
      <c r="BQ158" s="4">
        <f t="shared" si="146"/>
        <v>72290</v>
      </c>
      <c r="BR158" s="4">
        <f t="shared" si="147"/>
        <v>43920</v>
      </c>
      <c r="BS158" s="4">
        <f t="shared" si="148"/>
        <v>25586</v>
      </c>
      <c r="BT158" s="142">
        <f>IF(ISNA(VLOOKUP($A158&amp;$AB158,'Days Exceptions'!$C$3:$I$7,6,FALSE)),ROUND(BQ158/MAX(BS158,(BR158*Min_Occ)),2),ROUND(BQ158/VLOOKUP($A158&amp;$AB158,'Days Exceptions'!$C$3:$I$7,6,FALSE),2))</f>
        <v>2.02</v>
      </c>
      <c r="BU158" s="143" t="e">
        <f t="shared" si="114"/>
        <v>#REF!</v>
      </c>
      <c r="BV158" s="143" t="e">
        <f t="shared" si="115"/>
        <v>#REF!</v>
      </c>
      <c r="BW158" s="143">
        <f t="shared" si="116"/>
        <v>145.36000000000001</v>
      </c>
      <c r="BX158" s="37" t="s">
        <v>386</v>
      </c>
      <c r="BY158" s="37" t="s">
        <v>387</v>
      </c>
      <c r="BZ158" s="37" t="s">
        <v>1672</v>
      </c>
      <c r="CA158" s="66" t="e">
        <f>VLOOKUP(A158,'CMI Data'!$A$3:$AZ$209,20,FALSE)</f>
        <v>#DIV/0!</v>
      </c>
      <c r="CB158" s="68">
        <f t="shared" si="117"/>
        <v>139.21</v>
      </c>
      <c r="CC158" s="68" t="e">
        <f t="shared" si="118"/>
        <v>#DIV/0!</v>
      </c>
      <c r="CD158" s="75" t="e">
        <f t="shared" si="149"/>
        <v>#DIV/0!</v>
      </c>
      <c r="CE158" s="68" t="e">
        <f>IF($I158="NA","NA",ROUND(#REF!*$CA158/$I158,2))</f>
        <v>#REF!</v>
      </c>
      <c r="CF158" s="75" t="e">
        <f t="shared" si="150"/>
        <v>#REF!</v>
      </c>
      <c r="CG158" s="68" t="e">
        <f t="shared" si="151"/>
        <v>#REF!</v>
      </c>
      <c r="CH158" s="4">
        <f t="shared" si="152"/>
        <v>72290</v>
      </c>
      <c r="CI158" s="4">
        <f t="shared" si="153"/>
        <v>43920</v>
      </c>
      <c r="CJ158" s="4">
        <f t="shared" si="154"/>
        <v>25586</v>
      </c>
      <c r="CK158" s="142">
        <f>IF(ISNA(VLOOKUP($A158&amp;$AB158,'Days Exceptions'!$C$3:$I$7,6,FALSE)),ROUND(CH158/MAX(CJ158,(CI158*Min_Occ)),2),ROUND(CH158/VLOOKUP($A158&amp;$AB158,'Days Exceptions'!$C$3:$I$7,6,FALSE),2))</f>
        <v>2.02</v>
      </c>
      <c r="CL158" s="143" t="e">
        <f t="shared" si="119"/>
        <v>#REF!</v>
      </c>
      <c r="CM158" s="143" t="e">
        <f t="shared" si="120"/>
        <v>#REF!</v>
      </c>
      <c r="CN158" s="143">
        <f t="shared" si="121"/>
        <v>145.36000000000001</v>
      </c>
      <c r="CO158" s="37" t="s">
        <v>386</v>
      </c>
      <c r="CP158" s="37" t="s">
        <v>387</v>
      </c>
      <c r="CQ158" s="37" t="s">
        <v>1673</v>
      </c>
    </row>
    <row r="159" spans="1:95" x14ac:dyDescent="0.15">
      <c r="A159" s="130">
        <v>348</v>
      </c>
      <c r="B159" s="37" t="s">
        <v>436</v>
      </c>
      <c r="C159" s="1" t="s">
        <v>148</v>
      </c>
      <c r="D159" s="1" t="s">
        <v>114</v>
      </c>
      <c r="E159" s="1" t="str">
        <f>VLOOKUP(D159,Documentation!$B$4:$D$27,3,FALSE)</f>
        <v>WASHINGTON METRO</v>
      </c>
      <c r="F159" s="1" t="str">
        <f>VLOOKUP(D159,Documentation!$B$4:$C$27,2,FALSE)</f>
        <v>NON METRO</v>
      </c>
      <c r="G159" s="82">
        <f>VLOOKUP(A159,'2022 CR and CMI'!$A$3:$D$207,3,FALSE)</f>
        <v>44562</v>
      </c>
      <c r="H159" s="82">
        <f>VLOOKUP(A159,'2022 CR and CMI'!$A$3:$D$207,4,FALSE)</f>
        <v>44926</v>
      </c>
      <c r="I159" s="72">
        <f>VLOOKUP(A159,'2022 CR and CMI'!$A$2:$T$210,19,FALSE)</f>
        <v>1.2695000000000001</v>
      </c>
      <c r="J159" s="139">
        <f>Inflation!$G$24</f>
        <v>1.0309999999999999</v>
      </c>
      <c r="K159" s="192">
        <f>VLOOKUP(E159,Limits!$B$2:$D$5,3,FALSE)</f>
        <v>176.01</v>
      </c>
      <c r="L159" s="192">
        <f t="shared" si="124"/>
        <v>181.47</v>
      </c>
      <c r="M159" s="140">
        <f>VLOOKUP(A159,'CMI Data'!$A$4:$C$208,3,FALSE)</f>
        <v>1.3189</v>
      </c>
      <c r="N159" s="68">
        <f t="shared" si="106"/>
        <v>159.63</v>
      </c>
      <c r="O159" s="68">
        <f t="shared" si="125"/>
        <v>165.84</v>
      </c>
      <c r="P159" s="75">
        <f t="shared" si="126"/>
        <v>157.55000000000001</v>
      </c>
      <c r="Q159" s="75">
        <v>148.28</v>
      </c>
      <c r="R159" s="75">
        <f t="shared" si="127"/>
        <v>152.88</v>
      </c>
      <c r="S159" s="68">
        <f t="shared" si="128"/>
        <v>158.83000000000001</v>
      </c>
      <c r="T159" s="75">
        <f t="shared" si="129"/>
        <v>0</v>
      </c>
      <c r="U159" s="68">
        <f t="shared" si="130"/>
        <v>165.84</v>
      </c>
      <c r="V159" s="68">
        <f>VLOOKUP($F159,Limits!$J$2:$L$5,3,FALSE)</f>
        <v>20.239999999999998</v>
      </c>
      <c r="W159" s="68">
        <f t="shared" si="131"/>
        <v>20.87</v>
      </c>
      <c r="X159" s="68">
        <f>VLOOKUP($F159,Limits!$R$2:$T$5,3,FALSE)</f>
        <v>89.55</v>
      </c>
      <c r="Y159" s="68">
        <f t="shared" si="132"/>
        <v>92.33</v>
      </c>
      <c r="Z159" s="75">
        <f>VLOOKUP(A159,FRV!$A$4:$U$208,21,FALSE)</f>
        <v>37.119999999999997</v>
      </c>
      <c r="AA159" s="141">
        <f>VLOOKUP(A159,'RE Tax'!$A$2:$G$206,3,FALSE)</f>
        <v>45292</v>
      </c>
      <c r="AB159" s="141">
        <f>VLOOKUP(A159,'RE Tax'!$A$2:$G$206,4,FALSE)</f>
        <v>45657</v>
      </c>
      <c r="AC159" s="4">
        <f>VLOOKUP(A159,'RE Tax'!$A$2:$G$206,7,FALSE)</f>
        <v>215173</v>
      </c>
      <c r="AD159" s="4">
        <f>VLOOKUP($A159,'RE Tax'!$A$2:$I$206,9,FALSE)</f>
        <v>71736</v>
      </c>
      <c r="AE159" s="4">
        <f>VLOOKUP($A159,'RE Tax'!$A$2:$I$206,8,FALSE)</f>
        <v>43031</v>
      </c>
      <c r="AF159" s="142">
        <f>IF(ISNA(VLOOKUP(A159&amp;AB159,'Days Exceptions'!$C$3:$I$7,6,FALSE)),ROUND(AC159/MAX(AE159,(AD159*Min_Occ)),2),ROUND(AC159/VLOOKUP(A159&amp;AB159,'Days Exceptions'!$C$3:$I$7,6,FALSE),2))</f>
        <v>3.68</v>
      </c>
      <c r="AG159" s="68">
        <v>0</v>
      </c>
      <c r="AH159" s="68">
        <f t="shared" si="133"/>
        <v>0</v>
      </c>
      <c r="AI159" s="4">
        <v>37217</v>
      </c>
      <c r="AJ159" s="4">
        <v>43030</v>
      </c>
      <c r="AK159" s="68">
        <f>IF(AI159=0,0,IF(ISNA(MATCH(A159,Documentation!$B$66:$B$71,0)),QA_Tax_reg,QA_Tax_5high))</f>
        <v>32.92</v>
      </c>
      <c r="AL159" s="75">
        <f t="shared" si="134"/>
        <v>28.47</v>
      </c>
      <c r="AM159" s="68">
        <f t="shared" si="135"/>
        <v>319.83999999999997</v>
      </c>
      <c r="AN159" s="68">
        <f t="shared" si="136"/>
        <v>236.92</v>
      </c>
      <c r="AO159" s="68">
        <f t="shared" si="137"/>
        <v>154</v>
      </c>
      <c r="AP159" s="37" t="s">
        <v>388</v>
      </c>
      <c r="AQ159" s="37" t="s">
        <v>436</v>
      </c>
      <c r="AR159" s="37" t="s">
        <v>1111</v>
      </c>
      <c r="AS159" s="66" t="e">
        <f>VLOOKUP(A159,'CMI Data'!$A$3:$J$209,10,FALSE)</f>
        <v>#DIV/0!</v>
      </c>
      <c r="AT159" s="68">
        <f t="shared" si="107"/>
        <v>154.83000000000001</v>
      </c>
      <c r="AU159" s="68" t="e">
        <f t="shared" si="108"/>
        <v>#DIV/0!</v>
      </c>
      <c r="AV159" s="75" t="e">
        <f t="shared" si="138"/>
        <v>#DIV/0!</v>
      </c>
      <c r="AW159" s="68" t="e">
        <f>IF($I159="NA","NA",ROUND(#REF!*$AS159/$I159,2))</f>
        <v>#REF!</v>
      </c>
      <c r="AX159" s="75" t="e">
        <f t="shared" si="105"/>
        <v>#REF!</v>
      </c>
      <c r="AY159" s="68" t="e">
        <f t="shared" si="139"/>
        <v>#REF!</v>
      </c>
      <c r="AZ159" s="4">
        <f t="shared" si="140"/>
        <v>215173</v>
      </c>
      <c r="BA159" s="4">
        <f t="shared" si="141"/>
        <v>71736</v>
      </c>
      <c r="BB159" s="4">
        <f t="shared" si="142"/>
        <v>43031</v>
      </c>
      <c r="BC159" s="142">
        <f>IF(ISNA(VLOOKUP($A159&amp;$AB159,'Days Exceptions'!$C$3:$I$7,6,FALSE)),ROUND(AZ159/MAX(BB159,(BA159*Min_Occ)),2),ROUND(AZ159/VLOOKUP($A159&amp;$AB159,'Days Exceptions'!$C$3:$I$7,6,FALSE),2))</f>
        <v>3.68</v>
      </c>
      <c r="BD159" s="143" t="e">
        <f t="shared" si="109"/>
        <v>#REF!</v>
      </c>
      <c r="BE159" s="143" t="e">
        <f t="shared" si="110"/>
        <v>#REF!</v>
      </c>
      <c r="BF159" s="143">
        <f t="shared" si="111"/>
        <v>150.59</v>
      </c>
      <c r="BG159" s="37" t="s">
        <v>388</v>
      </c>
      <c r="BH159" s="37" t="s">
        <v>436</v>
      </c>
      <c r="BI159" s="37" t="s">
        <v>1315</v>
      </c>
      <c r="BJ159" s="66" t="e">
        <f>VLOOKUP(A159,'CMI Data'!$A$3:$AZ$209,15,FALSE)</f>
        <v>#DIV/0!</v>
      </c>
      <c r="BK159" s="68">
        <f t="shared" si="112"/>
        <v>154.83000000000001</v>
      </c>
      <c r="BL159" s="68" t="e">
        <f t="shared" si="113"/>
        <v>#DIV/0!</v>
      </c>
      <c r="BM159" s="75" t="e">
        <f t="shared" si="143"/>
        <v>#DIV/0!</v>
      </c>
      <c r="BN159" s="68" t="e">
        <f>IF($I159="NA","NA",ROUND(#REF!*$BJ159/$I159,2))</f>
        <v>#REF!</v>
      </c>
      <c r="BO159" s="75" t="e">
        <f t="shared" si="144"/>
        <v>#REF!</v>
      </c>
      <c r="BP159" s="68" t="e">
        <f t="shared" si="145"/>
        <v>#REF!</v>
      </c>
      <c r="BQ159" s="4">
        <f t="shared" si="146"/>
        <v>215173</v>
      </c>
      <c r="BR159" s="4">
        <f t="shared" si="147"/>
        <v>71736</v>
      </c>
      <c r="BS159" s="4">
        <f t="shared" si="148"/>
        <v>43031</v>
      </c>
      <c r="BT159" s="142">
        <f>IF(ISNA(VLOOKUP($A159&amp;$AB159,'Days Exceptions'!$C$3:$I$7,6,FALSE)),ROUND(BQ159/MAX(BS159,(BR159*Min_Occ)),2),ROUND(BQ159/VLOOKUP($A159&amp;$AB159,'Days Exceptions'!$C$3:$I$7,6,FALSE),2))</f>
        <v>3.68</v>
      </c>
      <c r="BU159" s="143" t="e">
        <f t="shared" si="114"/>
        <v>#REF!</v>
      </c>
      <c r="BV159" s="143" t="e">
        <f t="shared" si="115"/>
        <v>#REF!</v>
      </c>
      <c r="BW159" s="143">
        <f t="shared" si="116"/>
        <v>150.59</v>
      </c>
      <c r="BX159" s="37" t="s">
        <v>388</v>
      </c>
      <c r="BY159" s="37" t="s">
        <v>436</v>
      </c>
      <c r="BZ159" s="37" t="s">
        <v>1674</v>
      </c>
      <c r="CA159" s="66" t="e">
        <f>VLOOKUP(A159,'CMI Data'!$A$3:$AZ$209,20,FALSE)</f>
        <v>#DIV/0!</v>
      </c>
      <c r="CB159" s="68">
        <f t="shared" si="117"/>
        <v>154.83000000000001</v>
      </c>
      <c r="CC159" s="68" t="e">
        <f t="shared" si="118"/>
        <v>#DIV/0!</v>
      </c>
      <c r="CD159" s="75" t="e">
        <f t="shared" si="149"/>
        <v>#DIV/0!</v>
      </c>
      <c r="CE159" s="68" t="e">
        <f>IF($I159="NA","NA",ROUND(#REF!*$CA159/$I159,2))</f>
        <v>#REF!</v>
      </c>
      <c r="CF159" s="75" t="e">
        <f t="shared" si="150"/>
        <v>#REF!</v>
      </c>
      <c r="CG159" s="68" t="e">
        <f t="shared" si="151"/>
        <v>#REF!</v>
      </c>
      <c r="CH159" s="4">
        <f t="shared" si="152"/>
        <v>215173</v>
      </c>
      <c r="CI159" s="4">
        <f t="shared" si="153"/>
        <v>71736</v>
      </c>
      <c r="CJ159" s="4">
        <f t="shared" si="154"/>
        <v>43031</v>
      </c>
      <c r="CK159" s="142">
        <f>IF(ISNA(VLOOKUP($A159&amp;$AB159,'Days Exceptions'!$C$3:$I$7,6,FALSE)),ROUND(CH159/MAX(CJ159,(CI159*Min_Occ)),2),ROUND(CH159/VLOOKUP($A159&amp;$AB159,'Days Exceptions'!$C$3:$I$7,6,FALSE),2))</f>
        <v>3.68</v>
      </c>
      <c r="CL159" s="143" t="e">
        <f t="shared" si="119"/>
        <v>#REF!</v>
      </c>
      <c r="CM159" s="143" t="e">
        <f t="shared" si="120"/>
        <v>#REF!</v>
      </c>
      <c r="CN159" s="143">
        <f t="shared" si="121"/>
        <v>150.59</v>
      </c>
      <c r="CO159" s="37" t="s">
        <v>388</v>
      </c>
      <c r="CP159" s="37" t="s">
        <v>436</v>
      </c>
      <c r="CQ159" s="37" t="s">
        <v>1675</v>
      </c>
    </row>
    <row r="160" spans="1:95" x14ac:dyDescent="0.15">
      <c r="A160" s="130">
        <v>719</v>
      </c>
      <c r="B160" s="37" t="s">
        <v>238</v>
      </c>
      <c r="C160" s="1" t="s">
        <v>148</v>
      </c>
      <c r="D160" s="1" t="s">
        <v>102</v>
      </c>
      <c r="E160" s="1" t="str">
        <f>VLOOKUP(D160,Documentation!$B$4:$D$27,3,FALSE)</f>
        <v>BALTIMORE METRO</v>
      </c>
      <c r="F160" s="1" t="str">
        <f>VLOOKUP(D160,Documentation!$B$4:$C$27,2,FALSE)</f>
        <v>BALTIMORE CITY</v>
      </c>
      <c r="G160" s="82">
        <f>VLOOKUP(A160,'2022 CR and CMI'!$A$3:$D$207,3,FALSE)</f>
        <v>44378</v>
      </c>
      <c r="H160" s="82">
        <f>VLOOKUP(A160,'2022 CR and CMI'!$A$3:$D$207,4,FALSE)</f>
        <v>44742</v>
      </c>
      <c r="I160" s="72">
        <f>VLOOKUP(A160,'2022 CR and CMI'!$A$2:$T$210,19,FALSE)</f>
        <v>1.0797000000000001</v>
      </c>
      <c r="J160" s="139">
        <f>Inflation!$G$24</f>
        <v>1.0309999999999999</v>
      </c>
      <c r="K160" s="192">
        <f>VLOOKUP(E160,Limits!$B$2:$D$5,3,FALSE)</f>
        <v>195.33</v>
      </c>
      <c r="L160" s="192">
        <f t="shared" si="124"/>
        <v>201.39</v>
      </c>
      <c r="M160" s="140">
        <f>VLOOKUP(A160,'CMI Data'!$A$4:$C$208,3,FALSE)</f>
        <v>1.1553</v>
      </c>
      <c r="N160" s="68">
        <f t="shared" si="106"/>
        <v>150.66999999999999</v>
      </c>
      <c r="O160" s="68">
        <f t="shared" si="125"/>
        <v>161.22</v>
      </c>
      <c r="P160" s="75">
        <f t="shared" si="126"/>
        <v>153.16</v>
      </c>
      <c r="Q160" s="75">
        <v>136.44</v>
      </c>
      <c r="R160" s="75">
        <f t="shared" si="127"/>
        <v>140.66999999999999</v>
      </c>
      <c r="S160" s="68">
        <f t="shared" si="128"/>
        <v>150.52000000000001</v>
      </c>
      <c r="T160" s="75">
        <f t="shared" si="129"/>
        <v>-2.64</v>
      </c>
      <c r="U160" s="68">
        <f t="shared" si="130"/>
        <v>158.58000000000001</v>
      </c>
      <c r="V160" s="68">
        <f>VLOOKUP($F160,Limits!$J$2:$L$5,3,FALSE)</f>
        <v>24.89</v>
      </c>
      <c r="W160" s="68">
        <f t="shared" si="131"/>
        <v>25.66</v>
      </c>
      <c r="X160" s="68">
        <f>VLOOKUP($F160,Limits!$R$2:$T$5,3,FALSE)</f>
        <v>114.15</v>
      </c>
      <c r="Y160" s="68">
        <f t="shared" si="132"/>
        <v>117.69</v>
      </c>
      <c r="Z160" s="75">
        <f>VLOOKUP(A160,FRV!$A$4:$U$208,21,FALSE)</f>
        <v>34.99</v>
      </c>
      <c r="AA160" s="141">
        <f>VLOOKUP(A160,'RE Tax'!$A$2:$G$206,3,FALSE)</f>
        <v>45108</v>
      </c>
      <c r="AB160" s="141">
        <f>VLOOKUP(A160,'RE Tax'!$A$2:$G$206,4,FALSE)</f>
        <v>45473</v>
      </c>
      <c r="AC160" s="4">
        <f>VLOOKUP(A160,'RE Tax'!$A$2:$G$206,7,FALSE)</f>
        <v>94564</v>
      </c>
      <c r="AD160" s="4">
        <f>VLOOKUP($A160,'RE Tax'!$A$2:$I$206,9,FALSE)</f>
        <v>33306</v>
      </c>
      <c r="AE160" s="4">
        <f>VLOOKUP($A160,'RE Tax'!$A$2:$I$206,8,FALSE)</f>
        <v>28857</v>
      </c>
      <c r="AF160" s="142">
        <f>IF(ISNA(VLOOKUP(A160&amp;AB160,'Days Exceptions'!$C$3:$I$7,6,FALSE)),ROUND(AC160/MAX(AE160,(AD160*Min_Occ)),2),ROUND(AC160/VLOOKUP(A160&amp;AB160,'Days Exceptions'!$C$3:$I$7,6,FALSE),2))</f>
        <v>3.28</v>
      </c>
      <c r="AG160" s="68">
        <v>0</v>
      </c>
      <c r="AH160" s="68">
        <f t="shared" si="133"/>
        <v>0</v>
      </c>
      <c r="AI160" s="4">
        <v>29241</v>
      </c>
      <c r="AJ160" s="4">
        <v>29625</v>
      </c>
      <c r="AK160" s="68">
        <f>IF(AI160=0,0,IF(ISNA(MATCH(A160,Documentation!$B$66:$B$71,0)),QA_Tax_reg,QA_Tax_5high))</f>
        <v>32.92</v>
      </c>
      <c r="AL160" s="75">
        <f t="shared" si="134"/>
        <v>32.49</v>
      </c>
      <c r="AM160" s="68">
        <f t="shared" si="135"/>
        <v>340.2</v>
      </c>
      <c r="AN160" s="68">
        <f t="shared" si="136"/>
        <v>260.91000000000003</v>
      </c>
      <c r="AO160" s="68">
        <f t="shared" si="137"/>
        <v>181.62</v>
      </c>
      <c r="AP160" s="37" t="s">
        <v>137</v>
      </c>
      <c r="AQ160" s="37" t="s">
        <v>238</v>
      </c>
      <c r="AR160" s="37" t="s">
        <v>1112</v>
      </c>
      <c r="AS160" s="66" t="e">
        <f>VLOOKUP(A160,'CMI Data'!$A$3:$J$209,10,FALSE)</f>
        <v>#DIV/0!</v>
      </c>
      <c r="AT160" s="68">
        <f t="shared" si="107"/>
        <v>146.13</v>
      </c>
      <c r="AU160" s="68" t="e">
        <f t="shared" si="108"/>
        <v>#DIV/0!</v>
      </c>
      <c r="AV160" s="75" t="e">
        <f t="shared" si="138"/>
        <v>#DIV/0!</v>
      </c>
      <c r="AW160" s="68" t="e">
        <f>IF($I160="NA","NA",ROUND(#REF!*$AS160/$I160,2))</f>
        <v>#REF!</v>
      </c>
      <c r="AX160" s="75" t="e">
        <f t="shared" si="105"/>
        <v>#REF!</v>
      </c>
      <c r="AY160" s="68" t="e">
        <f t="shared" si="139"/>
        <v>#REF!</v>
      </c>
      <c r="AZ160" s="4">
        <f t="shared" si="140"/>
        <v>94564</v>
      </c>
      <c r="BA160" s="4">
        <f t="shared" si="141"/>
        <v>33306</v>
      </c>
      <c r="BB160" s="4">
        <f t="shared" si="142"/>
        <v>28857</v>
      </c>
      <c r="BC160" s="142">
        <f>IF(ISNA(VLOOKUP($A160&amp;$AB160,'Days Exceptions'!$C$3:$I$7,6,FALSE)),ROUND(AZ160/MAX(BB160,(BA160*Min_Occ)),2),ROUND(AZ160/VLOOKUP($A160&amp;$AB160,'Days Exceptions'!$C$3:$I$7,6,FALSE),2))</f>
        <v>3.28</v>
      </c>
      <c r="BD160" s="143" t="e">
        <f t="shared" si="109"/>
        <v>#REF!</v>
      </c>
      <c r="BE160" s="143" t="e">
        <f t="shared" si="110"/>
        <v>#REF!</v>
      </c>
      <c r="BF160" s="143">
        <f t="shared" si="111"/>
        <v>177.31</v>
      </c>
      <c r="BG160" s="37" t="s">
        <v>137</v>
      </c>
      <c r="BH160" s="37" t="s">
        <v>238</v>
      </c>
      <c r="BI160" s="37" t="s">
        <v>1316</v>
      </c>
      <c r="BJ160" s="66" t="e">
        <f>VLOOKUP(A160,'CMI Data'!$A$3:$AZ$209,15,FALSE)</f>
        <v>#DIV/0!</v>
      </c>
      <c r="BK160" s="68">
        <f t="shared" si="112"/>
        <v>146.13</v>
      </c>
      <c r="BL160" s="68" t="e">
        <f t="shared" si="113"/>
        <v>#DIV/0!</v>
      </c>
      <c r="BM160" s="75" t="e">
        <f t="shared" si="143"/>
        <v>#DIV/0!</v>
      </c>
      <c r="BN160" s="68" t="e">
        <f>IF($I160="NA","NA",ROUND(#REF!*$BJ160/$I160,2))</f>
        <v>#REF!</v>
      </c>
      <c r="BO160" s="75" t="e">
        <f t="shared" si="144"/>
        <v>#REF!</v>
      </c>
      <c r="BP160" s="68" t="e">
        <f t="shared" si="145"/>
        <v>#REF!</v>
      </c>
      <c r="BQ160" s="4">
        <f t="shared" si="146"/>
        <v>94564</v>
      </c>
      <c r="BR160" s="4">
        <f t="shared" si="147"/>
        <v>33306</v>
      </c>
      <c r="BS160" s="4">
        <f t="shared" si="148"/>
        <v>28857</v>
      </c>
      <c r="BT160" s="142">
        <f>IF(ISNA(VLOOKUP($A160&amp;$AB160,'Days Exceptions'!$C$3:$I$7,6,FALSE)),ROUND(BQ160/MAX(BS160,(BR160*Min_Occ)),2),ROUND(BQ160/VLOOKUP($A160&amp;$AB160,'Days Exceptions'!$C$3:$I$7,6,FALSE),2))</f>
        <v>3.28</v>
      </c>
      <c r="BU160" s="143" t="e">
        <f t="shared" si="114"/>
        <v>#REF!</v>
      </c>
      <c r="BV160" s="143" t="e">
        <f t="shared" si="115"/>
        <v>#REF!</v>
      </c>
      <c r="BW160" s="143">
        <f t="shared" si="116"/>
        <v>177.31</v>
      </c>
      <c r="BX160" s="37" t="s">
        <v>137</v>
      </c>
      <c r="BY160" s="37" t="s">
        <v>238</v>
      </c>
      <c r="BZ160" s="37" t="s">
        <v>1676</v>
      </c>
      <c r="CA160" s="66" t="e">
        <f>VLOOKUP(A160,'CMI Data'!$A$3:$AZ$209,20,FALSE)</f>
        <v>#DIV/0!</v>
      </c>
      <c r="CB160" s="68">
        <f t="shared" si="117"/>
        <v>146.13</v>
      </c>
      <c r="CC160" s="68" t="e">
        <f t="shared" si="118"/>
        <v>#DIV/0!</v>
      </c>
      <c r="CD160" s="75" t="e">
        <f t="shared" si="149"/>
        <v>#DIV/0!</v>
      </c>
      <c r="CE160" s="68" t="e">
        <f>IF($I160="NA","NA",ROUND(#REF!*$CA160/$I160,2))</f>
        <v>#REF!</v>
      </c>
      <c r="CF160" s="75" t="e">
        <f t="shared" si="150"/>
        <v>#REF!</v>
      </c>
      <c r="CG160" s="68" t="e">
        <f t="shared" si="151"/>
        <v>#REF!</v>
      </c>
      <c r="CH160" s="4">
        <f t="shared" si="152"/>
        <v>94564</v>
      </c>
      <c r="CI160" s="4">
        <f t="shared" si="153"/>
        <v>33306</v>
      </c>
      <c r="CJ160" s="4">
        <f t="shared" si="154"/>
        <v>28857</v>
      </c>
      <c r="CK160" s="142">
        <f>IF(ISNA(VLOOKUP($A160&amp;$AB160,'Days Exceptions'!$C$3:$I$7,6,FALSE)),ROUND(CH160/MAX(CJ160,(CI160*Min_Occ)),2),ROUND(CH160/VLOOKUP($A160&amp;$AB160,'Days Exceptions'!$C$3:$I$7,6,FALSE),2))</f>
        <v>3.28</v>
      </c>
      <c r="CL160" s="143" t="e">
        <f t="shared" si="119"/>
        <v>#REF!</v>
      </c>
      <c r="CM160" s="143" t="e">
        <f t="shared" si="120"/>
        <v>#REF!</v>
      </c>
      <c r="CN160" s="143">
        <f t="shared" si="121"/>
        <v>177.31</v>
      </c>
      <c r="CO160" s="37" t="s">
        <v>137</v>
      </c>
      <c r="CP160" s="37" t="s">
        <v>238</v>
      </c>
      <c r="CQ160" s="37" t="s">
        <v>1677</v>
      </c>
    </row>
    <row r="161" spans="1:95" x14ac:dyDescent="0.15">
      <c r="A161" s="130">
        <v>354</v>
      </c>
      <c r="B161" s="37" t="s">
        <v>222</v>
      </c>
      <c r="C161" s="1" t="s">
        <v>148</v>
      </c>
      <c r="D161" s="1" t="s">
        <v>107</v>
      </c>
      <c r="E161" s="1" t="str">
        <f>VLOOKUP(D161,Documentation!$B$4:$D$27,3,FALSE)</f>
        <v>BALTIMORE METRO</v>
      </c>
      <c r="F161" s="1" t="str">
        <f>VLOOKUP(D161,Documentation!$B$4:$C$27,2,FALSE)</f>
        <v>BALTIMORE METRO</v>
      </c>
      <c r="G161" s="82">
        <f>VLOOKUP(A161,'2022 CR and CMI'!$A$3:$D$207,3,FALSE)</f>
        <v>44562</v>
      </c>
      <c r="H161" s="82">
        <f>VLOOKUP(A161,'2022 CR and CMI'!$A$3:$D$207,4,FALSE)</f>
        <v>44926</v>
      </c>
      <c r="I161" s="72">
        <f>VLOOKUP(A161,'2022 CR and CMI'!$A$2:$T$210,19,FALSE)</f>
        <v>1.3480000000000001</v>
      </c>
      <c r="J161" s="139">
        <f>Inflation!$G$24</f>
        <v>1.0309999999999999</v>
      </c>
      <c r="K161" s="192">
        <f>VLOOKUP(E161,Limits!$B$2:$D$5,3,FALSE)</f>
        <v>195.33</v>
      </c>
      <c r="L161" s="192">
        <f t="shared" si="124"/>
        <v>201.39</v>
      </c>
      <c r="M161" s="140">
        <f>VLOOKUP(A161,'CMI Data'!$A$4:$C$208,3,FALSE)</f>
        <v>1.3238000000000001</v>
      </c>
      <c r="N161" s="68">
        <f t="shared" si="106"/>
        <v>188.11</v>
      </c>
      <c r="O161" s="68">
        <f t="shared" si="125"/>
        <v>184.73</v>
      </c>
      <c r="P161" s="75">
        <f t="shared" si="126"/>
        <v>175.49</v>
      </c>
      <c r="Q161" s="75">
        <v>259.49</v>
      </c>
      <c r="R161" s="75">
        <f t="shared" si="127"/>
        <v>267.52999999999997</v>
      </c>
      <c r="S161" s="68">
        <f t="shared" si="128"/>
        <v>262.73</v>
      </c>
      <c r="T161" s="75">
        <f t="shared" si="129"/>
        <v>0</v>
      </c>
      <c r="U161" s="68">
        <f t="shared" si="130"/>
        <v>184.73</v>
      </c>
      <c r="V161" s="68">
        <f>VLOOKUP($F161,Limits!$J$2:$L$5,3,FALSE)</f>
        <v>20.85</v>
      </c>
      <c r="W161" s="68">
        <f t="shared" si="131"/>
        <v>21.5</v>
      </c>
      <c r="X161" s="68">
        <f>VLOOKUP($F161,Limits!$R$2:$T$5,3,FALSE)</f>
        <v>102.02</v>
      </c>
      <c r="Y161" s="68">
        <f t="shared" si="132"/>
        <v>105.18</v>
      </c>
      <c r="Z161" s="75">
        <f>VLOOKUP(A161,FRV!$A$4:$U$208,21,FALSE)</f>
        <v>44.29</v>
      </c>
      <c r="AA161" s="141">
        <f>VLOOKUP(A161,'RE Tax'!$A$2:$G$206,3,FALSE)</f>
        <v>45292</v>
      </c>
      <c r="AB161" s="141">
        <f>VLOOKUP(A161,'RE Tax'!$A$2:$G$206,4,FALSE)</f>
        <v>45657</v>
      </c>
      <c r="AC161" s="4">
        <f>VLOOKUP(A161,'RE Tax'!$A$2:$G$206,7,FALSE)</f>
        <v>13559</v>
      </c>
      <c r="AD161" s="4">
        <f>VLOOKUP($A161,'RE Tax'!$A$2:$I$206,9,FALSE)</f>
        <v>58560</v>
      </c>
      <c r="AE161" s="4">
        <f>VLOOKUP($A161,'RE Tax'!$A$2:$I$206,8,FALSE)</f>
        <v>39703</v>
      </c>
      <c r="AF161" s="142">
        <f>IF(ISNA(VLOOKUP(A161&amp;AB161,'Days Exceptions'!$C$3:$I$7,6,FALSE)),ROUND(AC161/MAX(AE161,(AD161*Min_Occ)),2),ROUND(AC161/VLOOKUP(A161&amp;AB161,'Days Exceptions'!$C$3:$I$7,6,FALSE),2))</f>
        <v>0.28000000000000003</v>
      </c>
      <c r="AG161" s="68">
        <v>0</v>
      </c>
      <c r="AH161" s="68">
        <f t="shared" si="133"/>
        <v>0</v>
      </c>
      <c r="AI161" s="4">
        <v>0</v>
      </c>
      <c r="AJ161" s="4">
        <v>0</v>
      </c>
      <c r="AK161" s="68">
        <f>IF(AI161=0,0,IF(ISNA(MATCH(A161,Documentation!$B$66:$B$71,0)),QA_Tax_reg,QA_Tax_5high))</f>
        <v>0</v>
      </c>
      <c r="AL161" s="75">
        <f t="shared" si="134"/>
        <v>0</v>
      </c>
      <c r="AM161" s="68">
        <f t="shared" si="135"/>
        <v>355.98</v>
      </c>
      <c r="AN161" s="68">
        <f t="shared" si="136"/>
        <v>263.62</v>
      </c>
      <c r="AO161" s="68">
        <f t="shared" si="137"/>
        <v>171.25</v>
      </c>
      <c r="AP161" s="37" t="s">
        <v>87</v>
      </c>
      <c r="AQ161" s="37" t="s">
        <v>222</v>
      </c>
      <c r="AR161" s="37" t="s">
        <v>1113</v>
      </c>
      <c r="AS161" s="66" t="e">
        <f>VLOOKUP(A161,'CMI Data'!$A$3:$J$209,10,FALSE)</f>
        <v>#DIV/0!</v>
      </c>
      <c r="AT161" s="68">
        <f t="shared" si="107"/>
        <v>182.45</v>
      </c>
      <c r="AU161" s="68" t="e">
        <f t="shared" si="108"/>
        <v>#DIV/0!</v>
      </c>
      <c r="AV161" s="75" t="e">
        <f t="shared" si="138"/>
        <v>#DIV/0!</v>
      </c>
      <c r="AW161" s="68" t="e">
        <f>IF($I161="NA","NA",ROUND(#REF!*$AS161/$I161,2))</f>
        <v>#REF!</v>
      </c>
      <c r="AX161" s="75" t="e">
        <f t="shared" si="105"/>
        <v>#REF!</v>
      </c>
      <c r="AY161" s="68" t="e">
        <f t="shared" si="139"/>
        <v>#REF!</v>
      </c>
      <c r="AZ161" s="4">
        <f t="shared" si="140"/>
        <v>13559</v>
      </c>
      <c r="BA161" s="4">
        <f t="shared" si="141"/>
        <v>58560</v>
      </c>
      <c r="BB161" s="4">
        <f t="shared" si="142"/>
        <v>39703</v>
      </c>
      <c r="BC161" s="142">
        <f>IF(ISNA(VLOOKUP($A161&amp;$AB161,'Days Exceptions'!$C$3:$I$7,6,FALSE)),ROUND(AZ161/MAX(BB161,(BA161*Min_Occ)),2),ROUND(AZ161/VLOOKUP($A161&amp;$AB161,'Days Exceptions'!$C$3:$I$7,6,FALSE),2))</f>
        <v>0.28000000000000003</v>
      </c>
      <c r="BD161" s="143" t="e">
        <f t="shared" si="109"/>
        <v>#REF!</v>
      </c>
      <c r="BE161" s="143" t="e">
        <f t="shared" si="110"/>
        <v>#REF!</v>
      </c>
      <c r="BF161" s="143">
        <f t="shared" si="111"/>
        <v>167.44</v>
      </c>
      <c r="BG161" s="37" t="s">
        <v>87</v>
      </c>
      <c r="BH161" s="37" t="s">
        <v>222</v>
      </c>
      <c r="BI161" s="37" t="s">
        <v>1317</v>
      </c>
      <c r="BJ161" s="66" t="e">
        <f>VLOOKUP(A161,'CMI Data'!$A$3:$AZ$209,15,FALSE)</f>
        <v>#DIV/0!</v>
      </c>
      <c r="BK161" s="68">
        <f t="shared" si="112"/>
        <v>182.45</v>
      </c>
      <c r="BL161" s="68" t="e">
        <f t="shared" si="113"/>
        <v>#DIV/0!</v>
      </c>
      <c r="BM161" s="75" t="e">
        <f t="shared" si="143"/>
        <v>#DIV/0!</v>
      </c>
      <c r="BN161" s="68" t="e">
        <f>IF($I161="NA","NA",ROUND(#REF!*$BJ161/$I161,2))</f>
        <v>#REF!</v>
      </c>
      <c r="BO161" s="75" t="e">
        <f t="shared" si="144"/>
        <v>#REF!</v>
      </c>
      <c r="BP161" s="68" t="e">
        <f t="shared" si="145"/>
        <v>#REF!</v>
      </c>
      <c r="BQ161" s="4">
        <f t="shared" si="146"/>
        <v>13559</v>
      </c>
      <c r="BR161" s="4">
        <f t="shared" si="147"/>
        <v>58560</v>
      </c>
      <c r="BS161" s="4">
        <f t="shared" si="148"/>
        <v>39703</v>
      </c>
      <c r="BT161" s="142">
        <f>IF(ISNA(VLOOKUP($A161&amp;$AB161,'Days Exceptions'!$C$3:$I$7,6,FALSE)),ROUND(BQ161/MAX(BS161,(BR161*Min_Occ)),2),ROUND(BQ161/VLOOKUP($A161&amp;$AB161,'Days Exceptions'!$C$3:$I$7,6,FALSE),2))</f>
        <v>0.28000000000000003</v>
      </c>
      <c r="BU161" s="143" t="e">
        <f t="shared" si="114"/>
        <v>#REF!</v>
      </c>
      <c r="BV161" s="143" t="e">
        <f t="shared" si="115"/>
        <v>#REF!</v>
      </c>
      <c r="BW161" s="143">
        <f t="shared" si="116"/>
        <v>167.44</v>
      </c>
      <c r="BX161" s="37" t="s">
        <v>87</v>
      </c>
      <c r="BY161" s="37" t="s">
        <v>222</v>
      </c>
      <c r="BZ161" s="37" t="s">
        <v>1678</v>
      </c>
      <c r="CA161" s="66" t="e">
        <f>VLOOKUP(A161,'CMI Data'!$A$3:$AZ$209,20,FALSE)</f>
        <v>#DIV/0!</v>
      </c>
      <c r="CB161" s="68">
        <f t="shared" si="117"/>
        <v>182.45</v>
      </c>
      <c r="CC161" s="68" t="e">
        <f t="shared" si="118"/>
        <v>#DIV/0!</v>
      </c>
      <c r="CD161" s="75" t="e">
        <f t="shared" si="149"/>
        <v>#DIV/0!</v>
      </c>
      <c r="CE161" s="68" t="e">
        <f>IF($I161="NA","NA",ROUND(#REF!*$CA161/$I161,2))</f>
        <v>#REF!</v>
      </c>
      <c r="CF161" s="75" t="e">
        <f t="shared" si="150"/>
        <v>#REF!</v>
      </c>
      <c r="CG161" s="68" t="e">
        <f t="shared" si="151"/>
        <v>#REF!</v>
      </c>
      <c r="CH161" s="4">
        <f t="shared" si="152"/>
        <v>13559</v>
      </c>
      <c r="CI161" s="4">
        <f t="shared" si="153"/>
        <v>58560</v>
      </c>
      <c r="CJ161" s="4">
        <f t="shared" si="154"/>
        <v>39703</v>
      </c>
      <c r="CK161" s="142">
        <f>IF(ISNA(VLOOKUP($A161&amp;$AB161,'Days Exceptions'!$C$3:$I$7,6,FALSE)),ROUND(CH161/MAX(CJ161,(CI161*Min_Occ)),2),ROUND(CH161/VLOOKUP($A161&amp;$AB161,'Days Exceptions'!$C$3:$I$7,6,FALSE),2))</f>
        <v>0.28000000000000003</v>
      </c>
      <c r="CL161" s="143" t="e">
        <f t="shared" si="119"/>
        <v>#REF!</v>
      </c>
      <c r="CM161" s="143" t="e">
        <f t="shared" si="120"/>
        <v>#REF!</v>
      </c>
      <c r="CN161" s="143">
        <f t="shared" si="121"/>
        <v>167.44</v>
      </c>
      <c r="CO161" s="37" t="s">
        <v>87</v>
      </c>
      <c r="CP161" s="37" t="s">
        <v>222</v>
      </c>
      <c r="CQ161" s="37" t="s">
        <v>1679</v>
      </c>
    </row>
    <row r="162" spans="1:95" x14ac:dyDescent="0.15">
      <c r="A162" s="130">
        <v>675</v>
      </c>
      <c r="B162" s="37" t="s">
        <v>192</v>
      </c>
      <c r="C162" s="1" t="s">
        <v>148</v>
      </c>
      <c r="D162" s="1" t="s">
        <v>115</v>
      </c>
      <c r="E162" s="1" t="str">
        <f>VLOOKUP(D162,Documentation!$B$4:$D$27,3,FALSE)</f>
        <v>WESTERN REGION</v>
      </c>
      <c r="F162" s="1" t="str">
        <f>VLOOKUP(D162,Documentation!$B$4:$C$27,2,FALSE)</f>
        <v>NON METRO</v>
      </c>
      <c r="G162" s="82">
        <f>VLOOKUP(A162,'2022 CR and CMI'!$A$3:$D$207,3,FALSE)</f>
        <v>44562</v>
      </c>
      <c r="H162" s="82">
        <f>VLOOKUP(A162,'2022 CR and CMI'!$A$3:$D$207,4,FALSE)</f>
        <v>44926</v>
      </c>
      <c r="I162" s="72">
        <f>VLOOKUP(A162,'2022 CR and CMI'!$A$2:$T$210,19,FALSE)</f>
        <v>1.4092</v>
      </c>
      <c r="J162" s="139">
        <f>Inflation!$G$24</f>
        <v>1.0309999999999999</v>
      </c>
      <c r="K162" s="192">
        <f>VLOOKUP(E162,Limits!$B$2:$D$5,3,FALSE)</f>
        <v>166.26</v>
      </c>
      <c r="L162" s="192">
        <f t="shared" si="124"/>
        <v>171.41</v>
      </c>
      <c r="M162" s="140">
        <f>VLOOKUP(A162,'CMI Data'!$A$4:$C$208,3,FALSE)</f>
        <v>1.2863</v>
      </c>
      <c r="N162" s="68">
        <f t="shared" si="106"/>
        <v>167.37</v>
      </c>
      <c r="O162" s="68">
        <f t="shared" si="125"/>
        <v>152.77000000000001</v>
      </c>
      <c r="P162" s="75">
        <f t="shared" si="126"/>
        <v>145.13</v>
      </c>
      <c r="Q162" s="75">
        <v>192.86</v>
      </c>
      <c r="R162" s="75">
        <f t="shared" si="127"/>
        <v>198.84</v>
      </c>
      <c r="S162" s="68">
        <f t="shared" si="128"/>
        <v>181.5</v>
      </c>
      <c r="T162" s="75">
        <f t="shared" si="129"/>
        <v>0</v>
      </c>
      <c r="U162" s="68">
        <f t="shared" si="130"/>
        <v>152.77000000000001</v>
      </c>
      <c r="V162" s="68">
        <f>VLOOKUP($F162,Limits!$J$2:$L$5,3,FALSE)</f>
        <v>20.239999999999998</v>
      </c>
      <c r="W162" s="68">
        <f t="shared" si="131"/>
        <v>20.87</v>
      </c>
      <c r="X162" s="68">
        <f>VLOOKUP($F162,Limits!$R$2:$T$5,3,FALSE)</f>
        <v>89.55</v>
      </c>
      <c r="Y162" s="68">
        <f t="shared" si="132"/>
        <v>92.33</v>
      </c>
      <c r="Z162" s="75">
        <f>VLOOKUP(A162,FRV!$A$4:$U$208,21,FALSE)</f>
        <v>43.49</v>
      </c>
      <c r="AA162" s="141">
        <f>VLOOKUP(A162,'RE Tax'!$A$2:$G$206,3,FALSE)</f>
        <v>45292</v>
      </c>
      <c r="AB162" s="141">
        <f>VLOOKUP(A162,'RE Tax'!$A$2:$G$206,4,FALSE)</f>
        <v>45657</v>
      </c>
      <c r="AC162" s="4">
        <f>VLOOKUP(A162,'RE Tax'!$A$2:$G$206,7,FALSE)</f>
        <v>79953</v>
      </c>
      <c r="AD162" s="4">
        <f>VLOOKUP($A162,'RE Tax'!$A$2:$I$206,9,FALSE)</f>
        <v>36600</v>
      </c>
      <c r="AE162" s="4">
        <f>VLOOKUP($A162,'RE Tax'!$A$2:$I$206,8,FALSE)</f>
        <v>16927</v>
      </c>
      <c r="AF162" s="142">
        <f>IF(ISNA(VLOOKUP(A162&amp;AB162,'Days Exceptions'!$C$3:$I$7,6,FALSE)),ROUND(AC162/MAX(AE162,(AD162*Min_Occ)),2),ROUND(AC162/VLOOKUP(A162&amp;AB162,'Days Exceptions'!$C$3:$I$7,6,FALSE),2))</f>
        <v>2.68</v>
      </c>
      <c r="AG162" s="68">
        <v>0</v>
      </c>
      <c r="AH162" s="68">
        <f t="shared" si="133"/>
        <v>0</v>
      </c>
      <c r="AI162" s="4">
        <v>15185</v>
      </c>
      <c r="AJ162" s="4">
        <v>16927</v>
      </c>
      <c r="AK162" s="68">
        <f>IF(AI162=0,0,IF(ISNA(MATCH(A162,Documentation!$B$66:$B$71,0)),QA_Tax_reg,QA_Tax_5high))</f>
        <v>32.92</v>
      </c>
      <c r="AL162" s="75">
        <f t="shared" si="134"/>
        <v>29.53</v>
      </c>
      <c r="AM162" s="68">
        <f t="shared" si="135"/>
        <v>312.14</v>
      </c>
      <c r="AN162" s="68">
        <f t="shared" si="136"/>
        <v>235.76</v>
      </c>
      <c r="AO162" s="68">
        <f t="shared" si="137"/>
        <v>159.37</v>
      </c>
      <c r="AP162" s="37" t="s">
        <v>389</v>
      </c>
      <c r="AQ162" s="37" t="s">
        <v>192</v>
      </c>
      <c r="AR162" s="37" t="s">
        <v>1114</v>
      </c>
      <c r="AS162" s="66" t="e">
        <f>VLOOKUP(A162,'CMI Data'!$A$3:$J$209,10,FALSE)</f>
        <v>#DIV/0!</v>
      </c>
      <c r="AT162" s="68">
        <f t="shared" si="107"/>
        <v>162.34</v>
      </c>
      <c r="AU162" s="68" t="e">
        <f t="shared" si="108"/>
        <v>#DIV/0!</v>
      </c>
      <c r="AV162" s="75" t="e">
        <f t="shared" si="138"/>
        <v>#DIV/0!</v>
      </c>
      <c r="AW162" s="68" t="e">
        <f>IF($I162="NA","NA",ROUND(#REF!*$AS162/$I162,2))</f>
        <v>#REF!</v>
      </c>
      <c r="AX162" s="75" t="e">
        <f t="shared" si="105"/>
        <v>#REF!</v>
      </c>
      <c r="AY162" s="68" t="e">
        <f t="shared" si="139"/>
        <v>#REF!</v>
      </c>
      <c r="AZ162" s="4">
        <f t="shared" si="140"/>
        <v>79953</v>
      </c>
      <c r="BA162" s="4">
        <f t="shared" si="141"/>
        <v>36600</v>
      </c>
      <c r="BB162" s="4">
        <f t="shared" si="142"/>
        <v>16927</v>
      </c>
      <c r="BC162" s="142">
        <f>IF(ISNA(VLOOKUP($A162&amp;$AB162,'Days Exceptions'!$C$3:$I$7,6,FALSE)),ROUND(AZ162/MAX(BB162,(BA162*Min_Occ)),2),ROUND(AZ162/VLOOKUP($A162&amp;$AB162,'Days Exceptions'!$C$3:$I$7,6,FALSE),2))</f>
        <v>2.68</v>
      </c>
      <c r="BD162" s="143" t="e">
        <f t="shared" si="109"/>
        <v>#REF!</v>
      </c>
      <c r="BE162" s="143" t="e">
        <f t="shared" si="110"/>
        <v>#REF!</v>
      </c>
      <c r="BF162" s="143">
        <f t="shared" si="111"/>
        <v>155.96</v>
      </c>
      <c r="BG162" s="37" t="s">
        <v>389</v>
      </c>
      <c r="BH162" s="37" t="s">
        <v>192</v>
      </c>
      <c r="BI162" s="37" t="s">
        <v>1318</v>
      </c>
      <c r="BJ162" s="66" t="e">
        <f>VLOOKUP(A162,'CMI Data'!$A$3:$AZ$209,15,FALSE)</f>
        <v>#DIV/0!</v>
      </c>
      <c r="BK162" s="68">
        <f t="shared" si="112"/>
        <v>162.34</v>
      </c>
      <c r="BL162" s="68" t="e">
        <f t="shared" si="113"/>
        <v>#DIV/0!</v>
      </c>
      <c r="BM162" s="75" t="e">
        <f t="shared" si="143"/>
        <v>#DIV/0!</v>
      </c>
      <c r="BN162" s="68" t="e">
        <f>IF($I162="NA","NA",ROUND(#REF!*$BJ162/$I162,2))</f>
        <v>#REF!</v>
      </c>
      <c r="BO162" s="75" t="e">
        <f t="shared" si="144"/>
        <v>#REF!</v>
      </c>
      <c r="BP162" s="68" t="e">
        <f t="shared" si="145"/>
        <v>#REF!</v>
      </c>
      <c r="BQ162" s="4">
        <f t="shared" si="146"/>
        <v>79953</v>
      </c>
      <c r="BR162" s="4">
        <f t="shared" si="147"/>
        <v>36600</v>
      </c>
      <c r="BS162" s="4">
        <f t="shared" si="148"/>
        <v>16927</v>
      </c>
      <c r="BT162" s="142">
        <f>IF(ISNA(VLOOKUP($A162&amp;$AB162,'Days Exceptions'!$C$3:$I$7,6,FALSE)),ROUND(BQ162/MAX(BS162,(BR162*Min_Occ)),2),ROUND(BQ162/VLOOKUP($A162&amp;$AB162,'Days Exceptions'!$C$3:$I$7,6,FALSE),2))</f>
        <v>2.68</v>
      </c>
      <c r="BU162" s="143" t="e">
        <f t="shared" si="114"/>
        <v>#REF!</v>
      </c>
      <c r="BV162" s="143" t="e">
        <f t="shared" si="115"/>
        <v>#REF!</v>
      </c>
      <c r="BW162" s="143">
        <f t="shared" si="116"/>
        <v>155.96</v>
      </c>
      <c r="BX162" s="37" t="s">
        <v>389</v>
      </c>
      <c r="BY162" s="37" t="s">
        <v>192</v>
      </c>
      <c r="BZ162" s="37" t="s">
        <v>1680</v>
      </c>
      <c r="CA162" s="66" t="e">
        <f>VLOOKUP(A162,'CMI Data'!$A$3:$AZ$209,20,FALSE)</f>
        <v>#DIV/0!</v>
      </c>
      <c r="CB162" s="68">
        <f t="shared" si="117"/>
        <v>162.34</v>
      </c>
      <c r="CC162" s="68" t="e">
        <f t="shared" si="118"/>
        <v>#DIV/0!</v>
      </c>
      <c r="CD162" s="75" t="e">
        <f t="shared" si="149"/>
        <v>#DIV/0!</v>
      </c>
      <c r="CE162" s="68" t="e">
        <f>IF($I162="NA","NA",ROUND(#REF!*$CA162/$I162,2))</f>
        <v>#REF!</v>
      </c>
      <c r="CF162" s="75" t="e">
        <f t="shared" si="150"/>
        <v>#REF!</v>
      </c>
      <c r="CG162" s="68" t="e">
        <f t="shared" si="151"/>
        <v>#REF!</v>
      </c>
      <c r="CH162" s="4">
        <f t="shared" si="152"/>
        <v>79953</v>
      </c>
      <c r="CI162" s="4">
        <f t="shared" si="153"/>
        <v>36600</v>
      </c>
      <c r="CJ162" s="4">
        <f t="shared" si="154"/>
        <v>16927</v>
      </c>
      <c r="CK162" s="142">
        <f>IF(ISNA(VLOOKUP($A162&amp;$AB162,'Days Exceptions'!$C$3:$I$7,6,FALSE)),ROUND(CH162/MAX(CJ162,(CI162*Min_Occ)),2),ROUND(CH162/VLOOKUP($A162&amp;$AB162,'Days Exceptions'!$C$3:$I$7,6,FALSE),2))</f>
        <v>2.68</v>
      </c>
      <c r="CL162" s="143" t="e">
        <f t="shared" si="119"/>
        <v>#REF!</v>
      </c>
      <c r="CM162" s="143" t="e">
        <f t="shared" si="120"/>
        <v>#REF!</v>
      </c>
      <c r="CN162" s="143">
        <f t="shared" si="121"/>
        <v>155.96</v>
      </c>
      <c r="CO162" s="37" t="s">
        <v>389</v>
      </c>
      <c r="CP162" s="37" t="s">
        <v>192</v>
      </c>
      <c r="CQ162" s="37" t="s">
        <v>1681</v>
      </c>
    </row>
    <row r="163" spans="1:95" x14ac:dyDescent="0.15">
      <c r="A163" s="130">
        <v>248</v>
      </c>
      <c r="B163" s="37" t="s">
        <v>592</v>
      </c>
      <c r="C163" s="1" t="s">
        <v>148</v>
      </c>
      <c r="D163" s="1" t="s">
        <v>107</v>
      </c>
      <c r="E163" s="1" t="str">
        <f>VLOOKUP(D163,Documentation!$B$4:$D$27,3,FALSE)</f>
        <v>BALTIMORE METRO</v>
      </c>
      <c r="F163" s="1" t="str">
        <f>VLOOKUP(D163,Documentation!$B$4:$C$27,2,FALSE)</f>
        <v>BALTIMORE METRO</v>
      </c>
      <c r="G163" s="82">
        <f>VLOOKUP(A163,'2022 CR and CMI'!$A$3:$D$207,3,FALSE)</f>
        <v>44378</v>
      </c>
      <c r="H163" s="82">
        <f>VLOOKUP(A163,'2022 CR and CMI'!$A$3:$D$207,4,FALSE)</f>
        <v>44742</v>
      </c>
      <c r="I163" s="72">
        <f>VLOOKUP(A163,'2022 CR and CMI'!$A$2:$T$210,19,FALSE)</f>
        <v>1.4258</v>
      </c>
      <c r="J163" s="139">
        <f>Inflation!$G$24</f>
        <v>1.0309999999999999</v>
      </c>
      <c r="K163" s="192">
        <f>VLOOKUP(E163,Limits!$B$2:$D$5,3,FALSE)</f>
        <v>195.33</v>
      </c>
      <c r="L163" s="192">
        <f t="shared" si="124"/>
        <v>201.39</v>
      </c>
      <c r="M163" s="140">
        <f>VLOOKUP(A163,'CMI Data'!$A$4:$C$208,3,FALSE)</f>
        <v>1.4254</v>
      </c>
      <c r="N163" s="68">
        <f t="shared" si="106"/>
        <v>198.96</v>
      </c>
      <c r="O163" s="68">
        <f t="shared" si="125"/>
        <v>198.9</v>
      </c>
      <c r="P163" s="75">
        <f t="shared" si="126"/>
        <v>188.96</v>
      </c>
      <c r="Q163" s="75">
        <v>162.86000000000001</v>
      </c>
      <c r="R163" s="75">
        <f t="shared" si="127"/>
        <v>167.91</v>
      </c>
      <c r="S163" s="68">
        <f t="shared" si="128"/>
        <v>167.86</v>
      </c>
      <c r="T163" s="75">
        <f t="shared" si="129"/>
        <v>-21.1</v>
      </c>
      <c r="U163" s="68">
        <f t="shared" si="130"/>
        <v>177.8</v>
      </c>
      <c r="V163" s="68">
        <f>VLOOKUP($F163,Limits!$J$2:$L$5,3,FALSE)</f>
        <v>20.85</v>
      </c>
      <c r="W163" s="68">
        <f t="shared" si="131"/>
        <v>21.5</v>
      </c>
      <c r="X163" s="68">
        <f>VLOOKUP($F163,Limits!$R$2:$T$5,3,FALSE)</f>
        <v>102.02</v>
      </c>
      <c r="Y163" s="68">
        <f t="shared" si="132"/>
        <v>105.18</v>
      </c>
      <c r="Z163" s="75">
        <f>VLOOKUP(A163,FRV!$A$4:$U$208,21,FALSE)</f>
        <v>23.23</v>
      </c>
      <c r="AA163" s="141">
        <f>VLOOKUP(A163,'RE Tax'!$A$2:$G$206,3,FALSE)</f>
        <v>45108</v>
      </c>
      <c r="AB163" s="141">
        <f>VLOOKUP(A163,'RE Tax'!$A$2:$G$206,4,FALSE)</f>
        <v>45473</v>
      </c>
      <c r="AC163" s="4">
        <f>VLOOKUP(A163,'RE Tax'!$A$2:$G$206,7,FALSE)</f>
        <v>62557</v>
      </c>
      <c r="AD163" s="4">
        <f>VLOOKUP($A163,'RE Tax'!$A$2:$I$206,9,FALSE)</f>
        <v>47580</v>
      </c>
      <c r="AE163" s="4">
        <f>VLOOKUP($A163,'RE Tax'!$A$2:$I$206,8,FALSE)</f>
        <v>41130</v>
      </c>
      <c r="AF163" s="142">
        <f>IF(ISNA(VLOOKUP(A163&amp;AB163,'Days Exceptions'!$C$3:$I$7,6,FALSE)),ROUND(AC163/MAX(AE163,(AD163*Min_Occ)),2),ROUND(AC163/VLOOKUP(A163&amp;AB163,'Days Exceptions'!$C$3:$I$7,6,FALSE),2))</f>
        <v>1.52</v>
      </c>
      <c r="AG163" s="68">
        <v>0</v>
      </c>
      <c r="AH163" s="68">
        <f t="shared" si="133"/>
        <v>0</v>
      </c>
      <c r="AI163" s="4">
        <v>33381</v>
      </c>
      <c r="AJ163" s="4">
        <v>42639</v>
      </c>
      <c r="AK163" s="68">
        <f>IF(AI163=0,0,IF(ISNA(MATCH(A163,Documentation!$B$66:$B$71,0)),QA_Tax_reg,QA_Tax_5high))</f>
        <v>32.92</v>
      </c>
      <c r="AL163" s="75">
        <f t="shared" si="134"/>
        <v>25.77</v>
      </c>
      <c r="AM163" s="68">
        <f t="shared" si="135"/>
        <v>329.23</v>
      </c>
      <c r="AN163" s="68">
        <f t="shared" si="136"/>
        <v>240.33</v>
      </c>
      <c r="AO163" s="68">
        <f t="shared" si="137"/>
        <v>151.43</v>
      </c>
      <c r="AP163" s="37" t="s">
        <v>556</v>
      </c>
      <c r="AQ163" s="37" t="s">
        <v>592</v>
      </c>
      <c r="AR163" s="37" t="s">
        <v>1115</v>
      </c>
      <c r="AS163" s="66" t="e">
        <f>VLOOKUP(A163,'CMI Data'!$A$3:$J$209,10,FALSE)</f>
        <v>#DIV/0!</v>
      </c>
      <c r="AT163" s="68">
        <f t="shared" si="107"/>
        <v>192.97</v>
      </c>
      <c r="AU163" s="68" t="e">
        <f t="shared" si="108"/>
        <v>#DIV/0!</v>
      </c>
      <c r="AV163" s="75" t="e">
        <f t="shared" si="138"/>
        <v>#DIV/0!</v>
      </c>
      <c r="AW163" s="68" t="e">
        <f>IF($I163="NA","NA",ROUND(#REF!*$AS163/$I163,2))</f>
        <v>#REF!</v>
      </c>
      <c r="AX163" s="75" t="e">
        <f t="shared" si="105"/>
        <v>#REF!</v>
      </c>
      <c r="AY163" s="68" t="e">
        <f t="shared" si="139"/>
        <v>#REF!</v>
      </c>
      <c r="AZ163" s="4">
        <f t="shared" si="140"/>
        <v>62557</v>
      </c>
      <c r="BA163" s="4">
        <f t="shared" si="141"/>
        <v>47580</v>
      </c>
      <c r="BB163" s="4">
        <f t="shared" si="142"/>
        <v>41130</v>
      </c>
      <c r="BC163" s="142">
        <f>IF(ISNA(VLOOKUP($A163&amp;$AB163,'Days Exceptions'!$C$3:$I$7,6,FALSE)),ROUND(AZ163/MAX(BB163,(BA163*Min_Occ)),2),ROUND(AZ163/VLOOKUP($A163&amp;$AB163,'Days Exceptions'!$C$3:$I$7,6,FALSE),2))</f>
        <v>1.52</v>
      </c>
      <c r="BD163" s="143" t="e">
        <f t="shared" si="109"/>
        <v>#REF!</v>
      </c>
      <c r="BE163" s="143" t="e">
        <f t="shared" si="110"/>
        <v>#REF!</v>
      </c>
      <c r="BF163" s="143">
        <f t="shared" si="111"/>
        <v>147.62</v>
      </c>
      <c r="BG163" s="37" t="s">
        <v>556</v>
      </c>
      <c r="BH163" s="37" t="s">
        <v>592</v>
      </c>
      <c r="BI163" s="37" t="s">
        <v>1319</v>
      </c>
      <c r="BJ163" s="66" t="e">
        <f>VLOOKUP(A163,'CMI Data'!$A$3:$AZ$209,15,FALSE)</f>
        <v>#DIV/0!</v>
      </c>
      <c r="BK163" s="68">
        <f t="shared" si="112"/>
        <v>192.97</v>
      </c>
      <c r="BL163" s="68" t="e">
        <f t="shared" si="113"/>
        <v>#DIV/0!</v>
      </c>
      <c r="BM163" s="75" t="e">
        <f t="shared" si="143"/>
        <v>#DIV/0!</v>
      </c>
      <c r="BN163" s="68" t="e">
        <f>IF($I163="NA","NA",ROUND(#REF!*$BJ163/$I163,2))</f>
        <v>#REF!</v>
      </c>
      <c r="BO163" s="75" t="e">
        <f t="shared" si="144"/>
        <v>#REF!</v>
      </c>
      <c r="BP163" s="68" t="e">
        <f t="shared" si="145"/>
        <v>#REF!</v>
      </c>
      <c r="BQ163" s="4">
        <f t="shared" si="146"/>
        <v>62557</v>
      </c>
      <c r="BR163" s="4">
        <f t="shared" si="147"/>
        <v>47580</v>
      </c>
      <c r="BS163" s="4">
        <f t="shared" si="148"/>
        <v>41130</v>
      </c>
      <c r="BT163" s="142">
        <f>IF(ISNA(VLOOKUP($A163&amp;$AB163,'Days Exceptions'!$C$3:$I$7,6,FALSE)),ROUND(BQ163/MAX(BS163,(BR163*Min_Occ)),2),ROUND(BQ163/VLOOKUP($A163&amp;$AB163,'Days Exceptions'!$C$3:$I$7,6,FALSE),2))</f>
        <v>1.52</v>
      </c>
      <c r="BU163" s="143" t="e">
        <f t="shared" si="114"/>
        <v>#REF!</v>
      </c>
      <c r="BV163" s="143" t="e">
        <f t="shared" si="115"/>
        <v>#REF!</v>
      </c>
      <c r="BW163" s="143">
        <f t="shared" si="116"/>
        <v>147.62</v>
      </c>
      <c r="BX163" s="37" t="s">
        <v>556</v>
      </c>
      <c r="BY163" s="37" t="s">
        <v>592</v>
      </c>
      <c r="BZ163" s="37" t="s">
        <v>1682</v>
      </c>
      <c r="CA163" s="66" t="e">
        <f>VLOOKUP(A163,'CMI Data'!$A$3:$AZ$209,20,FALSE)</f>
        <v>#DIV/0!</v>
      </c>
      <c r="CB163" s="68">
        <f t="shared" si="117"/>
        <v>192.97</v>
      </c>
      <c r="CC163" s="68" t="e">
        <f t="shared" si="118"/>
        <v>#DIV/0!</v>
      </c>
      <c r="CD163" s="75" t="e">
        <f t="shared" si="149"/>
        <v>#DIV/0!</v>
      </c>
      <c r="CE163" s="68" t="e">
        <f>IF($I163="NA","NA",ROUND(#REF!*$CA163/$I163,2))</f>
        <v>#REF!</v>
      </c>
      <c r="CF163" s="75" t="e">
        <f t="shared" si="150"/>
        <v>#REF!</v>
      </c>
      <c r="CG163" s="68" t="e">
        <f t="shared" si="151"/>
        <v>#REF!</v>
      </c>
      <c r="CH163" s="4">
        <f t="shared" si="152"/>
        <v>62557</v>
      </c>
      <c r="CI163" s="4">
        <f t="shared" si="153"/>
        <v>47580</v>
      </c>
      <c r="CJ163" s="4">
        <f t="shared" si="154"/>
        <v>41130</v>
      </c>
      <c r="CK163" s="142">
        <f>IF(ISNA(VLOOKUP($A163&amp;$AB163,'Days Exceptions'!$C$3:$I$7,6,FALSE)),ROUND(CH163/MAX(CJ163,(CI163*Min_Occ)),2),ROUND(CH163/VLOOKUP($A163&amp;$AB163,'Days Exceptions'!$C$3:$I$7,6,FALSE),2))</f>
        <v>1.52</v>
      </c>
      <c r="CL163" s="143" t="e">
        <f t="shared" si="119"/>
        <v>#REF!</v>
      </c>
      <c r="CM163" s="143" t="e">
        <f t="shared" si="120"/>
        <v>#REF!</v>
      </c>
      <c r="CN163" s="143">
        <f t="shared" si="121"/>
        <v>147.62</v>
      </c>
      <c r="CO163" s="37" t="s">
        <v>556</v>
      </c>
      <c r="CP163" s="37" t="s">
        <v>592</v>
      </c>
      <c r="CQ163" s="37" t="s">
        <v>1683</v>
      </c>
    </row>
    <row r="164" spans="1:95" x14ac:dyDescent="0.15">
      <c r="A164" s="130">
        <v>318</v>
      </c>
      <c r="B164" s="37" t="s">
        <v>454</v>
      </c>
      <c r="C164" s="1" t="s">
        <v>148</v>
      </c>
      <c r="D164" s="1" t="s">
        <v>107</v>
      </c>
      <c r="E164" s="1" t="str">
        <f>VLOOKUP(D164,Documentation!$B$4:$D$27,3,FALSE)</f>
        <v>BALTIMORE METRO</v>
      </c>
      <c r="F164" s="1" t="str">
        <f>VLOOKUP(D164,Documentation!$B$4:$C$27,2,FALSE)</f>
        <v>BALTIMORE METRO</v>
      </c>
      <c r="G164" s="82">
        <f>VLOOKUP(A164,'2022 CR and CMI'!$A$3:$D$207,3,FALSE)</f>
        <v>44562</v>
      </c>
      <c r="H164" s="82">
        <f>VLOOKUP(A164,'2022 CR and CMI'!$A$3:$D$207,4,FALSE)</f>
        <v>44926</v>
      </c>
      <c r="I164" s="72">
        <f>VLOOKUP(A164,'2022 CR and CMI'!$A$2:$T$210,19,FALSE)</f>
        <v>1.4552</v>
      </c>
      <c r="J164" s="139">
        <f>Inflation!$G$24</f>
        <v>1.0309999999999999</v>
      </c>
      <c r="K164" s="192">
        <f>VLOOKUP(E164,Limits!$B$2:$D$5,3,FALSE)</f>
        <v>195.33</v>
      </c>
      <c r="L164" s="192">
        <f t="shared" si="124"/>
        <v>201.39</v>
      </c>
      <c r="M164" s="140">
        <f>VLOOKUP(A164,'CMI Data'!$A$4:$C$208,3,FALSE)</f>
        <v>1.6072</v>
      </c>
      <c r="N164" s="68">
        <f t="shared" si="106"/>
        <v>203.06</v>
      </c>
      <c r="O164" s="68">
        <f t="shared" si="125"/>
        <v>224.27</v>
      </c>
      <c r="P164" s="75">
        <f t="shared" si="126"/>
        <v>213.06</v>
      </c>
      <c r="Q164" s="75">
        <v>177.19</v>
      </c>
      <c r="R164" s="75">
        <f t="shared" si="127"/>
        <v>182.68</v>
      </c>
      <c r="S164" s="68">
        <f t="shared" si="128"/>
        <v>201.76</v>
      </c>
      <c r="T164" s="75">
        <f t="shared" si="129"/>
        <v>-11.3</v>
      </c>
      <c r="U164" s="68">
        <f t="shared" si="130"/>
        <v>212.97</v>
      </c>
      <c r="V164" s="68">
        <f>VLOOKUP($F164,Limits!$J$2:$L$5,3,FALSE)</f>
        <v>20.85</v>
      </c>
      <c r="W164" s="68">
        <f t="shared" si="131"/>
        <v>21.5</v>
      </c>
      <c r="X164" s="68">
        <f>VLOOKUP($F164,Limits!$R$2:$T$5,3,FALSE)</f>
        <v>102.02</v>
      </c>
      <c r="Y164" s="68">
        <f t="shared" si="132"/>
        <v>105.18</v>
      </c>
      <c r="Z164" s="75">
        <f>VLOOKUP(A164,FRV!$A$4:$U$208,21,FALSE)</f>
        <v>27.95</v>
      </c>
      <c r="AA164" s="141">
        <f>VLOOKUP(A164,'RE Tax'!$A$2:$G$206,3,FALSE)</f>
        <v>45292</v>
      </c>
      <c r="AB164" s="141">
        <f>VLOOKUP(A164,'RE Tax'!$A$2:$G$206,4,FALSE)</f>
        <v>45657</v>
      </c>
      <c r="AC164" s="4">
        <f>VLOOKUP(A164,'RE Tax'!$A$2:$G$206,7,FALSE)</f>
        <v>92993</v>
      </c>
      <c r="AD164" s="4">
        <f>VLOOKUP($A164,'RE Tax'!$A$2:$I$206,9,FALSE)</f>
        <v>50874</v>
      </c>
      <c r="AE164" s="4">
        <f>VLOOKUP($A164,'RE Tax'!$A$2:$I$206,8,FALSE)</f>
        <v>43826</v>
      </c>
      <c r="AF164" s="142">
        <f>IF(ISNA(VLOOKUP(A164&amp;AB164,'Days Exceptions'!$C$3:$I$7,6,FALSE)),ROUND(AC164/MAX(AE164,(AD164*Min_Occ)),2),ROUND(AC164/VLOOKUP(A164&amp;AB164,'Days Exceptions'!$C$3:$I$7,6,FALSE),2))</f>
        <v>2.12</v>
      </c>
      <c r="AG164" s="68">
        <v>0</v>
      </c>
      <c r="AH164" s="68">
        <f t="shared" si="133"/>
        <v>0</v>
      </c>
      <c r="AI164" s="4">
        <v>34893</v>
      </c>
      <c r="AJ164" s="4">
        <v>43826</v>
      </c>
      <c r="AK164" s="68">
        <f>IF(AI164=0,0,IF(ISNA(MATCH(A164,Documentation!$B$66:$B$71,0)),QA_Tax_reg,QA_Tax_5high))</f>
        <v>32.92</v>
      </c>
      <c r="AL164" s="75">
        <f t="shared" si="134"/>
        <v>26.21</v>
      </c>
      <c r="AM164" s="68">
        <f t="shared" si="135"/>
        <v>369.72</v>
      </c>
      <c r="AN164" s="68">
        <f t="shared" si="136"/>
        <v>263.24</v>
      </c>
      <c r="AO164" s="68">
        <f t="shared" si="137"/>
        <v>156.75</v>
      </c>
      <c r="AP164" s="37" t="s">
        <v>453</v>
      </c>
      <c r="AQ164" s="37" t="s">
        <v>454</v>
      </c>
      <c r="AR164" s="37" t="s">
        <v>1116</v>
      </c>
      <c r="AS164" s="66" t="e">
        <f>VLOOKUP(A164,'CMI Data'!$A$3:$J$209,10,FALSE)</f>
        <v>#DIV/0!</v>
      </c>
      <c r="AT164" s="68">
        <f t="shared" si="107"/>
        <v>196.95</v>
      </c>
      <c r="AU164" s="68" t="e">
        <f t="shared" si="108"/>
        <v>#DIV/0!</v>
      </c>
      <c r="AV164" s="75" t="e">
        <f t="shared" si="138"/>
        <v>#DIV/0!</v>
      </c>
      <c r="AW164" s="68" t="e">
        <f>IF($I164="NA","NA",ROUND(#REF!*$AS164/$I164,2))</f>
        <v>#REF!</v>
      </c>
      <c r="AX164" s="75" t="e">
        <f t="shared" si="105"/>
        <v>#REF!</v>
      </c>
      <c r="AY164" s="68" t="e">
        <f t="shared" si="139"/>
        <v>#REF!</v>
      </c>
      <c r="AZ164" s="4">
        <f t="shared" si="140"/>
        <v>92993</v>
      </c>
      <c r="BA164" s="4">
        <f t="shared" si="141"/>
        <v>50874</v>
      </c>
      <c r="BB164" s="4">
        <f t="shared" si="142"/>
        <v>43826</v>
      </c>
      <c r="BC164" s="142">
        <f>IF(ISNA(VLOOKUP($A164&amp;$AB164,'Days Exceptions'!$C$3:$I$7,6,FALSE)),ROUND(AZ164/MAX(BB164,(BA164*Min_Occ)),2),ROUND(AZ164/VLOOKUP($A164&amp;$AB164,'Days Exceptions'!$C$3:$I$7,6,FALSE),2))</f>
        <v>2.12</v>
      </c>
      <c r="BD164" s="143" t="e">
        <f t="shared" si="109"/>
        <v>#REF!</v>
      </c>
      <c r="BE164" s="143" t="e">
        <f t="shared" si="110"/>
        <v>#REF!</v>
      </c>
      <c r="BF164" s="143">
        <f t="shared" si="111"/>
        <v>152.94</v>
      </c>
      <c r="BG164" s="37" t="s">
        <v>453</v>
      </c>
      <c r="BH164" s="37" t="s">
        <v>454</v>
      </c>
      <c r="BI164" s="37" t="s">
        <v>1320</v>
      </c>
      <c r="BJ164" s="66" t="e">
        <f>VLOOKUP(A164,'CMI Data'!$A$3:$AZ$209,15,FALSE)</f>
        <v>#DIV/0!</v>
      </c>
      <c r="BK164" s="68">
        <f t="shared" si="112"/>
        <v>196.95</v>
      </c>
      <c r="BL164" s="68" t="e">
        <f t="shared" si="113"/>
        <v>#DIV/0!</v>
      </c>
      <c r="BM164" s="75" t="e">
        <f t="shared" si="143"/>
        <v>#DIV/0!</v>
      </c>
      <c r="BN164" s="68" t="e">
        <f>IF($I164="NA","NA",ROUND(#REF!*$BJ164/$I164,2))</f>
        <v>#REF!</v>
      </c>
      <c r="BO164" s="75" t="e">
        <f t="shared" si="144"/>
        <v>#REF!</v>
      </c>
      <c r="BP164" s="68" t="e">
        <f t="shared" si="145"/>
        <v>#REF!</v>
      </c>
      <c r="BQ164" s="4">
        <f t="shared" si="146"/>
        <v>92993</v>
      </c>
      <c r="BR164" s="4">
        <f t="shared" si="147"/>
        <v>50874</v>
      </c>
      <c r="BS164" s="4">
        <f t="shared" si="148"/>
        <v>43826</v>
      </c>
      <c r="BT164" s="142">
        <f>IF(ISNA(VLOOKUP($A164&amp;$AB164,'Days Exceptions'!$C$3:$I$7,6,FALSE)),ROUND(BQ164/MAX(BS164,(BR164*Min_Occ)),2),ROUND(BQ164/VLOOKUP($A164&amp;$AB164,'Days Exceptions'!$C$3:$I$7,6,FALSE),2))</f>
        <v>2.12</v>
      </c>
      <c r="BU164" s="143" t="e">
        <f t="shared" si="114"/>
        <v>#REF!</v>
      </c>
      <c r="BV164" s="143" t="e">
        <f t="shared" si="115"/>
        <v>#REF!</v>
      </c>
      <c r="BW164" s="143">
        <f t="shared" si="116"/>
        <v>152.94</v>
      </c>
      <c r="BX164" s="37" t="s">
        <v>453</v>
      </c>
      <c r="BY164" s="37" t="s">
        <v>454</v>
      </c>
      <c r="BZ164" s="37" t="s">
        <v>1684</v>
      </c>
      <c r="CA164" s="66" t="e">
        <f>VLOOKUP(A164,'CMI Data'!$A$3:$AZ$209,20,FALSE)</f>
        <v>#DIV/0!</v>
      </c>
      <c r="CB164" s="68">
        <f t="shared" si="117"/>
        <v>196.95</v>
      </c>
      <c r="CC164" s="68" t="e">
        <f t="shared" si="118"/>
        <v>#DIV/0!</v>
      </c>
      <c r="CD164" s="75" t="e">
        <f t="shared" si="149"/>
        <v>#DIV/0!</v>
      </c>
      <c r="CE164" s="68" t="e">
        <f>IF($I164="NA","NA",ROUND(#REF!*$CA164/$I164,2))</f>
        <v>#REF!</v>
      </c>
      <c r="CF164" s="75" t="e">
        <f t="shared" si="150"/>
        <v>#REF!</v>
      </c>
      <c r="CG164" s="68" t="e">
        <f t="shared" si="151"/>
        <v>#REF!</v>
      </c>
      <c r="CH164" s="4">
        <f t="shared" si="152"/>
        <v>92993</v>
      </c>
      <c r="CI164" s="4">
        <f t="shared" si="153"/>
        <v>50874</v>
      </c>
      <c r="CJ164" s="4">
        <f t="shared" si="154"/>
        <v>43826</v>
      </c>
      <c r="CK164" s="142">
        <f>IF(ISNA(VLOOKUP($A164&amp;$AB164,'Days Exceptions'!$C$3:$I$7,6,FALSE)),ROUND(CH164/MAX(CJ164,(CI164*Min_Occ)),2),ROUND(CH164/VLOOKUP($A164&amp;$AB164,'Days Exceptions'!$C$3:$I$7,6,FALSE),2))</f>
        <v>2.12</v>
      </c>
      <c r="CL164" s="143" t="e">
        <f t="shared" si="119"/>
        <v>#REF!</v>
      </c>
      <c r="CM164" s="143" t="e">
        <f t="shared" si="120"/>
        <v>#REF!</v>
      </c>
      <c r="CN164" s="143">
        <f t="shared" si="121"/>
        <v>152.94</v>
      </c>
      <c r="CO164" s="37" t="s">
        <v>453</v>
      </c>
      <c r="CP164" s="37" t="s">
        <v>454</v>
      </c>
      <c r="CQ164" s="37" t="s">
        <v>1685</v>
      </c>
    </row>
    <row r="165" spans="1:95" x14ac:dyDescent="0.15">
      <c r="A165" s="130">
        <v>370</v>
      </c>
      <c r="B165" s="37" t="s">
        <v>705</v>
      </c>
      <c r="C165" s="1" t="s">
        <v>148</v>
      </c>
      <c r="D165" s="1" t="s">
        <v>107</v>
      </c>
      <c r="E165" s="1" t="str">
        <f>VLOOKUP(D165,Documentation!$B$4:$D$27,3,FALSE)</f>
        <v>BALTIMORE METRO</v>
      </c>
      <c r="F165" s="1" t="str">
        <f>VLOOKUP(D165,Documentation!$B$4:$C$27,2,FALSE)</f>
        <v>BALTIMORE METRO</v>
      </c>
      <c r="G165" s="82">
        <f>VLOOKUP(A165,'2022 CR and CMI'!$A$3:$D$207,3,FALSE)</f>
        <v>44562</v>
      </c>
      <c r="H165" s="82">
        <f>VLOOKUP(A165,'2022 CR and CMI'!$A$3:$D$207,4,FALSE)</f>
        <v>44926</v>
      </c>
      <c r="I165" s="72">
        <f>VLOOKUP(A165,'2022 CR and CMI'!$A$2:$T$210,19,FALSE)</f>
        <v>1.4568000000000001</v>
      </c>
      <c r="J165" s="139">
        <f>Inflation!$G$24</f>
        <v>1.0309999999999999</v>
      </c>
      <c r="K165" s="192">
        <f>VLOOKUP(E165,Limits!$B$2:$D$5,3,FALSE)</f>
        <v>195.33</v>
      </c>
      <c r="L165" s="192">
        <f t="shared" si="124"/>
        <v>201.39</v>
      </c>
      <c r="M165" s="140">
        <f>VLOOKUP(A165,'CMI Data'!$A$4:$C$208,3,FALSE)</f>
        <v>1.2130000000000001</v>
      </c>
      <c r="N165" s="68">
        <f t="shared" si="106"/>
        <v>203.29</v>
      </c>
      <c r="O165" s="68">
        <f t="shared" si="125"/>
        <v>169.27</v>
      </c>
      <c r="P165" s="75">
        <f t="shared" si="126"/>
        <v>160.81</v>
      </c>
      <c r="Q165" s="75">
        <v>145.15</v>
      </c>
      <c r="R165" s="75">
        <f t="shared" si="127"/>
        <v>149.65</v>
      </c>
      <c r="S165" s="68">
        <f t="shared" si="128"/>
        <v>124.61</v>
      </c>
      <c r="T165" s="75">
        <f t="shared" si="129"/>
        <v>-36.200000000000003</v>
      </c>
      <c r="U165" s="68">
        <f t="shared" si="130"/>
        <v>133.07</v>
      </c>
      <c r="V165" s="68">
        <f>VLOOKUP($F165,Limits!$J$2:$L$5,3,FALSE)</f>
        <v>20.85</v>
      </c>
      <c r="W165" s="68">
        <f t="shared" si="131"/>
        <v>21.5</v>
      </c>
      <c r="X165" s="68">
        <f>VLOOKUP($F165,Limits!$R$2:$T$5,3,FALSE)</f>
        <v>102.02</v>
      </c>
      <c r="Y165" s="68">
        <f t="shared" si="132"/>
        <v>105.18</v>
      </c>
      <c r="Z165" s="75">
        <f>VLOOKUP(A165,FRV!$A$4:$U$208,21,FALSE)</f>
        <v>30</v>
      </c>
      <c r="AA165" s="141">
        <f>VLOOKUP(A165,'RE Tax'!$A$2:$G$206,3,FALSE)</f>
        <v>45292</v>
      </c>
      <c r="AB165" s="141">
        <f>VLOOKUP(A165,'RE Tax'!$A$2:$G$206,4,FALSE)</f>
        <v>45657</v>
      </c>
      <c r="AC165" s="4">
        <f>VLOOKUP(A165,'RE Tax'!$A$2:$G$206,7,FALSE)</f>
        <v>134698</v>
      </c>
      <c r="AD165" s="4">
        <f>VLOOKUP($A165,'RE Tax'!$A$2:$I$206,9,FALSE)</f>
        <v>58560</v>
      </c>
      <c r="AE165" s="4">
        <f>VLOOKUP($A165,'RE Tax'!$A$2:$I$206,8,FALSE)</f>
        <v>47589</v>
      </c>
      <c r="AF165" s="142">
        <f>IF(ISNA(VLOOKUP(A165&amp;AB165,'Days Exceptions'!$C$3:$I$7,6,FALSE)),ROUND(AC165/MAX(AE165,(AD165*Min_Occ)),2),ROUND(AC165/VLOOKUP(A165&amp;AB165,'Days Exceptions'!$C$3:$I$7,6,FALSE),2))</f>
        <v>2.82</v>
      </c>
      <c r="AG165" s="68">
        <v>0</v>
      </c>
      <c r="AH165" s="68">
        <f t="shared" si="133"/>
        <v>0</v>
      </c>
      <c r="AI165" s="4">
        <v>43438</v>
      </c>
      <c r="AJ165" s="4">
        <v>47589</v>
      </c>
      <c r="AK165" s="68">
        <f>IF(AI165=0,0,IF(ISNA(MATCH(A165,Documentation!$B$66:$B$71,0)),QA_Tax_reg,QA_Tax_5high))</f>
        <v>32.92</v>
      </c>
      <c r="AL165" s="75">
        <f t="shared" si="134"/>
        <v>30.05</v>
      </c>
      <c r="AM165" s="68">
        <f t="shared" si="135"/>
        <v>292.57</v>
      </c>
      <c r="AN165" s="68">
        <f t="shared" si="136"/>
        <v>226.04</v>
      </c>
      <c r="AO165" s="68">
        <f t="shared" si="137"/>
        <v>159.5</v>
      </c>
      <c r="AP165" s="37" t="s">
        <v>704</v>
      </c>
      <c r="AQ165" s="37" t="s">
        <v>705</v>
      </c>
      <c r="AR165" s="37" t="s">
        <v>1117</v>
      </c>
      <c r="AS165" s="66" t="e">
        <f>VLOOKUP(A165,'CMI Data'!$A$3:$J$209,10,FALSE)</f>
        <v>#DIV/0!</v>
      </c>
      <c r="AT165" s="68">
        <f t="shared" si="107"/>
        <v>197.17</v>
      </c>
      <c r="AU165" s="68" t="e">
        <f t="shared" si="108"/>
        <v>#DIV/0!</v>
      </c>
      <c r="AV165" s="75" t="e">
        <f t="shared" si="138"/>
        <v>#DIV/0!</v>
      </c>
      <c r="AW165" s="68" t="e">
        <f>IF($I165="NA","NA",ROUND(#REF!*$AS165/$I165,2))</f>
        <v>#REF!</v>
      </c>
      <c r="AX165" s="75" t="e">
        <f t="shared" si="105"/>
        <v>#REF!</v>
      </c>
      <c r="AY165" s="68" t="e">
        <f t="shared" si="139"/>
        <v>#REF!</v>
      </c>
      <c r="AZ165" s="4">
        <f t="shared" si="140"/>
        <v>134698</v>
      </c>
      <c r="BA165" s="4">
        <f t="shared" si="141"/>
        <v>58560</v>
      </c>
      <c r="BB165" s="4">
        <f t="shared" si="142"/>
        <v>47589</v>
      </c>
      <c r="BC165" s="142">
        <f>IF(ISNA(VLOOKUP($A165&amp;$AB165,'Days Exceptions'!$C$3:$I$7,6,FALSE)),ROUND(AZ165/MAX(BB165,(BA165*Min_Occ)),2),ROUND(AZ165/VLOOKUP($A165&amp;$AB165,'Days Exceptions'!$C$3:$I$7,6,FALSE),2))</f>
        <v>2.82</v>
      </c>
      <c r="BD165" s="143" t="e">
        <f t="shared" si="109"/>
        <v>#REF!</v>
      </c>
      <c r="BE165" s="143" t="e">
        <f t="shared" si="110"/>
        <v>#REF!</v>
      </c>
      <c r="BF165" s="143">
        <f t="shared" si="111"/>
        <v>155.69</v>
      </c>
      <c r="BG165" s="37" t="s">
        <v>704</v>
      </c>
      <c r="BH165" s="37" t="s">
        <v>705</v>
      </c>
      <c r="BI165" s="37" t="s">
        <v>1321</v>
      </c>
      <c r="BJ165" s="66" t="e">
        <f>VLOOKUP(A165,'CMI Data'!$A$3:$AZ$209,15,FALSE)</f>
        <v>#DIV/0!</v>
      </c>
      <c r="BK165" s="68">
        <f t="shared" si="112"/>
        <v>197.17</v>
      </c>
      <c r="BL165" s="68" t="e">
        <f t="shared" si="113"/>
        <v>#DIV/0!</v>
      </c>
      <c r="BM165" s="75" t="e">
        <f t="shared" si="143"/>
        <v>#DIV/0!</v>
      </c>
      <c r="BN165" s="68" t="e">
        <f>IF($I165="NA","NA",ROUND(#REF!*$BJ165/$I165,2))</f>
        <v>#REF!</v>
      </c>
      <c r="BO165" s="75" t="e">
        <f t="shared" si="144"/>
        <v>#REF!</v>
      </c>
      <c r="BP165" s="68" t="e">
        <f t="shared" si="145"/>
        <v>#REF!</v>
      </c>
      <c r="BQ165" s="4">
        <f t="shared" si="146"/>
        <v>134698</v>
      </c>
      <c r="BR165" s="4">
        <f t="shared" si="147"/>
        <v>58560</v>
      </c>
      <c r="BS165" s="4">
        <f t="shared" si="148"/>
        <v>47589</v>
      </c>
      <c r="BT165" s="142">
        <f>IF(ISNA(VLOOKUP($A165&amp;$AB165,'Days Exceptions'!$C$3:$I$7,6,FALSE)),ROUND(BQ165/MAX(BS165,(BR165*Min_Occ)),2),ROUND(BQ165/VLOOKUP($A165&amp;$AB165,'Days Exceptions'!$C$3:$I$7,6,FALSE),2))</f>
        <v>2.82</v>
      </c>
      <c r="BU165" s="143" t="e">
        <f t="shared" si="114"/>
        <v>#REF!</v>
      </c>
      <c r="BV165" s="143" t="e">
        <f t="shared" si="115"/>
        <v>#REF!</v>
      </c>
      <c r="BW165" s="143">
        <f t="shared" si="116"/>
        <v>155.69</v>
      </c>
      <c r="BX165" s="37" t="s">
        <v>704</v>
      </c>
      <c r="BY165" s="37" t="s">
        <v>705</v>
      </c>
      <c r="BZ165" s="37" t="s">
        <v>1686</v>
      </c>
      <c r="CA165" s="66" t="e">
        <f>VLOOKUP(A165,'CMI Data'!$A$3:$AZ$209,20,FALSE)</f>
        <v>#DIV/0!</v>
      </c>
      <c r="CB165" s="68">
        <f t="shared" si="117"/>
        <v>197.17</v>
      </c>
      <c r="CC165" s="68" t="e">
        <f t="shared" si="118"/>
        <v>#DIV/0!</v>
      </c>
      <c r="CD165" s="75" t="e">
        <f t="shared" si="149"/>
        <v>#DIV/0!</v>
      </c>
      <c r="CE165" s="68" t="e">
        <f>IF($I165="NA","NA",ROUND(#REF!*$CA165/$I165,2))</f>
        <v>#REF!</v>
      </c>
      <c r="CF165" s="75" t="e">
        <f t="shared" si="150"/>
        <v>#REF!</v>
      </c>
      <c r="CG165" s="68" t="e">
        <f t="shared" si="151"/>
        <v>#REF!</v>
      </c>
      <c r="CH165" s="4">
        <f t="shared" si="152"/>
        <v>134698</v>
      </c>
      <c r="CI165" s="4">
        <f t="shared" si="153"/>
        <v>58560</v>
      </c>
      <c r="CJ165" s="4">
        <f t="shared" si="154"/>
        <v>47589</v>
      </c>
      <c r="CK165" s="142">
        <f>IF(ISNA(VLOOKUP($A165&amp;$AB165,'Days Exceptions'!$C$3:$I$7,6,FALSE)),ROUND(CH165/MAX(CJ165,(CI165*Min_Occ)),2),ROUND(CH165/VLOOKUP($A165&amp;$AB165,'Days Exceptions'!$C$3:$I$7,6,FALSE),2))</f>
        <v>2.82</v>
      </c>
      <c r="CL165" s="143" t="e">
        <f t="shared" si="119"/>
        <v>#REF!</v>
      </c>
      <c r="CM165" s="143" t="e">
        <f t="shared" si="120"/>
        <v>#REF!</v>
      </c>
      <c r="CN165" s="143">
        <f t="shared" si="121"/>
        <v>155.69</v>
      </c>
      <c r="CO165" s="37" t="s">
        <v>704</v>
      </c>
      <c r="CP165" s="37" t="s">
        <v>705</v>
      </c>
      <c r="CQ165" s="37" t="s">
        <v>1687</v>
      </c>
    </row>
    <row r="166" spans="1:95" x14ac:dyDescent="0.15">
      <c r="A166" s="130">
        <v>140</v>
      </c>
      <c r="B166" s="37" t="s">
        <v>817</v>
      </c>
      <c r="C166" s="1" t="s">
        <v>148</v>
      </c>
      <c r="D166" s="1" t="s">
        <v>115</v>
      </c>
      <c r="E166" s="1" t="str">
        <f>VLOOKUP(D166,Documentation!$B$4:$D$27,3,FALSE)</f>
        <v>WESTERN REGION</v>
      </c>
      <c r="F166" s="1" t="str">
        <f>VLOOKUP(D166,Documentation!$B$4:$C$27,2,FALSE)</f>
        <v>NON METRO</v>
      </c>
      <c r="G166" s="82">
        <f>VLOOKUP(A166,'2022 CR and CMI'!$A$3:$D$207,3,FALSE)</f>
        <v>44774</v>
      </c>
      <c r="H166" s="82">
        <f>VLOOKUP(A166,'2022 CR and CMI'!$A$3:$D$207,4,FALSE)</f>
        <v>44926</v>
      </c>
      <c r="I166" s="72">
        <f>VLOOKUP(A166,'2022 CR and CMI'!$A$2:$T$210,19,FALSE)</f>
        <v>1.3563000000000001</v>
      </c>
      <c r="J166" s="139">
        <f>Inflation!$G$24</f>
        <v>1.0309999999999999</v>
      </c>
      <c r="K166" s="192">
        <f>VLOOKUP(E166,Limits!$B$2:$D$5,3,FALSE)</f>
        <v>166.26</v>
      </c>
      <c r="L166" s="192">
        <f t="shared" si="124"/>
        <v>171.41</v>
      </c>
      <c r="M166" s="140">
        <f>VLOOKUP(A166,'CMI Data'!$A$4:$C$208,3,FALSE)</f>
        <v>1.3725000000000001</v>
      </c>
      <c r="N166" s="68">
        <f t="shared" si="106"/>
        <v>161.09</v>
      </c>
      <c r="O166" s="68">
        <f t="shared" si="125"/>
        <v>163.01</v>
      </c>
      <c r="P166" s="75">
        <f t="shared" si="126"/>
        <v>154.86000000000001</v>
      </c>
      <c r="Q166" s="75">
        <v>191.16</v>
      </c>
      <c r="R166" s="75">
        <f t="shared" si="127"/>
        <v>197.09</v>
      </c>
      <c r="S166" s="68">
        <f t="shared" si="128"/>
        <v>199.44</v>
      </c>
      <c r="T166" s="75">
        <f t="shared" si="129"/>
        <v>0</v>
      </c>
      <c r="U166" s="68">
        <f t="shared" si="130"/>
        <v>163.01</v>
      </c>
      <c r="V166" s="68">
        <f>VLOOKUP($F166,Limits!$J$2:$L$5,3,FALSE)</f>
        <v>20.239999999999998</v>
      </c>
      <c r="W166" s="68">
        <f t="shared" si="131"/>
        <v>20.87</v>
      </c>
      <c r="X166" s="68">
        <f>VLOOKUP($F166,Limits!$R$2:$T$5,3,FALSE)</f>
        <v>89.55</v>
      </c>
      <c r="Y166" s="68">
        <f t="shared" si="132"/>
        <v>92.33</v>
      </c>
      <c r="Z166" s="75">
        <f>VLOOKUP(A166,FRV!$A$4:$U$208,21,FALSE)</f>
        <v>25.89</v>
      </c>
      <c r="AA166" s="141">
        <f>VLOOKUP(A166,'RE Tax'!$A$2:$G$206,3,FALSE)</f>
        <v>45566</v>
      </c>
      <c r="AB166" s="141">
        <f>VLOOKUP(A166,'RE Tax'!$A$2:$G$206,4,FALSE)</f>
        <v>45657</v>
      </c>
      <c r="AC166" s="4">
        <f>VLOOKUP(A166,'RE Tax'!$A$2:$G$206,7,FALSE)</f>
        <v>24690</v>
      </c>
      <c r="AD166" s="4">
        <f>VLOOKUP($A166,'RE Tax'!$A$2:$I$206,9,FALSE)</f>
        <v>9108</v>
      </c>
      <c r="AE166" s="4">
        <f>VLOOKUP($A166,'RE Tax'!$A$2:$I$206,8,FALSE)</f>
        <v>6889</v>
      </c>
      <c r="AF166" s="142">
        <f>IF(ISNA(VLOOKUP(A166&amp;AB166,'Days Exceptions'!$C$3:$I$7,6,FALSE)),ROUND(AC166/MAX(AE166,(AD166*Min_Occ)),2),ROUND(AC166/VLOOKUP(A166&amp;AB166,'Days Exceptions'!$C$3:$I$7,6,FALSE),2))</f>
        <v>3.32</v>
      </c>
      <c r="AG166" s="68">
        <v>0</v>
      </c>
      <c r="AH166" s="68">
        <f t="shared" si="133"/>
        <v>0</v>
      </c>
      <c r="AI166" s="4">
        <v>24827</v>
      </c>
      <c r="AJ166" s="4">
        <v>28608</v>
      </c>
      <c r="AK166" s="68">
        <f>IF(AI166=0,0,IF(ISNA(MATCH(A166,Documentation!$B$66:$B$71,0)),QA_Tax_reg,QA_Tax_5high))</f>
        <v>32.92</v>
      </c>
      <c r="AL166" s="75">
        <f t="shared" si="134"/>
        <v>28.57</v>
      </c>
      <c r="AM166" s="68">
        <f t="shared" si="135"/>
        <v>305.42</v>
      </c>
      <c r="AN166" s="68">
        <f t="shared" si="136"/>
        <v>223.92</v>
      </c>
      <c r="AO166" s="68">
        <f t="shared" si="137"/>
        <v>142.41</v>
      </c>
      <c r="AP166" s="37" t="s">
        <v>934</v>
      </c>
      <c r="AQ166" s="37" t="s">
        <v>817</v>
      </c>
      <c r="AR166" s="37" t="s">
        <v>1118</v>
      </c>
      <c r="AS166" s="66" t="e">
        <f>VLOOKUP(A166,'CMI Data'!$A$3:$J$209,10,FALSE)</f>
        <v>#DIV/0!</v>
      </c>
      <c r="AT166" s="68">
        <f t="shared" si="107"/>
        <v>156.25</v>
      </c>
      <c r="AU166" s="68" t="e">
        <f t="shared" si="108"/>
        <v>#DIV/0!</v>
      </c>
      <c r="AV166" s="75" t="e">
        <f t="shared" si="138"/>
        <v>#DIV/0!</v>
      </c>
      <c r="AW166" s="68" t="e">
        <f>IF($I166="NA","NA",ROUND(#REF!*$AS166/$I166,2))</f>
        <v>#REF!</v>
      </c>
      <c r="AX166" s="75" t="e">
        <f t="shared" si="105"/>
        <v>#REF!</v>
      </c>
      <c r="AY166" s="68" t="e">
        <f t="shared" si="139"/>
        <v>#REF!</v>
      </c>
      <c r="AZ166" s="4">
        <f t="shared" si="140"/>
        <v>24690</v>
      </c>
      <c r="BA166" s="4">
        <f t="shared" si="141"/>
        <v>9108</v>
      </c>
      <c r="BB166" s="4">
        <f t="shared" si="142"/>
        <v>6889</v>
      </c>
      <c r="BC166" s="142">
        <f>IF(ISNA(VLOOKUP($A166&amp;$AB166,'Days Exceptions'!$C$3:$I$7,6,FALSE)),ROUND(AZ166/MAX(BB166,(BA166*Min_Occ)),2),ROUND(AZ166/VLOOKUP($A166&amp;$AB166,'Days Exceptions'!$C$3:$I$7,6,FALSE),2))</f>
        <v>3.32</v>
      </c>
      <c r="BD166" s="143" t="e">
        <f t="shared" si="109"/>
        <v>#REF!</v>
      </c>
      <c r="BE166" s="143" t="e">
        <f t="shared" si="110"/>
        <v>#REF!</v>
      </c>
      <c r="BF166" s="143">
        <f t="shared" si="111"/>
        <v>139</v>
      </c>
      <c r="BG166" s="37" t="s">
        <v>658</v>
      </c>
      <c r="BH166" s="37" t="s">
        <v>659</v>
      </c>
      <c r="BI166" s="37" t="s">
        <v>1322</v>
      </c>
      <c r="BJ166" s="66" t="e">
        <f>VLOOKUP(A166,'CMI Data'!$A$3:$AZ$209,15,FALSE)</f>
        <v>#DIV/0!</v>
      </c>
      <c r="BK166" s="68">
        <f t="shared" si="112"/>
        <v>156.25</v>
      </c>
      <c r="BL166" s="68" t="e">
        <f t="shared" si="113"/>
        <v>#DIV/0!</v>
      </c>
      <c r="BM166" s="75" t="e">
        <f t="shared" si="143"/>
        <v>#DIV/0!</v>
      </c>
      <c r="BN166" s="68" t="e">
        <f>IF($I166="NA","NA",ROUND(#REF!*$BJ166/$I166,2))</f>
        <v>#REF!</v>
      </c>
      <c r="BO166" s="75" t="e">
        <f t="shared" si="144"/>
        <v>#REF!</v>
      </c>
      <c r="BP166" s="68" t="e">
        <f t="shared" si="145"/>
        <v>#REF!</v>
      </c>
      <c r="BQ166" s="4">
        <f t="shared" si="146"/>
        <v>24690</v>
      </c>
      <c r="BR166" s="4">
        <f t="shared" si="147"/>
        <v>9108</v>
      </c>
      <c r="BS166" s="4">
        <f t="shared" si="148"/>
        <v>6889</v>
      </c>
      <c r="BT166" s="142">
        <f>IF(ISNA(VLOOKUP($A166&amp;$AB166,'Days Exceptions'!$C$3:$I$7,6,FALSE)),ROUND(BQ166/MAX(BS166,(BR166*Min_Occ)),2),ROUND(BQ166/VLOOKUP($A166&amp;$AB166,'Days Exceptions'!$C$3:$I$7,6,FALSE),2))</f>
        <v>3.32</v>
      </c>
      <c r="BU166" s="143" t="e">
        <f t="shared" si="114"/>
        <v>#REF!</v>
      </c>
      <c r="BV166" s="143" t="e">
        <f t="shared" si="115"/>
        <v>#REF!</v>
      </c>
      <c r="BW166" s="143">
        <f t="shared" si="116"/>
        <v>139</v>
      </c>
      <c r="BX166" s="37" t="s">
        <v>658</v>
      </c>
      <c r="BY166" s="37" t="s">
        <v>659</v>
      </c>
      <c r="BZ166" s="37" t="s">
        <v>1688</v>
      </c>
      <c r="CA166" s="66" t="e">
        <f>VLOOKUP(A166,'CMI Data'!$A$3:$AZ$209,20,FALSE)</f>
        <v>#DIV/0!</v>
      </c>
      <c r="CB166" s="68">
        <f t="shared" si="117"/>
        <v>156.25</v>
      </c>
      <c r="CC166" s="68" t="e">
        <f t="shared" si="118"/>
        <v>#DIV/0!</v>
      </c>
      <c r="CD166" s="75" t="e">
        <f t="shared" si="149"/>
        <v>#DIV/0!</v>
      </c>
      <c r="CE166" s="68" t="e">
        <f>IF($I166="NA","NA",ROUND(#REF!*$CA166/$I166,2))</f>
        <v>#REF!</v>
      </c>
      <c r="CF166" s="75" t="e">
        <f t="shared" si="150"/>
        <v>#REF!</v>
      </c>
      <c r="CG166" s="68" t="e">
        <f t="shared" si="151"/>
        <v>#REF!</v>
      </c>
      <c r="CH166" s="4">
        <f t="shared" si="152"/>
        <v>24690</v>
      </c>
      <c r="CI166" s="4">
        <f t="shared" si="153"/>
        <v>9108</v>
      </c>
      <c r="CJ166" s="4">
        <f t="shared" si="154"/>
        <v>6889</v>
      </c>
      <c r="CK166" s="142">
        <f>IF(ISNA(VLOOKUP($A166&amp;$AB166,'Days Exceptions'!$C$3:$I$7,6,FALSE)),ROUND(CH166/MAX(CJ166,(CI166*Min_Occ)),2),ROUND(CH166/VLOOKUP($A166&amp;$AB166,'Days Exceptions'!$C$3:$I$7,6,FALSE),2))</f>
        <v>3.32</v>
      </c>
      <c r="CL166" s="143" t="e">
        <f t="shared" si="119"/>
        <v>#REF!</v>
      </c>
      <c r="CM166" s="143" t="e">
        <f t="shared" si="120"/>
        <v>#REF!</v>
      </c>
      <c r="CN166" s="143">
        <f t="shared" si="121"/>
        <v>139</v>
      </c>
      <c r="CO166" s="37" t="s">
        <v>658</v>
      </c>
      <c r="CP166" s="37" t="s">
        <v>659</v>
      </c>
      <c r="CQ166" s="37" t="s">
        <v>1689</v>
      </c>
    </row>
    <row r="167" spans="1:95" x14ac:dyDescent="0.15">
      <c r="A167" s="130">
        <v>274</v>
      </c>
      <c r="B167" s="37" t="s">
        <v>818</v>
      </c>
      <c r="C167" s="1" t="s">
        <v>148</v>
      </c>
      <c r="D167" s="1" t="s">
        <v>105</v>
      </c>
      <c r="E167" s="1" t="str">
        <f>VLOOKUP(D167,Documentation!$B$4:$D$27,3,FALSE)</f>
        <v>WESTERN REGION</v>
      </c>
      <c r="F167" s="1" t="str">
        <f>VLOOKUP(D167,Documentation!$B$4:$C$27,2,FALSE)</f>
        <v>NON METRO</v>
      </c>
      <c r="G167" s="82">
        <f>VLOOKUP(A167,'2022 CR and CMI'!$A$3:$D$207,3,FALSE)</f>
        <v>44562</v>
      </c>
      <c r="H167" s="82">
        <f>VLOOKUP(A167,'2022 CR and CMI'!$A$3:$D$207,4,FALSE)</f>
        <v>44926</v>
      </c>
      <c r="I167" s="72">
        <f>VLOOKUP(A167,'2022 CR and CMI'!$A$2:$T$210,19,FALSE)</f>
        <v>1.3363</v>
      </c>
      <c r="J167" s="139">
        <f>Inflation!$G$24</f>
        <v>1.0309999999999999</v>
      </c>
      <c r="K167" s="192">
        <f>VLOOKUP(E167,Limits!$B$2:$D$5,3,FALSE)</f>
        <v>166.26</v>
      </c>
      <c r="L167" s="192">
        <f t="shared" si="124"/>
        <v>171.41</v>
      </c>
      <c r="M167" s="140">
        <f>VLOOKUP(A167,'CMI Data'!$A$4:$C$208,3,FALSE)</f>
        <v>1.2443</v>
      </c>
      <c r="N167" s="68">
        <f t="shared" si="106"/>
        <v>158.71</v>
      </c>
      <c r="O167" s="68">
        <f t="shared" si="125"/>
        <v>147.78</v>
      </c>
      <c r="P167" s="75">
        <f t="shared" si="126"/>
        <v>140.38999999999999</v>
      </c>
      <c r="Q167" s="75">
        <v>155.80000000000001</v>
      </c>
      <c r="R167" s="75">
        <f t="shared" si="127"/>
        <v>160.63</v>
      </c>
      <c r="S167" s="68">
        <f t="shared" si="128"/>
        <v>149.57</v>
      </c>
      <c r="T167" s="75">
        <f t="shared" si="129"/>
        <v>0</v>
      </c>
      <c r="U167" s="68">
        <f t="shared" si="130"/>
        <v>147.78</v>
      </c>
      <c r="V167" s="68">
        <f>VLOOKUP($F167,Limits!$J$2:$L$5,3,FALSE)</f>
        <v>20.239999999999998</v>
      </c>
      <c r="W167" s="68">
        <f t="shared" si="131"/>
        <v>20.87</v>
      </c>
      <c r="X167" s="68">
        <f>VLOOKUP($F167,Limits!$R$2:$T$5,3,FALSE)</f>
        <v>89.55</v>
      </c>
      <c r="Y167" s="68">
        <f t="shared" si="132"/>
        <v>92.33</v>
      </c>
      <c r="Z167" s="75">
        <f>VLOOKUP(A167,FRV!$A$4:$U$208,21,FALSE)</f>
        <v>25.35</v>
      </c>
      <c r="AA167" s="141">
        <f>VLOOKUP(A167,'RE Tax'!$A$2:$G$206,3,FALSE)</f>
        <v>45566</v>
      </c>
      <c r="AB167" s="141">
        <f>VLOOKUP(A167,'RE Tax'!$A$2:$G$206,4,FALSE)</f>
        <v>45657</v>
      </c>
      <c r="AC167" s="4">
        <f>VLOOKUP(A167,'RE Tax'!$A$2:$G$206,7,FALSE)</f>
        <v>23280</v>
      </c>
      <c r="AD167" s="4">
        <f>VLOOKUP($A167,'RE Tax'!$A$2:$I$206,9,FALSE)</f>
        <v>9292</v>
      </c>
      <c r="AE167" s="4">
        <f>VLOOKUP($A167,'RE Tax'!$A$2:$I$206,8,FALSE)</f>
        <v>6995</v>
      </c>
      <c r="AF167" s="142">
        <f>IF(ISNA(VLOOKUP(A167&amp;AB167,'Days Exceptions'!$C$3:$I$7,6,FALSE)),ROUND(AC167/MAX(AE167,(AD167*Min_Occ)),2),ROUND(AC167/VLOOKUP(A167&amp;AB167,'Days Exceptions'!$C$3:$I$7,6,FALSE),2))</f>
        <v>3.07</v>
      </c>
      <c r="AG167" s="68">
        <v>0</v>
      </c>
      <c r="AH167" s="68">
        <f t="shared" si="133"/>
        <v>0</v>
      </c>
      <c r="AI167" s="4">
        <v>22985</v>
      </c>
      <c r="AJ167" s="4">
        <v>29372</v>
      </c>
      <c r="AK167" s="68">
        <f>IF(AI167=0,0,IF(ISNA(MATCH(A167,Documentation!$B$66:$B$71,0)),QA_Tax_reg,QA_Tax_5high))</f>
        <v>32.92</v>
      </c>
      <c r="AL167" s="75">
        <f t="shared" si="134"/>
        <v>25.76</v>
      </c>
      <c r="AM167" s="68">
        <f t="shared" si="135"/>
        <v>289.39999999999998</v>
      </c>
      <c r="AN167" s="68">
        <f t="shared" si="136"/>
        <v>215.51</v>
      </c>
      <c r="AO167" s="68">
        <f t="shared" si="137"/>
        <v>141.62</v>
      </c>
      <c r="AP167" s="37" t="s">
        <v>935</v>
      </c>
      <c r="AQ167" s="37" t="s">
        <v>818</v>
      </c>
      <c r="AR167" s="37" t="s">
        <v>1119</v>
      </c>
      <c r="AS167" s="66" t="e">
        <f>VLOOKUP(A167,'CMI Data'!$A$3:$J$209,10,FALSE)</f>
        <v>#DIV/0!</v>
      </c>
      <c r="AT167" s="68">
        <f t="shared" si="107"/>
        <v>153.94</v>
      </c>
      <c r="AU167" s="68" t="e">
        <f t="shared" si="108"/>
        <v>#DIV/0!</v>
      </c>
      <c r="AV167" s="75" t="e">
        <f t="shared" si="138"/>
        <v>#DIV/0!</v>
      </c>
      <c r="AW167" s="68" t="e">
        <f>IF($I167="NA","NA",ROUND(#REF!*$AS167/$I167,2))</f>
        <v>#REF!</v>
      </c>
      <c r="AX167" s="75" t="e">
        <f t="shared" si="105"/>
        <v>#REF!</v>
      </c>
      <c r="AY167" s="68" t="e">
        <f t="shared" si="139"/>
        <v>#REF!</v>
      </c>
      <c r="AZ167" s="4">
        <f t="shared" si="140"/>
        <v>23280</v>
      </c>
      <c r="BA167" s="4">
        <f t="shared" si="141"/>
        <v>9292</v>
      </c>
      <c r="BB167" s="4">
        <f t="shared" si="142"/>
        <v>6995</v>
      </c>
      <c r="BC167" s="142">
        <f>IF(ISNA(VLOOKUP($A167&amp;$AB167,'Days Exceptions'!$C$3:$I$7,6,FALSE)),ROUND(AZ167/MAX(BB167,(BA167*Min_Occ)),2),ROUND(AZ167/VLOOKUP($A167&amp;$AB167,'Days Exceptions'!$C$3:$I$7,6,FALSE),2))</f>
        <v>3.07</v>
      </c>
      <c r="BD167" s="143" t="e">
        <f t="shared" si="109"/>
        <v>#REF!</v>
      </c>
      <c r="BE167" s="143" t="e">
        <f t="shared" si="110"/>
        <v>#REF!</v>
      </c>
      <c r="BF167" s="143">
        <f t="shared" si="111"/>
        <v>138.21</v>
      </c>
      <c r="BG167" s="37" t="s">
        <v>596</v>
      </c>
      <c r="BH167" s="37" t="s">
        <v>597</v>
      </c>
      <c r="BI167" s="37" t="s">
        <v>1323</v>
      </c>
      <c r="BJ167" s="66" t="e">
        <f>VLOOKUP(A167,'CMI Data'!$A$3:$AZ$209,15,FALSE)</f>
        <v>#DIV/0!</v>
      </c>
      <c r="BK167" s="68">
        <f t="shared" si="112"/>
        <v>153.94</v>
      </c>
      <c r="BL167" s="68" t="e">
        <f t="shared" si="113"/>
        <v>#DIV/0!</v>
      </c>
      <c r="BM167" s="75" t="e">
        <f t="shared" si="143"/>
        <v>#DIV/0!</v>
      </c>
      <c r="BN167" s="68" t="e">
        <f>IF($I167="NA","NA",ROUND(#REF!*$BJ167/$I167,2))</f>
        <v>#REF!</v>
      </c>
      <c r="BO167" s="75" t="e">
        <f t="shared" si="144"/>
        <v>#REF!</v>
      </c>
      <c r="BP167" s="68" t="e">
        <f t="shared" si="145"/>
        <v>#REF!</v>
      </c>
      <c r="BQ167" s="4">
        <f t="shared" si="146"/>
        <v>23280</v>
      </c>
      <c r="BR167" s="4">
        <f t="shared" si="147"/>
        <v>9292</v>
      </c>
      <c r="BS167" s="4">
        <f t="shared" si="148"/>
        <v>6995</v>
      </c>
      <c r="BT167" s="142">
        <f>IF(ISNA(VLOOKUP($A167&amp;$AB167,'Days Exceptions'!$C$3:$I$7,6,FALSE)),ROUND(BQ167/MAX(BS167,(BR167*Min_Occ)),2),ROUND(BQ167/VLOOKUP($A167&amp;$AB167,'Days Exceptions'!$C$3:$I$7,6,FALSE),2))</f>
        <v>3.07</v>
      </c>
      <c r="BU167" s="143" t="e">
        <f t="shared" si="114"/>
        <v>#REF!</v>
      </c>
      <c r="BV167" s="143" t="e">
        <f t="shared" si="115"/>
        <v>#REF!</v>
      </c>
      <c r="BW167" s="143">
        <f t="shared" si="116"/>
        <v>138.21</v>
      </c>
      <c r="BX167" s="37" t="s">
        <v>596</v>
      </c>
      <c r="BY167" s="37" t="s">
        <v>597</v>
      </c>
      <c r="BZ167" s="37" t="s">
        <v>1690</v>
      </c>
      <c r="CA167" s="66" t="e">
        <f>VLOOKUP(A167,'CMI Data'!$A$3:$AZ$209,20,FALSE)</f>
        <v>#DIV/0!</v>
      </c>
      <c r="CB167" s="68">
        <f t="shared" si="117"/>
        <v>153.94</v>
      </c>
      <c r="CC167" s="68" t="e">
        <f t="shared" si="118"/>
        <v>#DIV/0!</v>
      </c>
      <c r="CD167" s="75" t="e">
        <f t="shared" si="149"/>
        <v>#DIV/0!</v>
      </c>
      <c r="CE167" s="68" t="e">
        <f>IF($I167="NA","NA",ROUND(#REF!*$CA167/$I167,2))</f>
        <v>#REF!</v>
      </c>
      <c r="CF167" s="75" t="e">
        <f t="shared" si="150"/>
        <v>#REF!</v>
      </c>
      <c r="CG167" s="68" t="e">
        <f t="shared" si="151"/>
        <v>#REF!</v>
      </c>
      <c r="CH167" s="4">
        <f t="shared" si="152"/>
        <v>23280</v>
      </c>
      <c r="CI167" s="4">
        <f t="shared" si="153"/>
        <v>9292</v>
      </c>
      <c r="CJ167" s="4">
        <f t="shared" si="154"/>
        <v>6995</v>
      </c>
      <c r="CK167" s="142">
        <f>IF(ISNA(VLOOKUP($A167&amp;$AB167,'Days Exceptions'!$C$3:$I$7,6,FALSE)),ROUND(CH167/MAX(CJ167,(CI167*Min_Occ)),2),ROUND(CH167/VLOOKUP($A167&amp;$AB167,'Days Exceptions'!$C$3:$I$7,6,FALSE),2))</f>
        <v>3.07</v>
      </c>
      <c r="CL167" s="143" t="e">
        <f t="shared" si="119"/>
        <v>#REF!</v>
      </c>
      <c r="CM167" s="143" t="e">
        <f t="shared" si="120"/>
        <v>#REF!</v>
      </c>
      <c r="CN167" s="143">
        <f t="shared" si="121"/>
        <v>138.21</v>
      </c>
      <c r="CO167" s="37" t="s">
        <v>596</v>
      </c>
      <c r="CP167" s="37" t="s">
        <v>597</v>
      </c>
      <c r="CQ167" s="37" t="s">
        <v>1691</v>
      </c>
    </row>
    <row r="168" spans="1:95" x14ac:dyDescent="0.15">
      <c r="A168" s="130">
        <v>426</v>
      </c>
      <c r="B168" s="37" t="s">
        <v>819</v>
      </c>
      <c r="C168" s="1" t="s">
        <v>148</v>
      </c>
      <c r="D168" s="1" t="s">
        <v>105</v>
      </c>
      <c r="E168" s="1" t="str">
        <f>VLOOKUP(D168,Documentation!$B$4:$D$27,3,FALSE)</f>
        <v>WESTERN REGION</v>
      </c>
      <c r="F168" s="1" t="str">
        <f>VLOOKUP(D168,Documentation!$B$4:$C$27,2,FALSE)</f>
        <v>NON METRO</v>
      </c>
      <c r="G168" s="82">
        <f>VLOOKUP(A168,'2022 CR and CMI'!$A$3:$D$207,3,FALSE)</f>
        <v>44774</v>
      </c>
      <c r="H168" s="82">
        <f>VLOOKUP(A168,'2022 CR and CMI'!$A$3:$D$207,4,FALSE)</f>
        <v>44926</v>
      </c>
      <c r="I168" s="72">
        <f>VLOOKUP(A168,'2022 CR and CMI'!$A$2:$T$210,19,FALSE)</f>
        <v>1.2922</v>
      </c>
      <c r="J168" s="139">
        <f>Inflation!$G$24</f>
        <v>1.0309999999999999</v>
      </c>
      <c r="K168" s="192">
        <f>VLOOKUP(E168,Limits!$B$2:$D$5,3,FALSE)</f>
        <v>166.26</v>
      </c>
      <c r="L168" s="192">
        <f t="shared" si="124"/>
        <v>171.41</v>
      </c>
      <c r="M168" s="140">
        <f>VLOOKUP(A168,'CMI Data'!$A$4:$C$208,3,FALSE)</f>
        <v>1.2654000000000001</v>
      </c>
      <c r="N168" s="68">
        <f t="shared" si="106"/>
        <v>153.47999999999999</v>
      </c>
      <c r="O168" s="68">
        <f t="shared" si="125"/>
        <v>150.30000000000001</v>
      </c>
      <c r="P168" s="75">
        <f t="shared" si="126"/>
        <v>142.79</v>
      </c>
      <c r="Q168" s="75">
        <v>175.1</v>
      </c>
      <c r="R168" s="75">
        <f t="shared" si="127"/>
        <v>180.53</v>
      </c>
      <c r="S168" s="68">
        <f t="shared" si="128"/>
        <v>176.79</v>
      </c>
      <c r="T168" s="75">
        <f t="shared" si="129"/>
        <v>0</v>
      </c>
      <c r="U168" s="68">
        <f t="shared" si="130"/>
        <v>150.30000000000001</v>
      </c>
      <c r="V168" s="68">
        <f>VLOOKUP($F168,Limits!$J$2:$L$5,3,FALSE)</f>
        <v>20.239999999999998</v>
      </c>
      <c r="W168" s="68">
        <f t="shared" si="131"/>
        <v>20.87</v>
      </c>
      <c r="X168" s="68">
        <f>VLOOKUP($F168,Limits!$R$2:$T$5,3,FALSE)</f>
        <v>89.55</v>
      </c>
      <c r="Y168" s="68">
        <f t="shared" si="132"/>
        <v>92.33</v>
      </c>
      <c r="Z168" s="75">
        <f>VLOOKUP(A168,FRV!$A$4:$U$208,21,FALSE)</f>
        <v>41.33</v>
      </c>
      <c r="AA168" s="141">
        <f>VLOOKUP(A168,'RE Tax'!$A$2:$G$206,3,FALSE)</f>
        <v>45566</v>
      </c>
      <c r="AB168" s="141">
        <f>VLOOKUP(A168,'RE Tax'!$A$2:$G$206,4,FALSE)</f>
        <v>45657</v>
      </c>
      <c r="AC168" s="4">
        <f>VLOOKUP(A168,'RE Tax'!$A$2:$G$206,7,FALSE)</f>
        <v>34829</v>
      </c>
      <c r="AD168" s="4">
        <f>VLOOKUP($A168,'RE Tax'!$A$2:$I$206,9,FALSE)</f>
        <v>8096</v>
      </c>
      <c r="AE168" s="4">
        <f>VLOOKUP($A168,'RE Tax'!$A$2:$I$206,8,FALSE)</f>
        <v>7683</v>
      </c>
      <c r="AF168" s="142">
        <f>IF(ISNA(VLOOKUP(A168&amp;AB168,'Days Exceptions'!$C$3:$I$7,6,FALSE)),ROUND(AC168/MAX(AE168,(AD168*Min_Occ)),2),ROUND(AC168/VLOOKUP(A168&amp;AB168,'Days Exceptions'!$C$3:$I$7,6,FALSE),2))</f>
        <v>4.53</v>
      </c>
      <c r="AG168" s="68">
        <v>0</v>
      </c>
      <c r="AH168" s="68">
        <f t="shared" si="133"/>
        <v>0</v>
      </c>
      <c r="AI168" s="4">
        <v>23821</v>
      </c>
      <c r="AJ168" s="4">
        <v>29375</v>
      </c>
      <c r="AK168" s="68">
        <f>IF(AI168=0,0,IF(ISNA(MATCH(A168,Documentation!$B$66:$B$71,0)),QA_Tax_reg,QA_Tax_5high))</f>
        <v>32.92</v>
      </c>
      <c r="AL168" s="75">
        <f t="shared" si="134"/>
        <v>26.7</v>
      </c>
      <c r="AM168" s="68">
        <f t="shared" si="135"/>
        <v>309.36</v>
      </c>
      <c r="AN168" s="68">
        <f t="shared" si="136"/>
        <v>234.21</v>
      </c>
      <c r="AO168" s="68">
        <f t="shared" si="137"/>
        <v>159.06</v>
      </c>
      <c r="AP168" s="37" t="s">
        <v>936</v>
      </c>
      <c r="AQ168" s="37" t="s">
        <v>819</v>
      </c>
      <c r="AR168" s="37" t="s">
        <v>1120</v>
      </c>
      <c r="AS168" s="66" t="e">
        <f>VLOOKUP(A168,'CMI Data'!$A$3:$J$209,10,FALSE)</f>
        <v>#DIV/0!</v>
      </c>
      <c r="AT168" s="68">
        <f t="shared" si="107"/>
        <v>148.86000000000001</v>
      </c>
      <c r="AU168" s="68" t="e">
        <f t="shared" si="108"/>
        <v>#DIV/0!</v>
      </c>
      <c r="AV168" s="75" t="e">
        <f t="shared" si="138"/>
        <v>#DIV/0!</v>
      </c>
      <c r="AW168" s="68" t="e">
        <f>IF($I168="NA","NA",ROUND(#REF!*$AS168/$I168,2))</f>
        <v>#REF!</v>
      </c>
      <c r="AX168" s="75" t="e">
        <f t="shared" si="105"/>
        <v>#REF!</v>
      </c>
      <c r="AY168" s="68" t="e">
        <f t="shared" si="139"/>
        <v>#REF!</v>
      </c>
      <c r="AZ168" s="4">
        <f t="shared" si="140"/>
        <v>34829</v>
      </c>
      <c r="BA168" s="4">
        <f t="shared" si="141"/>
        <v>8096</v>
      </c>
      <c r="BB168" s="4">
        <f t="shared" si="142"/>
        <v>7683</v>
      </c>
      <c r="BC168" s="142">
        <f>IF(ISNA(VLOOKUP($A168&amp;$AB168,'Days Exceptions'!$C$3:$I$7,6,FALSE)),ROUND(AZ168/MAX(BB168,(BA168*Min_Occ)),2),ROUND(AZ168/VLOOKUP($A168&amp;$AB168,'Days Exceptions'!$C$3:$I$7,6,FALSE),2))</f>
        <v>4.53</v>
      </c>
      <c r="BD168" s="143" t="e">
        <f t="shared" si="109"/>
        <v>#REF!</v>
      </c>
      <c r="BE168" s="143" t="e">
        <f t="shared" si="110"/>
        <v>#REF!</v>
      </c>
      <c r="BF168" s="143">
        <f t="shared" si="111"/>
        <v>155.65</v>
      </c>
      <c r="BG168" s="37" t="s">
        <v>663</v>
      </c>
      <c r="BH168" s="37" t="s">
        <v>664</v>
      </c>
      <c r="BI168" s="37" t="s">
        <v>1324</v>
      </c>
      <c r="BJ168" s="66" t="e">
        <f>VLOOKUP(A168,'CMI Data'!$A$3:$AZ$209,15,FALSE)</f>
        <v>#DIV/0!</v>
      </c>
      <c r="BK168" s="68">
        <f t="shared" si="112"/>
        <v>148.86000000000001</v>
      </c>
      <c r="BL168" s="68" t="e">
        <f t="shared" si="113"/>
        <v>#DIV/0!</v>
      </c>
      <c r="BM168" s="75" t="e">
        <f t="shared" si="143"/>
        <v>#DIV/0!</v>
      </c>
      <c r="BN168" s="68" t="e">
        <f>IF($I168="NA","NA",ROUND(#REF!*$BJ168/$I168,2))</f>
        <v>#REF!</v>
      </c>
      <c r="BO168" s="75" t="e">
        <f t="shared" si="144"/>
        <v>#REF!</v>
      </c>
      <c r="BP168" s="68" t="e">
        <f t="shared" si="145"/>
        <v>#REF!</v>
      </c>
      <c r="BQ168" s="4">
        <f t="shared" si="146"/>
        <v>34829</v>
      </c>
      <c r="BR168" s="4">
        <f t="shared" si="147"/>
        <v>8096</v>
      </c>
      <c r="BS168" s="4">
        <f t="shared" si="148"/>
        <v>7683</v>
      </c>
      <c r="BT168" s="142">
        <f>IF(ISNA(VLOOKUP($A168&amp;$AB168,'Days Exceptions'!$C$3:$I$7,6,FALSE)),ROUND(BQ168/MAX(BS168,(BR168*Min_Occ)),2),ROUND(BQ168/VLOOKUP($A168&amp;$AB168,'Days Exceptions'!$C$3:$I$7,6,FALSE),2))</f>
        <v>4.53</v>
      </c>
      <c r="BU168" s="143" t="e">
        <f t="shared" si="114"/>
        <v>#REF!</v>
      </c>
      <c r="BV168" s="143" t="e">
        <f t="shared" si="115"/>
        <v>#REF!</v>
      </c>
      <c r="BW168" s="143">
        <f t="shared" si="116"/>
        <v>155.65</v>
      </c>
      <c r="BX168" s="37" t="s">
        <v>663</v>
      </c>
      <c r="BY168" s="37" t="s">
        <v>664</v>
      </c>
      <c r="BZ168" s="37" t="s">
        <v>1692</v>
      </c>
      <c r="CA168" s="66" t="e">
        <f>VLOOKUP(A168,'CMI Data'!$A$3:$AZ$209,20,FALSE)</f>
        <v>#DIV/0!</v>
      </c>
      <c r="CB168" s="68">
        <f t="shared" si="117"/>
        <v>148.86000000000001</v>
      </c>
      <c r="CC168" s="68" t="e">
        <f t="shared" si="118"/>
        <v>#DIV/0!</v>
      </c>
      <c r="CD168" s="75" t="e">
        <f t="shared" si="149"/>
        <v>#DIV/0!</v>
      </c>
      <c r="CE168" s="68" t="e">
        <f>IF($I168="NA","NA",ROUND(#REF!*$CA168/$I168,2))</f>
        <v>#REF!</v>
      </c>
      <c r="CF168" s="75" t="e">
        <f t="shared" si="150"/>
        <v>#REF!</v>
      </c>
      <c r="CG168" s="68" t="e">
        <f t="shared" si="151"/>
        <v>#REF!</v>
      </c>
      <c r="CH168" s="4">
        <f t="shared" si="152"/>
        <v>34829</v>
      </c>
      <c r="CI168" s="4">
        <f t="shared" si="153"/>
        <v>8096</v>
      </c>
      <c r="CJ168" s="4">
        <f t="shared" si="154"/>
        <v>7683</v>
      </c>
      <c r="CK168" s="142">
        <f>IF(ISNA(VLOOKUP($A168&amp;$AB168,'Days Exceptions'!$C$3:$I$7,6,FALSE)),ROUND(CH168/MAX(CJ168,(CI168*Min_Occ)),2),ROUND(CH168/VLOOKUP($A168&amp;$AB168,'Days Exceptions'!$C$3:$I$7,6,FALSE),2))</f>
        <v>4.53</v>
      </c>
      <c r="CL168" s="143" t="e">
        <f t="shared" si="119"/>
        <v>#REF!</v>
      </c>
      <c r="CM168" s="143" t="e">
        <f t="shared" si="120"/>
        <v>#REF!</v>
      </c>
      <c r="CN168" s="143">
        <f t="shared" si="121"/>
        <v>155.65</v>
      </c>
      <c r="CO168" s="37" t="s">
        <v>663</v>
      </c>
      <c r="CP168" s="37" t="s">
        <v>664</v>
      </c>
      <c r="CQ168" s="37" t="s">
        <v>1693</v>
      </c>
    </row>
    <row r="169" spans="1:95" x14ac:dyDescent="0.15">
      <c r="A169" s="130">
        <v>382</v>
      </c>
      <c r="B169" s="37" t="s">
        <v>820</v>
      </c>
      <c r="C169" s="1" t="s">
        <v>148</v>
      </c>
      <c r="D169" s="1" t="s">
        <v>107</v>
      </c>
      <c r="E169" s="1" t="str">
        <f>VLOOKUP(D169,Documentation!$B$4:$D$27,3,FALSE)</f>
        <v>BALTIMORE METRO</v>
      </c>
      <c r="F169" s="1" t="str">
        <f>VLOOKUP(D169,Documentation!$B$4:$C$27,2,FALSE)</f>
        <v>BALTIMORE METRO</v>
      </c>
      <c r="G169" s="82">
        <f>VLOOKUP(A169,'2022 CR and CMI'!$A$3:$D$207,3,FALSE)</f>
        <v>44866</v>
      </c>
      <c r="H169" s="82">
        <f>VLOOKUP(A169,'2022 CR and CMI'!$A$3:$D$207,4,FALSE)</f>
        <v>44926</v>
      </c>
      <c r="I169" s="72">
        <f>VLOOKUP(A169,'2022 CR and CMI'!$A$2:$T$210,19,FALSE)</f>
        <v>1.5501</v>
      </c>
      <c r="J169" s="139">
        <f>Inflation!$G$24</f>
        <v>1.0309999999999999</v>
      </c>
      <c r="K169" s="192">
        <f>VLOOKUP(E169,Limits!$B$2:$D$5,3,FALSE)</f>
        <v>195.33</v>
      </c>
      <c r="L169" s="192">
        <f t="shared" si="124"/>
        <v>201.39</v>
      </c>
      <c r="M169" s="140">
        <f>VLOOKUP(A169,'CMI Data'!$A$4:$C$208,3,FALSE)</f>
        <v>1.4601</v>
      </c>
      <c r="N169" s="68">
        <f t="shared" si="106"/>
        <v>216.31</v>
      </c>
      <c r="O169" s="68">
        <f t="shared" si="125"/>
        <v>203.75</v>
      </c>
      <c r="P169" s="75">
        <f t="shared" si="126"/>
        <v>193.56</v>
      </c>
      <c r="Q169" s="75">
        <v>167.33</v>
      </c>
      <c r="R169" s="75">
        <f t="shared" si="127"/>
        <v>172.52</v>
      </c>
      <c r="S169" s="68">
        <f t="shared" si="128"/>
        <v>162.5</v>
      </c>
      <c r="T169" s="75">
        <f t="shared" si="129"/>
        <v>-31.06</v>
      </c>
      <c r="U169" s="68">
        <f t="shared" si="130"/>
        <v>172.69</v>
      </c>
      <c r="V169" s="68">
        <f>VLOOKUP($F169,Limits!$J$2:$L$5,3,FALSE)</f>
        <v>20.85</v>
      </c>
      <c r="W169" s="68">
        <f t="shared" si="131"/>
        <v>21.5</v>
      </c>
      <c r="X169" s="68">
        <f>VLOOKUP($F169,Limits!$R$2:$T$5,3,FALSE)</f>
        <v>102.02</v>
      </c>
      <c r="Y169" s="68">
        <f t="shared" si="132"/>
        <v>105.18</v>
      </c>
      <c r="Z169" s="75">
        <f>VLOOKUP(A169,FRV!$A$4:$U$208,21,FALSE)</f>
        <v>27.21</v>
      </c>
      <c r="AA169" s="141">
        <f>VLOOKUP(A169,'RE Tax'!$A$2:$G$206,3,FALSE)</f>
        <v>45566</v>
      </c>
      <c r="AB169" s="141">
        <f>VLOOKUP(A169,'RE Tax'!$A$2:$G$206,4,FALSE)</f>
        <v>45657</v>
      </c>
      <c r="AC169" s="4">
        <f>VLOOKUP(A169,'RE Tax'!$A$2:$G$206,7,FALSE)</f>
        <v>5076</v>
      </c>
      <c r="AD169" s="4">
        <f>VLOOKUP($A169,'RE Tax'!$A$2:$I$206,9,FALSE)</f>
        <v>5612</v>
      </c>
      <c r="AE169" s="4">
        <f>VLOOKUP($A169,'RE Tax'!$A$2:$I$206,8,FALSE)</f>
        <v>4844</v>
      </c>
      <c r="AF169" s="142">
        <f>IF(ISNA(VLOOKUP(A169&amp;AB169,'Days Exceptions'!$C$3:$I$7,6,FALSE)),ROUND(AC169/MAX(AE169,(AD169*Min_Occ)),2),ROUND(AC169/VLOOKUP(A169&amp;AB169,'Days Exceptions'!$C$3:$I$7,6,FALSE),2))</f>
        <v>1.05</v>
      </c>
      <c r="AG169" s="68">
        <v>0</v>
      </c>
      <c r="AH169" s="68">
        <f t="shared" si="133"/>
        <v>0</v>
      </c>
      <c r="AI169" s="4">
        <v>16718</v>
      </c>
      <c r="AJ169" s="4">
        <v>19545</v>
      </c>
      <c r="AK169" s="68">
        <f>IF(AI169=0,0,IF(ISNA(MATCH(A169,Documentation!$B$66:$B$71,0)),QA_Tax_reg,QA_Tax_5high))</f>
        <v>32.92</v>
      </c>
      <c r="AL169" s="75">
        <f t="shared" si="134"/>
        <v>28.16</v>
      </c>
      <c r="AM169" s="68">
        <f t="shared" si="135"/>
        <v>327.63</v>
      </c>
      <c r="AN169" s="68">
        <f t="shared" si="136"/>
        <v>241.29</v>
      </c>
      <c r="AO169" s="68">
        <f t="shared" si="137"/>
        <v>154.94</v>
      </c>
      <c r="AP169" s="37" t="s">
        <v>937</v>
      </c>
      <c r="AQ169" s="37" t="s">
        <v>820</v>
      </c>
      <c r="AR169" s="37" t="s">
        <v>1121</v>
      </c>
      <c r="AS169" s="66" t="e">
        <f>VLOOKUP(A169,'CMI Data'!$A$3:$J$209,10,FALSE)</f>
        <v>#DIV/0!</v>
      </c>
      <c r="AT169" s="68">
        <f t="shared" si="107"/>
        <v>209.8</v>
      </c>
      <c r="AU169" s="68" t="e">
        <f t="shared" si="108"/>
        <v>#DIV/0!</v>
      </c>
      <c r="AV169" s="75" t="e">
        <f t="shared" si="138"/>
        <v>#DIV/0!</v>
      </c>
      <c r="AW169" s="68" t="e">
        <f>IF($I169="NA","NA",ROUND(#REF!*$AS169/$I169,2))</f>
        <v>#REF!</v>
      </c>
      <c r="AX169" s="75" t="e">
        <f t="shared" si="105"/>
        <v>#REF!</v>
      </c>
      <c r="AY169" s="68" t="e">
        <f t="shared" si="139"/>
        <v>#REF!</v>
      </c>
      <c r="AZ169" s="4">
        <f t="shared" si="140"/>
        <v>5076</v>
      </c>
      <c r="BA169" s="4">
        <f t="shared" si="141"/>
        <v>5612</v>
      </c>
      <c r="BB169" s="4">
        <f t="shared" si="142"/>
        <v>4844</v>
      </c>
      <c r="BC169" s="142">
        <f>IF(ISNA(VLOOKUP($A169&amp;$AB169,'Days Exceptions'!$C$3:$I$7,6,FALSE)),ROUND(AZ169/MAX(BB169,(BA169*Min_Occ)),2),ROUND(AZ169/VLOOKUP($A169&amp;$AB169,'Days Exceptions'!$C$3:$I$7,6,FALSE),2))</f>
        <v>1.05</v>
      </c>
      <c r="BD169" s="143" t="e">
        <f t="shared" si="109"/>
        <v>#REF!</v>
      </c>
      <c r="BE169" s="143" t="e">
        <f t="shared" si="110"/>
        <v>#REF!</v>
      </c>
      <c r="BF169" s="143">
        <f t="shared" si="111"/>
        <v>151.13</v>
      </c>
      <c r="BG169" s="37" t="s">
        <v>667</v>
      </c>
      <c r="BH169" s="37" t="s">
        <v>668</v>
      </c>
      <c r="BI169" s="37" t="s">
        <v>1325</v>
      </c>
      <c r="BJ169" s="66" t="e">
        <f>VLOOKUP(A169,'CMI Data'!$A$3:$AZ$209,15,FALSE)</f>
        <v>#DIV/0!</v>
      </c>
      <c r="BK169" s="68">
        <f t="shared" si="112"/>
        <v>209.8</v>
      </c>
      <c r="BL169" s="68" t="e">
        <f t="shared" si="113"/>
        <v>#DIV/0!</v>
      </c>
      <c r="BM169" s="75" t="e">
        <f t="shared" si="143"/>
        <v>#DIV/0!</v>
      </c>
      <c r="BN169" s="68" t="e">
        <f>IF($I169="NA","NA",ROUND(#REF!*$BJ169/$I169,2))</f>
        <v>#REF!</v>
      </c>
      <c r="BO169" s="75" t="e">
        <f t="shared" si="144"/>
        <v>#REF!</v>
      </c>
      <c r="BP169" s="68" t="e">
        <f t="shared" si="145"/>
        <v>#REF!</v>
      </c>
      <c r="BQ169" s="4">
        <f t="shared" si="146"/>
        <v>5076</v>
      </c>
      <c r="BR169" s="4">
        <f t="shared" si="147"/>
        <v>5612</v>
      </c>
      <c r="BS169" s="4">
        <f t="shared" si="148"/>
        <v>4844</v>
      </c>
      <c r="BT169" s="142">
        <f>IF(ISNA(VLOOKUP($A169&amp;$AB169,'Days Exceptions'!$C$3:$I$7,6,FALSE)),ROUND(BQ169/MAX(BS169,(BR169*Min_Occ)),2),ROUND(BQ169/VLOOKUP($A169&amp;$AB169,'Days Exceptions'!$C$3:$I$7,6,FALSE),2))</f>
        <v>1.05</v>
      </c>
      <c r="BU169" s="143" t="e">
        <f t="shared" si="114"/>
        <v>#REF!</v>
      </c>
      <c r="BV169" s="143" t="e">
        <f t="shared" si="115"/>
        <v>#REF!</v>
      </c>
      <c r="BW169" s="143">
        <f t="shared" si="116"/>
        <v>151.13</v>
      </c>
      <c r="BX169" s="37" t="s">
        <v>667</v>
      </c>
      <c r="BY169" s="37" t="s">
        <v>668</v>
      </c>
      <c r="BZ169" s="37" t="s">
        <v>1694</v>
      </c>
      <c r="CA169" s="66" t="e">
        <f>VLOOKUP(A169,'CMI Data'!$A$3:$AZ$209,20,FALSE)</f>
        <v>#DIV/0!</v>
      </c>
      <c r="CB169" s="68">
        <f t="shared" si="117"/>
        <v>209.8</v>
      </c>
      <c r="CC169" s="68" t="e">
        <f t="shared" si="118"/>
        <v>#DIV/0!</v>
      </c>
      <c r="CD169" s="75" t="e">
        <f t="shared" si="149"/>
        <v>#DIV/0!</v>
      </c>
      <c r="CE169" s="68" t="e">
        <f>IF($I169="NA","NA",ROUND(#REF!*$CA169/$I169,2))</f>
        <v>#REF!</v>
      </c>
      <c r="CF169" s="75" t="e">
        <f t="shared" si="150"/>
        <v>#REF!</v>
      </c>
      <c r="CG169" s="68" t="e">
        <f t="shared" si="151"/>
        <v>#REF!</v>
      </c>
      <c r="CH169" s="4">
        <f t="shared" si="152"/>
        <v>5076</v>
      </c>
      <c r="CI169" s="4">
        <f t="shared" si="153"/>
        <v>5612</v>
      </c>
      <c r="CJ169" s="4">
        <f t="shared" si="154"/>
        <v>4844</v>
      </c>
      <c r="CK169" s="142">
        <f>IF(ISNA(VLOOKUP($A169&amp;$AB169,'Days Exceptions'!$C$3:$I$7,6,FALSE)),ROUND(CH169/MAX(CJ169,(CI169*Min_Occ)),2),ROUND(CH169/VLOOKUP($A169&amp;$AB169,'Days Exceptions'!$C$3:$I$7,6,FALSE),2))</f>
        <v>1.05</v>
      </c>
      <c r="CL169" s="143" t="e">
        <f t="shared" si="119"/>
        <v>#REF!</v>
      </c>
      <c r="CM169" s="143" t="e">
        <f t="shared" si="120"/>
        <v>#REF!</v>
      </c>
      <c r="CN169" s="143">
        <f t="shared" si="121"/>
        <v>151.13</v>
      </c>
      <c r="CO169" s="37" t="s">
        <v>667</v>
      </c>
      <c r="CP169" s="37" t="s">
        <v>668</v>
      </c>
      <c r="CQ169" s="37" t="s">
        <v>1695</v>
      </c>
    </row>
    <row r="170" spans="1:95" x14ac:dyDescent="0.15">
      <c r="A170" s="130">
        <v>124</v>
      </c>
      <c r="B170" s="37" t="s">
        <v>764</v>
      </c>
      <c r="C170" s="1" t="s">
        <v>148</v>
      </c>
      <c r="D170" s="1" t="s">
        <v>110</v>
      </c>
      <c r="E170" s="1" t="str">
        <f>VLOOKUP(D170,Documentation!$B$4:$D$27,3,FALSE)</f>
        <v>BALTIMORE METRO</v>
      </c>
      <c r="F170" s="1" t="str">
        <f>VLOOKUP(D170,Documentation!$B$4:$C$27,2,FALSE)</f>
        <v>BALTIMORE METRO</v>
      </c>
      <c r="G170" s="82">
        <f>VLOOKUP(A170,'2022 CR and CMI'!$A$3:$D$207,3,FALSE)</f>
        <v>44562</v>
      </c>
      <c r="H170" s="82">
        <f>VLOOKUP(A170,'2022 CR and CMI'!$A$3:$D$207,4,FALSE)</f>
        <v>44926</v>
      </c>
      <c r="I170" s="72">
        <f>VLOOKUP(A170,'2022 CR and CMI'!$A$2:$T$210,19,FALSE)</f>
        <v>1.3944000000000001</v>
      </c>
      <c r="J170" s="139">
        <f>Inflation!$G$24</f>
        <v>1.0309999999999999</v>
      </c>
      <c r="K170" s="192">
        <f>VLOOKUP(E170,Limits!$B$2:$D$5,3,FALSE)</f>
        <v>195.33</v>
      </c>
      <c r="L170" s="192">
        <f t="shared" si="124"/>
        <v>201.39</v>
      </c>
      <c r="M170" s="140">
        <f>VLOOKUP(A170,'CMI Data'!$A$4:$C$208,3,FALSE)</f>
        <v>1.1819</v>
      </c>
      <c r="N170" s="68">
        <f t="shared" si="106"/>
        <v>194.58</v>
      </c>
      <c r="O170" s="68">
        <f t="shared" si="125"/>
        <v>164.93</v>
      </c>
      <c r="P170" s="75">
        <f t="shared" si="126"/>
        <v>156.68</v>
      </c>
      <c r="Q170" s="75">
        <v>189.56</v>
      </c>
      <c r="R170" s="75">
        <f t="shared" si="127"/>
        <v>195.44</v>
      </c>
      <c r="S170" s="68">
        <f t="shared" si="128"/>
        <v>165.66</v>
      </c>
      <c r="T170" s="75">
        <f t="shared" si="129"/>
        <v>0</v>
      </c>
      <c r="U170" s="68">
        <f t="shared" si="130"/>
        <v>164.93</v>
      </c>
      <c r="V170" s="68">
        <f>VLOOKUP($F170,Limits!$J$2:$L$5,3,FALSE)</f>
        <v>20.85</v>
      </c>
      <c r="W170" s="68">
        <f t="shared" si="131"/>
        <v>21.5</v>
      </c>
      <c r="X170" s="68">
        <f>VLOOKUP($F170,Limits!$R$2:$T$5,3,FALSE)</f>
        <v>102.02</v>
      </c>
      <c r="Y170" s="68">
        <f t="shared" si="132"/>
        <v>105.18</v>
      </c>
      <c r="Z170" s="75">
        <f>VLOOKUP(A170,FRV!$A$4:$U$208,21,FALSE)</f>
        <v>38.49</v>
      </c>
      <c r="AA170" s="141">
        <f>VLOOKUP(A170,'RE Tax'!$A$2:$G$206,3,FALSE)</f>
        <v>45352</v>
      </c>
      <c r="AB170" s="141">
        <f>VLOOKUP(A170,'RE Tax'!$A$2:$G$206,4,FALSE)</f>
        <v>45657</v>
      </c>
      <c r="AC170" s="4">
        <f>VLOOKUP(A170,'RE Tax'!$A$2:$G$206,7,FALSE)</f>
        <v>61141</v>
      </c>
      <c r="AD170" s="4">
        <f>VLOOKUP($A170,'RE Tax'!$A$2:$I$206,9,FALSE)</f>
        <v>22032</v>
      </c>
      <c r="AE170" s="4">
        <f>VLOOKUP($A170,'RE Tax'!$A$2:$I$206,8,FALSE)</f>
        <v>19455</v>
      </c>
      <c r="AF170" s="142">
        <f>IF(ISNA(VLOOKUP(A170&amp;AB170,'Days Exceptions'!$C$3:$I$7,6,FALSE)),ROUND(AC170/MAX(AE170,(AD170*Min_Occ)),2),ROUND(AC170/VLOOKUP(A170&amp;AB170,'Days Exceptions'!$C$3:$I$7,6,FALSE),2))</f>
        <v>3.14</v>
      </c>
      <c r="AG170" s="68">
        <v>0</v>
      </c>
      <c r="AH170" s="68">
        <f t="shared" si="133"/>
        <v>0</v>
      </c>
      <c r="AI170" s="4">
        <v>17113</v>
      </c>
      <c r="AJ170" s="4">
        <v>23172</v>
      </c>
      <c r="AK170" s="68">
        <f>IF(AI170=0,0,IF(ISNA(MATCH(A170,Documentation!$B$66:$B$71,0)),QA_Tax_reg,QA_Tax_5high))</f>
        <v>32.92</v>
      </c>
      <c r="AL170" s="75">
        <f t="shared" si="134"/>
        <v>24.31</v>
      </c>
      <c r="AM170" s="68">
        <f t="shared" si="135"/>
        <v>333.24</v>
      </c>
      <c r="AN170" s="68">
        <f t="shared" si="136"/>
        <v>250.78</v>
      </c>
      <c r="AO170" s="68">
        <f t="shared" si="137"/>
        <v>168.31</v>
      </c>
      <c r="AP170" s="37" t="s">
        <v>763</v>
      </c>
      <c r="AQ170" s="37" t="s">
        <v>764</v>
      </c>
      <c r="AR170" s="37" t="s">
        <v>1122</v>
      </c>
      <c r="AS170" s="66" t="e">
        <f>VLOOKUP(A170,'CMI Data'!$A$3:$J$209,10,FALSE)</f>
        <v>#DIV/0!</v>
      </c>
      <c r="AT170" s="68">
        <f t="shared" si="107"/>
        <v>188.73</v>
      </c>
      <c r="AU170" s="68" t="e">
        <f t="shared" si="108"/>
        <v>#DIV/0!</v>
      </c>
      <c r="AV170" s="75" t="e">
        <f t="shared" si="138"/>
        <v>#DIV/0!</v>
      </c>
      <c r="AW170" s="68" t="e">
        <f>IF($I170="NA","NA",ROUND(#REF!*$AS170/$I170,2))</f>
        <v>#REF!</v>
      </c>
      <c r="AX170" s="75" t="e">
        <f t="shared" si="105"/>
        <v>#REF!</v>
      </c>
      <c r="AY170" s="68" t="e">
        <f t="shared" si="139"/>
        <v>#REF!</v>
      </c>
      <c r="AZ170" s="4">
        <f t="shared" si="140"/>
        <v>61141</v>
      </c>
      <c r="BA170" s="4">
        <f t="shared" si="141"/>
        <v>22032</v>
      </c>
      <c r="BB170" s="4">
        <f t="shared" si="142"/>
        <v>19455</v>
      </c>
      <c r="BC170" s="142">
        <f>IF(ISNA(VLOOKUP($A170&amp;$AB170,'Days Exceptions'!$C$3:$I$7,6,FALSE)),ROUND(AZ170/MAX(BB170,(BA170*Min_Occ)),2),ROUND(AZ170/VLOOKUP($A170&amp;$AB170,'Days Exceptions'!$C$3:$I$7,6,FALSE),2))</f>
        <v>3.14</v>
      </c>
      <c r="BD170" s="143" t="e">
        <f t="shared" si="109"/>
        <v>#REF!</v>
      </c>
      <c r="BE170" s="143" t="e">
        <f t="shared" si="110"/>
        <v>#REF!</v>
      </c>
      <c r="BF170" s="143">
        <f t="shared" si="111"/>
        <v>164.5</v>
      </c>
      <c r="BG170" s="37" t="s">
        <v>763</v>
      </c>
      <c r="BH170" s="37" t="s">
        <v>764</v>
      </c>
      <c r="BI170" s="37" t="s">
        <v>1326</v>
      </c>
      <c r="BJ170" s="66" t="e">
        <f>VLOOKUP(A170,'CMI Data'!$A$3:$AZ$209,15,FALSE)</f>
        <v>#DIV/0!</v>
      </c>
      <c r="BK170" s="68">
        <f t="shared" si="112"/>
        <v>188.73</v>
      </c>
      <c r="BL170" s="68" t="e">
        <f t="shared" si="113"/>
        <v>#DIV/0!</v>
      </c>
      <c r="BM170" s="75" t="e">
        <f t="shared" si="143"/>
        <v>#DIV/0!</v>
      </c>
      <c r="BN170" s="68" t="e">
        <f>IF($I170="NA","NA",ROUND(#REF!*$BJ170/$I170,2))</f>
        <v>#REF!</v>
      </c>
      <c r="BO170" s="75" t="e">
        <f t="shared" si="144"/>
        <v>#REF!</v>
      </c>
      <c r="BP170" s="68" t="e">
        <f t="shared" si="145"/>
        <v>#REF!</v>
      </c>
      <c r="BQ170" s="4">
        <f t="shared" si="146"/>
        <v>61141</v>
      </c>
      <c r="BR170" s="4">
        <f t="shared" si="147"/>
        <v>22032</v>
      </c>
      <c r="BS170" s="4">
        <f t="shared" si="148"/>
        <v>19455</v>
      </c>
      <c r="BT170" s="142">
        <f>IF(ISNA(VLOOKUP($A170&amp;$AB170,'Days Exceptions'!$C$3:$I$7,6,FALSE)),ROUND(BQ170/MAX(BS170,(BR170*Min_Occ)),2),ROUND(BQ170/VLOOKUP($A170&amp;$AB170,'Days Exceptions'!$C$3:$I$7,6,FALSE),2))</f>
        <v>3.14</v>
      </c>
      <c r="BU170" s="143" t="e">
        <f t="shared" si="114"/>
        <v>#REF!</v>
      </c>
      <c r="BV170" s="143" t="e">
        <f t="shared" si="115"/>
        <v>#REF!</v>
      </c>
      <c r="BW170" s="143">
        <f t="shared" si="116"/>
        <v>164.5</v>
      </c>
      <c r="BX170" s="37" t="s">
        <v>763</v>
      </c>
      <c r="BY170" s="37" t="s">
        <v>764</v>
      </c>
      <c r="BZ170" s="37" t="s">
        <v>1696</v>
      </c>
      <c r="CA170" s="66" t="e">
        <f>VLOOKUP(A170,'CMI Data'!$A$3:$AZ$209,20,FALSE)</f>
        <v>#DIV/0!</v>
      </c>
      <c r="CB170" s="68">
        <f t="shared" si="117"/>
        <v>188.73</v>
      </c>
      <c r="CC170" s="68" t="e">
        <f t="shared" si="118"/>
        <v>#DIV/0!</v>
      </c>
      <c r="CD170" s="75" t="e">
        <f t="shared" si="149"/>
        <v>#DIV/0!</v>
      </c>
      <c r="CE170" s="68" t="e">
        <f>IF($I170="NA","NA",ROUND(#REF!*$CA170/$I170,2))</f>
        <v>#REF!</v>
      </c>
      <c r="CF170" s="75" t="e">
        <f t="shared" si="150"/>
        <v>#REF!</v>
      </c>
      <c r="CG170" s="68" t="e">
        <f t="shared" si="151"/>
        <v>#REF!</v>
      </c>
      <c r="CH170" s="4">
        <f t="shared" si="152"/>
        <v>61141</v>
      </c>
      <c r="CI170" s="4">
        <f t="shared" si="153"/>
        <v>22032</v>
      </c>
      <c r="CJ170" s="4">
        <f t="shared" si="154"/>
        <v>19455</v>
      </c>
      <c r="CK170" s="142">
        <f>IF(ISNA(VLOOKUP($A170&amp;$AB170,'Days Exceptions'!$C$3:$I$7,6,FALSE)),ROUND(CH170/MAX(CJ170,(CI170*Min_Occ)),2),ROUND(CH170/VLOOKUP($A170&amp;$AB170,'Days Exceptions'!$C$3:$I$7,6,FALSE),2))</f>
        <v>3.14</v>
      </c>
      <c r="CL170" s="143" t="e">
        <f t="shared" si="119"/>
        <v>#REF!</v>
      </c>
      <c r="CM170" s="143" t="e">
        <f t="shared" si="120"/>
        <v>#REF!</v>
      </c>
      <c r="CN170" s="143">
        <f t="shared" si="121"/>
        <v>164.5</v>
      </c>
      <c r="CO170" s="37" t="s">
        <v>763</v>
      </c>
      <c r="CP170" s="37" t="s">
        <v>764</v>
      </c>
      <c r="CQ170" s="37" t="s">
        <v>1697</v>
      </c>
    </row>
    <row r="171" spans="1:95" x14ac:dyDescent="0.15">
      <c r="A171" s="130">
        <v>364</v>
      </c>
      <c r="B171" s="37" t="s">
        <v>178</v>
      </c>
      <c r="C171" s="1" t="s">
        <v>148</v>
      </c>
      <c r="D171" s="1" t="s">
        <v>107</v>
      </c>
      <c r="E171" s="1" t="str">
        <f>VLOOKUP(D171,Documentation!$B$4:$D$27,3,FALSE)</f>
        <v>BALTIMORE METRO</v>
      </c>
      <c r="F171" s="1" t="str">
        <f>VLOOKUP(D171,Documentation!$B$4:$C$27,2,FALSE)</f>
        <v>BALTIMORE METRO</v>
      </c>
      <c r="G171" s="82">
        <f>VLOOKUP(A171,'2022 CR and CMI'!$A$3:$D$207,3,FALSE)</f>
        <v>44562</v>
      </c>
      <c r="H171" s="82">
        <f>VLOOKUP(A171,'2022 CR and CMI'!$A$3:$D$207,4,FALSE)</f>
        <v>44926</v>
      </c>
      <c r="I171" s="72">
        <f>VLOOKUP(A171,'2022 CR and CMI'!$A$2:$T$210,19,FALSE)</f>
        <v>1.1990000000000001</v>
      </c>
      <c r="J171" s="139">
        <f>Inflation!$G$24</f>
        <v>1.0309999999999999</v>
      </c>
      <c r="K171" s="192">
        <f>VLOOKUP(E171,Limits!$B$2:$D$5,3,FALSE)</f>
        <v>195.33</v>
      </c>
      <c r="L171" s="192">
        <f t="shared" si="124"/>
        <v>201.39</v>
      </c>
      <c r="M171" s="140">
        <f>VLOOKUP(A171,'CMI Data'!$A$4:$C$208,3,FALSE)</f>
        <v>1.3109999999999999</v>
      </c>
      <c r="N171" s="68">
        <f t="shared" si="106"/>
        <v>167.31</v>
      </c>
      <c r="O171" s="68">
        <f t="shared" si="125"/>
        <v>182.94</v>
      </c>
      <c r="P171" s="75">
        <f t="shared" si="126"/>
        <v>173.79</v>
      </c>
      <c r="Q171" s="75">
        <v>222.35</v>
      </c>
      <c r="R171" s="75">
        <f t="shared" si="127"/>
        <v>229.24</v>
      </c>
      <c r="S171" s="68">
        <f t="shared" si="128"/>
        <v>250.65</v>
      </c>
      <c r="T171" s="75">
        <f t="shared" si="129"/>
        <v>0</v>
      </c>
      <c r="U171" s="68">
        <f t="shared" si="130"/>
        <v>182.94</v>
      </c>
      <c r="V171" s="68">
        <f>VLOOKUP($F171,Limits!$J$2:$L$5,3,FALSE)</f>
        <v>20.85</v>
      </c>
      <c r="W171" s="68">
        <f t="shared" si="131"/>
        <v>21.5</v>
      </c>
      <c r="X171" s="68">
        <f>VLOOKUP($F171,Limits!$R$2:$T$5,3,FALSE)</f>
        <v>102.02</v>
      </c>
      <c r="Y171" s="68">
        <f t="shared" si="132"/>
        <v>105.18</v>
      </c>
      <c r="Z171" s="75">
        <f>VLOOKUP(A171,FRV!$A$4:$U$208,21,FALSE)</f>
        <v>37.03</v>
      </c>
      <c r="AA171" s="141">
        <f>VLOOKUP(A171,'RE Tax'!$A$2:$G$206,3,FALSE)</f>
        <v>45292</v>
      </c>
      <c r="AB171" s="141">
        <f>VLOOKUP(A171,'RE Tax'!$A$2:$G$206,4,FALSE)</f>
        <v>45657</v>
      </c>
      <c r="AC171" s="4">
        <f>VLOOKUP(A171,'RE Tax'!$A$2:$G$206,7,FALSE)</f>
        <v>0</v>
      </c>
      <c r="AD171" s="4">
        <f>VLOOKUP($A171,'RE Tax'!$A$2:$I$206,9,FALSE)</f>
        <v>12810</v>
      </c>
      <c r="AE171" s="4">
        <f>VLOOKUP($A171,'RE Tax'!$A$2:$I$206,8,FALSE)</f>
        <v>12441</v>
      </c>
      <c r="AF171" s="142">
        <f>IF(ISNA(VLOOKUP(A171&amp;AB171,'Days Exceptions'!$C$3:$I$7,6,FALSE)),ROUND(AC171/MAX(AE171,(AD171*Min_Occ)),2),ROUND(AC171/VLOOKUP(A171&amp;AB171,'Days Exceptions'!$C$3:$I$7,6,FALSE),2))</f>
        <v>0</v>
      </c>
      <c r="AG171" s="68">
        <v>0</v>
      </c>
      <c r="AH171" s="68">
        <f t="shared" si="133"/>
        <v>0</v>
      </c>
      <c r="AI171" s="4">
        <v>0</v>
      </c>
      <c r="AJ171" s="4">
        <v>0</v>
      </c>
      <c r="AK171" s="68">
        <f>IF(AI171=0,0,IF(ISNA(MATCH(A171,Documentation!$B$66:$B$71,0)),QA_Tax_reg,QA_Tax_5high))</f>
        <v>0</v>
      </c>
      <c r="AL171" s="75">
        <f t="shared" si="134"/>
        <v>0</v>
      </c>
      <c r="AM171" s="68">
        <f t="shared" si="135"/>
        <v>346.65</v>
      </c>
      <c r="AN171" s="68">
        <f t="shared" si="136"/>
        <v>255.18</v>
      </c>
      <c r="AO171" s="68">
        <f t="shared" si="137"/>
        <v>163.71</v>
      </c>
      <c r="AP171" s="37" t="s">
        <v>69</v>
      </c>
      <c r="AQ171" s="37" t="s">
        <v>178</v>
      </c>
      <c r="AR171" s="37" t="s">
        <v>1123</v>
      </c>
      <c r="AS171" s="66" t="e">
        <f>VLOOKUP(A171,'CMI Data'!$A$3:$J$209,10,FALSE)</f>
        <v>#DIV/0!</v>
      </c>
      <c r="AT171" s="68">
        <f t="shared" si="107"/>
        <v>162.28</v>
      </c>
      <c r="AU171" s="68" t="e">
        <f t="shared" si="108"/>
        <v>#DIV/0!</v>
      </c>
      <c r="AV171" s="75" t="e">
        <f t="shared" si="138"/>
        <v>#DIV/0!</v>
      </c>
      <c r="AW171" s="68" t="e">
        <f>IF($I171="NA","NA",ROUND(#REF!*$AS171/$I171,2))</f>
        <v>#REF!</v>
      </c>
      <c r="AX171" s="75" t="e">
        <f t="shared" si="105"/>
        <v>#REF!</v>
      </c>
      <c r="AY171" s="68" t="e">
        <f t="shared" si="139"/>
        <v>#REF!</v>
      </c>
      <c r="AZ171" s="4">
        <f t="shared" si="140"/>
        <v>0</v>
      </c>
      <c r="BA171" s="4">
        <f t="shared" si="141"/>
        <v>12810</v>
      </c>
      <c r="BB171" s="4">
        <f t="shared" si="142"/>
        <v>12441</v>
      </c>
      <c r="BC171" s="142">
        <f>IF(ISNA(VLOOKUP($A171&amp;$AB171,'Days Exceptions'!$C$3:$I$7,6,FALSE)),ROUND(AZ171/MAX(BB171,(BA171*Min_Occ)),2),ROUND(AZ171/VLOOKUP($A171&amp;$AB171,'Days Exceptions'!$C$3:$I$7,6,FALSE),2))</f>
        <v>0</v>
      </c>
      <c r="BD171" s="143" t="e">
        <f t="shared" si="109"/>
        <v>#REF!</v>
      </c>
      <c r="BE171" s="143" t="e">
        <f t="shared" si="110"/>
        <v>#REF!</v>
      </c>
      <c r="BF171" s="143">
        <f t="shared" si="111"/>
        <v>159.9</v>
      </c>
      <c r="BG171" s="37" t="s">
        <v>69</v>
      </c>
      <c r="BH171" s="37" t="s">
        <v>178</v>
      </c>
      <c r="BI171" s="37" t="s">
        <v>1327</v>
      </c>
      <c r="BJ171" s="66" t="e">
        <f>VLOOKUP(A171,'CMI Data'!$A$3:$AZ$209,15,FALSE)</f>
        <v>#DIV/0!</v>
      </c>
      <c r="BK171" s="68">
        <f t="shared" si="112"/>
        <v>162.28</v>
      </c>
      <c r="BL171" s="68" t="e">
        <f t="shared" si="113"/>
        <v>#DIV/0!</v>
      </c>
      <c r="BM171" s="75" t="e">
        <f t="shared" si="143"/>
        <v>#DIV/0!</v>
      </c>
      <c r="BN171" s="68" t="e">
        <f>IF($I171="NA","NA",ROUND(#REF!*$BJ171/$I171,2))</f>
        <v>#REF!</v>
      </c>
      <c r="BO171" s="75" t="e">
        <f t="shared" si="144"/>
        <v>#REF!</v>
      </c>
      <c r="BP171" s="68" t="e">
        <f t="shared" si="145"/>
        <v>#REF!</v>
      </c>
      <c r="BQ171" s="4">
        <f t="shared" si="146"/>
        <v>0</v>
      </c>
      <c r="BR171" s="4">
        <f t="shared" si="147"/>
        <v>12810</v>
      </c>
      <c r="BS171" s="4">
        <f t="shared" si="148"/>
        <v>12441</v>
      </c>
      <c r="BT171" s="142">
        <f>IF(ISNA(VLOOKUP($A171&amp;$AB171,'Days Exceptions'!$C$3:$I$7,6,FALSE)),ROUND(BQ171/MAX(BS171,(BR171*Min_Occ)),2),ROUND(BQ171/VLOOKUP($A171&amp;$AB171,'Days Exceptions'!$C$3:$I$7,6,FALSE),2))</f>
        <v>0</v>
      </c>
      <c r="BU171" s="143" t="e">
        <f t="shared" si="114"/>
        <v>#REF!</v>
      </c>
      <c r="BV171" s="143" t="e">
        <f t="shared" si="115"/>
        <v>#REF!</v>
      </c>
      <c r="BW171" s="143">
        <f t="shared" si="116"/>
        <v>159.9</v>
      </c>
      <c r="BX171" s="37" t="s">
        <v>69</v>
      </c>
      <c r="BY171" s="37" t="s">
        <v>178</v>
      </c>
      <c r="BZ171" s="37" t="s">
        <v>1698</v>
      </c>
      <c r="CA171" s="66" t="e">
        <f>VLOOKUP(A171,'CMI Data'!$A$3:$AZ$209,20,FALSE)</f>
        <v>#DIV/0!</v>
      </c>
      <c r="CB171" s="68">
        <f t="shared" si="117"/>
        <v>162.28</v>
      </c>
      <c r="CC171" s="68" t="e">
        <f t="shared" si="118"/>
        <v>#DIV/0!</v>
      </c>
      <c r="CD171" s="75" t="e">
        <f t="shared" si="149"/>
        <v>#DIV/0!</v>
      </c>
      <c r="CE171" s="68" t="e">
        <f>IF($I171="NA","NA",ROUND(#REF!*$CA171/$I171,2))</f>
        <v>#REF!</v>
      </c>
      <c r="CF171" s="75" t="e">
        <f t="shared" si="150"/>
        <v>#REF!</v>
      </c>
      <c r="CG171" s="68" t="e">
        <f t="shared" si="151"/>
        <v>#REF!</v>
      </c>
      <c r="CH171" s="4">
        <f t="shared" si="152"/>
        <v>0</v>
      </c>
      <c r="CI171" s="4">
        <f t="shared" si="153"/>
        <v>12810</v>
      </c>
      <c r="CJ171" s="4">
        <f t="shared" si="154"/>
        <v>12441</v>
      </c>
      <c r="CK171" s="142">
        <f>IF(ISNA(VLOOKUP($A171&amp;$AB171,'Days Exceptions'!$C$3:$I$7,6,FALSE)),ROUND(CH171/MAX(CJ171,(CI171*Min_Occ)),2),ROUND(CH171/VLOOKUP($A171&amp;$AB171,'Days Exceptions'!$C$3:$I$7,6,FALSE),2))</f>
        <v>0</v>
      </c>
      <c r="CL171" s="143" t="e">
        <f t="shared" si="119"/>
        <v>#REF!</v>
      </c>
      <c r="CM171" s="143" t="e">
        <f t="shared" si="120"/>
        <v>#REF!</v>
      </c>
      <c r="CN171" s="143">
        <f t="shared" si="121"/>
        <v>159.9</v>
      </c>
      <c r="CO171" s="37" t="s">
        <v>69</v>
      </c>
      <c r="CP171" s="37" t="s">
        <v>178</v>
      </c>
      <c r="CQ171" s="37" t="s">
        <v>1699</v>
      </c>
    </row>
    <row r="172" spans="1:95" x14ac:dyDescent="0.15">
      <c r="A172" s="130">
        <v>436</v>
      </c>
      <c r="B172" s="37" t="s">
        <v>681</v>
      </c>
      <c r="C172" s="1" t="s">
        <v>148</v>
      </c>
      <c r="D172" s="1" t="s">
        <v>124</v>
      </c>
      <c r="E172" s="1" t="str">
        <f>VLOOKUP(D172,Documentation!$B$4:$D$27,3,FALSE)</f>
        <v>EASTERN REGION</v>
      </c>
      <c r="F172" s="1" t="str">
        <f>VLOOKUP(D172,Documentation!$B$4:$C$27,2,FALSE)</f>
        <v>NON METRO</v>
      </c>
      <c r="G172" s="82">
        <f>VLOOKUP(A172,'2022 CR and CMI'!$A$3:$D$207,3,FALSE)</f>
        <v>44562</v>
      </c>
      <c r="H172" s="82">
        <f>VLOOKUP(A172,'2022 CR and CMI'!$A$3:$D$207,4,FALSE)</f>
        <v>44926</v>
      </c>
      <c r="I172" s="72">
        <f>VLOOKUP(A172,'2022 CR and CMI'!$A$2:$T$210,19,FALSE)</f>
        <v>1.5841000000000001</v>
      </c>
      <c r="J172" s="139">
        <f>Inflation!$G$24</f>
        <v>1.0309999999999999</v>
      </c>
      <c r="K172" s="192">
        <f>VLOOKUP(E172,Limits!$B$2:$D$5,3,FALSE)</f>
        <v>186.31</v>
      </c>
      <c r="L172" s="192">
        <f t="shared" si="124"/>
        <v>192.09</v>
      </c>
      <c r="M172" s="140">
        <f>VLOOKUP(A172,'CMI Data'!$A$4:$C$208,3,FALSE)</f>
        <v>1.6532</v>
      </c>
      <c r="N172" s="68">
        <f t="shared" si="106"/>
        <v>210.84</v>
      </c>
      <c r="O172" s="68">
        <f t="shared" si="125"/>
        <v>220.04</v>
      </c>
      <c r="P172" s="75">
        <f t="shared" si="126"/>
        <v>209.04</v>
      </c>
      <c r="Q172" s="75">
        <v>157.97</v>
      </c>
      <c r="R172" s="75">
        <f t="shared" si="127"/>
        <v>162.87</v>
      </c>
      <c r="S172" s="68">
        <f t="shared" si="128"/>
        <v>169.97</v>
      </c>
      <c r="T172" s="75">
        <f t="shared" si="129"/>
        <v>-39.07</v>
      </c>
      <c r="U172" s="68">
        <f t="shared" si="130"/>
        <v>180.97</v>
      </c>
      <c r="V172" s="68">
        <f>VLOOKUP($F172,Limits!$J$2:$L$5,3,FALSE)</f>
        <v>20.239999999999998</v>
      </c>
      <c r="W172" s="68">
        <f t="shared" si="131"/>
        <v>20.87</v>
      </c>
      <c r="X172" s="68">
        <f>VLOOKUP($F172,Limits!$R$2:$T$5,3,FALSE)</f>
        <v>89.55</v>
      </c>
      <c r="Y172" s="68">
        <f t="shared" si="132"/>
        <v>92.33</v>
      </c>
      <c r="Z172" s="75">
        <f>VLOOKUP(A172,FRV!$A$4:$U$208,21,FALSE)</f>
        <v>30.8</v>
      </c>
      <c r="AA172" s="141">
        <f>VLOOKUP(A172,'RE Tax'!$A$2:$G$206,3,FALSE)</f>
        <v>45292</v>
      </c>
      <c r="AB172" s="141">
        <f>VLOOKUP(A172,'RE Tax'!$A$2:$G$206,4,FALSE)</f>
        <v>45657</v>
      </c>
      <c r="AC172" s="4">
        <f>VLOOKUP(A172,'RE Tax'!$A$2:$G$206,7,FALSE)</f>
        <v>65104</v>
      </c>
      <c r="AD172" s="4">
        <f>VLOOKUP($A172,'RE Tax'!$A$2:$I$206,9,FALSE)</f>
        <v>62220</v>
      </c>
      <c r="AE172" s="4">
        <f>VLOOKUP($A172,'RE Tax'!$A$2:$I$206,8,FALSE)</f>
        <v>37335</v>
      </c>
      <c r="AF172" s="142">
        <f>IF(ISNA(VLOOKUP(A172&amp;AB172,'Days Exceptions'!$C$3:$I$7,6,FALSE)),ROUND(AC172/MAX(AE172,(AD172*Min_Occ)),2),ROUND(AC172/VLOOKUP(A172&amp;AB172,'Days Exceptions'!$C$3:$I$7,6,FALSE),2))</f>
        <v>1.28</v>
      </c>
      <c r="AG172" s="68">
        <v>0</v>
      </c>
      <c r="AH172" s="68">
        <f t="shared" si="133"/>
        <v>0</v>
      </c>
      <c r="AI172" s="4">
        <v>28821</v>
      </c>
      <c r="AJ172" s="4">
        <v>37331</v>
      </c>
      <c r="AK172" s="68">
        <f>IF(AI172=0,0,IF(ISNA(MATCH(A172,Documentation!$B$66:$B$71,0)),QA_Tax_reg,QA_Tax_5high))</f>
        <v>32.92</v>
      </c>
      <c r="AL172" s="75">
        <f t="shared" si="134"/>
        <v>25.42</v>
      </c>
      <c r="AM172" s="68">
        <f t="shared" si="135"/>
        <v>326.25</v>
      </c>
      <c r="AN172" s="68">
        <f t="shared" si="136"/>
        <v>235.77</v>
      </c>
      <c r="AO172" s="68">
        <f t="shared" si="137"/>
        <v>145.28</v>
      </c>
      <c r="AP172" s="37" t="s">
        <v>686</v>
      </c>
      <c r="AQ172" s="37" t="s">
        <v>681</v>
      </c>
      <c r="AR172" s="37" t="s">
        <v>1124</v>
      </c>
      <c r="AS172" s="66" t="e">
        <f>VLOOKUP(A172,'CMI Data'!$A$3:$J$209,10,FALSE)</f>
        <v>#DIV/0!</v>
      </c>
      <c r="AT172" s="68">
        <f t="shared" si="107"/>
        <v>204.5</v>
      </c>
      <c r="AU172" s="68" t="e">
        <f t="shared" si="108"/>
        <v>#DIV/0!</v>
      </c>
      <c r="AV172" s="75" t="e">
        <f t="shared" si="138"/>
        <v>#DIV/0!</v>
      </c>
      <c r="AW172" s="68" t="e">
        <f>IF($I172="NA","NA",ROUND(#REF!*$AS172/$I172,2))</f>
        <v>#REF!</v>
      </c>
      <c r="AX172" s="75" t="e">
        <f t="shared" si="105"/>
        <v>#REF!</v>
      </c>
      <c r="AY172" s="68" t="e">
        <f t="shared" si="139"/>
        <v>#REF!</v>
      </c>
      <c r="AZ172" s="4">
        <f t="shared" si="140"/>
        <v>65104</v>
      </c>
      <c r="BA172" s="4">
        <f t="shared" si="141"/>
        <v>62220</v>
      </c>
      <c r="BB172" s="4">
        <f t="shared" si="142"/>
        <v>37335</v>
      </c>
      <c r="BC172" s="142">
        <f>IF(ISNA(VLOOKUP($A172&amp;$AB172,'Days Exceptions'!$C$3:$I$7,6,FALSE)),ROUND(AZ172/MAX(BB172,(BA172*Min_Occ)),2),ROUND(AZ172/VLOOKUP($A172&amp;$AB172,'Days Exceptions'!$C$3:$I$7,6,FALSE),2))</f>
        <v>1.28</v>
      </c>
      <c r="BD172" s="143" t="e">
        <f t="shared" si="109"/>
        <v>#REF!</v>
      </c>
      <c r="BE172" s="143" t="e">
        <f t="shared" si="110"/>
        <v>#REF!</v>
      </c>
      <c r="BF172" s="143">
        <f t="shared" si="111"/>
        <v>141.87</v>
      </c>
      <c r="BG172" s="37" t="s">
        <v>686</v>
      </c>
      <c r="BH172" s="37" t="s">
        <v>681</v>
      </c>
      <c r="BI172" s="37" t="s">
        <v>1328</v>
      </c>
      <c r="BJ172" s="66" t="e">
        <f>VLOOKUP(A172,'CMI Data'!$A$3:$AZ$209,15,FALSE)</f>
        <v>#DIV/0!</v>
      </c>
      <c r="BK172" s="68">
        <f t="shared" si="112"/>
        <v>204.5</v>
      </c>
      <c r="BL172" s="68" t="e">
        <f t="shared" si="113"/>
        <v>#DIV/0!</v>
      </c>
      <c r="BM172" s="75" t="e">
        <f t="shared" si="143"/>
        <v>#DIV/0!</v>
      </c>
      <c r="BN172" s="68" t="e">
        <f>IF($I172="NA","NA",ROUND(#REF!*$BJ172/$I172,2))</f>
        <v>#REF!</v>
      </c>
      <c r="BO172" s="75" t="e">
        <f t="shared" si="144"/>
        <v>#REF!</v>
      </c>
      <c r="BP172" s="68" t="e">
        <f t="shared" si="145"/>
        <v>#REF!</v>
      </c>
      <c r="BQ172" s="4">
        <f t="shared" si="146"/>
        <v>65104</v>
      </c>
      <c r="BR172" s="4">
        <f t="shared" si="147"/>
        <v>62220</v>
      </c>
      <c r="BS172" s="4">
        <f t="shared" si="148"/>
        <v>37335</v>
      </c>
      <c r="BT172" s="142">
        <f>IF(ISNA(VLOOKUP($A172&amp;$AB172,'Days Exceptions'!$C$3:$I$7,6,FALSE)),ROUND(BQ172/MAX(BS172,(BR172*Min_Occ)),2),ROUND(BQ172/VLOOKUP($A172&amp;$AB172,'Days Exceptions'!$C$3:$I$7,6,FALSE),2))</f>
        <v>1.28</v>
      </c>
      <c r="BU172" s="143" t="e">
        <f t="shared" si="114"/>
        <v>#REF!</v>
      </c>
      <c r="BV172" s="143" t="e">
        <f t="shared" si="115"/>
        <v>#REF!</v>
      </c>
      <c r="BW172" s="143">
        <f t="shared" si="116"/>
        <v>141.87</v>
      </c>
      <c r="BX172" s="37" t="s">
        <v>686</v>
      </c>
      <c r="BY172" s="37" t="s">
        <v>681</v>
      </c>
      <c r="BZ172" s="37" t="s">
        <v>1700</v>
      </c>
      <c r="CA172" s="66" t="e">
        <f>VLOOKUP(A172,'CMI Data'!$A$3:$AZ$209,20,FALSE)</f>
        <v>#DIV/0!</v>
      </c>
      <c r="CB172" s="68">
        <f t="shared" si="117"/>
        <v>204.5</v>
      </c>
      <c r="CC172" s="68" t="e">
        <f t="shared" si="118"/>
        <v>#DIV/0!</v>
      </c>
      <c r="CD172" s="75" t="e">
        <f t="shared" si="149"/>
        <v>#DIV/0!</v>
      </c>
      <c r="CE172" s="68" t="e">
        <f>IF($I172="NA","NA",ROUND(#REF!*$CA172/$I172,2))</f>
        <v>#REF!</v>
      </c>
      <c r="CF172" s="75" t="e">
        <f t="shared" si="150"/>
        <v>#REF!</v>
      </c>
      <c r="CG172" s="68" t="e">
        <f t="shared" si="151"/>
        <v>#REF!</v>
      </c>
      <c r="CH172" s="4">
        <f t="shared" si="152"/>
        <v>65104</v>
      </c>
      <c r="CI172" s="4">
        <f t="shared" si="153"/>
        <v>62220</v>
      </c>
      <c r="CJ172" s="4">
        <f t="shared" si="154"/>
        <v>37335</v>
      </c>
      <c r="CK172" s="142">
        <f>IF(ISNA(VLOOKUP($A172&amp;$AB172,'Days Exceptions'!$C$3:$I$7,6,FALSE)),ROUND(CH172/MAX(CJ172,(CI172*Min_Occ)),2),ROUND(CH172/VLOOKUP($A172&amp;$AB172,'Days Exceptions'!$C$3:$I$7,6,FALSE),2))</f>
        <v>1.28</v>
      </c>
      <c r="CL172" s="143" t="e">
        <f t="shared" si="119"/>
        <v>#REF!</v>
      </c>
      <c r="CM172" s="143" t="e">
        <f t="shared" si="120"/>
        <v>#REF!</v>
      </c>
      <c r="CN172" s="143">
        <f t="shared" si="121"/>
        <v>141.87</v>
      </c>
      <c r="CO172" s="37" t="s">
        <v>686</v>
      </c>
      <c r="CP172" s="37" t="s">
        <v>681</v>
      </c>
      <c r="CQ172" s="37" t="s">
        <v>1701</v>
      </c>
    </row>
    <row r="173" spans="1:95" x14ac:dyDescent="0.15">
      <c r="A173" s="130">
        <v>366</v>
      </c>
      <c r="B173" s="37" t="s">
        <v>598</v>
      </c>
      <c r="C173" s="1" t="s">
        <v>148</v>
      </c>
      <c r="D173" s="1" t="s">
        <v>110</v>
      </c>
      <c r="E173" s="1" t="str">
        <f>VLOOKUP(D173,Documentation!$B$4:$D$27,3,FALSE)</f>
        <v>BALTIMORE METRO</v>
      </c>
      <c r="F173" s="1" t="str">
        <f>VLOOKUP(D173,Documentation!$B$4:$C$27,2,FALSE)</f>
        <v>BALTIMORE METRO</v>
      </c>
      <c r="G173" s="82">
        <f>VLOOKUP(A173,'2022 CR and CMI'!$A$3:$D$207,3,FALSE)</f>
        <v>44562</v>
      </c>
      <c r="H173" s="82">
        <f>VLOOKUP(A173,'2022 CR and CMI'!$A$3:$D$207,4,FALSE)</f>
        <v>44742</v>
      </c>
      <c r="I173" s="72">
        <f>VLOOKUP(A173,'2022 CR and CMI'!$A$2:$T$210,19,FALSE)</f>
        <v>1.2108000000000001</v>
      </c>
      <c r="J173" s="139">
        <f>Inflation!$G$24</f>
        <v>1.0309999999999999</v>
      </c>
      <c r="K173" s="192">
        <f>VLOOKUP(E173,Limits!$B$2:$D$5,3,FALSE)</f>
        <v>195.33</v>
      </c>
      <c r="L173" s="192">
        <f t="shared" si="124"/>
        <v>201.39</v>
      </c>
      <c r="M173" s="140">
        <f>VLOOKUP(A173,'CMI Data'!$A$4:$C$208,3,FALSE)</f>
        <v>1.244</v>
      </c>
      <c r="N173" s="68">
        <f t="shared" si="106"/>
        <v>168.96</v>
      </c>
      <c r="O173" s="68">
        <f t="shared" si="125"/>
        <v>173.59</v>
      </c>
      <c r="P173" s="75">
        <f t="shared" si="126"/>
        <v>164.91</v>
      </c>
      <c r="Q173" s="75">
        <v>140.78</v>
      </c>
      <c r="R173" s="75">
        <f t="shared" si="127"/>
        <v>145.13999999999999</v>
      </c>
      <c r="S173" s="68">
        <f t="shared" si="128"/>
        <v>149.12</v>
      </c>
      <c r="T173" s="75">
        <f t="shared" si="129"/>
        <v>-15.79</v>
      </c>
      <c r="U173" s="68">
        <f t="shared" si="130"/>
        <v>157.80000000000001</v>
      </c>
      <c r="V173" s="68">
        <f>VLOOKUP($F173,Limits!$J$2:$L$5,3,FALSE)</f>
        <v>20.85</v>
      </c>
      <c r="W173" s="68">
        <f t="shared" si="131"/>
        <v>21.5</v>
      </c>
      <c r="X173" s="68">
        <f>VLOOKUP($F173,Limits!$R$2:$T$5,3,FALSE)</f>
        <v>102.02</v>
      </c>
      <c r="Y173" s="68">
        <f t="shared" si="132"/>
        <v>105.18</v>
      </c>
      <c r="Z173" s="75">
        <f>VLOOKUP(A173,FRV!$A$4:$U$208,21,FALSE)</f>
        <v>20.309999999999999</v>
      </c>
      <c r="AA173" s="141">
        <f>VLOOKUP(A173,'RE Tax'!$A$2:$G$206,3,FALSE)</f>
        <v>45108</v>
      </c>
      <c r="AB173" s="141">
        <f>VLOOKUP(A173,'RE Tax'!$A$2:$G$206,4,FALSE)</f>
        <v>45473</v>
      </c>
      <c r="AC173" s="4">
        <f>VLOOKUP(A173,'RE Tax'!$A$2:$G$206,7,FALSE)</f>
        <v>82359</v>
      </c>
      <c r="AD173" s="4">
        <f>VLOOKUP($A173,'RE Tax'!$A$2:$I$206,9,FALSE)</f>
        <v>38064</v>
      </c>
      <c r="AE173" s="4">
        <f>VLOOKUP($A173,'RE Tax'!$A$2:$I$206,8,FALSE)</f>
        <v>28330</v>
      </c>
      <c r="AF173" s="142">
        <f>IF(ISNA(VLOOKUP(A173&amp;AB173,'Days Exceptions'!$C$3:$I$7,6,FALSE)),ROUND(AC173/MAX(AE173,(AD173*Min_Occ)),2),ROUND(AC173/VLOOKUP(A173&amp;AB173,'Days Exceptions'!$C$3:$I$7,6,FALSE),2))</f>
        <v>2.65</v>
      </c>
      <c r="AG173" s="68">
        <v>0</v>
      </c>
      <c r="AH173" s="68">
        <f t="shared" si="133"/>
        <v>0</v>
      </c>
      <c r="AI173" s="4">
        <v>25885</v>
      </c>
      <c r="AJ173" s="4">
        <v>26988</v>
      </c>
      <c r="AK173" s="68">
        <f>IF(AI173=0,0,IF(ISNA(MATCH(A173,Documentation!$B$66:$B$71,0)),QA_Tax_reg,QA_Tax_5high))</f>
        <v>32.92</v>
      </c>
      <c r="AL173" s="75">
        <f t="shared" si="134"/>
        <v>31.57</v>
      </c>
      <c r="AM173" s="68">
        <f t="shared" si="135"/>
        <v>307.44</v>
      </c>
      <c r="AN173" s="68">
        <f t="shared" si="136"/>
        <v>228.54</v>
      </c>
      <c r="AO173" s="68">
        <f t="shared" si="137"/>
        <v>149.63999999999999</v>
      </c>
      <c r="AP173" s="37" t="s">
        <v>612</v>
      </c>
      <c r="AQ173" s="37" t="s">
        <v>598</v>
      </c>
      <c r="AR173" s="37" t="s">
        <v>1125</v>
      </c>
      <c r="AS173" s="66" t="e">
        <f>VLOOKUP(A173,'CMI Data'!$A$3:$J$209,10,FALSE)</f>
        <v>#DIV/0!</v>
      </c>
      <c r="AT173" s="68">
        <f t="shared" si="107"/>
        <v>163.88</v>
      </c>
      <c r="AU173" s="68" t="e">
        <f t="shared" si="108"/>
        <v>#DIV/0!</v>
      </c>
      <c r="AV173" s="75" t="e">
        <f t="shared" si="138"/>
        <v>#DIV/0!</v>
      </c>
      <c r="AW173" s="68" t="e">
        <f>IF($I173="NA","NA",ROUND(#REF!*$AS173/$I173,2))</f>
        <v>#REF!</v>
      </c>
      <c r="AX173" s="75" t="e">
        <f t="shared" si="105"/>
        <v>#REF!</v>
      </c>
      <c r="AY173" s="68" t="e">
        <f t="shared" si="139"/>
        <v>#REF!</v>
      </c>
      <c r="AZ173" s="4">
        <f t="shared" si="140"/>
        <v>82359</v>
      </c>
      <c r="BA173" s="4">
        <f t="shared" si="141"/>
        <v>38064</v>
      </c>
      <c r="BB173" s="4">
        <f t="shared" si="142"/>
        <v>28330</v>
      </c>
      <c r="BC173" s="142">
        <f>IF(ISNA(VLOOKUP($A173&amp;$AB173,'Days Exceptions'!$C$3:$I$7,6,FALSE)),ROUND(AZ173/MAX(BB173,(BA173*Min_Occ)),2),ROUND(AZ173/VLOOKUP($A173&amp;$AB173,'Days Exceptions'!$C$3:$I$7,6,FALSE),2))</f>
        <v>2.65</v>
      </c>
      <c r="BD173" s="143" t="e">
        <f t="shared" si="109"/>
        <v>#REF!</v>
      </c>
      <c r="BE173" s="143" t="e">
        <f t="shared" si="110"/>
        <v>#REF!</v>
      </c>
      <c r="BF173" s="143">
        <f t="shared" si="111"/>
        <v>145.83000000000001</v>
      </c>
      <c r="BG173" s="37" t="s">
        <v>612</v>
      </c>
      <c r="BH173" s="37" t="s">
        <v>598</v>
      </c>
      <c r="BI173" s="37" t="s">
        <v>1329</v>
      </c>
      <c r="BJ173" s="66" t="e">
        <f>VLOOKUP(A173,'CMI Data'!$A$3:$AZ$209,15,FALSE)</f>
        <v>#DIV/0!</v>
      </c>
      <c r="BK173" s="68">
        <f t="shared" si="112"/>
        <v>163.88</v>
      </c>
      <c r="BL173" s="68" t="e">
        <f t="shared" si="113"/>
        <v>#DIV/0!</v>
      </c>
      <c r="BM173" s="75" t="e">
        <f t="shared" si="143"/>
        <v>#DIV/0!</v>
      </c>
      <c r="BN173" s="68" t="e">
        <f>IF($I173="NA","NA",ROUND(#REF!*$BJ173/$I173,2))</f>
        <v>#REF!</v>
      </c>
      <c r="BO173" s="75" t="e">
        <f t="shared" si="144"/>
        <v>#REF!</v>
      </c>
      <c r="BP173" s="68" t="e">
        <f t="shared" si="145"/>
        <v>#REF!</v>
      </c>
      <c r="BQ173" s="4">
        <f t="shared" si="146"/>
        <v>82359</v>
      </c>
      <c r="BR173" s="4">
        <f t="shared" si="147"/>
        <v>38064</v>
      </c>
      <c r="BS173" s="4">
        <f t="shared" si="148"/>
        <v>28330</v>
      </c>
      <c r="BT173" s="142">
        <f>IF(ISNA(VLOOKUP($A173&amp;$AB173,'Days Exceptions'!$C$3:$I$7,6,FALSE)),ROUND(BQ173/MAX(BS173,(BR173*Min_Occ)),2),ROUND(BQ173/VLOOKUP($A173&amp;$AB173,'Days Exceptions'!$C$3:$I$7,6,FALSE),2))</f>
        <v>2.65</v>
      </c>
      <c r="BU173" s="143" t="e">
        <f t="shared" si="114"/>
        <v>#REF!</v>
      </c>
      <c r="BV173" s="143" t="e">
        <f t="shared" si="115"/>
        <v>#REF!</v>
      </c>
      <c r="BW173" s="143">
        <f t="shared" si="116"/>
        <v>145.83000000000001</v>
      </c>
      <c r="BX173" s="37" t="s">
        <v>612</v>
      </c>
      <c r="BY173" s="37" t="s">
        <v>598</v>
      </c>
      <c r="BZ173" s="37" t="s">
        <v>1702</v>
      </c>
      <c r="CA173" s="66" t="e">
        <f>VLOOKUP(A173,'CMI Data'!$A$3:$AZ$209,20,FALSE)</f>
        <v>#DIV/0!</v>
      </c>
      <c r="CB173" s="68">
        <f t="shared" si="117"/>
        <v>163.88</v>
      </c>
      <c r="CC173" s="68" t="e">
        <f t="shared" si="118"/>
        <v>#DIV/0!</v>
      </c>
      <c r="CD173" s="75" t="e">
        <f t="shared" si="149"/>
        <v>#DIV/0!</v>
      </c>
      <c r="CE173" s="68" t="e">
        <f>IF($I173="NA","NA",ROUND(#REF!*$CA173/$I173,2))</f>
        <v>#REF!</v>
      </c>
      <c r="CF173" s="75" t="e">
        <f t="shared" si="150"/>
        <v>#REF!</v>
      </c>
      <c r="CG173" s="68" t="e">
        <f t="shared" si="151"/>
        <v>#REF!</v>
      </c>
      <c r="CH173" s="4">
        <f t="shared" si="152"/>
        <v>82359</v>
      </c>
      <c r="CI173" s="4">
        <f t="shared" si="153"/>
        <v>38064</v>
      </c>
      <c r="CJ173" s="4">
        <f t="shared" si="154"/>
        <v>28330</v>
      </c>
      <c r="CK173" s="142">
        <f>IF(ISNA(VLOOKUP($A173&amp;$AB173,'Days Exceptions'!$C$3:$I$7,6,FALSE)),ROUND(CH173/MAX(CJ173,(CI173*Min_Occ)),2),ROUND(CH173/VLOOKUP($A173&amp;$AB173,'Days Exceptions'!$C$3:$I$7,6,FALSE),2))</f>
        <v>2.65</v>
      </c>
      <c r="CL173" s="143" t="e">
        <f t="shared" si="119"/>
        <v>#REF!</v>
      </c>
      <c r="CM173" s="143" t="e">
        <f t="shared" si="120"/>
        <v>#REF!</v>
      </c>
      <c r="CN173" s="143">
        <f t="shared" si="121"/>
        <v>145.83000000000001</v>
      </c>
      <c r="CO173" s="37" t="s">
        <v>612</v>
      </c>
      <c r="CP173" s="37" t="s">
        <v>598</v>
      </c>
      <c r="CQ173" s="37" t="s">
        <v>1703</v>
      </c>
    </row>
    <row r="174" spans="1:95" x14ac:dyDescent="0.15">
      <c r="A174" s="130">
        <v>294</v>
      </c>
      <c r="B174" s="37" t="s">
        <v>468</v>
      </c>
      <c r="C174" s="1" t="s">
        <v>148</v>
      </c>
      <c r="D174" s="1" t="s">
        <v>102</v>
      </c>
      <c r="E174" s="1" t="str">
        <f>VLOOKUP(D174,Documentation!$B$4:$D$27,3,FALSE)</f>
        <v>BALTIMORE METRO</v>
      </c>
      <c r="F174" s="1" t="str">
        <f>VLOOKUP(D174,Documentation!$B$4:$C$27,2,FALSE)</f>
        <v>BALTIMORE CITY</v>
      </c>
      <c r="G174" s="82">
        <f>VLOOKUP(A174,'2022 CR and CMI'!$A$3:$D$207,3,FALSE)</f>
        <v>44562</v>
      </c>
      <c r="H174" s="82">
        <f>VLOOKUP(A174,'2022 CR and CMI'!$A$3:$D$207,4,FALSE)</f>
        <v>44926</v>
      </c>
      <c r="I174" s="72">
        <f>VLOOKUP(A174,'2022 CR and CMI'!$A$2:$T$210,19,FALSE)</f>
        <v>1.7730999999999999</v>
      </c>
      <c r="J174" s="139">
        <f>Inflation!$G$24</f>
        <v>1.0309999999999999</v>
      </c>
      <c r="K174" s="192">
        <f>VLOOKUP(E174,Limits!$B$2:$D$5,3,FALSE)</f>
        <v>195.33</v>
      </c>
      <c r="L174" s="192">
        <f t="shared" si="124"/>
        <v>201.39</v>
      </c>
      <c r="M174" s="140">
        <f>VLOOKUP(A174,'CMI Data'!$A$4:$C$208,3,FALSE)</f>
        <v>1.5521</v>
      </c>
      <c r="N174" s="68">
        <f t="shared" si="106"/>
        <v>247.43</v>
      </c>
      <c r="O174" s="68">
        <f t="shared" si="125"/>
        <v>216.59</v>
      </c>
      <c r="P174" s="75">
        <f t="shared" si="126"/>
        <v>205.76</v>
      </c>
      <c r="Q174" s="75">
        <v>209.26</v>
      </c>
      <c r="R174" s="75">
        <f t="shared" si="127"/>
        <v>215.75</v>
      </c>
      <c r="S174" s="68">
        <f t="shared" si="128"/>
        <v>188.86</v>
      </c>
      <c r="T174" s="75">
        <f t="shared" si="129"/>
        <v>-16.899999999999999</v>
      </c>
      <c r="U174" s="68">
        <f t="shared" si="130"/>
        <v>199.69</v>
      </c>
      <c r="V174" s="68">
        <f>VLOOKUP($F174,Limits!$J$2:$L$5,3,FALSE)</f>
        <v>24.89</v>
      </c>
      <c r="W174" s="68">
        <f t="shared" si="131"/>
        <v>25.66</v>
      </c>
      <c r="X174" s="68">
        <f>VLOOKUP($F174,Limits!$R$2:$T$5,3,FALSE)</f>
        <v>114.15</v>
      </c>
      <c r="Y174" s="68">
        <f t="shared" si="132"/>
        <v>117.69</v>
      </c>
      <c r="Z174" s="75">
        <f>VLOOKUP(A174,FRV!$A$4:$U$208,21,FALSE)</f>
        <v>39.71</v>
      </c>
      <c r="AA174" s="141">
        <f>VLOOKUP(A174,'RE Tax'!$A$2:$G$206,3,FALSE)</f>
        <v>45292</v>
      </c>
      <c r="AB174" s="141">
        <f>VLOOKUP(A174,'RE Tax'!$A$2:$G$206,4,FALSE)</f>
        <v>45657</v>
      </c>
      <c r="AC174" s="4">
        <f>VLOOKUP(A174,'RE Tax'!$A$2:$G$206,7,FALSE)</f>
        <v>464203</v>
      </c>
      <c r="AD174" s="4">
        <f>VLOOKUP($A174,'RE Tax'!$A$2:$I$206,9,FALSE)</f>
        <v>82350</v>
      </c>
      <c r="AE174" s="4">
        <f>VLOOKUP($A174,'RE Tax'!$A$2:$I$206,8,FALSE)</f>
        <v>74714</v>
      </c>
      <c r="AF174" s="142">
        <f>IF(ISNA(VLOOKUP(A174&amp;AB174,'Days Exceptions'!$C$3:$I$7,6,FALSE)),ROUND(AC174/MAX(AE174,(AD174*Min_Occ)),2),ROUND(AC174/VLOOKUP(A174&amp;AB174,'Days Exceptions'!$C$3:$I$7,6,FALSE),2))</f>
        <v>6.21</v>
      </c>
      <c r="AG174" s="68">
        <v>0</v>
      </c>
      <c r="AH174" s="68">
        <f t="shared" si="133"/>
        <v>0</v>
      </c>
      <c r="AI174" s="4">
        <v>59133</v>
      </c>
      <c r="AJ174" s="4">
        <v>74058</v>
      </c>
      <c r="AK174" s="68">
        <f>IF(AI174=0,0,IF(ISNA(MATCH(A174,Documentation!$B$66:$B$71,0)),QA_Tax_reg,QA_Tax_5high))</f>
        <v>3.04</v>
      </c>
      <c r="AL174" s="75">
        <f t="shared" si="134"/>
        <v>2.4300000000000002</v>
      </c>
      <c r="AM174" s="68">
        <f t="shared" si="135"/>
        <v>388.96</v>
      </c>
      <c r="AN174" s="68">
        <f t="shared" si="136"/>
        <v>289.12</v>
      </c>
      <c r="AO174" s="68">
        <f t="shared" si="137"/>
        <v>189.27</v>
      </c>
      <c r="AP174" s="37" t="s">
        <v>467</v>
      </c>
      <c r="AQ174" s="37" t="s">
        <v>468</v>
      </c>
      <c r="AR174" s="37" t="s">
        <v>1126</v>
      </c>
      <c r="AS174" s="66" t="e">
        <f>VLOOKUP(A174,'CMI Data'!$A$3:$J$209,10,FALSE)</f>
        <v>#DIV/0!</v>
      </c>
      <c r="AT174" s="68">
        <f t="shared" si="107"/>
        <v>239.98</v>
      </c>
      <c r="AU174" s="68" t="e">
        <f t="shared" si="108"/>
        <v>#DIV/0!</v>
      </c>
      <c r="AV174" s="75" t="e">
        <f t="shared" si="138"/>
        <v>#DIV/0!</v>
      </c>
      <c r="AW174" s="68" t="e">
        <f>IF($I174="NA","NA",ROUND(#REF!*$AS174/$I174,2))</f>
        <v>#REF!</v>
      </c>
      <c r="AX174" s="75" t="e">
        <f t="shared" si="105"/>
        <v>#REF!</v>
      </c>
      <c r="AY174" s="68" t="e">
        <f t="shared" si="139"/>
        <v>#REF!</v>
      </c>
      <c r="AZ174" s="4">
        <f t="shared" si="140"/>
        <v>464203</v>
      </c>
      <c r="BA174" s="4">
        <f t="shared" si="141"/>
        <v>82350</v>
      </c>
      <c r="BB174" s="4">
        <f t="shared" si="142"/>
        <v>74714</v>
      </c>
      <c r="BC174" s="142">
        <f>IF(ISNA(VLOOKUP($A174&amp;$AB174,'Days Exceptions'!$C$3:$I$7,6,FALSE)),ROUND(AZ174/MAX(BB174,(BA174*Min_Occ)),2),ROUND(AZ174/VLOOKUP($A174&amp;$AB174,'Days Exceptions'!$C$3:$I$7,6,FALSE),2))</f>
        <v>6.21</v>
      </c>
      <c r="BD174" s="143" t="e">
        <f t="shared" si="109"/>
        <v>#REF!</v>
      </c>
      <c r="BE174" s="143" t="e">
        <f t="shared" si="110"/>
        <v>#REF!</v>
      </c>
      <c r="BF174" s="143">
        <f t="shared" si="111"/>
        <v>184.96</v>
      </c>
      <c r="BG174" s="37" t="s">
        <v>467</v>
      </c>
      <c r="BH174" s="37" t="s">
        <v>468</v>
      </c>
      <c r="BI174" s="37" t="s">
        <v>1330</v>
      </c>
      <c r="BJ174" s="66" t="e">
        <f>VLOOKUP(A174,'CMI Data'!$A$3:$AZ$209,15,FALSE)</f>
        <v>#DIV/0!</v>
      </c>
      <c r="BK174" s="68">
        <f t="shared" si="112"/>
        <v>239.98</v>
      </c>
      <c r="BL174" s="68" t="e">
        <f t="shared" si="113"/>
        <v>#DIV/0!</v>
      </c>
      <c r="BM174" s="75" t="e">
        <f t="shared" si="143"/>
        <v>#DIV/0!</v>
      </c>
      <c r="BN174" s="68" t="e">
        <f>IF($I174="NA","NA",ROUND(#REF!*$BJ174/$I174,2))</f>
        <v>#REF!</v>
      </c>
      <c r="BO174" s="75" t="e">
        <f t="shared" si="144"/>
        <v>#REF!</v>
      </c>
      <c r="BP174" s="68" t="e">
        <f t="shared" si="145"/>
        <v>#REF!</v>
      </c>
      <c r="BQ174" s="4">
        <f t="shared" si="146"/>
        <v>464203</v>
      </c>
      <c r="BR174" s="4">
        <f t="shared" si="147"/>
        <v>82350</v>
      </c>
      <c r="BS174" s="4">
        <f t="shared" si="148"/>
        <v>74714</v>
      </c>
      <c r="BT174" s="142">
        <f>IF(ISNA(VLOOKUP($A174&amp;$AB174,'Days Exceptions'!$C$3:$I$7,6,FALSE)),ROUND(BQ174/MAX(BS174,(BR174*Min_Occ)),2),ROUND(BQ174/VLOOKUP($A174&amp;$AB174,'Days Exceptions'!$C$3:$I$7,6,FALSE),2))</f>
        <v>6.21</v>
      </c>
      <c r="BU174" s="143" t="e">
        <f t="shared" si="114"/>
        <v>#REF!</v>
      </c>
      <c r="BV174" s="143" t="e">
        <f t="shared" si="115"/>
        <v>#REF!</v>
      </c>
      <c r="BW174" s="143">
        <f t="shared" si="116"/>
        <v>184.96</v>
      </c>
      <c r="BX174" s="37" t="s">
        <v>467</v>
      </c>
      <c r="BY174" s="37" t="s">
        <v>468</v>
      </c>
      <c r="BZ174" s="37" t="s">
        <v>1704</v>
      </c>
      <c r="CA174" s="66" t="e">
        <f>VLOOKUP(A174,'CMI Data'!$A$3:$AZ$209,20,FALSE)</f>
        <v>#DIV/0!</v>
      </c>
      <c r="CB174" s="68">
        <f t="shared" si="117"/>
        <v>239.98</v>
      </c>
      <c r="CC174" s="68" t="e">
        <f t="shared" si="118"/>
        <v>#DIV/0!</v>
      </c>
      <c r="CD174" s="75" t="e">
        <f t="shared" si="149"/>
        <v>#DIV/0!</v>
      </c>
      <c r="CE174" s="68" t="e">
        <f>IF($I174="NA","NA",ROUND(#REF!*$CA174/$I174,2))</f>
        <v>#REF!</v>
      </c>
      <c r="CF174" s="75" t="e">
        <f t="shared" si="150"/>
        <v>#REF!</v>
      </c>
      <c r="CG174" s="68" t="e">
        <f t="shared" si="151"/>
        <v>#REF!</v>
      </c>
      <c r="CH174" s="4">
        <f t="shared" si="152"/>
        <v>464203</v>
      </c>
      <c r="CI174" s="4">
        <f t="shared" si="153"/>
        <v>82350</v>
      </c>
      <c r="CJ174" s="4">
        <f t="shared" si="154"/>
        <v>74714</v>
      </c>
      <c r="CK174" s="142">
        <f>IF(ISNA(VLOOKUP($A174&amp;$AB174,'Days Exceptions'!$C$3:$I$7,6,FALSE)),ROUND(CH174/MAX(CJ174,(CI174*Min_Occ)),2),ROUND(CH174/VLOOKUP($A174&amp;$AB174,'Days Exceptions'!$C$3:$I$7,6,FALSE),2))</f>
        <v>6.21</v>
      </c>
      <c r="CL174" s="143" t="e">
        <f t="shared" si="119"/>
        <v>#REF!</v>
      </c>
      <c r="CM174" s="143" t="e">
        <f t="shared" si="120"/>
        <v>#REF!</v>
      </c>
      <c r="CN174" s="143">
        <f t="shared" si="121"/>
        <v>184.96</v>
      </c>
      <c r="CO174" s="37" t="s">
        <v>467</v>
      </c>
      <c r="CP174" s="37" t="s">
        <v>468</v>
      </c>
      <c r="CQ174" s="37" t="s">
        <v>1705</v>
      </c>
    </row>
    <row r="175" spans="1:95" x14ac:dyDescent="0.15">
      <c r="A175" s="130">
        <v>368</v>
      </c>
      <c r="B175" s="37" t="s">
        <v>507</v>
      </c>
      <c r="C175" s="1" t="s">
        <v>148</v>
      </c>
      <c r="D175" s="1" t="s">
        <v>119</v>
      </c>
      <c r="E175" s="1" t="str">
        <f>VLOOKUP(D175,Documentation!$B$4:$D$27,3,FALSE)</f>
        <v>WASHINGTON METRO</v>
      </c>
      <c r="F175" s="1" t="str">
        <f>VLOOKUP(D175,Documentation!$B$4:$C$27,2,FALSE)</f>
        <v>WASHINGTON METRO</v>
      </c>
      <c r="G175" s="82">
        <f>VLOOKUP(A175,'2022 CR and CMI'!$A$3:$D$207,3,FALSE)</f>
        <v>44562</v>
      </c>
      <c r="H175" s="82">
        <f>VLOOKUP(A175,'2022 CR and CMI'!$A$3:$D$207,4,FALSE)</f>
        <v>44926</v>
      </c>
      <c r="I175" s="72">
        <f>VLOOKUP(A175,'2022 CR and CMI'!$A$2:$T$210,19,FALSE)</f>
        <v>1.4387000000000001</v>
      </c>
      <c r="J175" s="139">
        <f>Inflation!$G$24</f>
        <v>1.0309999999999999</v>
      </c>
      <c r="K175" s="192">
        <f>VLOOKUP(E175,Limits!$B$2:$D$5,3,FALSE)</f>
        <v>176.01</v>
      </c>
      <c r="L175" s="192">
        <f t="shared" si="124"/>
        <v>181.47</v>
      </c>
      <c r="M175" s="140">
        <f>VLOOKUP(A175,'CMI Data'!$A$4:$C$208,3,FALSE)</f>
        <v>1.3631</v>
      </c>
      <c r="N175" s="68">
        <f t="shared" si="106"/>
        <v>180.9</v>
      </c>
      <c r="O175" s="68">
        <f t="shared" si="125"/>
        <v>171.39</v>
      </c>
      <c r="P175" s="75">
        <f t="shared" si="126"/>
        <v>162.82</v>
      </c>
      <c r="Q175" s="75">
        <v>137.94</v>
      </c>
      <c r="R175" s="75">
        <f t="shared" si="127"/>
        <v>142.22</v>
      </c>
      <c r="S175" s="68">
        <f t="shared" si="128"/>
        <v>134.75</v>
      </c>
      <c r="T175" s="75">
        <f t="shared" si="129"/>
        <v>-28.07</v>
      </c>
      <c r="U175" s="68">
        <f t="shared" si="130"/>
        <v>143.32</v>
      </c>
      <c r="V175" s="68">
        <f>VLOOKUP($F175,Limits!$J$2:$L$5,3,FALSE)</f>
        <v>19.23</v>
      </c>
      <c r="W175" s="68">
        <f t="shared" si="131"/>
        <v>19.829999999999998</v>
      </c>
      <c r="X175" s="68">
        <f>VLOOKUP($F175,Limits!$R$2:$T$5,3,FALSE)</f>
        <v>100.61</v>
      </c>
      <c r="Y175" s="68">
        <f t="shared" si="132"/>
        <v>103.73</v>
      </c>
      <c r="Z175" s="75">
        <f>VLOOKUP(A175,FRV!$A$4:$U$208,21,FALSE)</f>
        <v>32.1</v>
      </c>
      <c r="AA175" s="141">
        <f>VLOOKUP(A175,'RE Tax'!$A$2:$G$206,3,FALSE)</f>
        <v>45292</v>
      </c>
      <c r="AB175" s="141">
        <f>VLOOKUP(A175,'RE Tax'!$A$2:$G$206,4,FALSE)</f>
        <v>45657</v>
      </c>
      <c r="AC175" s="4">
        <f>VLOOKUP(A175,'RE Tax'!$A$2:$G$206,7,FALSE)</f>
        <v>283629</v>
      </c>
      <c r="AD175" s="4">
        <f>VLOOKUP($A175,'RE Tax'!$A$2:$I$206,9,FALSE)</f>
        <v>64050</v>
      </c>
      <c r="AE175" s="4">
        <f>VLOOKUP($A175,'RE Tax'!$A$2:$I$206,8,FALSE)</f>
        <v>62465</v>
      </c>
      <c r="AF175" s="142">
        <f>IF(ISNA(VLOOKUP(A175&amp;AB175,'Days Exceptions'!$C$3:$I$7,6,FALSE)),ROUND(AC175/MAX(AE175,(AD175*Min_Occ)),2),ROUND(AC175/VLOOKUP(A175&amp;AB175,'Days Exceptions'!$C$3:$I$7,6,FALSE),2))</f>
        <v>4.54</v>
      </c>
      <c r="AG175" s="68">
        <v>0</v>
      </c>
      <c r="AH175" s="68">
        <f t="shared" si="133"/>
        <v>0</v>
      </c>
      <c r="AI175" s="4">
        <v>48255</v>
      </c>
      <c r="AJ175" s="4">
        <v>58790</v>
      </c>
      <c r="AK175" s="68">
        <f>IF(AI175=0,0,IF(ISNA(MATCH(A175,Documentation!$B$66:$B$71,0)),QA_Tax_reg,QA_Tax_5high))</f>
        <v>32.92</v>
      </c>
      <c r="AL175" s="75">
        <f t="shared" si="134"/>
        <v>27.02</v>
      </c>
      <c r="AM175" s="68">
        <f t="shared" si="135"/>
        <v>303.52</v>
      </c>
      <c r="AN175" s="68">
        <f t="shared" si="136"/>
        <v>231.86</v>
      </c>
      <c r="AO175" s="68">
        <f t="shared" si="137"/>
        <v>160.19999999999999</v>
      </c>
      <c r="AP175" s="37" t="s">
        <v>473</v>
      </c>
      <c r="AQ175" s="37" t="s">
        <v>507</v>
      </c>
      <c r="AR175" s="37" t="s">
        <v>1127</v>
      </c>
      <c r="AS175" s="66" t="e">
        <f>VLOOKUP(A175,'CMI Data'!$A$3:$J$209,10,FALSE)</f>
        <v>#DIV/0!</v>
      </c>
      <c r="AT175" s="68">
        <f t="shared" si="107"/>
        <v>175.46</v>
      </c>
      <c r="AU175" s="68" t="e">
        <f t="shared" si="108"/>
        <v>#DIV/0!</v>
      </c>
      <c r="AV175" s="75" t="e">
        <f t="shared" si="138"/>
        <v>#DIV/0!</v>
      </c>
      <c r="AW175" s="68" t="e">
        <f>IF($I175="NA","NA",ROUND(#REF!*$AS175/$I175,2))</f>
        <v>#REF!</v>
      </c>
      <c r="AX175" s="75" t="e">
        <f t="shared" si="105"/>
        <v>#REF!</v>
      </c>
      <c r="AY175" s="68" t="e">
        <f t="shared" si="139"/>
        <v>#REF!</v>
      </c>
      <c r="AZ175" s="4">
        <f t="shared" si="140"/>
        <v>283629</v>
      </c>
      <c r="BA175" s="4">
        <f t="shared" si="141"/>
        <v>64050</v>
      </c>
      <c r="BB175" s="4">
        <f t="shared" si="142"/>
        <v>62465</v>
      </c>
      <c r="BC175" s="142">
        <f>IF(ISNA(VLOOKUP($A175&amp;$AB175,'Days Exceptions'!$C$3:$I$7,6,FALSE)),ROUND(AZ175/MAX(BB175,(BA175*Min_Occ)),2),ROUND(AZ175/VLOOKUP($A175&amp;$AB175,'Days Exceptions'!$C$3:$I$7,6,FALSE),2))</f>
        <v>4.54</v>
      </c>
      <c r="BD175" s="143" t="e">
        <f t="shared" si="109"/>
        <v>#REF!</v>
      </c>
      <c r="BE175" s="143" t="e">
        <f t="shared" si="110"/>
        <v>#REF!</v>
      </c>
      <c r="BF175" s="143">
        <f t="shared" si="111"/>
        <v>156.47999999999999</v>
      </c>
      <c r="BG175" s="37" t="s">
        <v>473</v>
      </c>
      <c r="BH175" s="37" t="s">
        <v>507</v>
      </c>
      <c r="BI175" s="37" t="s">
        <v>1331</v>
      </c>
      <c r="BJ175" s="66" t="e">
        <f>VLOOKUP(A175,'CMI Data'!$A$3:$AZ$209,15,FALSE)</f>
        <v>#DIV/0!</v>
      </c>
      <c r="BK175" s="68">
        <f t="shared" si="112"/>
        <v>175.46</v>
      </c>
      <c r="BL175" s="68" t="e">
        <f t="shared" si="113"/>
        <v>#DIV/0!</v>
      </c>
      <c r="BM175" s="75" t="e">
        <f t="shared" si="143"/>
        <v>#DIV/0!</v>
      </c>
      <c r="BN175" s="68" t="e">
        <f>IF($I175="NA","NA",ROUND(#REF!*$BJ175/$I175,2))</f>
        <v>#REF!</v>
      </c>
      <c r="BO175" s="75" t="e">
        <f t="shared" si="144"/>
        <v>#REF!</v>
      </c>
      <c r="BP175" s="68" t="e">
        <f t="shared" si="145"/>
        <v>#REF!</v>
      </c>
      <c r="BQ175" s="4">
        <f t="shared" si="146"/>
        <v>283629</v>
      </c>
      <c r="BR175" s="4">
        <f t="shared" si="147"/>
        <v>64050</v>
      </c>
      <c r="BS175" s="4">
        <f t="shared" si="148"/>
        <v>62465</v>
      </c>
      <c r="BT175" s="142">
        <f>IF(ISNA(VLOOKUP($A175&amp;$AB175,'Days Exceptions'!$C$3:$I$7,6,FALSE)),ROUND(BQ175/MAX(BS175,(BR175*Min_Occ)),2),ROUND(BQ175/VLOOKUP($A175&amp;$AB175,'Days Exceptions'!$C$3:$I$7,6,FALSE),2))</f>
        <v>4.54</v>
      </c>
      <c r="BU175" s="143" t="e">
        <f t="shared" si="114"/>
        <v>#REF!</v>
      </c>
      <c r="BV175" s="143" t="e">
        <f t="shared" si="115"/>
        <v>#REF!</v>
      </c>
      <c r="BW175" s="143">
        <f t="shared" si="116"/>
        <v>156.47999999999999</v>
      </c>
      <c r="BX175" s="37" t="s">
        <v>473</v>
      </c>
      <c r="BY175" s="37" t="s">
        <v>507</v>
      </c>
      <c r="BZ175" s="37" t="s">
        <v>1706</v>
      </c>
      <c r="CA175" s="66" t="e">
        <f>VLOOKUP(A175,'CMI Data'!$A$3:$AZ$209,20,FALSE)</f>
        <v>#DIV/0!</v>
      </c>
      <c r="CB175" s="68">
        <f t="shared" si="117"/>
        <v>175.46</v>
      </c>
      <c r="CC175" s="68" t="e">
        <f t="shared" si="118"/>
        <v>#DIV/0!</v>
      </c>
      <c r="CD175" s="75" t="e">
        <f t="shared" si="149"/>
        <v>#DIV/0!</v>
      </c>
      <c r="CE175" s="68" t="e">
        <f>IF($I175="NA","NA",ROUND(#REF!*$CA175/$I175,2))</f>
        <v>#REF!</v>
      </c>
      <c r="CF175" s="75" t="e">
        <f t="shared" si="150"/>
        <v>#REF!</v>
      </c>
      <c r="CG175" s="68" t="e">
        <f t="shared" si="151"/>
        <v>#REF!</v>
      </c>
      <c r="CH175" s="4">
        <f t="shared" si="152"/>
        <v>283629</v>
      </c>
      <c r="CI175" s="4">
        <f t="shared" si="153"/>
        <v>64050</v>
      </c>
      <c r="CJ175" s="4">
        <f t="shared" si="154"/>
        <v>62465</v>
      </c>
      <c r="CK175" s="142">
        <f>IF(ISNA(VLOOKUP($A175&amp;$AB175,'Days Exceptions'!$C$3:$I$7,6,FALSE)),ROUND(CH175/MAX(CJ175,(CI175*Min_Occ)),2),ROUND(CH175/VLOOKUP($A175&amp;$AB175,'Days Exceptions'!$C$3:$I$7,6,FALSE),2))</f>
        <v>4.54</v>
      </c>
      <c r="CL175" s="143" t="e">
        <f t="shared" si="119"/>
        <v>#REF!</v>
      </c>
      <c r="CM175" s="143" t="e">
        <f t="shared" si="120"/>
        <v>#REF!</v>
      </c>
      <c r="CN175" s="143">
        <f t="shared" si="121"/>
        <v>156.47999999999999</v>
      </c>
      <c r="CO175" s="37" t="s">
        <v>473</v>
      </c>
      <c r="CP175" s="37" t="s">
        <v>507</v>
      </c>
      <c r="CQ175" s="37" t="s">
        <v>1707</v>
      </c>
    </row>
    <row r="176" spans="1:95" x14ac:dyDescent="0.15">
      <c r="A176" s="130">
        <v>462</v>
      </c>
      <c r="B176" s="37" t="s">
        <v>394</v>
      </c>
      <c r="C176" s="1" t="s">
        <v>148</v>
      </c>
      <c r="D176" s="1" t="s">
        <v>119</v>
      </c>
      <c r="E176" s="1" t="str">
        <f>VLOOKUP(D176,Documentation!$B$4:$D$27,3,FALSE)</f>
        <v>WASHINGTON METRO</v>
      </c>
      <c r="F176" s="1" t="str">
        <f>VLOOKUP(D176,Documentation!$B$4:$C$27,2,FALSE)</f>
        <v>WASHINGTON METRO</v>
      </c>
      <c r="G176" s="82">
        <f>VLOOKUP(A176,'2022 CR and CMI'!$A$3:$D$207,3,FALSE)</f>
        <v>44562</v>
      </c>
      <c r="H176" s="82">
        <f>VLOOKUP(A176,'2022 CR and CMI'!$A$3:$D$207,4,FALSE)</f>
        <v>44926</v>
      </c>
      <c r="I176" s="72">
        <f>VLOOKUP(A176,'2022 CR and CMI'!$A$2:$T$210,19,FALSE)</f>
        <v>1.2593000000000001</v>
      </c>
      <c r="J176" s="139">
        <f>Inflation!$G$24</f>
        <v>1.0309999999999999</v>
      </c>
      <c r="K176" s="192">
        <f>VLOOKUP(E176,Limits!$B$2:$D$5,3,FALSE)</f>
        <v>176.01</v>
      </c>
      <c r="L176" s="192">
        <f t="shared" si="124"/>
        <v>181.47</v>
      </c>
      <c r="M176" s="140">
        <f>VLOOKUP(A176,'CMI Data'!$A$4:$C$208,3,FALSE)</f>
        <v>1.2595000000000001</v>
      </c>
      <c r="N176" s="68">
        <f t="shared" si="106"/>
        <v>158.35</v>
      </c>
      <c r="O176" s="68">
        <f t="shared" si="125"/>
        <v>158.38</v>
      </c>
      <c r="P176" s="75">
        <f t="shared" si="126"/>
        <v>150.46</v>
      </c>
      <c r="Q176" s="75">
        <v>141.87</v>
      </c>
      <c r="R176" s="75">
        <f t="shared" si="127"/>
        <v>146.27000000000001</v>
      </c>
      <c r="S176" s="68">
        <f t="shared" si="128"/>
        <v>146.29</v>
      </c>
      <c r="T176" s="75">
        <f t="shared" si="129"/>
        <v>-4.17</v>
      </c>
      <c r="U176" s="68">
        <f t="shared" si="130"/>
        <v>154.21</v>
      </c>
      <c r="V176" s="68">
        <f>VLOOKUP($F176,Limits!$J$2:$L$5,3,FALSE)</f>
        <v>19.23</v>
      </c>
      <c r="W176" s="68">
        <f t="shared" si="131"/>
        <v>19.829999999999998</v>
      </c>
      <c r="X176" s="68">
        <f>VLOOKUP($F176,Limits!$R$2:$T$5,3,FALSE)</f>
        <v>100.61</v>
      </c>
      <c r="Y176" s="68">
        <f t="shared" si="132"/>
        <v>103.73</v>
      </c>
      <c r="Z176" s="75">
        <f>VLOOKUP(A176,FRV!$A$4:$U$208,21,FALSE)</f>
        <v>39.26</v>
      </c>
      <c r="AA176" s="141">
        <f>VLOOKUP(A176,'RE Tax'!$A$2:$G$206,3,FALSE)</f>
        <v>45292</v>
      </c>
      <c r="AB176" s="141">
        <f>VLOOKUP(A176,'RE Tax'!$A$2:$G$206,4,FALSE)</f>
        <v>45657</v>
      </c>
      <c r="AC176" s="4">
        <f>VLOOKUP(A176,'RE Tax'!$A$2:$G$206,7,FALSE)</f>
        <v>88110</v>
      </c>
      <c r="AD176" s="4">
        <f>VLOOKUP($A176,'RE Tax'!$A$2:$I$206,9,FALSE)</f>
        <v>33672</v>
      </c>
      <c r="AE176" s="4">
        <f>VLOOKUP($A176,'RE Tax'!$A$2:$I$206,8,FALSE)</f>
        <v>26544</v>
      </c>
      <c r="AF176" s="142">
        <f>IF(ISNA(VLOOKUP(A176&amp;AB176,'Days Exceptions'!$C$3:$I$7,6,FALSE)),ROUND(AC176/MAX(AE176,(AD176*Min_Occ)),2),ROUND(AC176/VLOOKUP(A176&amp;AB176,'Days Exceptions'!$C$3:$I$7,6,FALSE),2))</f>
        <v>3.21</v>
      </c>
      <c r="AG176" s="68">
        <v>0</v>
      </c>
      <c r="AH176" s="68">
        <f t="shared" si="133"/>
        <v>0</v>
      </c>
      <c r="AI176" s="4">
        <v>20093</v>
      </c>
      <c r="AJ176" s="4">
        <v>26545</v>
      </c>
      <c r="AK176" s="68">
        <f>IF(AI176=0,0,IF(ISNA(MATCH(A176,Documentation!$B$66:$B$71,0)),QA_Tax_reg,QA_Tax_5high))</f>
        <v>32.92</v>
      </c>
      <c r="AL176" s="75">
        <f t="shared" si="134"/>
        <v>24.92</v>
      </c>
      <c r="AM176" s="68">
        <f t="shared" si="135"/>
        <v>320.24</v>
      </c>
      <c r="AN176" s="68">
        <f t="shared" si="136"/>
        <v>243.14</v>
      </c>
      <c r="AO176" s="68">
        <f t="shared" si="137"/>
        <v>166.03</v>
      </c>
      <c r="AP176" s="37" t="s">
        <v>393</v>
      </c>
      <c r="AQ176" s="37" t="s">
        <v>394</v>
      </c>
      <c r="AR176" s="37" t="s">
        <v>1128</v>
      </c>
      <c r="AS176" s="66" t="e">
        <f>VLOOKUP(A176,'CMI Data'!$A$3:$J$209,10,FALSE)</f>
        <v>#DIV/0!</v>
      </c>
      <c r="AT176" s="68">
        <f t="shared" si="107"/>
        <v>153.58000000000001</v>
      </c>
      <c r="AU176" s="68" t="e">
        <f t="shared" si="108"/>
        <v>#DIV/0!</v>
      </c>
      <c r="AV176" s="75" t="e">
        <f t="shared" si="138"/>
        <v>#DIV/0!</v>
      </c>
      <c r="AW176" s="68" t="e">
        <f>IF($I176="NA","NA",ROUND(#REF!*$AS176/$I176,2))</f>
        <v>#REF!</v>
      </c>
      <c r="AX176" s="75" t="e">
        <f t="shared" si="105"/>
        <v>#REF!</v>
      </c>
      <c r="AY176" s="68" t="e">
        <f t="shared" si="139"/>
        <v>#REF!</v>
      </c>
      <c r="AZ176" s="4">
        <f t="shared" si="140"/>
        <v>88110</v>
      </c>
      <c r="BA176" s="4">
        <f t="shared" si="141"/>
        <v>33672</v>
      </c>
      <c r="BB176" s="4">
        <f t="shared" si="142"/>
        <v>26544</v>
      </c>
      <c r="BC176" s="142">
        <f>IF(ISNA(VLOOKUP($A176&amp;$AB176,'Days Exceptions'!$C$3:$I$7,6,FALSE)),ROUND(AZ176/MAX(BB176,(BA176*Min_Occ)),2),ROUND(AZ176/VLOOKUP($A176&amp;$AB176,'Days Exceptions'!$C$3:$I$7,6,FALSE),2))</f>
        <v>3.21</v>
      </c>
      <c r="BD176" s="143" t="e">
        <f t="shared" si="109"/>
        <v>#REF!</v>
      </c>
      <c r="BE176" s="143" t="e">
        <f t="shared" si="110"/>
        <v>#REF!</v>
      </c>
      <c r="BF176" s="143">
        <f t="shared" si="111"/>
        <v>162.31</v>
      </c>
      <c r="BG176" s="37" t="s">
        <v>393</v>
      </c>
      <c r="BH176" s="37" t="s">
        <v>394</v>
      </c>
      <c r="BI176" s="37" t="s">
        <v>1332</v>
      </c>
      <c r="BJ176" s="66" t="e">
        <f>VLOOKUP(A176,'CMI Data'!$A$3:$AZ$209,15,FALSE)</f>
        <v>#DIV/0!</v>
      </c>
      <c r="BK176" s="68">
        <f t="shared" si="112"/>
        <v>153.58000000000001</v>
      </c>
      <c r="BL176" s="68" t="e">
        <f t="shared" si="113"/>
        <v>#DIV/0!</v>
      </c>
      <c r="BM176" s="75" t="e">
        <f t="shared" si="143"/>
        <v>#DIV/0!</v>
      </c>
      <c r="BN176" s="68" t="e">
        <f>IF($I176="NA","NA",ROUND(#REF!*$BJ176/$I176,2))</f>
        <v>#REF!</v>
      </c>
      <c r="BO176" s="75" t="e">
        <f t="shared" si="144"/>
        <v>#REF!</v>
      </c>
      <c r="BP176" s="68" t="e">
        <f t="shared" si="145"/>
        <v>#REF!</v>
      </c>
      <c r="BQ176" s="4">
        <f t="shared" si="146"/>
        <v>88110</v>
      </c>
      <c r="BR176" s="4">
        <f t="shared" si="147"/>
        <v>33672</v>
      </c>
      <c r="BS176" s="4">
        <f t="shared" si="148"/>
        <v>26544</v>
      </c>
      <c r="BT176" s="142">
        <f>IF(ISNA(VLOOKUP($A176&amp;$AB176,'Days Exceptions'!$C$3:$I$7,6,FALSE)),ROUND(BQ176/MAX(BS176,(BR176*Min_Occ)),2),ROUND(BQ176/VLOOKUP($A176&amp;$AB176,'Days Exceptions'!$C$3:$I$7,6,FALSE),2))</f>
        <v>3.21</v>
      </c>
      <c r="BU176" s="143" t="e">
        <f t="shared" si="114"/>
        <v>#REF!</v>
      </c>
      <c r="BV176" s="143" t="e">
        <f t="shared" si="115"/>
        <v>#REF!</v>
      </c>
      <c r="BW176" s="143">
        <f t="shared" si="116"/>
        <v>162.31</v>
      </c>
      <c r="BX176" s="37" t="s">
        <v>393</v>
      </c>
      <c r="BY176" s="37" t="s">
        <v>394</v>
      </c>
      <c r="BZ176" s="37" t="s">
        <v>1708</v>
      </c>
      <c r="CA176" s="66" t="e">
        <f>VLOOKUP(A176,'CMI Data'!$A$3:$AZ$209,20,FALSE)</f>
        <v>#DIV/0!</v>
      </c>
      <c r="CB176" s="68">
        <f t="shared" si="117"/>
        <v>153.58000000000001</v>
      </c>
      <c r="CC176" s="68" t="e">
        <f t="shared" si="118"/>
        <v>#DIV/0!</v>
      </c>
      <c r="CD176" s="75" t="e">
        <f t="shared" si="149"/>
        <v>#DIV/0!</v>
      </c>
      <c r="CE176" s="68" t="e">
        <f>IF($I176="NA","NA",ROUND(#REF!*$CA176/$I176,2))</f>
        <v>#REF!</v>
      </c>
      <c r="CF176" s="75" t="e">
        <f t="shared" si="150"/>
        <v>#REF!</v>
      </c>
      <c r="CG176" s="68" t="e">
        <f t="shared" si="151"/>
        <v>#REF!</v>
      </c>
      <c r="CH176" s="4">
        <f t="shared" si="152"/>
        <v>88110</v>
      </c>
      <c r="CI176" s="4">
        <f t="shared" si="153"/>
        <v>33672</v>
      </c>
      <c r="CJ176" s="4">
        <f t="shared" si="154"/>
        <v>26544</v>
      </c>
      <c r="CK176" s="142">
        <f>IF(ISNA(VLOOKUP($A176&amp;$AB176,'Days Exceptions'!$C$3:$I$7,6,FALSE)),ROUND(CH176/MAX(CJ176,(CI176*Min_Occ)),2),ROUND(CH176/VLOOKUP($A176&amp;$AB176,'Days Exceptions'!$C$3:$I$7,6,FALSE),2))</f>
        <v>3.21</v>
      </c>
      <c r="CL176" s="143" t="e">
        <f t="shared" si="119"/>
        <v>#REF!</v>
      </c>
      <c r="CM176" s="143" t="e">
        <f t="shared" si="120"/>
        <v>#REF!</v>
      </c>
      <c r="CN176" s="143">
        <f t="shared" si="121"/>
        <v>162.31</v>
      </c>
      <c r="CO176" s="37" t="s">
        <v>393</v>
      </c>
      <c r="CP176" s="37" t="s">
        <v>394</v>
      </c>
      <c r="CQ176" s="37" t="s">
        <v>1709</v>
      </c>
    </row>
    <row r="177" spans="1:95" x14ac:dyDescent="0.15">
      <c r="A177" s="130">
        <v>102</v>
      </c>
      <c r="B177" s="37" t="s">
        <v>445</v>
      </c>
      <c r="C177" s="1" t="s">
        <v>148</v>
      </c>
      <c r="D177" s="1" t="s">
        <v>118</v>
      </c>
      <c r="E177" s="1" t="str">
        <f>VLOOKUP(D177,Documentation!$B$4:$D$27,3,FALSE)</f>
        <v>EASTERN REGION</v>
      </c>
      <c r="F177" s="1" t="str">
        <f>VLOOKUP(D177,Documentation!$B$4:$C$27,2,FALSE)</f>
        <v>NON METRO</v>
      </c>
      <c r="G177" s="82">
        <f>VLOOKUP(A177,'2022 CR and CMI'!$A$3:$D$207,3,FALSE)</f>
        <v>44562</v>
      </c>
      <c r="H177" s="82">
        <f>VLOOKUP(A177,'2022 CR and CMI'!$A$3:$D$207,4,FALSE)</f>
        <v>44926</v>
      </c>
      <c r="I177" s="72">
        <f>VLOOKUP(A177,'2022 CR and CMI'!$A$2:$T$210,19,FALSE)</f>
        <v>1.304</v>
      </c>
      <c r="J177" s="139">
        <f>Inflation!$G$24</f>
        <v>1.0309999999999999</v>
      </c>
      <c r="K177" s="192">
        <f>VLOOKUP(E177,Limits!$B$2:$D$5,3,FALSE)</f>
        <v>186.31</v>
      </c>
      <c r="L177" s="192">
        <f t="shared" si="124"/>
        <v>192.09</v>
      </c>
      <c r="M177" s="140">
        <f>VLOOKUP(A177,'CMI Data'!$A$4:$C$208,3,FALSE)</f>
        <v>1.4604999999999999</v>
      </c>
      <c r="N177" s="68">
        <f t="shared" si="106"/>
        <v>173.56</v>
      </c>
      <c r="O177" s="68">
        <f t="shared" si="125"/>
        <v>194.39</v>
      </c>
      <c r="P177" s="75">
        <f t="shared" si="126"/>
        <v>184.67</v>
      </c>
      <c r="Q177" s="75">
        <v>171.83</v>
      </c>
      <c r="R177" s="75">
        <f t="shared" si="127"/>
        <v>177.16</v>
      </c>
      <c r="S177" s="68">
        <f t="shared" si="128"/>
        <v>198.42</v>
      </c>
      <c r="T177" s="75">
        <f t="shared" si="129"/>
        <v>0</v>
      </c>
      <c r="U177" s="68">
        <f t="shared" si="130"/>
        <v>194.39</v>
      </c>
      <c r="V177" s="68">
        <f>VLOOKUP($F177,Limits!$J$2:$L$5,3,FALSE)</f>
        <v>20.239999999999998</v>
      </c>
      <c r="W177" s="68">
        <f t="shared" si="131"/>
        <v>20.87</v>
      </c>
      <c r="X177" s="68">
        <f>VLOOKUP($F177,Limits!$R$2:$T$5,3,FALSE)</f>
        <v>89.55</v>
      </c>
      <c r="Y177" s="68">
        <f t="shared" si="132"/>
        <v>92.33</v>
      </c>
      <c r="Z177" s="75">
        <f>VLOOKUP(A177,FRV!$A$4:$U$208,21,FALSE)</f>
        <v>31.45</v>
      </c>
      <c r="AA177" s="141">
        <f>VLOOKUP(A177,'RE Tax'!$A$2:$G$206,3,FALSE)</f>
        <v>45292</v>
      </c>
      <c r="AB177" s="141">
        <f>VLOOKUP(A177,'RE Tax'!$A$2:$G$206,4,FALSE)</f>
        <v>45657</v>
      </c>
      <c r="AC177" s="4">
        <f>VLOOKUP(A177,'RE Tax'!$A$2:$G$206,7,FALSE)</f>
        <v>36115</v>
      </c>
      <c r="AD177" s="4">
        <f>VLOOKUP($A177,'RE Tax'!$A$2:$I$206,9,FALSE)</f>
        <v>35868</v>
      </c>
      <c r="AE177" s="4">
        <f>VLOOKUP($A177,'RE Tax'!$A$2:$I$206,8,FALSE)</f>
        <v>34268</v>
      </c>
      <c r="AF177" s="142">
        <f>IF(ISNA(VLOOKUP(A177&amp;AB177,'Days Exceptions'!$C$3:$I$7,6,FALSE)),ROUND(AC177/MAX(AE177,(AD177*Min_Occ)),2),ROUND(AC177/VLOOKUP(A177&amp;AB177,'Days Exceptions'!$C$3:$I$7,6,FALSE),2))</f>
        <v>1.05</v>
      </c>
      <c r="AG177" s="68">
        <v>0</v>
      </c>
      <c r="AH177" s="68">
        <f t="shared" si="133"/>
        <v>0</v>
      </c>
      <c r="AI177" s="4">
        <v>27669</v>
      </c>
      <c r="AJ177" s="4">
        <v>34163</v>
      </c>
      <c r="AK177" s="68">
        <f>IF(AI177=0,0,IF(ISNA(MATCH(A177,Documentation!$B$66:$B$71,0)),QA_Tax_reg,QA_Tax_5high))</f>
        <v>32.92</v>
      </c>
      <c r="AL177" s="75">
        <f t="shared" si="134"/>
        <v>26.66</v>
      </c>
      <c r="AM177" s="68">
        <f t="shared" si="135"/>
        <v>340.09</v>
      </c>
      <c r="AN177" s="68">
        <f t="shared" si="136"/>
        <v>242.9</v>
      </c>
      <c r="AO177" s="68">
        <f t="shared" si="137"/>
        <v>145.69999999999999</v>
      </c>
      <c r="AP177" s="37" t="s">
        <v>459</v>
      </c>
      <c r="AQ177" s="37" t="s">
        <v>445</v>
      </c>
      <c r="AR177" s="37" t="s">
        <v>1129</v>
      </c>
      <c r="AS177" s="66" t="e">
        <f>VLOOKUP(A177,'CMI Data'!$A$3:$J$209,10,FALSE)</f>
        <v>#DIV/0!</v>
      </c>
      <c r="AT177" s="68">
        <f t="shared" si="107"/>
        <v>168.34</v>
      </c>
      <c r="AU177" s="68" t="e">
        <f t="shared" si="108"/>
        <v>#DIV/0!</v>
      </c>
      <c r="AV177" s="75" t="e">
        <f t="shared" si="138"/>
        <v>#DIV/0!</v>
      </c>
      <c r="AW177" s="68" t="e">
        <f>IF($I177="NA","NA",ROUND(#REF!*$AS177/$I177,2))</f>
        <v>#REF!</v>
      </c>
      <c r="AX177" s="75" t="e">
        <f t="shared" si="105"/>
        <v>#REF!</v>
      </c>
      <c r="AY177" s="68" t="e">
        <f t="shared" si="139"/>
        <v>#REF!</v>
      </c>
      <c r="AZ177" s="4">
        <f t="shared" si="140"/>
        <v>36115</v>
      </c>
      <c r="BA177" s="4">
        <f t="shared" si="141"/>
        <v>35868</v>
      </c>
      <c r="BB177" s="4">
        <f t="shared" si="142"/>
        <v>34268</v>
      </c>
      <c r="BC177" s="142">
        <f>IF(ISNA(VLOOKUP($A177&amp;$AB177,'Days Exceptions'!$C$3:$I$7,6,FALSE)),ROUND(AZ177/MAX(BB177,(BA177*Min_Occ)),2),ROUND(AZ177/VLOOKUP($A177&amp;$AB177,'Days Exceptions'!$C$3:$I$7,6,FALSE),2))</f>
        <v>1.05</v>
      </c>
      <c r="BD177" s="143" t="e">
        <f t="shared" si="109"/>
        <v>#REF!</v>
      </c>
      <c r="BE177" s="143" t="e">
        <f t="shared" si="110"/>
        <v>#REF!</v>
      </c>
      <c r="BF177" s="143">
        <f t="shared" si="111"/>
        <v>142.29</v>
      </c>
      <c r="BG177" s="37" t="s">
        <v>459</v>
      </c>
      <c r="BH177" s="37" t="s">
        <v>445</v>
      </c>
      <c r="BI177" s="37" t="s">
        <v>1333</v>
      </c>
      <c r="BJ177" s="66" t="e">
        <f>VLOOKUP(A177,'CMI Data'!$A$3:$AZ$209,15,FALSE)</f>
        <v>#DIV/0!</v>
      </c>
      <c r="BK177" s="68">
        <f t="shared" si="112"/>
        <v>168.34</v>
      </c>
      <c r="BL177" s="68" t="e">
        <f t="shared" si="113"/>
        <v>#DIV/0!</v>
      </c>
      <c r="BM177" s="75" t="e">
        <f t="shared" si="143"/>
        <v>#DIV/0!</v>
      </c>
      <c r="BN177" s="68" t="e">
        <f>IF($I177="NA","NA",ROUND(#REF!*$BJ177/$I177,2))</f>
        <v>#REF!</v>
      </c>
      <c r="BO177" s="75" t="e">
        <f t="shared" si="144"/>
        <v>#REF!</v>
      </c>
      <c r="BP177" s="68" t="e">
        <f t="shared" si="145"/>
        <v>#REF!</v>
      </c>
      <c r="BQ177" s="4">
        <f t="shared" si="146"/>
        <v>36115</v>
      </c>
      <c r="BR177" s="4">
        <f t="shared" si="147"/>
        <v>35868</v>
      </c>
      <c r="BS177" s="4">
        <f t="shared" si="148"/>
        <v>34268</v>
      </c>
      <c r="BT177" s="142">
        <f>IF(ISNA(VLOOKUP($A177&amp;$AB177,'Days Exceptions'!$C$3:$I$7,6,FALSE)),ROUND(BQ177/MAX(BS177,(BR177*Min_Occ)),2),ROUND(BQ177/VLOOKUP($A177&amp;$AB177,'Days Exceptions'!$C$3:$I$7,6,FALSE),2))</f>
        <v>1.05</v>
      </c>
      <c r="BU177" s="143" t="e">
        <f t="shared" si="114"/>
        <v>#REF!</v>
      </c>
      <c r="BV177" s="143" t="e">
        <f t="shared" si="115"/>
        <v>#REF!</v>
      </c>
      <c r="BW177" s="143">
        <f t="shared" si="116"/>
        <v>142.29</v>
      </c>
      <c r="BX177" s="37" t="s">
        <v>459</v>
      </c>
      <c r="BY177" s="37" t="s">
        <v>445</v>
      </c>
      <c r="BZ177" s="37" t="s">
        <v>1710</v>
      </c>
      <c r="CA177" s="66" t="e">
        <f>VLOOKUP(A177,'CMI Data'!$A$3:$AZ$209,20,FALSE)</f>
        <v>#DIV/0!</v>
      </c>
      <c r="CB177" s="68">
        <f t="shared" si="117"/>
        <v>168.34</v>
      </c>
      <c r="CC177" s="68" t="e">
        <f t="shared" si="118"/>
        <v>#DIV/0!</v>
      </c>
      <c r="CD177" s="75" t="e">
        <f t="shared" si="149"/>
        <v>#DIV/0!</v>
      </c>
      <c r="CE177" s="68" t="e">
        <f>IF($I177="NA","NA",ROUND(#REF!*$CA177/$I177,2))</f>
        <v>#REF!</v>
      </c>
      <c r="CF177" s="75" t="e">
        <f t="shared" si="150"/>
        <v>#REF!</v>
      </c>
      <c r="CG177" s="68" t="e">
        <f t="shared" si="151"/>
        <v>#REF!</v>
      </c>
      <c r="CH177" s="4">
        <f t="shared" si="152"/>
        <v>36115</v>
      </c>
      <c r="CI177" s="4">
        <f t="shared" si="153"/>
        <v>35868</v>
      </c>
      <c r="CJ177" s="4">
        <f t="shared" si="154"/>
        <v>34268</v>
      </c>
      <c r="CK177" s="142">
        <f>IF(ISNA(VLOOKUP($A177&amp;$AB177,'Days Exceptions'!$C$3:$I$7,6,FALSE)),ROUND(CH177/MAX(CJ177,(CI177*Min_Occ)),2),ROUND(CH177/VLOOKUP($A177&amp;$AB177,'Days Exceptions'!$C$3:$I$7,6,FALSE),2))</f>
        <v>1.05</v>
      </c>
      <c r="CL177" s="143" t="e">
        <f t="shared" si="119"/>
        <v>#REF!</v>
      </c>
      <c r="CM177" s="143" t="e">
        <f t="shared" si="120"/>
        <v>#REF!</v>
      </c>
      <c r="CN177" s="143">
        <f t="shared" si="121"/>
        <v>142.29</v>
      </c>
      <c r="CO177" s="37" t="s">
        <v>459</v>
      </c>
      <c r="CP177" s="37" t="s">
        <v>445</v>
      </c>
      <c r="CQ177" s="37" t="s">
        <v>1711</v>
      </c>
    </row>
    <row r="178" spans="1:95" x14ac:dyDescent="0.15">
      <c r="A178" s="130">
        <v>1282</v>
      </c>
      <c r="B178" s="37" t="s">
        <v>328</v>
      </c>
      <c r="C178" s="1" t="s">
        <v>148</v>
      </c>
      <c r="D178" s="1" t="s">
        <v>112</v>
      </c>
      <c r="E178" s="1" t="str">
        <f>VLOOKUP(D178,Documentation!$B$4:$D$27,3,FALSE)</f>
        <v>WASHINGTON METRO</v>
      </c>
      <c r="F178" s="1" t="str">
        <f>VLOOKUP(D178,Documentation!$B$4:$C$27,2,FALSE)</f>
        <v>WASHINGTON METRO</v>
      </c>
      <c r="G178" s="82">
        <f>VLOOKUP(A178,'2022 CR and CMI'!$A$3:$D$207,3,FALSE)</f>
        <v>44562</v>
      </c>
      <c r="H178" s="82">
        <f>VLOOKUP(A178,'2022 CR and CMI'!$A$3:$D$207,4,FALSE)</f>
        <v>44926</v>
      </c>
      <c r="I178" s="72">
        <f>VLOOKUP(A178,'2022 CR and CMI'!$A$2:$T$210,19,FALSE)</f>
        <v>1.3956999999999999</v>
      </c>
      <c r="J178" s="139">
        <f>Inflation!$G$24</f>
        <v>1.0309999999999999</v>
      </c>
      <c r="K178" s="192">
        <f>VLOOKUP(E178,Limits!$B$2:$D$5,3,FALSE)</f>
        <v>176.01</v>
      </c>
      <c r="L178" s="192">
        <f t="shared" si="124"/>
        <v>181.47</v>
      </c>
      <c r="M178" s="140">
        <f>VLOOKUP(A178,'CMI Data'!$A$4:$C$208,3,FALSE)</f>
        <v>1.3193999999999999</v>
      </c>
      <c r="N178" s="68">
        <f t="shared" si="106"/>
        <v>175.5</v>
      </c>
      <c r="O178" s="68">
        <f t="shared" si="125"/>
        <v>165.91</v>
      </c>
      <c r="P178" s="75">
        <f t="shared" si="126"/>
        <v>157.61000000000001</v>
      </c>
      <c r="Q178" s="75">
        <v>154.01</v>
      </c>
      <c r="R178" s="75">
        <f t="shared" si="127"/>
        <v>158.78</v>
      </c>
      <c r="S178" s="68">
        <f t="shared" si="128"/>
        <v>150.1</v>
      </c>
      <c r="T178" s="75">
        <f t="shared" si="129"/>
        <v>-7.51</v>
      </c>
      <c r="U178" s="68">
        <f t="shared" si="130"/>
        <v>158.4</v>
      </c>
      <c r="V178" s="68">
        <f>VLOOKUP($F178,Limits!$J$2:$L$5,3,FALSE)</f>
        <v>19.23</v>
      </c>
      <c r="W178" s="68">
        <f t="shared" si="131"/>
        <v>19.829999999999998</v>
      </c>
      <c r="X178" s="68">
        <f>VLOOKUP($F178,Limits!$R$2:$T$5,3,FALSE)</f>
        <v>100.61</v>
      </c>
      <c r="Y178" s="68">
        <f t="shared" si="132"/>
        <v>103.73</v>
      </c>
      <c r="Z178" s="75">
        <f>VLOOKUP(A178,FRV!$A$4:$U$208,21,FALSE)</f>
        <v>44.17</v>
      </c>
      <c r="AA178" s="141">
        <f>VLOOKUP(A178,'RE Tax'!$A$2:$G$206,3,FALSE)</f>
        <v>45292</v>
      </c>
      <c r="AB178" s="141">
        <f>VLOOKUP(A178,'RE Tax'!$A$2:$G$206,4,FALSE)</f>
        <v>45657</v>
      </c>
      <c r="AC178" s="4">
        <f>VLOOKUP(A178,'RE Tax'!$A$2:$G$206,7,FALSE)</f>
        <v>132948</v>
      </c>
      <c r="AD178" s="4">
        <f>VLOOKUP($A178,'RE Tax'!$A$2:$I$206,9,FALSE)</f>
        <v>29280</v>
      </c>
      <c r="AE178" s="4">
        <f>VLOOKUP($A178,'RE Tax'!$A$2:$I$206,8,FALSE)</f>
        <v>22910</v>
      </c>
      <c r="AF178" s="142">
        <f>IF(ISNA(VLOOKUP(A178&amp;AB178,'Days Exceptions'!$C$3:$I$7,6,FALSE)),ROUND(AC178/MAX(AE178,(AD178*Min_Occ)),2),ROUND(AC178/VLOOKUP(A178&amp;AB178,'Days Exceptions'!$C$3:$I$7,6,FALSE),2))</f>
        <v>5.57</v>
      </c>
      <c r="AG178" s="68">
        <v>0</v>
      </c>
      <c r="AH178" s="68">
        <f t="shared" si="133"/>
        <v>0</v>
      </c>
      <c r="AI178" s="4">
        <v>11132</v>
      </c>
      <c r="AJ178" s="4">
        <v>22910</v>
      </c>
      <c r="AK178" s="68">
        <f>IF(AI178=0,0,IF(ISNA(MATCH(A178,Documentation!$B$66:$B$71,0)),QA_Tax_reg,QA_Tax_5high))</f>
        <v>32.92</v>
      </c>
      <c r="AL178" s="75">
        <f t="shared" si="134"/>
        <v>16</v>
      </c>
      <c r="AM178" s="68">
        <f t="shared" si="135"/>
        <v>331.7</v>
      </c>
      <c r="AN178" s="68">
        <f t="shared" si="136"/>
        <v>252.5</v>
      </c>
      <c r="AO178" s="68">
        <f t="shared" si="137"/>
        <v>173.3</v>
      </c>
      <c r="AP178" s="37" t="s">
        <v>395</v>
      </c>
      <c r="AQ178" s="37" t="s">
        <v>328</v>
      </c>
      <c r="AR178" s="37" t="s">
        <v>1130</v>
      </c>
      <c r="AS178" s="66" t="e">
        <f>VLOOKUP(A178,'CMI Data'!$A$3:$J$209,10,FALSE)</f>
        <v>#DIV/0!</v>
      </c>
      <c r="AT178" s="68">
        <f t="shared" si="107"/>
        <v>170.22</v>
      </c>
      <c r="AU178" s="68" t="e">
        <f t="shared" si="108"/>
        <v>#DIV/0!</v>
      </c>
      <c r="AV178" s="75" t="e">
        <f t="shared" si="138"/>
        <v>#DIV/0!</v>
      </c>
      <c r="AW178" s="68" t="e">
        <f>IF($I178="NA","NA",ROUND(#REF!*$AS178/$I178,2))</f>
        <v>#REF!</v>
      </c>
      <c r="AX178" s="75" t="e">
        <f t="shared" si="105"/>
        <v>#REF!</v>
      </c>
      <c r="AY178" s="68" t="e">
        <f t="shared" si="139"/>
        <v>#REF!</v>
      </c>
      <c r="AZ178" s="4">
        <f t="shared" si="140"/>
        <v>132948</v>
      </c>
      <c r="BA178" s="4">
        <f t="shared" si="141"/>
        <v>29280</v>
      </c>
      <c r="BB178" s="4">
        <f t="shared" si="142"/>
        <v>22910</v>
      </c>
      <c r="BC178" s="142">
        <f>IF(ISNA(VLOOKUP($A178&amp;$AB178,'Days Exceptions'!$C$3:$I$7,6,FALSE)),ROUND(AZ178/MAX(BB178,(BA178*Min_Occ)),2),ROUND(AZ178/VLOOKUP($A178&amp;$AB178,'Days Exceptions'!$C$3:$I$7,6,FALSE),2))</f>
        <v>5.57</v>
      </c>
      <c r="BD178" s="143" t="e">
        <f t="shared" si="109"/>
        <v>#REF!</v>
      </c>
      <c r="BE178" s="143" t="e">
        <f t="shared" si="110"/>
        <v>#REF!</v>
      </c>
      <c r="BF178" s="143">
        <f t="shared" si="111"/>
        <v>169.58</v>
      </c>
      <c r="BG178" s="37" t="s">
        <v>395</v>
      </c>
      <c r="BH178" s="37" t="s">
        <v>328</v>
      </c>
      <c r="BI178" s="37" t="s">
        <v>1334</v>
      </c>
      <c r="BJ178" s="66" t="e">
        <f>VLOOKUP(A178,'CMI Data'!$A$3:$AZ$209,15,FALSE)</f>
        <v>#DIV/0!</v>
      </c>
      <c r="BK178" s="68">
        <f t="shared" si="112"/>
        <v>170.22</v>
      </c>
      <c r="BL178" s="68" t="e">
        <f t="shared" si="113"/>
        <v>#DIV/0!</v>
      </c>
      <c r="BM178" s="75" t="e">
        <f t="shared" si="143"/>
        <v>#DIV/0!</v>
      </c>
      <c r="BN178" s="68" t="e">
        <f>IF($I178="NA","NA",ROUND(#REF!*$BJ178/$I178,2))</f>
        <v>#REF!</v>
      </c>
      <c r="BO178" s="75" t="e">
        <f t="shared" si="144"/>
        <v>#REF!</v>
      </c>
      <c r="BP178" s="68" t="e">
        <f t="shared" si="145"/>
        <v>#REF!</v>
      </c>
      <c r="BQ178" s="4">
        <f t="shared" si="146"/>
        <v>132948</v>
      </c>
      <c r="BR178" s="4">
        <f t="shared" si="147"/>
        <v>29280</v>
      </c>
      <c r="BS178" s="4">
        <f t="shared" si="148"/>
        <v>22910</v>
      </c>
      <c r="BT178" s="142">
        <f>IF(ISNA(VLOOKUP($A178&amp;$AB178,'Days Exceptions'!$C$3:$I$7,6,FALSE)),ROUND(BQ178/MAX(BS178,(BR178*Min_Occ)),2),ROUND(BQ178/VLOOKUP($A178&amp;$AB178,'Days Exceptions'!$C$3:$I$7,6,FALSE),2))</f>
        <v>5.57</v>
      </c>
      <c r="BU178" s="143" t="e">
        <f t="shared" si="114"/>
        <v>#REF!</v>
      </c>
      <c r="BV178" s="143" t="e">
        <f t="shared" si="115"/>
        <v>#REF!</v>
      </c>
      <c r="BW178" s="143">
        <f t="shared" si="116"/>
        <v>169.58</v>
      </c>
      <c r="BX178" s="37" t="s">
        <v>395</v>
      </c>
      <c r="BY178" s="37" t="s">
        <v>328</v>
      </c>
      <c r="BZ178" s="37" t="s">
        <v>1712</v>
      </c>
      <c r="CA178" s="66" t="e">
        <f>VLOOKUP(A178,'CMI Data'!$A$3:$AZ$209,20,FALSE)</f>
        <v>#DIV/0!</v>
      </c>
      <c r="CB178" s="68">
        <f t="shared" si="117"/>
        <v>170.22</v>
      </c>
      <c r="CC178" s="68" t="e">
        <f t="shared" si="118"/>
        <v>#DIV/0!</v>
      </c>
      <c r="CD178" s="75" t="e">
        <f t="shared" si="149"/>
        <v>#DIV/0!</v>
      </c>
      <c r="CE178" s="68" t="e">
        <f>IF($I178="NA","NA",ROUND(#REF!*$CA178/$I178,2))</f>
        <v>#REF!</v>
      </c>
      <c r="CF178" s="75" t="e">
        <f t="shared" si="150"/>
        <v>#REF!</v>
      </c>
      <c r="CG178" s="68" t="e">
        <f t="shared" si="151"/>
        <v>#REF!</v>
      </c>
      <c r="CH178" s="4">
        <f t="shared" si="152"/>
        <v>132948</v>
      </c>
      <c r="CI178" s="4">
        <f t="shared" si="153"/>
        <v>29280</v>
      </c>
      <c r="CJ178" s="4">
        <f t="shared" si="154"/>
        <v>22910</v>
      </c>
      <c r="CK178" s="142">
        <f>IF(ISNA(VLOOKUP($A178&amp;$AB178,'Days Exceptions'!$C$3:$I$7,6,FALSE)),ROUND(CH178/MAX(CJ178,(CI178*Min_Occ)),2),ROUND(CH178/VLOOKUP($A178&amp;$AB178,'Days Exceptions'!$C$3:$I$7,6,FALSE),2))</f>
        <v>5.57</v>
      </c>
      <c r="CL178" s="143" t="e">
        <f t="shared" si="119"/>
        <v>#REF!</v>
      </c>
      <c r="CM178" s="143" t="e">
        <f t="shared" si="120"/>
        <v>#REF!</v>
      </c>
      <c r="CN178" s="143">
        <f t="shared" si="121"/>
        <v>169.58</v>
      </c>
      <c r="CO178" s="37" t="s">
        <v>395</v>
      </c>
      <c r="CP178" s="37" t="s">
        <v>328</v>
      </c>
      <c r="CQ178" s="37" t="s">
        <v>1713</v>
      </c>
    </row>
    <row r="179" spans="1:95" x14ac:dyDescent="0.15">
      <c r="A179" s="130">
        <v>380</v>
      </c>
      <c r="B179" s="37" t="s">
        <v>226</v>
      </c>
      <c r="C179" s="1" t="s">
        <v>148</v>
      </c>
      <c r="D179" s="1" t="s">
        <v>120</v>
      </c>
      <c r="E179" s="1" t="str">
        <f>VLOOKUP(D179,Documentation!$B$4:$D$27,3,FALSE)</f>
        <v>WASHINGTON METRO</v>
      </c>
      <c r="F179" s="1" t="str">
        <f>VLOOKUP(D179,Documentation!$B$4:$C$27,2,FALSE)</f>
        <v>WASHINGTON METRO</v>
      </c>
      <c r="G179" s="82">
        <f>VLOOKUP(A179,'2022 CR and CMI'!$A$3:$D$207,3,FALSE)</f>
        <v>44562</v>
      </c>
      <c r="H179" s="82">
        <f>VLOOKUP(A179,'2022 CR and CMI'!$A$3:$D$207,4,FALSE)</f>
        <v>44926</v>
      </c>
      <c r="I179" s="72">
        <f>VLOOKUP(A179,'2022 CR and CMI'!$A$2:$T$210,19,FALSE)</f>
        <v>1.4474</v>
      </c>
      <c r="J179" s="139">
        <f>Inflation!$G$24</f>
        <v>1.0309999999999999</v>
      </c>
      <c r="K179" s="192">
        <f>VLOOKUP(E179,Limits!$B$2:$D$5,3,FALSE)</f>
        <v>176.01</v>
      </c>
      <c r="L179" s="192">
        <f t="shared" si="124"/>
        <v>181.47</v>
      </c>
      <c r="M179" s="140">
        <f>VLOOKUP(A179,'CMI Data'!$A$4:$C$208,3,FALSE)</f>
        <v>1.3535999999999999</v>
      </c>
      <c r="N179" s="68">
        <f t="shared" si="106"/>
        <v>182</v>
      </c>
      <c r="O179" s="68">
        <f t="shared" si="125"/>
        <v>170.21</v>
      </c>
      <c r="P179" s="75">
        <f t="shared" si="126"/>
        <v>161.69999999999999</v>
      </c>
      <c r="Q179" s="75">
        <v>291.35000000000002</v>
      </c>
      <c r="R179" s="75">
        <f t="shared" si="127"/>
        <v>300.38</v>
      </c>
      <c r="S179" s="68">
        <f t="shared" si="128"/>
        <v>280.91000000000003</v>
      </c>
      <c r="T179" s="75">
        <f t="shared" si="129"/>
        <v>0</v>
      </c>
      <c r="U179" s="68">
        <f t="shared" si="130"/>
        <v>170.21</v>
      </c>
      <c r="V179" s="68">
        <f>VLOOKUP($F179,Limits!$J$2:$L$5,3,FALSE)</f>
        <v>19.23</v>
      </c>
      <c r="W179" s="68">
        <f t="shared" si="131"/>
        <v>19.829999999999998</v>
      </c>
      <c r="X179" s="68">
        <f>VLOOKUP($F179,Limits!$R$2:$T$5,3,FALSE)</f>
        <v>100.61</v>
      </c>
      <c r="Y179" s="68">
        <f t="shared" si="132"/>
        <v>103.73</v>
      </c>
      <c r="Z179" s="75">
        <f>VLOOKUP(A179,FRV!$A$4:$U$208,21,FALSE)</f>
        <v>44.29</v>
      </c>
      <c r="AA179" s="141">
        <f>VLOOKUP(A179,'RE Tax'!$A$2:$G$206,3,FALSE)</f>
        <v>45292</v>
      </c>
      <c r="AB179" s="141">
        <f>VLOOKUP(A179,'RE Tax'!$A$2:$G$206,4,FALSE)</f>
        <v>45657</v>
      </c>
      <c r="AC179" s="4">
        <f>VLOOKUP(A179,'RE Tax'!$A$2:$G$206,7,FALSE)</f>
        <v>14858</v>
      </c>
      <c r="AD179" s="4">
        <f>VLOOKUP($A179,'RE Tax'!$A$2:$I$206,9,FALSE)</f>
        <v>42822</v>
      </c>
      <c r="AE179" s="4">
        <f>VLOOKUP($A179,'RE Tax'!$A$2:$I$206,8,FALSE)</f>
        <v>27178</v>
      </c>
      <c r="AF179" s="142">
        <f>IF(ISNA(VLOOKUP(A179&amp;AB179,'Days Exceptions'!$C$3:$I$7,6,FALSE)),ROUND(AC179/MAX(AE179,(AD179*Min_Occ)),2),ROUND(AC179/VLOOKUP(A179&amp;AB179,'Days Exceptions'!$C$3:$I$7,6,FALSE),2))</f>
        <v>0.43</v>
      </c>
      <c r="AG179" s="68">
        <v>0</v>
      </c>
      <c r="AH179" s="68">
        <f t="shared" si="133"/>
        <v>0</v>
      </c>
      <c r="AI179" s="4">
        <v>0</v>
      </c>
      <c r="AJ179" s="4">
        <v>0</v>
      </c>
      <c r="AK179" s="68">
        <f>IF(AI179=0,0,IF(ISNA(MATCH(A179,Documentation!$B$66:$B$71,0)),QA_Tax_reg,QA_Tax_5high))</f>
        <v>0</v>
      </c>
      <c r="AL179" s="75">
        <f t="shared" si="134"/>
        <v>0</v>
      </c>
      <c r="AM179" s="68">
        <f t="shared" si="135"/>
        <v>338.49</v>
      </c>
      <c r="AN179" s="68">
        <f t="shared" si="136"/>
        <v>253.39</v>
      </c>
      <c r="AO179" s="68">
        <f t="shared" si="137"/>
        <v>168.28</v>
      </c>
      <c r="AP179" s="37" t="s">
        <v>0</v>
      </c>
      <c r="AQ179" s="37" t="s">
        <v>226</v>
      </c>
      <c r="AR179" s="37" t="s">
        <v>1131</v>
      </c>
      <c r="AS179" s="66" t="e">
        <f>VLOOKUP(A179,'CMI Data'!$A$3:$J$209,10,FALSE)</f>
        <v>#DIV/0!</v>
      </c>
      <c r="AT179" s="68">
        <f t="shared" si="107"/>
        <v>176.52</v>
      </c>
      <c r="AU179" s="68" t="e">
        <f t="shared" si="108"/>
        <v>#DIV/0!</v>
      </c>
      <c r="AV179" s="75" t="e">
        <f t="shared" si="138"/>
        <v>#DIV/0!</v>
      </c>
      <c r="AW179" s="68" t="e">
        <f>IF($I179="NA","NA",ROUND(#REF!*$AS179/$I179,2))</f>
        <v>#REF!</v>
      </c>
      <c r="AX179" s="75" t="e">
        <f t="shared" si="105"/>
        <v>#REF!</v>
      </c>
      <c r="AY179" s="68" t="e">
        <f t="shared" si="139"/>
        <v>#REF!</v>
      </c>
      <c r="AZ179" s="4">
        <f t="shared" si="140"/>
        <v>14858</v>
      </c>
      <c r="BA179" s="4">
        <f t="shared" si="141"/>
        <v>42822</v>
      </c>
      <c r="BB179" s="4">
        <f t="shared" si="142"/>
        <v>27178</v>
      </c>
      <c r="BC179" s="142">
        <f>IF(ISNA(VLOOKUP($A179&amp;$AB179,'Days Exceptions'!$C$3:$I$7,6,FALSE)),ROUND(AZ179/MAX(BB179,(BA179*Min_Occ)),2),ROUND(AZ179/VLOOKUP($A179&amp;$AB179,'Days Exceptions'!$C$3:$I$7,6,FALSE),2))</f>
        <v>0.43</v>
      </c>
      <c r="BD179" s="143" t="e">
        <f t="shared" si="109"/>
        <v>#REF!</v>
      </c>
      <c r="BE179" s="143" t="e">
        <f t="shared" si="110"/>
        <v>#REF!</v>
      </c>
      <c r="BF179" s="143">
        <f t="shared" si="111"/>
        <v>164.56</v>
      </c>
      <c r="BG179" s="37" t="s">
        <v>0</v>
      </c>
      <c r="BH179" s="37" t="s">
        <v>226</v>
      </c>
      <c r="BI179" s="37" t="s">
        <v>1335</v>
      </c>
      <c r="BJ179" s="66" t="e">
        <f>VLOOKUP(A179,'CMI Data'!$A$3:$AZ$209,15,FALSE)</f>
        <v>#DIV/0!</v>
      </c>
      <c r="BK179" s="68">
        <f t="shared" si="112"/>
        <v>176.52</v>
      </c>
      <c r="BL179" s="68" t="e">
        <f t="shared" si="113"/>
        <v>#DIV/0!</v>
      </c>
      <c r="BM179" s="75" t="e">
        <f t="shared" si="143"/>
        <v>#DIV/0!</v>
      </c>
      <c r="BN179" s="68" t="e">
        <f>IF($I179="NA","NA",ROUND(#REF!*$BJ179/$I179,2))</f>
        <v>#REF!</v>
      </c>
      <c r="BO179" s="75" t="e">
        <f t="shared" si="144"/>
        <v>#REF!</v>
      </c>
      <c r="BP179" s="68" t="e">
        <f t="shared" si="145"/>
        <v>#REF!</v>
      </c>
      <c r="BQ179" s="4">
        <f t="shared" si="146"/>
        <v>14858</v>
      </c>
      <c r="BR179" s="4">
        <f t="shared" si="147"/>
        <v>42822</v>
      </c>
      <c r="BS179" s="4">
        <f t="shared" si="148"/>
        <v>27178</v>
      </c>
      <c r="BT179" s="142">
        <f>IF(ISNA(VLOOKUP($A179&amp;$AB179,'Days Exceptions'!$C$3:$I$7,6,FALSE)),ROUND(BQ179/MAX(BS179,(BR179*Min_Occ)),2),ROUND(BQ179/VLOOKUP($A179&amp;$AB179,'Days Exceptions'!$C$3:$I$7,6,FALSE),2))</f>
        <v>0.43</v>
      </c>
      <c r="BU179" s="143" t="e">
        <f t="shared" si="114"/>
        <v>#REF!</v>
      </c>
      <c r="BV179" s="143" t="e">
        <f t="shared" si="115"/>
        <v>#REF!</v>
      </c>
      <c r="BW179" s="143">
        <f t="shared" si="116"/>
        <v>164.56</v>
      </c>
      <c r="BX179" s="37" t="s">
        <v>0</v>
      </c>
      <c r="BY179" s="37" t="s">
        <v>226</v>
      </c>
      <c r="BZ179" s="37" t="s">
        <v>1714</v>
      </c>
      <c r="CA179" s="66" t="e">
        <f>VLOOKUP(A179,'CMI Data'!$A$3:$AZ$209,20,FALSE)</f>
        <v>#DIV/0!</v>
      </c>
      <c r="CB179" s="68">
        <f t="shared" si="117"/>
        <v>176.52</v>
      </c>
      <c r="CC179" s="68" t="e">
        <f t="shared" si="118"/>
        <v>#DIV/0!</v>
      </c>
      <c r="CD179" s="75" t="e">
        <f t="shared" si="149"/>
        <v>#DIV/0!</v>
      </c>
      <c r="CE179" s="68" t="e">
        <f>IF($I179="NA","NA",ROUND(#REF!*$CA179/$I179,2))</f>
        <v>#REF!</v>
      </c>
      <c r="CF179" s="75" t="e">
        <f t="shared" si="150"/>
        <v>#REF!</v>
      </c>
      <c r="CG179" s="68" t="e">
        <f t="shared" si="151"/>
        <v>#REF!</v>
      </c>
      <c r="CH179" s="4">
        <f t="shared" si="152"/>
        <v>14858</v>
      </c>
      <c r="CI179" s="4">
        <f t="shared" si="153"/>
        <v>42822</v>
      </c>
      <c r="CJ179" s="4">
        <f t="shared" si="154"/>
        <v>27178</v>
      </c>
      <c r="CK179" s="142">
        <f>IF(ISNA(VLOOKUP($A179&amp;$AB179,'Days Exceptions'!$C$3:$I$7,6,FALSE)),ROUND(CH179/MAX(CJ179,(CI179*Min_Occ)),2),ROUND(CH179/VLOOKUP($A179&amp;$AB179,'Days Exceptions'!$C$3:$I$7,6,FALSE),2))</f>
        <v>0.43</v>
      </c>
      <c r="CL179" s="143" t="e">
        <f t="shared" si="119"/>
        <v>#REF!</v>
      </c>
      <c r="CM179" s="143" t="e">
        <f t="shared" si="120"/>
        <v>#REF!</v>
      </c>
      <c r="CN179" s="143">
        <f t="shared" si="121"/>
        <v>164.56</v>
      </c>
      <c r="CO179" s="37" t="s">
        <v>0</v>
      </c>
      <c r="CP179" s="37" t="s">
        <v>226</v>
      </c>
      <c r="CQ179" s="37" t="s">
        <v>1715</v>
      </c>
    </row>
    <row r="180" spans="1:95" x14ac:dyDescent="0.15">
      <c r="A180" s="130">
        <v>394</v>
      </c>
      <c r="B180" s="37" t="s">
        <v>184</v>
      </c>
      <c r="C180" s="1" t="s">
        <v>148</v>
      </c>
      <c r="D180" s="1" t="s">
        <v>120</v>
      </c>
      <c r="E180" s="1" t="str">
        <f>VLOOKUP(D180,Documentation!$B$4:$D$27,3,FALSE)</f>
        <v>WASHINGTON METRO</v>
      </c>
      <c r="F180" s="1" t="str">
        <f>VLOOKUP(D180,Documentation!$B$4:$C$27,2,FALSE)</f>
        <v>WASHINGTON METRO</v>
      </c>
      <c r="G180" s="82">
        <f>VLOOKUP(A180,'2022 CR and CMI'!$A$3:$D$207,3,FALSE)</f>
        <v>44562</v>
      </c>
      <c r="H180" s="82">
        <f>VLOOKUP(A180,'2022 CR and CMI'!$A$3:$D$207,4,FALSE)</f>
        <v>44926</v>
      </c>
      <c r="I180" s="72">
        <f>VLOOKUP(A180,'2022 CR and CMI'!$A$2:$T$210,19,FALSE)</f>
        <v>1.2256</v>
      </c>
      <c r="J180" s="139">
        <f>Inflation!$G$24</f>
        <v>1.0309999999999999</v>
      </c>
      <c r="K180" s="192">
        <f>VLOOKUP(E180,Limits!$B$2:$D$5,3,FALSE)</f>
        <v>176.01</v>
      </c>
      <c r="L180" s="192">
        <f t="shared" si="124"/>
        <v>181.47</v>
      </c>
      <c r="M180" s="140">
        <f>VLOOKUP(A180,'CMI Data'!$A$4:$C$208,3,FALSE)</f>
        <v>1.1698</v>
      </c>
      <c r="N180" s="68">
        <f t="shared" si="106"/>
        <v>154.11000000000001</v>
      </c>
      <c r="O180" s="68">
        <f t="shared" si="125"/>
        <v>147.09</v>
      </c>
      <c r="P180" s="75">
        <f t="shared" si="126"/>
        <v>139.74</v>
      </c>
      <c r="Q180" s="75">
        <v>143.78</v>
      </c>
      <c r="R180" s="75">
        <f t="shared" si="127"/>
        <v>148.24</v>
      </c>
      <c r="S180" s="68">
        <f t="shared" si="128"/>
        <v>141.49</v>
      </c>
      <c r="T180" s="75">
        <f t="shared" si="129"/>
        <v>0</v>
      </c>
      <c r="U180" s="68">
        <f t="shared" si="130"/>
        <v>147.09</v>
      </c>
      <c r="V180" s="68">
        <f>VLOOKUP($F180,Limits!$J$2:$L$5,3,FALSE)</f>
        <v>19.23</v>
      </c>
      <c r="W180" s="68">
        <f t="shared" si="131"/>
        <v>19.829999999999998</v>
      </c>
      <c r="X180" s="68">
        <f>VLOOKUP($F180,Limits!$R$2:$T$5,3,FALSE)</f>
        <v>100.61</v>
      </c>
      <c r="Y180" s="68">
        <f t="shared" si="132"/>
        <v>103.73</v>
      </c>
      <c r="Z180" s="75">
        <f>VLOOKUP(A180,FRV!$A$4:$U$208,21,FALSE)</f>
        <v>32.450000000000003</v>
      </c>
      <c r="AA180" s="141">
        <f>VLOOKUP(A180,'RE Tax'!$A$2:$G$206,3,FALSE)</f>
        <v>45292</v>
      </c>
      <c r="AB180" s="141">
        <f>VLOOKUP(A180,'RE Tax'!$A$2:$G$206,4,FALSE)</f>
        <v>45657</v>
      </c>
      <c r="AC180" s="4">
        <f>VLOOKUP(A180,'RE Tax'!$A$2:$G$206,7,FALSE)</f>
        <v>0</v>
      </c>
      <c r="AD180" s="4">
        <f>VLOOKUP($A180,'RE Tax'!$A$2:$I$206,9,FALSE)</f>
        <v>16104</v>
      </c>
      <c r="AE180" s="4">
        <f>VLOOKUP($A180,'RE Tax'!$A$2:$I$206,8,FALSE)</f>
        <v>16055</v>
      </c>
      <c r="AF180" s="142">
        <f>IF(ISNA(VLOOKUP(A180&amp;AB180,'Days Exceptions'!$C$3:$I$7,6,FALSE)),ROUND(AC180/MAX(AE180,(AD180*Min_Occ)),2),ROUND(AC180/VLOOKUP(A180&amp;AB180,'Days Exceptions'!$C$3:$I$7,6,FALSE),2))</f>
        <v>0</v>
      </c>
      <c r="AG180" s="68">
        <v>0</v>
      </c>
      <c r="AH180" s="68">
        <f t="shared" si="133"/>
        <v>0</v>
      </c>
      <c r="AI180" s="4">
        <v>0</v>
      </c>
      <c r="AJ180" s="4">
        <v>0</v>
      </c>
      <c r="AK180" s="68">
        <f>IF(AI180=0,0,IF(ISNA(MATCH(A180,Documentation!$B$66:$B$71,0)),QA_Tax_reg,QA_Tax_5high))</f>
        <v>0</v>
      </c>
      <c r="AL180" s="75">
        <f t="shared" si="134"/>
        <v>0</v>
      </c>
      <c r="AM180" s="68">
        <f t="shared" si="135"/>
        <v>303.10000000000002</v>
      </c>
      <c r="AN180" s="68">
        <f t="shared" si="136"/>
        <v>229.56</v>
      </c>
      <c r="AO180" s="68">
        <f t="shared" si="137"/>
        <v>156.01</v>
      </c>
      <c r="AP180" s="37" t="s">
        <v>86</v>
      </c>
      <c r="AQ180" s="37" t="s">
        <v>184</v>
      </c>
      <c r="AR180" s="37" t="s">
        <v>1132</v>
      </c>
      <c r="AS180" s="66" t="e">
        <f>VLOOKUP(A180,'CMI Data'!$A$3:$J$209,10,FALSE)</f>
        <v>#DIV/0!</v>
      </c>
      <c r="AT180" s="68">
        <f t="shared" si="107"/>
        <v>149.47</v>
      </c>
      <c r="AU180" s="68" t="e">
        <f t="shared" si="108"/>
        <v>#DIV/0!</v>
      </c>
      <c r="AV180" s="75" t="e">
        <f t="shared" si="138"/>
        <v>#DIV/0!</v>
      </c>
      <c r="AW180" s="68" t="e">
        <f>IF($I180="NA","NA",ROUND(#REF!*$AS180/$I180,2))</f>
        <v>#REF!</v>
      </c>
      <c r="AX180" s="75" t="e">
        <f t="shared" si="105"/>
        <v>#REF!</v>
      </c>
      <c r="AY180" s="68" t="e">
        <f t="shared" si="139"/>
        <v>#REF!</v>
      </c>
      <c r="AZ180" s="4">
        <f t="shared" si="140"/>
        <v>0</v>
      </c>
      <c r="BA180" s="4">
        <f t="shared" si="141"/>
        <v>16104</v>
      </c>
      <c r="BB180" s="4">
        <f t="shared" si="142"/>
        <v>16055</v>
      </c>
      <c r="BC180" s="142">
        <f>IF(ISNA(VLOOKUP($A180&amp;$AB180,'Days Exceptions'!$C$3:$I$7,6,FALSE)),ROUND(AZ180/MAX(BB180,(BA180*Min_Occ)),2),ROUND(AZ180/VLOOKUP($A180&amp;$AB180,'Days Exceptions'!$C$3:$I$7,6,FALSE),2))</f>
        <v>0</v>
      </c>
      <c r="BD180" s="143" t="e">
        <f t="shared" si="109"/>
        <v>#REF!</v>
      </c>
      <c r="BE180" s="143" t="e">
        <f t="shared" si="110"/>
        <v>#REF!</v>
      </c>
      <c r="BF180" s="143">
        <f t="shared" si="111"/>
        <v>152.29</v>
      </c>
      <c r="BG180" s="37" t="s">
        <v>86</v>
      </c>
      <c r="BH180" s="37" t="s">
        <v>184</v>
      </c>
      <c r="BI180" s="37" t="s">
        <v>1336</v>
      </c>
      <c r="BJ180" s="66" t="e">
        <f>VLOOKUP(A180,'CMI Data'!$A$3:$AZ$209,15,FALSE)</f>
        <v>#DIV/0!</v>
      </c>
      <c r="BK180" s="68">
        <f t="shared" si="112"/>
        <v>149.47</v>
      </c>
      <c r="BL180" s="68" t="e">
        <f t="shared" si="113"/>
        <v>#DIV/0!</v>
      </c>
      <c r="BM180" s="75" t="e">
        <f t="shared" si="143"/>
        <v>#DIV/0!</v>
      </c>
      <c r="BN180" s="68" t="e">
        <f>IF($I180="NA","NA",ROUND(#REF!*$BJ180/$I180,2))</f>
        <v>#REF!</v>
      </c>
      <c r="BO180" s="75" t="e">
        <f t="shared" si="144"/>
        <v>#REF!</v>
      </c>
      <c r="BP180" s="68" t="e">
        <f t="shared" si="145"/>
        <v>#REF!</v>
      </c>
      <c r="BQ180" s="4">
        <f t="shared" si="146"/>
        <v>0</v>
      </c>
      <c r="BR180" s="4">
        <f t="shared" si="147"/>
        <v>16104</v>
      </c>
      <c r="BS180" s="4">
        <f t="shared" si="148"/>
        <v>16055</v>
      </c>
      <c r="BT180" s="142">
        <f>IF(ISNA(VLOOKUP($A180&amp;$AB180,'Days Exceptions'!$C$3:$I$7,6,FALSE)),ROUND(BQ180/MAX(BS180,(BR180*Min_Occ)),2),ROUND(BQ180/VLOOKUP($A180&amp;$AB180,'Days Exceptions'!$C$3:$I$7,6,FALSE),2))</f>
        <v>0</v>
      </c>
      <c r="BU180" s="143" t="e">
        <f t="shared" si="114"/>
        <v>#REF!</v>
      </c>
      <c r="BV180" s="143" t="e">
        <f t="shared" si="115"/>
        <v>#REF!</v>
      </c>
      <c r="BW180" s="143">
        <f t="shared" si="116"/>
        <v>152.29</v>
      </c>
      <c r="BX180" s="37" t="s">
        <v>86</v>
      </c>
      <c r="BY180" s="37" t="s">
        <v>184</v>
      </c>
      <c r="BZ180" s="37" t="s">
        <v>1716</v>
      </c>
      <c r="CA180" s="66" t="e">
        <f>VLOOKUP(A180,'CMI Data'!$A$3:$AZ$209,20,FALSE)</f>
        <v>#DIV/0!</v>
      </c>
      <c r="CB180" s="68">
        <f t="shared" si="117"/>
        <v>149.47</v>
      </c>
      <c r="CC180" s="68" t="e">
        <f t="shared" si="118"/>
        <v>#DIV/0!</v>
      </c>
      <c r="CD180" s="75" t="e">
        <f t="shared" si="149"/>
        <v>#DIV/0!</v>
      </c>
      <c r="CE180" s="68" t="e">
        <f>IF($I180="NA","NA",ROUND(#REF!*$CA180/$I180,2))</f>
        <v>#REF!</v>
      </c>
      <c r="CF180" s="75" t="e">
        <f t="shared" si="150"/>
        <v>#REF!</v>
      </c>
      <c r="CG180" s="68" t="e">
        <f t="shared" si="151"/>
        <v>#REF!</v>
      </c>
      <c r="CH180" s="4">
        <f t="shared" si="152"/>
        <v>0</v>
      </c>
      <c r="CI180" s="4">
        <f t="shared" si="153"/>
        <v>16104</v>
      </c>
      <c r="CJ180" s="4">
        <f t="shared" si="154"/>
        <v>16055</v>
      </c>
      <c r="CK180" s="142">
        <f>IF(ISNA(VLOOKUP($A180&amp;$AB180,'Days Exceptions'!$C$3:$I$7,6,FALSE)),ROUND(CH180/MAX(CJ180,(CI180*Min_Occ)),2),ROUND(CH180/VLOOKUP($A180&amp;$AB180,'Days Exceptions'!$C$3:$I$7,6,FALSE),2))</f>
        <v>0</v>
      </c>
      <c r="CL180" s="143" t="e">
        <f t="shared" si="119"/>
        <v>#REF!</v>
      </c>
      <c r="CM180" s="143" t="e">
        <f t="shared" si="120"/>
        <v>#REF!</v>
      </c>
      <c r="CN180" s="143">
        <f t="shared" si="121"/>
        <v>152.29</v>
      </c>
      <c r="CO180" s="37" t="s">
        <v>86</v>
      </c>
      <c r="CP180" s="37" t="s">
        <v>184</v>
      </c>
      <c r="CQ180" s="37" t="s">
        <v>1717</v>
      </c>
    </row>
    <row r="181" spans="1:95" x14ac:dyDescent="0.15">
      <c r="A181" s="130">
        <v>92</v>
      </c>
      <c r="B181" s="37" t="s">
        <v>739</v>
      </c>
      <c r="C181" s="1" t="s">
        <v>148</v>
      </c>
      <c r="D181" s="1" t="s">
        <v>112</v>
      </c>
      <c r="E181" s="1" t="str">
        <f>VLOOKUP(D181,Documentation!$B$4:$D$27,3,FALSE)</f>
        <v>WASHINGTON METRO</v>
      </c>
      <c r="F181" s="1" t="str">
        <f>VLOOKUP(D181,Documentation!$B$4:$C$27,2,FALSE)</f>
        <v>WASHINGTON METRO</v>
      </c>
      <c r="G181" s="82">
        <f>VLOOKUP(A181,'2022 CR and CMI'!$A$3:$D$207,3,FALSE)</f>
        <v>44378</v>
      </c>
      <c r="H181" s="82">
        <f>VLOOKUP(A181,'2022 CR and CMI'!$A$3:$D$207,4,FALSE)</f>
        <v>44742</v>
      </c>
      <c r="I181" s="72">
        <f>VLOOKUP(A181,'2022 CR and CMI'!$A$2:$T$210,19,FALSE)</f>
        <v>1.3344</v>
      </c>
      <c r="J181" s="139">
        <f>Inflation!$G$24</f>
        <v>1.0309999999999999</v>
      </c>
      <c r="K181" s="192">
        <f>VLOOKUP(E181,Limits!$B$2:$D$5,3,FALSE)</f>
        <v>176.01</v>
      </c>
      <c r="L181" s="192">
        <f t="shared" si="124"/>
        <v>181.47</v>
      </c>
      <c r="M181" s="140">
        <f>VLOOKUP(A181,'CMI Data'!$A$4:$C$208,3,FALSE)</f>
        <v>1.4936</v>
      </c>
      <c r="N181" s="68">
        <f t="shared" si="106"/>
        <v>167.79</v>
      </c>
      <c r="O181" s="68">
        <f t="shared" si="125"/>
        <v>187.81</v>
      </c>
      <c r="P181" s="75">
        <f t="shared" si="126"/>
        <v>178.42</v>
      </c>
      <c r="Q181" s="75">
        <v>181.14</v>
      </c>
      <c r="R181" s="75">
        <f t="shared" si="127"/>
        <v>186.76</v>
      </c>
      <c r="S181" s="68">
        <f t="shared" si="128"/>
        <v>209.04</v>
      </c>
      <c r="T181" s="75">
        <f t="shared" si="129"/>
        <v>0</v>
      </c>
      <c r="U181" s="68">
        <f t="shared" si="130"/>
        <v>187.81</v>
      </c>
      <c r="V181" s="68">
        <f>VLOOKUP($F181,Limits!$J$2:$L$5,3,FALSE)</f>
        <v>19.23</v>
      </c>
      <c r="W181" s="68">
        <f t="shared" si="131"/>
        <v>19.829999999999998</v>
      </c>
      <c r="X181" s="68">
        <f>VLOOKUP($F181,Limits!$R$2:$T$5,3,FALSE)</f>
        <v>100.61</v>
      </c>
      <c r="Y181" s="68">
        <f t="shared" si="132"/>
        <v>103.73</v>
      </c>
      <c r="Z181" s="75">
        <f>VLOOKUP(A181,FRV!$A$4:$U$208,21,FALSE)</f>
        <v>33.69</v>
      </c>
      <c r="AA181" s="141">
        <f>VLOOKUP(A181,'RE Tax'!$A$2:$G$206,3,FALSE)</f>
        <v>45383</v>
      </c>
      <c r="AB181" s="141">
        <f>VLOOKUP(A181,'RE Tax'!$A$2:$G$206,4,FALSE)</f>
        <v>45657</v>
      </c>
      <c r="AC181" s="4">
        <f>VLOOKUP(A181,'RE Tax'!$A$2:$G$206,7,FALSE)</f>
        <v>0</v>
      </c>
      <c r="AD181" s="4">
        <f>VLOOKUP($A181,'RE Tax'!$A$2:$I$206,9,FALSE)</f>
        <v>46750</v>
      </c>
      <c r="AE181" s="4">
        <f>VLOOKUP($A181,'RE Tax'!$A$2:$I$206,8,FALSE)</f>
        <v>38009</v>
      </c>
      <c r="AF181" s="142">
        <f>IF(ISNA(VLOOKUP(A181&amp;AB181,'Days Exceptions'!$C$3:$I$7,6,FALSE)),ROUND(AC181/MAX(AE181,(AD181*Min_Occ)),2),ROUND(AC181/VLOOKUP(A181&amp;AB181,'Days Exceptions'!$C$3:$I$7,6,FALSE),2))</f>
        <v>0</v>
      </c>
      <c r="AG181" s="68">
        <v>0</v>
      </c>
      <c r="AH181" s="68">
        <f t="shared" si="133"/>
        <v>0</v>
      </c>
      <c r="AI181" s="4">
        <v>37453</v>
      </c>
      <c r="AJ181" s="4">
        <v>48684</v>
      </c>
      <c r="AK181" s="68">
        <f>IF(AI181=0,0,IF(ISNA(MATCH(A181,Documentation!$B$66:$B$71,0)),QA_Tax_reg,QA_Tax_5high))</f>
        <v>32.92</v>
      </c>
      <c r="AL181" s="75">
        <f t="shared" si="134"/>
        <v>25.33</v>
      </c>
      <c r="AM181" s="68">
        <f t="shared" si="135"/>
        <v>345.06</v>
      </c>
      <c r="AN181" s="68">
        <f t="shared" si="136"/>
        <v>251.16</v>
      </c>
      <c r="AO181" s="68">
        <f t="shared" si="137"/>
        <v>157.25</v>
      </c>
      <c r="AP181" s="37" t="s">
        <v>747</v>
      </c>
      <c r="AQ181" s="37" t="s">
        <v>739</v>
      </c>
      <c r="AR181" s="37" t="s">
        <v>1133</v>
      </c>
      <c r="AS181" s="66" t="e">
        <f>VLOOKUP(A181,'CMI Data'!$A$3:$J$209,10,FALSE)</f>
        <v>#DIV/0!</v>
      </c>
      <c r="AT181" s="68">
        <f t="shared" si="107"/>
        <v>162.74</v>
      </c>
      <c r="AU181" s="68" t="e">
        <f t="shared" si="108"/>
        <v>#DIV/0!</v>
      </c>
      <c r="AV181" s="75" t="e">
        <f t="shared" si="138"/>
        <v>#DIV/0!</v>
      </c>
      <c r="AW181" s="68" t="e">
        <f>IF($I181="NA","NA",ROUND(#REF!*$AS181/$I181,2))</f>
        <v>#REF!</v>
      </c>
      <c r="AX181" s="75" t="e">
        <f t="shared" si="105"/>
        <v>#REF!</v>
      </c>
      <c r="AY181" s="68" t="e">
        <f t="shared" si="139"/>
        <v>#REF!</v>
      </c>
      <c r="AZ181" s="4">
        <f t="shared" si="140"/>
        <v>0</v>
      </c>
      <c r="BA181" s="4">
        <f t="shared" si="141"/>
        <v>46750</v>
      </c>
      <c r="BB181" s="4">
        <f t="shared" si="142"/>
        <v>38009</v>
      </c>
      <c r="BC181" s="142">
        <f>IF(ISNA(VLOOKUP($A181&amp;$AB181,'Days Exceptions'!$C$3:$I$7,6,FALSE)),ROUND(AZ181/MAX(BB181,(BA181*Min_Occ)),2),ROUND(AZ181/VLOOKUP($A181&amp;$AB181,'Days Exceptions'!$C$3:$I$7,6,FALSE),2))</f>
        <v>0</v>
      </c>
      <c r="BD181" s="143" t="e">
        <f t="shared" si="109"/>
        <v>#REF!</v>
      </c>
      <c r="BE181" s="143" t="e">
        <f t="shared" si="110"/>
        <v>#REF!</v>
      </c>
      <c r="BF181" s="143">
        <f t="shared" si="111"/>
        <v>153.53</v>
      </c>
      <c r="BG181" s="37" t="s">
        <v>747</v>
      </c>
      <c r="BH181" s="37" t="s">
        <v>739</v>
      </c>
      <c r="BI181" s="37" t="s">
        <v>1337</v>
      </c>
      <c r="BJ181" s="66" t="e">
        <f>VLOOKUP(A181,'CMI Data'!$A$3:$AZ$209,15,FALSE)</f>
        <v>#DIV/0!</v>
      </c>
      <c r="BK181" s="68">
        <f t="shared" si="112"/>
        <v>162.74</v>
      </c>
      <c r="BL181" s="68" t="e">
        <f t="shared" si="113"/>
        <v>#DIV/0!</v>
      </c>
      <c r="BM181" s="75" t="e">
        <f t="shared" si="143"/>
        <v>#DIV/0!</v>
      </c>
      <c r="BN181" s="68" t="e">
        <f>IF($I181="NA","NA",ROUND(#REF!*$BJ181/$I181,2))</f>
        <v>#REF!</v>
      </c>
      <c r="BO181" s="75" t="e">
        <f t="shared" si="144"/>
        <v>#REF!</v>
      </c>
      <c r="BP181" s="68" t="e">
        <f t="shared" si="145"/>
        <v>#REF!</v>
      </c>
      <c r="BQ181" s="4">
        <f t="shared" si="146"/>
        <v>0</v>
      </c>
      <c r="BR181" s="4">
        <f t="shared" si="147"/>
        <v>46750</v>
      </c>
      <c r="BS181" s="4">
        <f t="shared" si="148"/>
        <v>38009</v>
      </c>
      <c r="BT181" s="142">
        <f>IF(ISNA(VLOOKUP($A181&amp;$AB181,'Days Exceptions'!$C$3:$I$7,6,FALSE)),ROUND(BQ181/MAX(BS181,(BR181*Min_Occ)),2),ROUND(BQ181/VLOOKUP($A181&amp;$AB181,'Days Exceptions'!$C$3:$I$7,6,FALSE),2))</f>
        <v>0</v>
      </c>
      <c r="BU181" s="143" t="e">
        <f t="shared" si="114"/>
        <v>#REF!</v>
      </c>
      <c r="BV181" s="143" t="e">
        <f t="shared" si="115"/>
        <v>#REF!</v>
      </c>
      <c r="BW181" s="143">
        <f t="shared" si="116"/>
        <v>153.53</v>
      </c>
      <c r="BX181" s="37" t="s">
        <v>747</v>
      </c>
      <c r="BY181" s="37" t="s">
        <v>739</v>
      </c>
      <c r="BZ181" s="37" t="s">
        <v>1718</v>
      </c>
      <c r="CA181" s="66" t="e">
        <f>VLOOKUP(A181,'CMI Data'!$A$3:$AZ$209,20,FALSE)</f>
        <v>#DIV/0!</v>
      </c>
      <c r="CB181" s="68">
        <f t="shared" si="117"/>
        <v>162.74</v>
      </c>
      <c r="CC181" s="68" t="e">
        <f t="shared" si="118"/>
        <v>#DIV/0!</v>
      </c>
      <c r="CD181" s="75" t="e">
        <f t="shared" si="149"/>
        <v>#DIV/0!</v>
      </c>
      <c r="CE181" s="68" t="e">
        <f>IF($I181="NA","NA",ROUND(#REF!*$CA181/$I181,2))</f>
        <v>#REF!</v>
      </c>
      <c r="CF181" s="75" t="e">
        <f t="shared" si="150"/>
        <v>#REF!</v>
      </c>
      <c r="CG181" s="68" t="e">
        <f t="shared" si="151"/>
        <v>#REF!</v>
      </c>
      <c r="CH181" s="4">
        <f t="shared" si="152"/>
        <v>0</v>
      </c>
      <c r="CI181" s="4">
        <f t="shared" si="153"/>
        <v>46750</v>
      </c>
      <c r="CJ181" s="4">
        <f t="shared" si="154"/>
        <v>38009</v>
      </c>
      <c r="CK181" s="142">
        <f>IF(ISNA(VLOOKUP($A181&amp;$AB181,'Days Exceptions'!$C$3:$I$7,6,FALSE)),ROUND(CH181/MAX(CJ181,(CI181*Min_Occ)),2),ROUND(CH181/VLOOKUP($A181&amp;$AB181,'Days Exceptions'!$C$3:$I$7,6,FALSE),2))</f>
        <v>0</v>
      </c>
      <c r="CL181" s="143" t="e">
        <f t="shared" si="119"/>
        <v>#REF!</v>
      </c>
      <c r="CM181" s="143" t="e">
        <f t="shared" si="120"/>
        <v>#REF!</v>
      </c>
      <c r="CN181" s="143">
        <f t="shared" si="121"/>
        <v>153.53</v>
      </c>
      <c r="CO181" s="37" t="s">
        <v>747</v>
      </c>
      <c r="CP181" s="37" t="s">
        <v>739</v>
      </c>
      <c r="CQ181" s="37" t="s">
        <v>1719</v>
      </c>
    </row>
    <row r="182" spans="1:95" x14ac:dyDescent="0.15">
      <c r="A182" s="130">
        <v>398</v>
      </c>
      <c r="B182" s="37" t="s">
        <v>766</v>
      </c>
      <c r="C182" s="1" t="s">
        <v>148</v>
      </c>
      <c r="D182" s="1" t="s">
        <v>126</v>
      </c>
      <c r="E182" s="1" t="str">
        <f>VLOOKUP(D182,Documentation!$B$4:$D$27,3,FALSE)</f>
        <v>EASTERN REGION</v>
      </c>
      <c r="F182" s="1" t="str">
        <f>VLOOKUP(D182,Documentation!$B$4:$C$27,2,FALSE)</f>
        <v>NON METRO</v>
      </c>
      <c r="G182" s="82">
        <f>VLOOKUP(A182,'2022 CR and CMI'!$A$3:$D$207,3,FALSE)</f>
        <v>44470</v>
      </c>
      <c r="H182" s="82">
        <f>VLOOKUP(A182,'2022 CR and CMI'!$A$3:$D$207,4,FALSE)</f>
        <v>44834</v>
      </c>
      <c r="I182" s="72">
        <f>VLOOKUP(A182,'2022 CR and CMI'!$A$2:$T$210,19,FALSE)</f>
        <v>1.3281000000000001</v>
      </c>
      <c r="J182" s="139">
        <f>Inflation!$G$24</f>
        <v>1.0309999999999999</v>
      </c>
      <c r="K182" s="192">
        <f>VLOOKUP(E182,Limits!$B$2:$D$5,3,FALSE)</f>
        <v>186.31</v>
      </c>
      <c r="L182" s="192">
        <f t="shared" si="124"/>
        <v>192.09</v>
      </c>
      <c r="M182" s="140">
        <f>VLOOKUP(A182,'CMI Data'!$A$4:$C$208,3,FALSE)</f>
        <v>1.4177999999999999</v>
      </c>
      <c r="N182" s="68">
        <f t="shared" si="106"/>
        <v>176.77</v>
      </c>
      <c r="O182" s="68">
        <f t="shared" si="125"/>
        <v>188.71</v>
      </c>
      <c r="P182" s="75">
        <f t="shared" si="126"/>
        <v>179.27</v>
      </c>
      <c r="Q182" s="75">
        <v>158.47999999999999</v>
      </c>
      <c r="R182" s="75">
        <f t="shared" si="127"/>
        <v>163.38999999999999</v>
      </c>
      <c r="S182" s="68">
        <f t="shared" si="128"/>
        <v>174.43</v>
      </c>
      <c r="T182" s="75">
        <f t="shared" si="129"/>
        <v>-4.84</v>
      </c>
      <c r="U182" s="68">
        <f t="shared" si="130"/>
        <v>183.87</v>
      </c>
      <c r="V182" s="68">
        <f>VLOOKUP($F182,Limits!$J$2:$L$5,3,FALSE)</f>
        <v>20.239999999999998</v>
      </c>
      <c r="W182" s="68">
        <f t="shared" si="131"/>
        <v>20.87</v>
      </c>
      <c r="X182" s="68">
        <f>VLOOKUP($F182,Limits!$R$2:$T$5,3,FALSE)</f>
        <v>89.55</v>
      </c>
      <c r="Y182" s="68">
        <f t="shared" si="132"/>
        <v>92.33</v>
      </c>
      <c r="Z182" s="75">
        <f>VLOOKUP(A182,FRV!$A$4:$U$208,21,FALSE)</f>
        <v>33.71</v>
      </c>
      <c r="AA182" s="141">
        <f>VLOOKUP(A182,'RE Tax'!$A$2:$G$206,3,FALSE)</f>
        <v>45474</v>
      </c>
      <c r="AB182" s="141">
        <f>VLOOKUP(A182,'RE Tax'!$A$2:$G$206,4,FALSE)</f>
        <v>45657</v>
      </c>
      <c r="AC182" s="4">
        <f>VLOOKUP(A182,'RE Tax'!$A$2:$G$206,7,FALSE)</f>
        <v>29174</v>
      </c>
      <c r="AD182" s="4">
        <f>VLOOKUP($A182,'RE Tax'!$A$2:$I$206,9,FALSE)</f>
        <v>56120</v>
      </c>
      <c r="AE182" s="4">
        <f>VLOOKUP($A182,'RE Tax'!$A$2:$I$206,8,FALSE)</f>
        <v>34899</v>
      </c>
      <c r="AF182" s="142">
        <f>IF(ISNA(VLOOKUP(A182&amp;AB182,'Days Exceptions'!$C$3:$I$7,6,FALSE)),ROUND(AC182/MAX(AE182,(AD182*Min_Occ)),2),ROUND(AC182/VLOOKUP(A182&amp;AB182,'Days Exceptions'!$C$3:$I$7,6,FALSE),2))</f>
        <v>0.64</v>
      </c>
      <c r="AG182" s="68">
        <v>0</v>
      </c>
      <c r="AH182" s="68">
        <f t="shared" si="133"/>
        <v>0</v>
      </c>
      <c r="AI182" s="4">
        <v>53760</v>
      </c>
      <c r="AJ182" s="4">
        <v>68518</v>
      </c>
      <c r="AK182" s="68">
        <f>IF(AI182=0,0,IF(ISNA(MATCH(A182,Documentation!$B$66:$B$71,0)),QA_Tax_reg,QA_Tax_5high))</f>
        <v>32.92</v>
      </c>
      <c r="AL182" s="75">
        <f t="shared" si="134"/>
        <v>25.83</v>
      </c>
      <c r="AM182" s="68">
        <f t="shared" si="135"/>
        <v>331.42</v>
      </c>
      <c r="AN182" s="68">
        <f t="shared" si="136"/>
        <v>239.49</v>
      </c>
      <c r="AO182" s="68">
        <f t="shared" si="137"/>
        <v>147.55000000000001</v>
      </c>
      <c r="AP182" s="37" t="s">
        <v>765</v>
      </c>
      <c r="AQ182" s="37" t="s">
        <v>766</v>
      </c>
      <c r="AR182" s="37" t="s">
        <v>1134</v>
      </c>
      <c r="AS182" s="66" t="e">
        <f>VLOOKUP(A182,'CMI Data'!$A$3:$J$209,10,FALSE)</f>
        <v>#DIV/0!</v>
      </c>
      <c r="AT182" s="68">
        <f t="shared" si="107"/>
        <v>171.45</v>
      </c>
      <c r="AU182" s="68" t="e">
        <f t="shared" si="108"/>
        <v>#DIV/0!</v>
      </c>
      <c r="AV182" s="75" t="e">
        <f t="shared" si="138"/>
        <v>#DIV/0!</v>
      </c>
      <c r="AW182" s="68" t="e">
        <f>IF($I182="NA","NA",ROUND(#REF!*$AS182/$I182,2))</f>
        <v>#REF!</v>
      </c>
      <c r="AX182" s="75" t="e">
        <f t="shared" si="105"/>
        <v>#REF!</v>
      </c>
      <c r="AY182" s="68" t="e">
        <f t="shared" si="139"/>
        <v>#REF!</v>
      </c>
      <c r="AZ182" s="4">
        <f t="shared" si="140"/>
        <v>29174</v>
      </c>
      <c r="BA182" s="4">
        <f t="shared" si="141"/>
        <v>56120</v>
      </c>
      <c r="BB182" s="4">
        <f t="shared" si="142"/>
        <v>34899</v>
      </c>
      <c r="BC182" s="142">
        <f>IF(ISNA(VLOOKUP($A182&amp;$AB182,'Days Exceptions'!$C$3:$I$7,6,FALSE)),ROUND(AZ182/MAX(BB182,(BA182*Min_Occ)),2),ROUND(AZ182/VLOOKUP($A182&amp;$AB182,'Days Exceptions'!$C$3:$I$7,6,FALSE),2))</f>
        <v>0.64</v>
      </c>
      <c r="BD182" s="143" t="e">
        <f t="shared" si="109"/>
        <v>#REF!</v>
      </c>
      <c r="BE182" s="143" t="e">
        <f t="shared" si="110"/>
        <v>#REF!</v>
      </c>
      <c r="BF182" s="143">
        <f t="shared" si="111"/>
        <v>144.13999999999999</v>
      </c>
      <c r="BG182" s="37" t="s">
        <v>765</v>
      </c>
      <c r="BH182" s="37" t="s">
        <v>766</v>
      </c>
      <c r="BI182" s="37" t="s">
        <v>1338</v>
      </c>
      <c r="BJ182" s="66" t="e">
        <f>VLOOKUP(A182,'CMI Data'!$A$3:$AZ$209,15,FALSE)</f>
        <v>#DIV/0!</v>
      </c>
      <c r="BK182" s="68">
        <f t="shared" si="112"/>
        <v>171.45</v>
      </c>
      <c r="BL182" s="68" t="e">
        <f t="shared" si="113"/>
        <v>#DIV/0!</v>
      </c>
      <c r="BM182" s="75" t="e">
        <f t="shared" si="143"/>
        <v>#DIV/0!</v>
      </c>
      <c r="BN182" s="68" t="e">
        <f>IF($I182="NA","NA",ROUND(#REF!*$BJ182/$I182,2))</f>
        <v>#REF!</v>
      </c>
      <c r="BO182" s="75" t="e">
        <f t="shared" si="144"/>
        <v>#REF!</v>
      </c>
      <c r="BP182" s="68" t="e">
        <f t="shared" si="145"/>
        <v>#REF!</v>
      </c>
      <c r="BQ182" s="4">
        <f t="shared" si="146"/>
        <v>29174</v>
      </c>
      <c r="BR182" s="4">
        <f t="shared" si="147"/>
        <v>56120</v>
      </c>
      <c r="BS182" s="4">
        <f t="shared" si="148"/>
        <v>34899</v>
      </c>
      <c r="BT182" s="142">
        <f>IF(ISNA(VLOOKUP($A182&amp;$AB182,'Days Exceptions'!$C$3:$I$7,6,FALSE)),ROUND(BQ182/MAX(BS182,(BR182*Min_Occ)),2),ROUND(BQ182/VLOOKUP($A182&amp;$AB182,'Days Exceptions'!$C$3:$I$7,6,FALSE),2))</f>
        <v>0.64</v>
      </c>
      <c r="BU182" s="143" t="e">
        <f t="shared" si="114"/>
        <v>#REF!</v>
      </c>
      <c r="BV182" s="143" t="e">
        <f t="shared" si="115"/>
        <v>#REF!</v>
      </c>
      <c r="BW182" s="143">
        <f t="shared" si="116"/>
        <v>144.13999999999999</v>
      </c>
      <c r="BX182" s="37" t="s">
        <v>765</v>
      </c>
      <c r="BY182" s="37" t="s">
        <v>766</v>
      </c>
      <c r="BZ182" s="37" t="s">
        <v>1720</v>
      </c>
      <c r="CA182" s="66" t="e">
        <f>VLOOKUP(A182,'CMI Data'!$A$3:$AZ$209,20,FALSE)</f>
        <v>#DIV/0!</v>
      </c>
      <c r="CB182" s="68">
        <f t="shared" si="117"/>
        <v>171.45</v>
      </c>
      <c r="CC182" s="68" t="e">
        <f t="shared" si="118"/>
        <v>#DIV/0!</v>
      </c>
      <c r="CD182" s="75" t="e">
        <f t="shared" si="149"/>
        <v>#DIV/0!</v>
      </c>
      <c r="CE182" s="68" t="e">
        <f>IF($I182="NA","NA",ROUND(#REF!*$CA182/$I182,2))</f>
        <v>#REF!</v>
      </c>
      <c r="CF182" s="75" t="e">
        <f t="shared" si="150"/>
        <v>#REF!</v>
      </c>
      <c r="CG182" s="68" t="e">
        <f t="shared" si="151"/>
        <v>#REF!</v>
      </c>
      <c r="CH182" s="4">
        <f t="shared" si="152"/>
        <v>29174</v>
      </c>
      <c r="CI182" s="4">
        <f t="shared" si="153"/>
        <v>56120</v>
      </c>
      <c r="CJ182" s="4">
        <f t="shared" si="154"/>
        <v>34899</v>
      </c>
      <c r="CK182" s="142">
        <f>IF(ISNA(VLOOKUP($A182&amp;$AB182,'Days Exceptions'!$C$3:$I$7,6,FALSE)),ROUND(CH182/MAX(CJ182,(CI182*Min_Occ)),2),ROUND(CH182/VLOOKUP($A182&amp;$AB182,'Days Exceptions'!$C$3:$I$7,6,FALSE),2))</f>
        <v>0.64</v>
      </c>
      <c r="CL182" s="143" t="e">
        <f t="shared" si="119"/>
        <v>#REF!</v>
      </c>
      <c r="CM182" s="143" t="e">
        <f t="shared" si="120"/>
        <v>#REF!</v>
      </c>
      <c r="CN182" s="143">
        <f t="shared" si="121"/>
        <v>144.13999999999999</v>
      </c>
      <c r="CO182" s="37" t="s">
        <v>765</v>
      </c>
      <c r="CP182" s="37" t="s">
        <v>766</v>
      </c>
      <c r="CQ182" s="37" t="s">
        <v>1721</v>
      </c>
    </row>
    <row r="183" spans="1:95" x14ac:dyDescent="0.15">
      <c r="A183" s="130">
        <v>402</v>
      </c>
      <c r="B183" s="37" t="s">
        <v>458</v>
      </c>
      <c r="C183" s="1" t="s">
        <v>148</v>
      </c>
      <c r="D183" s="1" t="s">
        <v>119</v>
      </c>
      <c r="E183" s="1" t="str">
        <f>VLOOKUP(D183,Documentation!$B$4:$D$27,3,FALSE)</f>
        <v>WASHINGTON METRO</v>
      </c>
      <c r="F183" s="1" t="str">
        <f>VLOOKUP(D183,Documentation!$B$4:$C$27,2,FALSE)</f>
        <v>WASHINGTON METRO</v>
      </c>
      <c r="G183" s="82">
        <f>VLOOKUP(A183,'2022 CR and CMI'!$A$3:$D$207,3,FALSE)</f>
        <v>44562</v>
      </c>
      <c r="H183" s="82">
        <f>VLOOKUP(A183,'2022 CR and CMI'!$A$3:$D$207,4,FALSE)</f>
        <v>44926</v>
      </c>
      <c r="I183" s="72">
        <f>VLOOKUP(A183,'2022 CR and CMI'!$A$2:$T$210,19,FALSE)</f>
        <v>1.431</v>
      </c>
      <c r="J183" s="139">
        <f>Inflation!$G$24</f>
        <v>1.0309999999999999</v>
      </c>
      <c r="K183" s="192">
        <f>VLOOKUP(E183,Limits!$B$2:$D$5,3,FALSE)</f>
        <v>176.01</v>
      </c>
      <c r="L183" s="192">
        <f t="shared" si="124"/>
        <v>181.47</v>
      </c>
      <c r="M183" s="140">
        <f>VLOOKUP(A183,'CMI Data'!$A$4:$C$208,3,FALSE)</f>
        <v>1.4459</v>
      </c>
      <c r="N183" s="68">
        <f t="shared" si="106"/>
        <v>179.94</v>
      </c>
      <c r="O183" s="68">
        <f t="shared" si="125"/>
        <v>181.81</v>
      </c>
      <c r="P183" s="75">
        <f t="shared" si="126"/>
        <v>172.72</v>
      </c>
      <c r="Q183" s="75">
        <v>147.62</v>
      </c>
      <c r="R183" s="75">
        <f t="shared" si="127"/>
        <v>152.19999999999999</v>
      </c>
      <c r="S183" s="68">
        <f t="shared" si="128"/>
        <v>153.78</v>
      </c>
      <c r="T183" s="75">
        <f t="shared" si="129"/>
        <v>-18.940000000000001</v>
      </c>
      <c r="U183" s="68">
        <f t="shared" si="130"/>
        <v>162.87</v>
      </c>
      <c r="V183" s="68">
        <f>VLOOKUP($F183,Limits!$J$2:$L$5,3,FALSE)</f>
        <v>19.23</v>
      </c>
      <c r="W183" s="68">
        <f t="shared" si="131"/>
        <v>19.829999999999998</v>
      </c>
      <c r="X183" s="68">
        <f>VLOOKUP($F183,Limits!$R$2:$T$5,3,FALSE)</f>
        <v>100.61</v>
      </c>
      <c r="Y183" s="68">
        <f t="shared" si="132"/>
        <v>103.73</v>
      </c>
      <c r="Z183" s="75">
        <f>VLOOKUP(A183,FRV!$A$4:$U$208,21,FALSE)</f>
        <v>30.01</v>
      </c>
      <c r="AA183" s="141">
        <f>VLOOKUP(A183,'RE Tax'!$A$2:$G$206,3,FALSE)</f>
        <v>45292</v>
      </c>
      <c r="AB183" s="141">
        <f>VLOOKUP(A183,'RE Tax'!$A$2:$G$206,4,FALSE)</f>
        <v>45657</v>
      </c>
      <c r="AC183" s="4">
        <f>VLOOKUP(A183,'RE Tax'!$A$2:$G$206,7,FALSE)</f>
        <v>187883</v>
      </c>
      <c r="AD183" s="4">
        <f>VLOOKUP($A183,'RE Tax'!$A$2:$I$206,9,FALSE)</f>
        <v>52704</v>
      </c>
      <c r="AE183" s="4">
        <f>VLOOKUP($A183,'RE Tax'!$A$2:$I$206,8,FALSE)</f>
        <v>49520</v>
      </c>
      <c r="AF183" s="142">
        <f>IF(ISNA(VLOOKUP(A183&amp;AB183,'Days Exceptions'!$C$3:$I$7,6,FALSE)),ROUND(AC183/MAX(AE183,(AD183*Min_Occ)),2),ROUND(AC183/VLOOKUP(A183&amp;AB183,'Days Exceptions'!$C$3:$I$7,6,FALSE),2))</f>
        <v>3.79</v>
      </c>
      <c r="AG183" s="68">
        <v>0</v>
      </c>
      <c r="AH183" s="68">
        <f t="shared" si="133"/>
        <v>0</v>
      </c>
      <c r="AI183" s="4">
        <v>38161</v>
      </c>
      <c r="AJ183" s="4">
        <v>50536</v>
      </c>
      <c r="AK183" s="68">
        <f>IF(AI183=0,0,IF(ISNA(MATCH(A183,Documentation!$B$66:$B$71,0)),QA_Tax_reg,QA_Tax_5high))</f>
        <v>32.92</v>
      </c>
      <c r="AL183" s="75">
        <f t="shared" si="134"/>
        <v>24.86</v>
      </c>
      <c r="AM183" s="68">
        <f t="shared" si="135"/>
        <v>320.23</v>
      </c>
      <c r="AN183" s="68">
        <f t="shared" si="136"/>
        <v>238.8</v>
      </c>
      <c r="AO183" s="68">
        <f t="shared" si="137"/>
        <v>157.36000000000001</v>
      </c>
      <c r="AP183" s="37" t="s">
        <v>457</v>
      </c>
      <c r="AQ183" s="37" t="s">
        <v>458</v>
      </c>
      <c r="AR183" s="37" t="s">
        <v>1135</v>
      </c>
      <c r="AS183" s="66" t="e">
        <f>VLOOKUP(A183,'CMI Data'!$A$3:$J$209,10,FALSE)</f>
        <v>#DIV/0!</v>
      </c>
      <c r="AT183" s="68">
        <f t="shared" si="107"/>
        <v>174.52</v>
      </c>
      <c r="AU183" s="68" t="e">
        <f t="shared" si="108"/>
        <v>#DIV/0!</v>
      </c>
      <c r="AV183" s="75" t="e">
        <f t="shared" si="138"/>
        <v>#DIV/0!</v>
      </c>
      <c r="AW183" s="68" t="e">
        <f>IF($I183="NA","NA",ROUND(#REF!*$AS183/$I183,2))</f>
        <v>#REF!</v>
      </c>
      <c r="AX183" s="75" t="e">
        <f t="shared" si="105"/>
        <v>#REF!</v>
      </c>
      <c r="AY183" s="68" t="e">
        <f t="shared" si="139"/>
        <v>#REF!</v>
      </c>
      <c r="AZ183" s="4">
        <f t="shared" si="140"/>
        <v>187883</v>
      </c>
      <c r="BA183" s="4">
        <f t="shared" si="141"/>
        <v>52704</v>
      </c>
      <c r="BB183" s="4">
        <f t="shared" si="142"/>
        <v>49520</v>
      </c>
      <c r="BC183" s="142">
        <f>IF(ISNA(VLOOKUP($A183&amp;$AB183,'Days Exceptions'!$C$3:$I$7,6,FALSE)),ROUND(AZ183/MAX(BB183,(BA183*Min_Occ)),2),ROUND(AZ183/VLOOKUP($A183&amp;$AB183,'Days Exceptions'!$C$3:$I$7,6,FALSE),2))</f>
        <v>3.79</v>
      </c>
      <c r="BD183" s="143" t="e">
        <f t="shared" si="109"/>
        <v>#REF!</v>
      </c>
      <c r="BE183" s="143" t="e">
        <f t="shared" si="110"/>
        <v>#REF!</v>
      </c>
      <c r="BF183" s="143">
        <f t="shared" si="111"/>
        <v>153.63999999999999</v>
      </c>
      <c r="BG183" s="37" t="s">
        <v>457</v>
      </c>
      <c r="BH183" s="37" t="s">
        <v>458</v>
      </c>
      <c r="BI183" s="37" t="s">
        <v>1339</v>
      </c>
      <c r="BJ183" s="66" t="e">
        <f>VLOOKUP(A183,'CMI Data'!$A$3:$AZ$209,15,FALSE)</f>
        <v>#DIV/0!</v>
      </c>
      <c r="BK183" s="68">
        <f t="shared" si="112"/>
        <v>174.52</v>
      </c>
      <c r="BL183" s="68" t="e">
        <f t="shared" si="113"/>
        <v>#DIV/0!</v>
      </c>
      <c r="BM183" s="75" t="e">
        <f t="shared" si="143"/>
        <v>#DIV/0!</v>
      </c>
      <c r="BN183" s="68" t="e">
        <f>IF($I183="NA","NA",ROUND(#REF!*$BJ183/$I183,2))</f>
        <v>#REF!</v>
      </c>
      <c r="BO183" s="75" t="e">
        <f t="shared" si="144"/>
        <v>#REF!</v>
      </c>
      <c r="BP183" s="68" t="e">
        <f t="shared" si="145"/>
        <v>#REF!</v>
      </c>
      <c r="BQ183" s="4">
        <f t="shared" si="146"/>
        <v>187883</v>
      </c>
      <c r="BR183" s="4">
        <f t="shared" si="147"/>
        <v>52704</v>
      </c>
      <c r="BS183" s="4">
        <f t="shared" si="148"/>
        <v>49520</v>
      </c>
      <c r="BT183" s="142">
        <f>IF(ISNA(VLOOKUP($A183&amp;$AB183,'Days Exceptions'!$C$3:$I$7,6,FALSE)),ROUND(BQ183/MAX(BS183,(BR183*Min_Occ)),2),ROUND(BQ183/VLOOKUP($A183&amp;$AB183,'Days Exceptions'!$C$3:$I$7,6,FALSE),2))</f>
        <v>3.79</v>
      </c>
      <c r="BU183" s="143" t="e">
        <f t="shared" si="114"/>
        <v>#REF!</v>
      </c>
      <c r="BV183" s="143" t="e">
        <f t="shared" si="115"/>
        <v>#REF!</v>
      </c>
      <c r="BW183" s="143">
        <f t="shared" si="116"/>
        <v>153.63999999999999</v>
      </c>
      <c r="BX183" s="37" t="s">
        <v>457</v>
      </c>
      <c r="BY183" s="37" t="s">
        <v>458</v>
      </c>
      <c r="BZ183" s="37" t="s">
        <v>1722</v>
      </c>
      <c r="CA183" s="66" t="e">
        <f>VLOOKUP(A183,'CMI Data'!$A$3:$AZ$209,20,FALSE)</f>
        <v>#DIV/0!</v>
      </c>
      <c r="CB183" s="68">
        <f t="shared" si="117"/>
        <v>174.52</v>
      </c>
      <c r="CC183" s="68" t="e">
        <f t="shared" si="118"/>
        <v>#DIV/0!</v>
      </c>
      <c r="CD183" s="75" t="e">
        <f t="shared" si="149"/>
        <v>#DIV/0!</v>
      </c>
      <c r="CE183" s="68" t="e">
        <f>IF($I183="NA","NA",ROUND(#REF!*$CA183/$I183,2))</f>
        <v>#REF!</v>
      </c>
      <c r="CF183" s="75" t="e">
        <f t="shared" si="150"/>
        <v>#REF!</v>
      </c>
      <c r="CG183" s="68" t="e">
        <f t="shared" si="151"/>
        <v>#REF!</v>
      </c>
      <c r="CH183" s="4">
        <f t="shared" si="152"/>
        <v>187883</v>
      </c>
      <c r="CI183" s="4">
        <f t="shared" si="153"/>
        <v>52704</v>
      </c>
      <c r="CJ183" s="4">
        <f t="shared" si="154"/>
        <v>49520</v>
      </c>
      <c r="CK183" s="142">
        <f>IF(ISNA(VLOOKUP($A183&amp;$AB183,'Days Exceptions'!$C$3:$I$7,6,FALSE)),ROUND(CH183/MAX(CJ183,(CI183*Min_Occ)),2),ROUND(CH183/VLOOKUP($A183&amp;$AB183,'Days Exceptions'!$C$3:$I$7,6,FALSE),2))</f>
        <v>3.79</v>
      </c>
      <c r="CL183" s="143" t="e">
        <f t="shared" si="119"/>
        <v>#REF!</v>
      </c>
      <c r="CM183" s="143" t="e">
        <f t="shared" si="120"/>
        <v>#REF!</v>
      </c>
      <c r="CN183" s="143">
        <f t="shared" si="121"/>
        <v>153.63999999999999</v>
      </c>
      <c r="CO183" s="37" t="s">
        <v>457</v>
      </c>
      <c r="CP183" s="37" t="s">
        <v>458</v>
      </c>
      <c r="CQ183" s="37" t="s">
        <v>1723</v>
      </c>
    </row>
    <row r="184" spans="1:95" x14ac:dyDescent="0.15">
      <c r="A184" s="130">
        <v>28</v>
      </c>
      <c r="B184" s="37" t="s">
        <v>711</v>
      </c>
      <c r="C184" s="1" t="s">
        <v>148</v>
      </c>
      <c r="D184" s="1" t="s">
        <v>119</v>
      </c>
      <c r="E184" s="1" t="str">
        <f>VLOOKUP(D184,Documentation!$B$4:$D$27,3,FALSE)</f>
        <v>WASHINGTON METRO</v>
      </c>
      <c r="F184" s="1" t="str">
        <f>VLOOKUP(D184,Documentation!$B$4:$C$27,2,FALSE)</f>
        <v>WASHINGTON METRO</v>
      </c>
      <c r="G184" s="82">
        <f>VLOOKUP(A184,'2022 CR and CMI'!$A$3:$D$207,3,FALSE)</f>
        <v>44562</v>
      </c>
      <c r="H184" s="82">
        <f>VLOOKUP(A184,'2022 CR and CMI'!$A$3:$D$207,4,FALSE)</f>
        <v>44926</v>
      </c>
      <c r="I184" s="72">
        <f>VLOOKUP(A184,'2022 CR and CMI'!$A$2:$T$210,19,FALSE)</f>
        <v>1.5498000000000001</v>
      </c>
      <c r="J184" s="139">
        <f>Inflation!$G$24</f>
        <v>1.0309999999999999</v>
      </c>
      <c r="K184" s="192">
        <f>VLOOKUP(E184,Limits!$B$2:$D$5,3,FALSE)</f>
        <v>176.01</v>
      </c>
      <c r="L184" s="192">
        <f t="shared" si="124"/>
        <v>181.47</v>
      </c>
      <c r="M184" s="140">
        <f>VLOOKUP(A184,'CMI Data'!$A$4:$C$208,3,FALSE)</f>
        <v>1.3797999999999999</v>
      </c>
      <c r="N184" s="68">
        <f t="shared" si="106"/>
        <v>194.87</v>
      </c>
      <c r="O184" s="68">
        <f t="shared" si="125"/>
        <v>173.49</v>
      </c>
      <c r="P184" s="75">
        <f t="shared" si="126"/>
        <v>164.82</v>
      </c>
      <c r="Q184" s="75">
        <v>151.88</v>
      </c>
      <c r="R184" s="75">
        <f t="shared" si="127"/>
        <v>156.59</v>
      </c>
      <c r="S184" s="68">
        <f t="shared" si="128"/>
        <v>139.41</v>
      </c>
      <c r="T184" s="75">
        <f t="shared" si="129"/>
        <v>-25.41</v>
      </c>
      <c r="U184" s="68">
        <f t="shared" si="130"/>
        <v>148.08000000000001</v>
      </c>
      <c r="V184" s="68">
        <f>VLOOKUP($F184,Limits!$J$2:$L$5,3,FALSE)</f>
        <v>19.23</v>
      </c>
      <c r="W184" s="68">
        <f t="shared" si="131"/>
        <v>19.829999999999998</v>
      </c>
      <c r="X184" s="68">
        <f>VLOOKUP($F184,Limits!$R$2:$T$5,3,FALSE)</f>
        <v>100.61</v>
      </c>
      <c r="Y184" s="68">
        <f t="shared" si="132"/>
        <v>103.73</v>
      </c>
      <c r="Z184" s="75">
        <f>VLOOKUP(A184,FRV!$A$4:$U$208,21,FALSE)</f>
        <v>34.299999999999997</v>
      </c>
      <c r="AA184" s="141">
        <f>VLOOKUP(A184,'RE Tax'!$A$2:$G$206,3,FALSE)</f>
        <v>45292</v>
      </c>
      <c r="AB184" s="141">
        <f>VLOOKUP(A184,'RE Tax'!$A$2:$G$206,4,FALSE)</f>
        <v>45657</v>
      </c>
      <c r="AC184" s="4">
        <f>VLOOKUP(A184,'RE Tax'!$A$2:$G$206,7,FALSE)</f>
        <v>114538</v>
      </c>
      <c r="AD184" s="4">
        <f>VLOOKUP($A184,'RE Tax'!$A$2:$I$206,9,FALSE)</f>
        <v>37332</v>
      </c>
      <c r="AE184" s="4">
        <f>VLOOKUP($A184,'RE Tax'!$A$2:$I$206,8,FALSE)</f>
        <v>33753</v>
      </c>
      <c r="AF184" s="142">
        <f>IF(ISNA(VLOOKUP(A184&amp;AB184,'Days Exceptions'!$C$3:$I$7,6,FALSE)),ROUND(AC184/MAX(AE184,(AD184*Min_Occ)),2),ROUND(AC184/VLOOKUP(A184&amp;AB184,'Days Exceptions'!$C$3:$I$7,6,FALSE),2))</f>
        <v>3.39</v>
      </c>
      <c r="AG184" s="68">
        <v>0</v>
      </c>
      <c r="AH184" s="68">
        <f t="shared" si="133"/>
        <v>0</v>
      </c>
      <c r="AI184" s="4">
        <v>26481</v>
      </c>
      <c r="AJ184" s="4">
        <v>33753</v>
      </c>
      <c r="AK184" s="68">
        <f>IF(AI184=0,0,IF(ISNA(MATCH(A184,Documentation!$B$66:$B$71,0)),QA_Tax_reg,QA_Tax_5high))</f>
        <v>32.92</v>
      </c>
      <c r="AL184" s="75">
        <f t="shared" si="134"/>
        <v>25.83</v>
      </c>
      <c r="AM184" s="68">
        <f t="shared" si="135"/>
        <v>309.33</v>
      </c>
      <c r="AN184" s="68">
        <f t="shared" si="136"/>
        <v>235.29</v>
      </c>
      <c r="AO184" s="68">
        <f t="shared" si="137"/>
        <v>161.25</v>
      </c>
      <c r="AP184" s="37" t="s">
        <v>744</v>
      </c>
      <c r="AQ184" s="37" t="s">
        <v>711</v>
      </c>
      <c r="AR184" s="37" t="s">
        <v>1136</v>
      </c>
      <c r="AS184" s="66" t="e">
        <f>VLOOKUP(A184,'CMI Data'!$A$3:$J$209,10,FALSE)</f>
        <v>#DIV/0!</v>
      </c>
      <c r="AT184" s="68">
        <f t="shared" si="107"/>
        <v>189.01</v>
      </c>
      <c r="AU184" s="68" t="e">
        <f t="shared" si="108"/>
        <v>#DIV/0!</v>
      </c>
      <c r="AV184" s="75" t="e">
        <f t="shared" si="138"/>
        <v>#DIV/0!</v>
      </c>
      <c r="AW184" s="68" t="e">
        <f>IF($I184="NA","NA",ROUND(#REF!*$AS184/$I184,2))</f>
        <v>#REF!</v>
      </c>
      <c r="AX184" s="75" t="e">
        <f t="shared" si="105"/>
        <v>#REF!</v>
      </c>
      <c r="AY184" s="68" t="e">
        <f t="shared" si="139"/>
        <v>#REF!</v>
      </c>
      <c r="AZ184" s="4">
        <f t="shared" si="140"/>
        <v>114538</v>
      </c>
      <c r="BA184" s="4">
        <f t="shared" si="141"/>
        <v>37332</v>
      </c>
      <c r="BB184" s="4">
        <f t="shared" si="142"/>
        <v>33753</v>
      </c>
      <c r="BC184" s="142">
        <f>IF(ISNA(VLOOKUP($A184&amp;$AB184,'Days Exceptions'!$C$3:$I$7,6,FALSE)),ROUND(AZ184/MAX(BB184,(BA184*Min_Occ)),2),ROUND(AZ184/VLOOKUP($A184&amp;$AB184,'Days Exceptions'!$C$3:$I$7,6,FALSE),2))</f>
        <v>3.39</v>
      </c>
      <c r="BD184" s="143" t="e">
        <f t="shared" si="109"/>
        <v>#REF!</v>
      </c>
      <c r="BE184" s="143" t="e">
        <f t="shared" si="110"/>
        <v>#REF!</v>
      </c>
      <c r="BF184" s="143">
        <f t="shared" si="111"/>
        <v>157.53</v>
      </c>
      <c r="BG184" s="37" t="s">
        <v>744</v>
      </c>
      <c r="BH184" s="37" t="s">
        <v>711</v>
      </c>
      <c r="BI184" s="37" t="s">
        <v>1340</v>
      </c>
      <c r="BJ184" s="66" t="e">
        <f>VLOOKUP(A184,'CMI Data'!$A$3:$AZ$209,15,FALSE)</f>
        <v>#DIV/0!</v>
      </c>
      <c r="BK184" s="68">
        <f t="shared" si="112"/>
        <v>189.01</v>
      </c>
      <c r="BL184" s="68" t="e">
        <f t="shared" si="113"/>
        <v>#DIV/0!</v>
      </c>
      <c r="BM184" s="75" t="e">
        <f t="shared" si="143"/>
        <v>#DIV/0!</v>
      </c>
      <c r="BN184" s="68" t="e">
        <f>IF($I184="NA","NA",ROUND(#REF!*$BJ184/$I184,2))</f>
        <v>#REF!</v>
      </c>
      <c r="BO184" s="75" t="e">
        <f t="shared" si="144"/>
        <v>#REF!</v>
      </c>
      <c r="BP184" s="68" t="e">
        <f t="shared" si="145"/>
        <v>#REF!</v>
      </c>
      <c r="BQ184" s="4">
        <f t="shared" si="146"/>
        <v>114538</v>
      </c>
      <c r="BR184" s="4">
        <f t="shared" si="147"/>
        <v>37332</v>
      </c>
      <c r="BS184" s="4">
        <f t="shared" si="148"/>
        <v>33753</v>
      </c>
      <c r="BT184" s="142">
        <f>IF(ISNA(VLOOKUP($A184&amp;$AB184,'Days Exceptions'!$C$3:$I$7,6,FALSE)),ROUND(BQ184/MAX(BS184,(BR184*Min_Occ)),2),ROUND(BQ184/VLOOKUP($A184&amp;$AB184,'Days Exceptions'!$C$3:$I$7,6,FALSE),2))</f>
        <v>3.39</v>
      </c>
      <c r="BU184" s="143" t="e">
        <f t="shared" si="114"/>
        <v>#REF!</v>
      </c>
      <c r="BV184" s="143" t="e">
        <f t="shared" si="115"/>
        <v>#REF!</v>
      </c>
      <c r="BW184" s="143">
        <f t="shared" si="116"/>
        <v>157.53</v>
      </c>
      <c r="BX184" s="37" t="s">
        <v>744</v>
      </c>
      <c r="BY184" s="37" t="s">
        <v>711</v>
      </c>
      <c r="BZ184" s="37" t="s">
        <v>1724</v>
      </c>
      <c r="CA184" s="66" t="e">
        <f>VLOOKUP(A184,'CMI Data'!$A$3:$AZ$209,20,FALSE)</f>
        <v>#DIV/0!</v>
      </c>
      <c r="CB184" s="68">
        <f t="shared" si="117"/>
        <v>189.01</v>
      </c>
      <c r="CC184" s="68" t="e">
        <f t="shared" si="118"/>
        <v>#DIV/0!</v>
      </c>
      <c r="CD184" s="75" t="e">
        <f t="shared" si="149"/>
        <v>#DIV/0!</v>
      </c>
      <c r="CE184" s="68" t="e">
        <f>IF($I184="NA","NA",ROUND(#REF!*$CA184/$I184,2))</f>
        <v>#REF!</v>
      </c>
      <c r="CF184" s="75" t="e">
        <f t="shared" si="150"/>
        <v>#REF!</v>
      </c>
      <c r="CG184" s="68" t="e">
        <f t="shared" si="151"/>
        <v>#REF!</v>
      </c>
      <c r="CH184" s="4">
        <f t="shared" si="152"/>
        <v>114538</v>
      </c>
      <c r="CI184" s="4">
        <f t="shared" si="153"/>
        <v>37332</v>
      </c>
      <c r="CJ184" s="4">
        <f t="shared" si="154"/>
        <v>33753</v>
      </c>
      <c r="CK184" s="142">
        <f>IF(ISNA(VLOOKUP($A184&amp;$AB184,'Days Exceptions'!$C$3:$I$7,6,FALSE)),ROUND(CH184/MAX(CJ184,(CI184*Min_Occ)),2),ROUND(CH184/VLOOKUP($A184&amp;$AB184,'Days Exceptions'!$C$3:$I$7,6,FALSE),2))</f>
        <v>3.39</v>
      </c>
      <c r="CL184" s="143" t="e">
        <f t="shared" si="119"/>
        <v>#REF!</v>
      </c>
      <c r="CM184" s="143" t="e">
        <f t="shared" si="120"/>
        <v>#REF!</v>
      </c>
      <c r="CN184" s="143">
        <f t="shared" si="121"/>
        <v>157.53</v>
      </c>
      <c r="CO184" s="37" t="s">
        <v>744</v>
      </c>
      <c r="CP184" s="37" t="s">
        <v>711</v>
      </c>
      <c r="CQ184" s="37" t="s">
        <v>1725</v>
      </c>
    </row>
    <row r="185" spans="1:95" x14ac:dyDescent="0.15">
      <c r="A185" s="130">
        <v>709</v>
      </c>
      <c r="B185" s="37" t="s">
        <v>225</v>
      </c>
      <c r="C185" s="1" t="s">
        <v>148</v>
      </c>
      <c r="D185" s="1" t="s">
        <v>127</v>
      </c>
      <c r="E185" s="1" t="str">
        <f>VLOOKUP(D185,Documentation!$B$4:$D$27,3,FALSE)</f>
        <v>EASTERN REGION</v>
      </c>
      <c r="F185" s="1" t="str">
        <f>VLOOKUP(D185,Documentation!$B$4:$C$27,2,FALSE)</f>
        <v>NON METRO</v>
      </c>
      <c r="G185" s="82">
        <f>VLOOKUP(A185,'2022 CR and CMI'!$A$3:$D$207,3,FALSE)</f>
        <v>44562</v>
      </c>
      <c r="H185" s="82">
        <f>VLOOKUP(A185,'2022 CR and CMI'!$A$3:$D$207,4,FALSE)</f>
        <v>44926</v>
      </c>
      <c r="I185" s="72">
        <f>VLOOKUP(A185,'2022 CR and CMI'!$A$2:$T$210,19,FALSE)</f>
        <v>1.3623000000000001</v>
      </c>
      <c r="J185" s="139">
        <f>Inflation!$G$24</f>
        <v>1.0309999999999999</v>
      </c>
      <c r="K185" s="192">
        <f>VLOOKUP(E185,Limits!$B$2:$D$5,3,FALSE)</f>
        <v>186.31</v>
      </c>
      <c r="L185" s="192">
        <f t="shared" si="124"/>
        <v>192.09</v>
      </c>
      <c r="M185" s="140">
        <f>VLOOKUP(A185,'CMI Data'!$A$4:$C$208,3,FALSE)</f>
        <v>1.3269</v>
      </c>
      <c r="N185" s="68">
        <f t="shared" si="106"/>
        <v>181.32</v>
      </c>
      <c r="O185" s="68">
        <f t="shared" si="125"/>
        <v>176.61</v>
      </c>
      <c r="P185" s="75">
        <f t="shared" si="126"/>
        <v>167.78</v>
      </c>
      <c r="Q185" s="75">
        <v>158.11000000000001</v>
      </c>
      <c r="R185" s="75">
        <f t="shared" si="127"/>
        <v>163.01</v>
      </c>
      <c r="S185" s="68">
        <f t="shared" si="128"/>
        <v>158.77000000000001</v>
      </c>
      <c r="T185" s="75">
        <f t="shared" si="129"/>
        <v>-9.01</v>
      </c>
      <c r="U185" s="68">
        <f t="shared" si="130"/>
        <v>167.6</v>
      </c>
      <c r="V185" s="68">
        <f>VLOOKUP($F185,Limits!$J$2:$L$5,3,FALSE)</f>
        <v>20.239999999999998</v>
      </c>
      <c r="W185" s="68">
        <f t="shared" si="131"/>
        <v>20.87</v>
      </c>
      <c r="X185" s="68">
        <f>VLOOKUP($F185,Limits!$R$2:$T$5,3,FALSE)</f>
        <v>89.55</v>
      </c>
      <c r="Y185" s="68">
        <f t="shared" si="132"/>
        <v>92.33</v>
      </c>
      <c r="Z185" s="75">
        <f>VLOOKUP(A185,FRV!$A$4:$U$208,21,FALSE)</f>
        <v>23.1</v>
      </c>
      <c r="AA185" s="141">
        <f>VLOOKUP(A185,'RE Tax'!$A$2:$G$206,3,FALSE)</f>
        <v>45292</v>
      </c>
      <c r="AB185" s="141">
        <f>VLOOKUP(A185,'RE Tax'!$A$2:$G$206,4,FALSE)</f>
        <v>45565</v>
      </c>
      <c r="AC185" s="4">
        <f>VLOOKUP(A185,'RE Tax'!$A$2:$G$206,7,FALSE)</f>
        <v>62024</v>
      </c>
      <c r="AD185" s="4">
        <f>VLOOKUP($A185,'RE Tax'!$A$2:$I$206,9,FALSE)</f>
        <v>18906</v>
      </c>
      <c r="AE185" s="4">
        <f>VLOOKUP($A185,'RE Tax'!$A$2:$I$206,8,FALSE)</f>
        <v>14813</v>
      </c>
      <c r="AF185" s="142">
        <f>IF(ISNA(VLOOKUP(A185&amp;AB185,'Days Exceptions'!$C$3:$I$7,6,FALSE)),ROUND(AC185/MAX(AE185,(AD185*Min_Occ)),2),ROUND(AC185/VLOOKUP(A185&amp;AB185,'Days Exceptions'!$C$3:$I$7,6,FALSE),2))</f>
        <v>4.0199999999999996</v>
      </c>
      <c r="AG185" s="68">
        <v>0</v>
      </c>
      <c r="AH185" s="68">
        <f t="shared" si="133"/>
        <v>0</v>
      </c>
      <c r="AI185" s="4">
        <v>16608</v>
      </c>
      <c r="AJ185" s="4">
        <v>20861</v>
      </c>
      <c r="AK185" s="68">
        <f>IF(AI185=0,0,IF(ISNA(MATCH(A185,Documentation!$B$66:$B$71,0)),QA_Tax_reg,QA_Tax_5high))</f>
        <v>32.92</v>
      </c>
      <c r="AL185" s="75">
        <f t="shared" si="134"/>
        <v>26.21</v>
      </c>
      <c r="AM185" s="68">
        <f t="shared" si="135"/>
        <v>307.92</v>
      </c>
      <c r="AN185" s="68">
        <f t="shared" si="136"/>
        <v>224.12</v>
      </c>
      <c r="AO185" s="68">
        <f t="shared" si="137"/>
        <v>140.32</v>
      </c>
      <c r="AP185" s="37" t="s">
        <v>100</v>
      </c>
      <c r="AQ185" s="37" t="s">
        <v>225</v>
      </c>
      <c r="AR185" s="37" t="s">
        <v>1137</v>
      </c>
      <c r="AS185" s="66" t="e">
        <f>VLOOKUP(A185,'CMI Data'!$A$3:$J$209,10,FALSE)</f>
        <v>#DIV/0!</v>
      </c>
      <c r="AT185" s="68">
        <f t="shared" si="107"/>
        <v>175.87</v>
      </c>
      <c r="AU185" s="68" t="e">
        <f t="shared" si="108"/>
        <v>#DIV/0!</v>
      </c>
      <c r="AV185" s="75" t="e">
        <f t="shared" si="138"/>
        <v>#DIV/0!</v>
      </c>
      <c r="AW185" s="68" t="e">
        <f>IF($I185="NA","NA",ROUND(#REF!*$AS185/$I185,2))</f>
        <v>#REF!</v>
      </c>
      <c r="AX185" s="75" t="e">
        <f t="shared" si="105"/>
        <v>#REF!</v>
      </c>
      <c r="AY185" s="68" t="e">
        <f t="shared" si="139"/>
        <v>#REF!</v>
      </c>
      <c r="AZ185" s="4">
        <f t="shared" si="140"/>
        <v>62024</v>
      </c>
      <c r="BA185" s="4">
        <f t="shared" si="141"/>
        <v>18906</v>
      </c>
      <c r="BB185" s="4">
        <f t="shared" si="142"/>
        <v>14813</v>
      </c>
      <c r="BC185" s="142">
        <f>IF(ISNA(VLOOKUP($A185&amp;$AB185,'Days Exceptions'!$C$3:$I$7,6,FALSE)),ROUND(AZ185/MAX(BB185,(BA185*Min_Occ)),2),ROUND(AZ185/VLOOKUP($A185&amp;$AB185,'Days Exceptions'!$C$3:$I$7,6,FALSE),2))</f>
        <v>4.0199999999999996</v>
      </c>
      <c r="BD185" s="143" t="e">
        <f t="shared" si="109"/>
        <v>#REF!</v>
      </c>
      <c r="BE185" s="143" t="e">
        <f t="shared" si="110"/>
        <v>#REF!</v>
      </c>
      <c r="BF185" s="143">
        <f t="shared" si="111"/>
        <v>136.91</v>
      </c>
      <c r="BG185" s="37" t="s">
        <v>100</v>
      </c>
      <c r="BH185" s="37" t="s">
        <v>225</v>
      </c>
      <c r="BI185" s="37" t="s">
        <v>1341</v>
      </c>
      <c r="BJ185" s="66" t="e">
        <f>VLOOKUP(A185,'CMI Data'!$A$3:$AZ$209,15,FALSE)</f>
        <v>#DIV/0!</v>
      </c>
      <c r="BK185" s="68">
        <f t="shared" si="112"/>
        <v>175.87</v>
      </c>
      <c r="BL185" s="68" t="e">
        <f t="shared" si="113"/>
        <v>#DIV/0!</v>
      </c>
      <c r="BM185" s="75" t="e">
        <f t="shared" si="143"/>
        <v>#DIV/0!</v>
      </c>
      <c r="BN185" s="68" t="e">
        <f>IF($I185="NA","NA",ROUND(#REF!*$BJ185/$I185,2))</f>
        <v>#REF!</v>
      </c>
      <c r="BO185" s="75" t="e">
        <f t="shared" si="144"/>
        <v>#REF!</v>
      </c>
      <c r="BP185" s="68" t="e">
        <f t="shared" si="145"/>
        <v>#REF!</v>
      </c>
      <c r="BQ185" s="4">
        <f t="shared" si="146"/>
        <v>62024</v>
      </c>
      <c r="BR185" s="4">
        <f t="shared" si="147"/>
        <v>18906</v>
      </c>
      <c r="BS185" s="4">
        <f t="shared" si="148"/>
        <v>14813</v>
      </c>
      <c r="BT185" s="142">
        <f>IF(ISNA(VLOOKUP($A185&amp;$AB185,'Days Exceptions'!$C$3:$I$7,6,FALSE)),ROUND(BQ185/MAX(BS185,(BR185*Min_Occ)),2),ROUND(BQ185/VLOOKUP($A185&amp;$AB185,'Days Exceptions'!$C$3:$I$7,6,FALSE),2))</f>
        <v>4.0199999999999996</v>
      </c>
      <c r="BU185" s="143" t="e">
        <f t="shared" si="114"/>
        <v>#REF!</v>
      </c>
      <c r="BV185" s="143" t="e">
        <f t="shared" si="115"/>
        <v>#REF!</v>
      </c>
      <c r="BW185" s="143">
        <f t="shared" si="116"/>
        <v>136.91</v>
      </c>
      <c r="BX185" s="37" t="s">
        <v>100</v>
      </c>
      <c r="BY185" s="37" t="s">
        <v>225</v>
      </c>
      <c r="BZ185" s="37" t="s">
        <v>1726</v>
      </c>
      <c r="CA185" s="66" t="e">
        <f>VLOOKUP(A185,'CMI Data'!$A$3:$AZ$209,20,FALSE)</f>
        <v>#DIV/0!</v>
      </c>
      <c r="CB185" s="68">
        <f t="shared" si="117"/>
        <v>175.87</v>
      </c>
      <c r="CC185" s="68" t="e">
        <f t="shared" si="118"/>
        <v>#DIV/0!</v>
      </c>
      <c r="CD185" s="75" t="e">
        <f t="shared" si="149"/>
        <v>#DIV/0!</v>
      </c>
      <c r="CE185" s="68" t="e">
        <f>IF($I185="NA","NA",ROUND(#REF!*$CA185/$I185,2))</f>
        <v>#REF!</v>
      </c>
      <c r="CF185" s="75" t="e">
        <f t="shared" si="150"/>
        <v>#REF!</v>
      </c>
      <c r="CG185" s="68" t="e">
        <f t="shared" si="151"/>
        <v>#REF!</v>
      </c>
      <c r="CH185" s="4">
        <f t="shared" si="152"/>
        <v>62024</v>
      </c>
      <c r="CI185" s="4">
        <f t="shared" si="153"/>
        <v>18906</v>
      </c>
      <c r="CJ185" s="4">
        <f t="shared" si="154"/>
        <v>14813</v>
      </c>
      <c r="CK185" s="142">
        <f>IF(ISNA(VLOOKUP($A185&amp;$AB185,'Days Exceptions'!$C$3:$I$7,6,FALSE)),ROUND(CH185/MAX(CJ185,(CI185*Min_Occ)),2),ROUND(CH185/VLOOKUP($A185&amp;$AB185,'Days Exceptions'!$C$3:$I$7,6,FALSE),2))</f>
        <v>4.0199999999999996</v>
      </c>
      <c r="CL185" s="143" t="e">
        <f t="shared" si="119"/>
        <v>#REF!</v>
      </c>
      <c r="CM185" s="143" t="e">
        <f t="shared" si="120"/>
        <v>#REF!</v>
      </c>
      <c r="CN185" s="143">
        <f t="shared" si="121"/>
        <v>136.91</v>
      </c>
      <c r="CO185" s="37" t="s">
        <v>100</v>
      </c>
      <c r="CP185" s="37" t="s">
        <v>225</v>
      </c>
      <c r="CQ185" s="37" t="s">
        <v>1727</v>
      </c>
    </row>
    <row r="186" spans="1:95" x14ac:dyDescent="0.15">
      <c r="A186" s="130">
        <v>406</v>
      </c>
      <c r="B186" s="37" t="s">
        <v>500</v>
      </c>
      <c r="C186" s="1" t="s">
        <v>148</v>
      </c>
      <c r="D186" s="1" t="s">
        <v>108</v>
      </c>
      <c r="E186" s="1" t="str">
        <f>VLOOKUP(D186,Documentation!$B$4:$D$27,3,FALSE)</f>
        <v>WASHINGTON METRO</v>
      </c>
      <c r="F186" s="1" t="str">
        <f>VLOOKUP(D186,Documentation!$B$4:$C$27,2,FALSE)</f>
        <v>NON METRO</v>
      </c>
      <c r="G186" s="82">
        <f>VLOOKUP(A186,'2022 CR and CMI'!$A$3:$D$207,3,FALSE)</f>
        <v>44562</v>
      </c>
      <c r="H186" s="82">
        <f>VLOOKUP(A186,'2022 CR and CMI'!$A$3:$D$207,4,FALSE)</f>
        <v>44926</v>
      </c>
      <c r="I186" s="72">
        <f>VLOOKUP(A186,'2022 CR and CMI'!$A$2:$T$210,19,FALSE)</f>
        <v>1.5392999999999999</v>
      </c>
      <c r="J186" s="139">
        <f>Inflation!$G$24</f>
        <v>1.0309999999999999</v>
      </c>
      <c r="K186" s="192">
        <f>VLOOKUP(E186,Limits!$B$2:$D$5,3,FALSE)</f>
        <v>176.01</v>
      </c>
      <c r="L186" s="192">
        <f t="shared" si="124"/>
        <v>181.47</v>
      </c>
      <c r="M186" s="140">
        <f>VLOOKUP(A186,'CMI Data'!$A$4:$C$208,3,FALSE)</f>
        <v>1.3888</v>
      </c>
      <c r="N186" s="68">
        <f t="shared" si="106"/>
        <v>193.55</v>
      </c>
      <c r="O186" s="68">
        <f t="shared" si="125"/>
        <v>174.63</v>
      </c>
      <c r="P186" s="75">
        <f t="shared" si="126"/>
        <v>165.9</v>
      </c>
      <c r="Q186" s="75">
        <v>161.69</v>
      </c>
      <c r="R186" s="75">
        <f t="shared" si="127"/>
        <v>166.7</v>
      </c>
      <c r="S186" s="68">
        <f t="shared" si="128"/>
        <v>150.4</v>
      </c>
      <c r="T186" s="75">
        <f t="shared" si="129"/>
        <v>-15.5</v>
      </c>
      <c r="U186" s="68">
        <f t="shared" si="130"/>
        <v>159.13</v>
      </c>
      <c r="V186" s="68">
        <f>VLOOKUP($F186,Limits!$J$2:$L$5,3,FALSE)</f>
        <v>20.239999999999998</v>
      </c>
      <c r="W186" s="68">
        <f t="shared" si="131"/>
        <v>20.87</v>
      </c>
      <c r="X186" s="68">
        <f>VLOOKUP($F186,Limits!$R$2:$T$5,3,FALSE)</f>
        <v>89.55</v>
      </c>
      <c r="Y186" s="68">
        <f t="shared" si="132"/>
        <v>92.33</v>
      </c>
      <c r="Z186" s="75">
        <f>VLOOKUP(A186,FRV!$A$4:$U$208,21,FALSE)</f>
        <v>30.54</v>
      </c>
      <c r="AA186" s="141">
        <f>VLOOKUP(A186,'RE Tax'!$A$2:$G$206,3,FALSE)</f>
        <v>45292</v>
      </c>
      <c r="AB186" s="141">
        <f>VLOOKUP(A186,'RE Tax'!$A$2:$G$206,4,FALSE)</f>
        <v>45657</v>
      </c>
      <c r="AC186" s="4">
        <f>VLOOKUP(A186,'RE Tax'!$A$2:$G$206,7,FALSE)</f>
        <v>85085</v>
      </c>
      <c r="AD186" s="4">
        <f>VLOOKUP($A186,'RE Tax'!$A$2:$I$206,9,FALSE)</f>
        <v>34770</v>
      </c>
      <c r="AE186" s="4">
        <f>VLOOKUP($A186,'RE Tax'!$A$2:$I$206,8,FALSE)</f>
        <v>31790</v>
      </c>
      <c r="AF186" s="142">
        <f>IF(ISNA(VLOOKUP(A186&amp;AB186,'Days Exceptions'!$C$3:$I$7,6,FALSE)),ROUND(AC186/MAX(AE186,(AD186*Min_Occ)),2),ROUND(AC186/VLOOKUP(A186&amp;AB186,'Days Exceptions'!$C$3:$I$7,6,FALSE),2))</f>
        <v>2.68</v>
      </c>
      <c r="AG186" s="68">
        <v>0</v>
      </c>
      <c r="AH186" s="68">
        <f t="shared" si="133"/>
        <v>0</v>
      </c>
      <c r="AI186" s="4">
        <v>22924</v>
      </c>
      <c r="AJ186" s="4">
        <v>31681</v>
      </c>
      <c r="AK186" s="68">
        <f>IF(AI186=0,0,IF(ISNA(MATCH(A186,Documentation!$B$66:$B$71,0)),QA_Tax_reg,QA_Tax_5high))</f>
        <v>32.92</v>
      </c>
      <c r="AL186" s="75">
        <f t="shared" si="134"/>
        <v>23.82</v>
      </c>
      <c r="AM186" s="68">
        <f t="shared" si="135"/>
        <v>305.55</v>
      </c>
      <c r="AN186" s="68">
        <f t="shared" si="136"/>
        <v>225.99</v>
      </c>
      <c r="AO186" s="68">
        <f t="shared" si="137"/>
        <v>146.41999999999999</v>
      </c>
      <c r="AP186" s="37" t="s">
        <v>512</v>
      </c>
      <c r="AQ186" s="37" t="s">
        <v>500</v>
      </c>
      <c r="AR186" s="37" t="s">
        <v>1138</v>
      </c>
      <c r="AS186" s="66" t="e">
        <f>VLOOKUP(A186,'CMI Data'!$A$3:$J$209,10,FALSE)</f>
        <v>#DIV/0!</v>
      </c>
      <c r="AT186" s="68">
        <f t="shared" si="107"/>
        <v>187.73</v>
      </c>
      <c r="AU186" s="68" t="e">
        <f t="shared" si="108"/>
        <v>#DIV/0!</v>
      </c>
      <c r="AV186" s="75" t="e">
        <f t="shared" si="138"/>
        <v>#DIV/0!</v>
      </c>
      <c r="AW186" s="68" t="e">
        <f>IF($I186="NA","NA",ROUND(#REF!*$AS186/$I186,2))</f>
        <v>#REF!</v>
      </c>
      <c r="AX186" s="75" t="e">
        <f t="shared" ref="AX186:AX208" si="155">IF(AW186="NA","NA",MIN(AW186-AV186,0))</f>
        <v>#REF!</v>
      </c>
      <c r="AY186" s="68" t="e">
        <f t="shared" si="139"/>
        <v>#REF!</v>
      </c>
      <c r="AZ186" s="4">
        <f t="shared" si="140"/>
        <v>85085</v>
      </c>
      <c r="BA186" s="4">
        <f t="shared" si="141"/>
        <v>34770</v>
      </c>
      <c r="BB186" s="4">
        <f t="shared" si="142"/>
        <v>31790</v>
      </c>
      <c r="BC186" s="142">
        <f>IF(ISNA(VLOOKUP($A186&amp;$AB186,'Days Exceptions'!$C$3:$I$7,6,FALSE)),ROUND(AZ186/MAX(BB186,(BA186*Min_Occ)),2),ROUND(AZ186/VLOOKUP($A186&amp;$AB186,'Days Exceptions'!$C$3:$I$7,6,FALSE),2))</f>
        <v>2.68</v>
      </c>
      <c r="BD186" s="143" t="e">
        <f t="shared" si="109"/>
        <v>#REF!</v>
      </c>
      <c r="BE186" s="143" t="e">
        <f t="shared" si="110"/>
        <v>#REF!</v>
      </c>
      <c r="BF186" s="143">
        <f t="shared" si="111"/>
        <v>143.01</v>
      </c>
      <c r="BG186" s="37" t="s">
        <v>512</v>
      </c>
      <c r="BH186" s="37" t="s">
        <v>500</v>
      </c>
      <c r="BI186" s="37" t="s">
        <v>1342</v>
      </c>
      <c r="BJ186" s="66" t="e">
        <f>VLOOKUP(A186,'CMI Data'!$A$3:$AZ$209,15,FALSE)</f>
        <v>#DIV/0!</v>
      </c>
      <c r="BK186" s="68">
        <f t="shared" si="112"/>
        <v>187.73</v>
      </c>
      <c r="BL186" s="68" t="e">
        <f t="shared" si="113"/>
        <v>#DIV/0!</v>
      </c>
      <c r="BM186" s="75" t="e">
        <f t="shared" si="143"/>
        <v>#DIV/0!</v>
      </c>
      <c r="BN186" s="68" t="e">
        <f>IF($I186="NA","NA",ROUND(#REF!*$BJ186/$I186,2))</f>
        <v>#REF!</v>
      </c>
      <c r="BO186" s="75" t="e">
        <f t="shared" si="144"/>
        <v>#REF!</v>
      </c>
      <c r="BP186" s="68" t="e">
        <f t="shared" si="145"/>
        <v>#REF!</v>
      </c>
      <c r="BQ186" s="4">
        <f t="shared" si="146"/>
        <v>85085</v>
      </c>
      <c r="BR186" s="4">
        <f t="shared" si="147"/>
        <v>34770</v>
      </c>
      <c r="BS186" s="4">
        <f t="shared" si="148"/>
        <v>31790</v>
      </c>
      <c r="BT186" s="142">
        <f>IF(ISNA(VLOOKUP($A186&amp;$AB186,'Days Exceptions'!$C$3:$I$7,6,FALSE)),ROUND(BQ186/MAX(BS186,(BR186*Min_Occ)),2),ROUND(BQ186/VLOOKUP($A186&amp;$AB186,'Days Exceptions'!$C$3:$I$7,6,FALSE),2))</f>
        <v>2.68</v>
      </c>
      <c r="BU186" s="143" t="e">
        <f t="shared" si="114"/>
        <v>#REF!</v>
      </c>
      <c r="BV186" s="143" t="e">
        <f t="shared" si="115"/>
        <v>#REF!</v>
      </c>
      <c r="BW186" s="143">
        <f t="shared" si="116"/>
        <v>143.01</v>
      </c>
      <c r="BX186" s="37" t="s">
        <v>512</v>
      </c>
      <c r="BY186" s="37" t="s">
        <v>500</v>
      </c>
      <c r="BZ186" s="37" t="s">
        <v>1728</v>
      </c>
      <c r="CA186" s="66" t="e">
        <f>VLOOKUP(A186,'CMI Data'!$A$3:$AZ$209,20,FALSE)</f>
        <v>#DIV/0!</v>
      </c>
      <c r="CB186" s="68">
        <f t="shared" si="117"/>
        <v>187.73</v>
      </c>
      <c r="CC186" s="68" t="e">
        <f t="shared" si="118"/>
        <v>#DIV/0!</v>
      </c>
      <c r="CD186" s="75" t="e">
        <f t="shared" si="149"/>
        <v>#DIV/0!</v>
      </c>
      <c r="CE186" s="68" t="e">
        <f>IF($I186="NA","NA",ROUND(#REF!*$CA186/$I186,2))</f>
        <v>#REF!</v>
      </c>
      <c r="CF186" s="75" t="e">
        <f t="shared" si="150"/>
        <v>#REF!</v>
      </c>
      <c r="CG186" s="68" t="e">
        <f t="shared" si="151"/>
        <v>#REF!</v>
      </c>
      <c r="CH186" s="4">
        <f t="shared" si="152"/>
        <v>85085</v>
      </c>
      <c r="CI186" s="4">
        <f t="shared" si="153"/>
        <v>34770</v>
      </c>
      <c r="CJ186" s="4">
        <f t="shared" si="154"/>
        <v>31790</v>
      </c>
      <c r="CK186" s="142">
        <f>IF(ISNA(VLOOKUP($A186&amp;$AB186,'Days Exceptions'!$C$3:$I$7,6,FALSE)),ROUND(CH186/MAX(CJ186,(CI186*Min_Occ)),2),ROUND(CH186/VLOOKUP($A186&amp;$AB186,'Days Exceptions'!$C$3:$I$7,6,FALSE),2))</f>
        <v>2.68</v>
      </c>
      <c r="CL186" s="143" t="e">
        <f t="shared" si="119"/>
        <v>#REF!</v>
      </c>
      <c r="CM186" s="143" t="e">
        <f t="shared" si="120"/>
        <v>#REF!</v>
      </c>
      <c r="CN186" s="143">
        <f t="shared" si="121"/>
        <v>143.01</v>
      </c>
      <c r="CO186" s="37" t="s">
        <v>512</v>
      </c>
      <c r="CP186" s="37" t="s">
        <v>500</v>
      </c>
      <c r="CQ186" s="37" t="s">
        <v>1729</v>
      </c>
    </row>
    <row r="187" spans="1:95" x14ac:dyDescent="0.15">
      <c r="A187" s="130">
        <v>715</v>
      </c>
      <c r="B187" s="37" t="s">
        <v>210</v>
      </c>
      <c r="C187" s="1" t="s">
        <v>148</v>
      </c>
      <c r="D187" s="1" t="s">
        <v>106</v>
      </c>
      <c r="E187" s="1" t="str">
        <f>VLOOKUP(D187,Documentation!$B$4:$D$27,3,FALSE)</f>
        <v>BALTIMORE METRO</v>
      </c>
      <c r="F187" s="1" t="str">
        <f>VLOOKUP(D187,Documentation!$B$4:$C$27,2,FALSE)</f>
        <v>BALTIMORE METRO</v>
      </c>
      <c r="G187" s="82">
        <f>VLOOKUP(A187,'2022 CR and CMI'!$A$3:$D$207,3,FALSE)</f>
        <v>44378</v>
      </c>
      <c r="H187" s="82">
        <f>VLOOKUP(A187,'2022 CR and CMI'!$A$3:$D$207,4,FALSE)</f>
        <v>44742</v>
      </c>
      <c r="I187" s="72">
        <f>VLOOKUP(A187,'2022 CR and CMI'!$A$2:$T$210,19,FALSE)</f>
        <v>1.3957999999999999</v>
      </c>
      <c r="J187" s="139">
        <f>Inflation!$G$24</f>
        <v>1.0309999999999999</v>
      </c>
      <c r="K187" s="192">
        <f>VLOOKUP(E187,Limits!$B$2:$D$5,3,FALSE)</f>
        <v>195.33</v>
      </c>
      <c r="L187" s="192">
        <f t="shared" si="124"/>
        <v>201.39</v>
      </c>
      <c r="M187" s="140">
        <f>VLOOKUP(A187,'CMI Data'!$A$4:$C$208,3,FALSE)</f>
        <v>1.3398000000000001</v>
      </c>
      <c r="N187" s="68">
        <f t="shared" si="106"/>
        <v>194.78</v>
      </c>
      <c r="O187" s="68">
        <f t="shared" si="125"/>
        <v>186.97</v>
      </c>
      <c r="P187" s="75">
        <f t="shared" si="126"/>
        <v>177.62</v>
      </c>
      <c r="Q187" s="75">
        <v>195.58</v>
      </c>
      <c r="R187" s="75">
        <f t="shared" si="127"/>
        <v>201.64</v>
      </c>
      <c r="S187" s="68">
        <f t="shared" si="128"/>
        <v>193.55</v>
      </c>
      <c r="T187" s="75">
        <f t="shared" si="129"/>
        <v>0</v>
      </c>
      <c r="U187" s="68">
        <f t="shared" si="130"/>
        <v>186.97</v>
      </c>
      <c r="V187" s="68">
        <f>VLOOKUP($F187,Limits!$J$2:$L$5,3,FALSE)</f>
        <v>20.85</v>
      </c>
      <c r="W187" s="68">
        <f t="shared" si="131"/>
        <v>21.5</v>
      </c>
      <c r="X187" s="68">
        <f>VLOOKUP($F187,Limits!$R$2:$T$5,3,FALSE)</f>
        <v>102.02</v>
      </c>
      <c r="Y187" s="68">
        <f t="shared" si="132"/>
        <v>105.18</v>
      </c>
      <c r="Z187" s="75">
        <f>VLOOKUP(A187,FRV!$A$4:$U$208,21,FALSE)</f>
        <v>27.66</v>
      </c>
      <c r="AA187" s="141">
        <f>VLOOKUP(A187,'RE Tax'!$A$2:$G$206,3,FALSE)</f>
        <v>45108</v>
      </c>
      <c r="AB187" s="141">
        <f>VLOOKUP(A187,'RE Tax'!$A$2:$G$206,4,FALSE)</f>
        <v>45473</v>
      </c>
      <c r="AC187" s="4">
        <f>VLOOKUP(A187,'RE Tax'!$A$2:$G$206,7,FALSE)</f>
        <v>52244</v>
      </c>
      <c r="AD187" s="4">
        <f>VLOOKUP($A187,'RE Tax'!$A$2:$I$206,9,FALSE)</f>
        <v>40626</v>
      </c>
      <c r="AE187" s="4">
        <f>VLOOKUP($A187,'RE Tax'!$A$2:$I$206,8,FALSE)</f>
        <v>39054</v>
      </c>
      <c r="AF187" s="142">
        <f>IF(ISNA(VLOOKUP(A187&amp;AB187,'Days Exceptions'!$C$3:$I$7,6,FALSE)),ROUND(AC187/MAX(AE187,(AD187*Min_Occ)),2),ROUND(AC187/VLOOKUP(A187&amp;AB187,'Days Exceptions'!$C$3:$I$7,6,FALSE),2))</f>
        <v>1.34</v>
      </c>
      <c r="AG187" s="68">
        <v>0</v>
      </c>
      <c r="AH187" s="68">
        <f t="shared" si="133"/>
        <v>0</v>
      </c>
      <c r="AI187" s="4">
        <v>32255</v>
      </c>
      <c r="AJ187" s="4">
        <v>38528</v>
      </c>
      <c r="AK187" s="68">
        <f>IF(AI187=0,0,IF(ISNA(MATCH(A187,Documentation!$B$66:$B$71,0)),QA_Tax_reg,QA_Tax_5high))</f>
        <v>32.92</v>
      </c>
      <c r="AL187" s="75">
        <f t="shared" si="134"/>
        <v>27.56</v>
      </c>
      <c r="AM187" s="68">
        <f t="shared" si="135"/>
        <v>342.65</v>
      </c>
      <c r="AN187" s="68">
        <f t="shared" si="136"/>
        <v>249.17</v>
      </c>
      <c r="AO187" s="68">
        <f t="shared" si="137"/>
        <v>155.68</v>
      </c>
      <c r="AP187" s="37" t="s">
        <v>10</v>
      </c>
      <c r="AQ187" s="37" t="s">
        <v>210</v>
      </c>
      <c r="AR187" s="37" t="s">
        <v>1139</v>
      </c>
      <c r="AS187" s="66" t="e">
        <f>VLOOKUP(A187,'CMI Data'!$A$3:$J$209,10,FALSE)</f>
        <v>#DIV/0!</v>
      </c>
      <c r="AT187" s="68">
        <f t="shared" si="107"/>
        <v>188.91</v>
      </c>
      <c r="AU187" s="68" t="e">
        <f t="shared" si="108"/>
        <v>#DIV/0!</v>
      </c>
      <c r="AV187" s="75" t="e">
        <f t="shared" si="138"/>
        <v>#DIV/0!</v>
      </c>
      <c r="AW187" s="68" t="e">
        <f>IF($I187="NA","NA",ROUND(#REF!*$AS187/$I187,2))</f>
        <v>#REF!</v>
      </c>
      <c r="AX187" s="75" t="e">
        <f t="shared" si="155"/>
        <v>#REF!</v>
      </c>
      <c r="AY187" s="68" t="e">
        <f t="shared" si="139"/>
        <v>#REF!</v>
      </c>
      <c r="AZ187" s="4">
        <f t="shared" si="140"/>
        <v>52244</v>
      </c>
      <c r="BA187" s="4">
        <f t="shared" si="141"/>
        <v>40626</v>
      </c>
      <c r="BB187" s="4">
        <f t="shared" si="142"/>
        <v>39054</v>
      </c>
      <c r="BC187" s="142">
        <f>IF(ISNA(VLOOKUP($A187&amp;$AB187,'Days Exceptions'!$C$3:$I$7,6,FALSE)),ROUND(AZ187/MAX(BB187,(BA187*Min_Occ)),2),ROUND(AZ187/VLOOKUP($A187&amp;$AB187,'Days Exceptions'!$C$3:$I$7,6,FALSE),2))</f>
        <v>1.34</v>
      </c>
      <c r="BD187" s="143" t="e">
        <f t="shared" si="109"/>
        <v>#REF!</v>
      </c>
      <c r="BE187" s="143" t="e">
        <f t="shared" si="110"/>
        <v>#REF!</v>
      </c>
      <c r="BF187" s="143">
        <f t="shared" si="111"/>
        <v>151.87</v>
      </c>
      <c r="BG187" s="37" t="s">
        <v>10</v>
      </c>
      <c r="BH187" s="37" t="s">
        <v>210</v>
      </c>
      <c r="BI187" s="37" t="s">
        <v>1343</v>
      </c>
      <c r="BJ187" s="66" t="e">
        <f>VLOOKUP(A187,'CMI Data'!$A$3:$AZ$209,15,FALSE)</f>
        <v>#DIV/0!</v>
      </c>
      <c r="BK187" s="68">
        <f t="shared" si="112"/>
        <v>188.91</v>
      </c>
      <c r="BL187" s="68" t="e">
        <f t="shared" si="113"/>
        <v>#DIV/0!</v>
      </c>
      <c r="BM187" s="75" t="e">
        <f t="shared" si="143"/>
        <v>#DIV/0!</v>
      </c>
      <c r="BN187" s="68" t="e">
        <f>IF($I187="NA","NA",ROUND(#REF!*$BJ187/$I187,2))</f>
        <v>#REF!</v>
      </c>
      <c r="BO187" s="75" t="e">
        <f t="shared" si="144"/>
        <v>#REF!</v>
      </c>
      <c r="BP187" s="68" t="e">
        <f t="shared" si="145"/>
        <v>#REF!</v>
      </c>
      <c r="BQ187" s="4">
        <f t="shared" si="146"/>
        <v>52244</v>
      </c>
      <c r="BR187" s="4">
        <f t="shared" si="147"/>
        <v>40626</v>
      </c>
      <c r="BS187" s="4">
        <f t="shared" si="148"/>
        <v>39054</v>
      </c>
      <c r="BT187" s="142">
        <f>IF(ISNA(VLOOKUP($A187&amp;$AB187,'Days Exceptions'!$C$3:$I$7,6,FALSE)),ROUND(BQ187/MAX(BS187,(BR187*Min_Occ)),2),ROUND(BQ187/VLOOKUP($A187&amp;$AB187,'Days Exceptions'!$C$3:$I$7,6,FALSE),2))</f>
        <v>1.34</v>
      </c>
      <c r="BU187" s="143" t="e">
        <f t="shared" si="114"/>
        <v>#REF!</v>
      </c>
      <c r="BV187" s="143" t="e">
        <f t="shared" si="115"/>
        <v>#REF!</v>
      </c>
      <c r="BW187" s="143">
        <f t="shared" si="116"/>
        <v>151.87</v>
      </c>
      <c r="BX187" s="37" t="s">
        <v>10</v>
      </c>
      <c r="BY187" s="37" t="s">
        <v>210</v>
      </c>
      <c r="BZ187" s="37" t="s">
        <v>1730</v>
      </c>
      <c r="CA187" s="66" t="e">
        <f>VLOOKUP(A187,'CMI Data'!$A$3:$AZ$209,20,FALSE)</f>
        <v>#DIV/0!</v>
      </c>
      <c r="CB187" s="68">
        <f t="shared" si="117"/>
        <v>188.91</v>
      </c>
      <c r="CC187" s="68" t="e">
        <f t="shared" si="118"/>
        <v>#DIV/0!</v>
      </c>
      <c r="CD187" s="75" t="e">
        <f t="shared" si="149"/>
        <v>#DIV/0!</v>
      </c>
      <c r="CE187" s="68" t="e">
        <f>IF($I187="NA","NA",ROUND(#REF!*$CA187/$I187,2))</f>
        <v>#REF!</v>
      </c>
      <c r="CF187" s="75" t="e">
        <f t="shared" si="150"/>
        <v>#REF!</v>
      </c>
      <c r="CG187" s="68" t="e">
        <f t="shared" si="151"/>
        <v>#REF!</v>
      </c>
      <c r="CH187" s="4">
        <f t="shared" si="152"/>
        <v>52244</v>
      </c>
      <c r="CI187" s="4">
        <f t="shared" si="153"/>
        <v>40626</v>
      </c>
      <c r="CJ187" s="4">
        <f t="shared" si="154"/>
        <v>39054</v>
      </c>
      <c r="CK187" s="142">
        <f>IF(ISNA(VLOOKUP($A187&amp;$AB187,'Days Exceptions'!$C$3:$I$7,6,FALSE)),ROUND(CH187/MAX(CJ187,(CI187*Min_Occ)),2),ROUND(CH187/VLOOKUP($A187&amp;$AB187,'Days Exceptions'!$C$3:$I$7,6,FALSE),2))</f>
        <v>1.34</v>
      </c>
      <c r="CL187" s="143" t="e">
        <f t="shared" si="119"/>
        <v>#REF!</v>
      </c>
      <c r="CM187" s="143" t="e">
        <f t="shared" si="120"/>
        <v>#REF!</v>
      </c>
      <c r="CN187" s="143">
        <f t="shared" si="121"/>
        <v>151.87</v>
      </c>
      <c r="CO187" s="37" t="s">
        <v>10</v>
      </c>
      <c r="CP187" s="37" t="s">
        <v>210</v>
      </c>
      <c r="CQ187" s="37" t="s">
        <v>1731</v>
      </c>
    </row>
    <row r="188" spans="1:95" x14ac:dyDescent="0.15">
      <c r="A188" s="130">
        <v>416</v>
      </c>
      <c r="B188" s="37" t="s">
        <v>208</v>
      </c>
      <c r="C188" s="1" t="s">
        <v>148</v>
      </c>
      <c r="D188" s="1" t="s">
        <v>102</v>
      </c>
      <c r="E188" s="1" t="str">
        <f>VLOOKUP(D188,Documentation!$B$4:$D$27,3,FALSE)</f>
        <v>BALTIMORE METRO</v>
      </c>
      <c r="F188" s="1" t="str">
        <f>VLOOKUP(D188,Documentation!$B$4:$C$27,2,FALSE)</f>
        <v>BALTIMORE CITY</v>
      </c>
      <c r="G188" s="82">
        <f>VLOOKUP(A188,'2022 CR and CMI'!$A$3:$D$207,3,FALSE)</f>
        <v>44378</v>
      </c>
      <c r="H188" s="82">
        <f>VLOOKUP(A188,'2022 CR and CMI'!$A$3:$D$207,4,FALSE)</f>
        <v>44742</v>
      </c>
      <c r="I188" s="72">
        <f>VLOOKUP(A188,'2022 CR and CMI'!$A$2:$T$210,19,FALSE)</f>
        <v>1.3141</v>
      </c>
      <c r="J188" s="139">
        <f>Inflation!$G$24</f>
        <v>1.0309999999999999</v>
      </c>
      <c r="K188" s="192">
        <f>VLOOKUP(E188,Limits!$B$2:$D$5,3,FALSE)</f>
        <v>195.33</v>
      </c>
      <c r="L188" s="192">
        <f t="shared" si="124"/>
        <v>201.39</v>
      </c>
      <c r="M188" s="140">
        <f>VLOOKUP(A188,'CMI Data'!$A$4:$C$208,3,FALSE)</f>
        <v>1.3271999999999999</v>
      </c>
      <c r="N188" s="68">
        <f t="shared" si="106"/>
        <v>183.37</v>
      </c>
      <c r="O188" s="68">
        <f t="shared" si="125"/>
        <v>185.2</v>
      </c>
      <c r="P188" s="75">
        <f t="shared" si="126"/>
        <v>175.94</v>
      </c>
      <c r="Q188" s="75">
        <v>237.05</v>
      </c>
      <c r="R188" s="75">
        <f t="shared" si="127"/>
        <v>244.4</v>
      </c>
      <c r="S188" s="68">
        <f t="shared" si="128"/>
        <v>246.84</v>
      </c>
      <c r="T188" s="75">
        <f t="shared" si="129"/>
        <v>0</v>
      </c>
      <c r="U188" s="68">
        <f t="shared" si="130"/>
        <v>185.2</v>
      </c>
      <c r="V188" s="68">
        <f>VLOOKUP($F188,Limits!$J$2:$L$5,3,FALSE)</f>
        <v>24.89</v>
      </c>
      <c r="W188" s="68">
        <f t="shared" si="131"/>
        <v>25.66</v>
      </c>
      <c r="X188" s="68">
        <f>VLOOKUP($F188,Limits!$R$2:$T$5,3,FALSE)</f>
        <v>114.15</v>
      </c>
      <c r="Y188" s="68">
        <f t="shared" si="132"/>
        <v>117.69</v>
      </c>
      <c r="Z188" s="75">
        <f>VLOOKUP(A188,FRV!$A$4:$U$208,21,FALSE)</f>
        <v>51.69</v>
      </c>
      <c r="AA188" s="141">
        <f>VLOOKUP(A188,'RE Tax'!$A$2:$G$206,3,FALSE)</f>
        <v>45474</v>
      </c>
      <c r="AB188" s="141">
        <f>VLOOKUP(A188,'RE Tax'!$A$2:$G$206,4,FALSE)</f>
        <v>45626</v>
      </c>
      <c r="AC188" s="4">
        <f>VLOOKUP(A188,'RE Tax'!$A$2:$G$206,7,FALSE)</f>
        <v>0</v>
      </c>
      <c r="AD188" s="4">
        <f>VLOOKUP($A188,'RE Tax'!$A$2:$I$206,9,FALSE)</f>
        <v>24786</v>
      </c>
      <c r="AE188" s="4">
        <f>VLOOKUP($A188,'RE Tax'!$A$2:$I$206,8,FALSE)</f>
        <v>19353</v>
      </c>
      <c r="AF188" s="142">
        <f>IF(ISNA(VLOOKUP(A188&amp;AB188,'Days Exceptions'!$C$3:$I$7,6,FALSE)),ROUND(AC188/MAX(AE188,(AD188*Min_Occ)),2),ROUND(AC188/VLOOKUP(A188&amp;AB188,'Days Exceptions'!$C$3:$I$7,6,FALSE),2))</f>
        <v>0</v>
      </c>
      <c r="AG188" s="68">
        <v>0</v>
      </c>
      <c r="AH188" s="68">
        <f t="shared" si="133"/>
        <v>0</v>
      </c>
      <c r="AI188" s="4">
        <v>34996</v>
      </c>
      <c r="AJ188" s="4">
        <v>49660</v>
      </c>
      <c r="AK188" s="68">
        <f>IF(AI188=0,0,IF(ISNA(MATCH(A188,Documentation!$B$66:$B$71,0)),QA_Tax_reg,QA_Tax_5high))</f>
        <v>32.92</v>
      </c>
      <c r="AL188" s="75">
        <f t="shared" si="134"/>
        <v>23.2</v>
      </c>
      <c r="AM188" s="68">
        <f t="shared" si="135"/>
        <v>380.24</v>
      </c>
      <c r="AN188" s="68">
        <f t="shared" si="136"/>
        <v>287.64</v>
      </c>
      <c r="AO188" s="68">
        <f t="shared" si="137"/>
        <v>195.04</v>
      </c>
      <c r="AP188" s="37" t="s">
        <v>810</v>
      </c>
      <c r="AQ188" s="37" t="s">
        <v>208</v>
      </c>
      <c r="AR188" s="37" t="s">
        <v>1140</v>
      </c>
      <c r="AS188" s="66" t="e">
        <f>VLOOKUP(A188,'CMI Data'!$A$3:$J$209,10,FALSE)</f>
        <v>#DIV/0!</v>
      </c>
      <c r="AT188" s="68">
        <f t="shared" si="107"/>
        <v>177.86</v>
      </c>
      <c r="AU188" s="68" t="e">
        <f t="shared" si="108"/>
        <v>#DIV/0!</v>
      </c>
      <c r="AV188" s="75" t="e">
        <f t="shared" si="138"/>
        <v>#DIV/0!</v>
      </c>
      <c r="AW188" s="68" t="e">
        <f>IF($I188="NA","NA",ROUND(#REF!*$AS188/$I188,2))</f>
        <v>#REF!</v>
      </c>
      <c r="AX188" s="75" t="e">
        <f t="shared" si="155"/>
        <v>#REF!</v>
      </c>
      <c r="AY188" s="68" t="e">
        <f t="shared" si="139"/>
        <v>#REF!</v>
      </c>
      <c r="AZ188" s="4">
        <f t="shared" si="140"/>
        <v>0</v>
      </c>
      <c r="BA188" s="4">
        <f t="shared" si="141"/>
        <v>24786</v>
      </c>
      <c r="BB188" s="4">
        <f t="shared" si="142"/>
        <v>19353</v>
      </c>
      <c r="BC188" s="142">
        <f>IF(ISNA(VLOOKUP($A188&amp;$AB188,'Days Exceptions'!$C$3:$I$7,6,FALSE)),ROUND(AZ188/MAX(BB188,(BA188*Min_Occ)),2),ROUND(AZ188/VLOOKUP($A188&amp;$AB188,'Days Exceptions'!$C$3:$I$7,6,FALSE),2))</f>
        <v>0</v>
      </c>
      <c r="BD188" s="143" t="e">
        <f t="shared" si="109"/>
        <v>#REF!</v>
      </c>
      <c r="BE188" s="143" t="e">
        <f t="shared" si="110"/>
        <v>#REF!</v>
      </c>
      <c r="BF188" s="143">
        <f t="shared" si="111"/>
        <v>190.73</v>
      </c>
      <c r="BG188" s="37" t="s">
        <v>96</v>
      </c>
      <c r="BH188" s="37" t="s">
        <v>208</v>
      </c>
      <c r="BI188" s="37" t="s">
        <v>1344</v>
      </c>
      <c r="BJ188" s="66" t="e">
        <f>VLOOKUP(A188,'CMI Data'!$A$3:$AZ$209,15,FALSE)</f>
        <v>#DIV/0!</v>
      </c>
      <c r="BK188" s="68">
        <f t="shared" si="112"/>
        <v>177.86</v>
      </c>
      <c r="BL188" s="68" t="e">
        <f t="shared" si="113"/>
        <v>#DIV/0!</v>
      </c>
      <c r="BM188" s="75" t="e">
        <f t="shared" si="143"/>
        <v>#DIV/0!</v>
      </c>
      <c r="BN188" s="68" t="e">
        <f>IF($I188="NA","NA",ROUND(#REF!*$BJ188/$I188,2))</f>
        <v>#REF!</v>
      </c>
      <c r="BO188" s="75" t="e">
        <f t="shared" si="144"/>
        <v>#REF!</v>
      </c>
      <c r="BP188" s="68" t="e">
        <f t="shared" si="145"/>
        <v>#REF!</v>
      </c>
      <c r="BQ188" s="4">
        <f t="shared" si="146"/>
        <v>0</v>
      </c>
      <c r="BR188" s="4">
        <f t="shared" si="147"/>
        <v>24786</v>
      </c>
      <c r="BS188" s="4">
        <f t="shared" si="148"/>
        <v>19353</v>
      </c>
      <c r="BT188" s="142">
        <f>IF(ISNA(VLOOKUP($A188&amp;$AB188,'Days Exceptions'!$C$3:$I$7,6,FALSE)),ROUND(BQ188/MAX(BS188,(BR188*Min_Occ)),2),ROUND(BQ188/VLOOKUP($A188&amp;$AB188,'Days Exceptions'!$C$3:$I$7,6,FALSE),2))</f>
        <v>0</v>
      </c>
      <c r="BU188" s="143" t="e">
        <f t="shared" si="114"/>
        <v>#REF!</v>
      </c>
      <c r="BV188" s="143" t="e">
        <f t="shared" si="115"/>
        <v>#REF!</v>
      </c>
      <c r="BW188" s="143">
        <f t="shared" si="116"/>
        <v>190.73</v>
      </c>
      <c r="BX188" s="37" t="s">
        <v>96</v>
      </c>
      <c r="BY188" s="37" t="s">
        <v>208</v>
      </c>
      <c r="BZ188" s="37" t="s">
        <v>1732</v>
      </c>
      <c r="CA188" s="66" t="e">
        <f>VLOOKUP(A188,'CMI Data'!$A$3:$AZ$209,20,FALSE)</f>
        <v>#DIV/0!</v>
      </c>
      <c r="CB188" s="68">
        <f t="shared" si="117"/>
        <v>177.86</v>
      </c>
      <c r="CC188" s="68" t="e">
        <f t="shared" si="118"/>
        <v>#DIV/0!</v>
      </c>
      <c r="CD188" s="75" t="e">
        <f t="shared" si="149"/>
        <v>#DIV/0!</v>
      </c>
      <c r="CE188" s="68" t="e">
        <f>IF($I188="NA","NA",ROUND(#REF!*$CA188/$I188,2))</f>
        <v>#REF!</v>
      </c>
      <c r="CF188" s="75" t="e">
        <f t="shared" si="150"/>
        <v>#REF!</v>
      </c>
      <c r="CG188" s="68" t="e">
        <f t="shared" si="151"/>
        <v>#REF!</v>
      </c>
      <c r="CH188" s="4">
        <f t="shared" si="152"/>
        <v>0</v>
      </c>
      <c r="CI188" s="4">
        <f t="shared" si="153"/>
        <v>24786</v>
      </c>
      <c r="CJ188" s="4">
        <f t="shared" si="154"/>
        <v>19353</v>
      </c>
      <c r="CK188" s="142">
        <f>IF(ISNA(VLOOKUP($A188&amp;$AB188,'Days Exceptions'!$C$3:$I$7,6,FALSE)),ROUND(CH188/MAX(CJ188,(CI188*Min_Occ)),2),ROUND(CH188/VLOOKUP($A188&amp;$AB188,'Days Exceptions'!$C$3:$I$7,6,FALSE),2))</f>
        <v>0</v>
      </c>
      <c r="CL188" s="143" t="e">
        <f t="shared" si="119"/>
        <v>#REF!</v>
      </c>
      <c r="CM188" s="143" t="e">
        <f t="shared" si="120"/>
        <v>#REF!</v>
      </c>
      <c r="CN188" s="143">
        <f t="shared" si="121"/>
        <v>190.73</v>
      </c>
      <c r="CO188" s="37" t="s">
        <v>810</v>
      </c>
      <c r="CP188" s="37" t="s">
        <v>208</v>
      </c>
      <c r="CQ188" s="37" t="s">
        <v>1733</v>
      </c>
    </row>
    <row r="189" spans="1:95" x14ac:dyDescent="0.15">
      <c r="A189" s="130">
        <v>418</v>
      </c>
      <c r="B189" s="37" t="s">
        <v>672</v>
      </c>
      <c r="C189" s="1" t="s">
        <v>148</v>
      </c>
      <c r="D189" s="1" t="s">
        <v>107</v>
      </c>
      <c r="E189" s="1" t="str">
        <f>VLOOKUP(D189,Documentation!$B$4:$D$27,3,FALSE)</f>
        <v>BALTIMORE METRO</v>
      </c>
      <c r="F189" s="1" t="str">
        <f>VLOOKUP(D189,Documentation!$B$4:$C$27,2,FALSE)</f>
        <v>BALTIMORE METRO</v>
      </c>
      <c r="G189" s="82">
        <f>VLOOKUP(A189,'2022 CR and CMI'!$A$3:$D$207,3,FALSE)</f>
        <v>44562</v>
      </c>
      <c r="H189" s="82">
        <f>VLOOKUP(A189,'2022 CR and CMI'!$A$3:$D$207,4,FALSE)</f>
        <v>44957</v>
      </c>
      <c r="I189" s="72">
        <f>VLOOKUP(A189,'2022 CR and CMI'!$A$2:$T$210,19,FALSE)</f>
        <v>1.2295</v>
      </c>
      <c r="J189" s="139">
        <f>Inflation!$G$24</f>
        <v>1.0309999999999999</v>
      </c>
      <c r="K189" s="192">
        <f>VLOOKUP(E189,Limits!$B$2:$D$5,3,FALSE)</f>
        <v>195.33</v>
      </c>
      <c r="L189" s="192">
        <f t="shared" si="124"/>
        <v>201.39</v>
      </c>
      <c r="M189" s="140">
        <f>VLOOKUP(A189,'CMI Data'!$A$4:$C$208,3,FALSE)</f>
        <v>1.0669999999999999</v>
      </c>
      <c r="N189" s="68">
        <f t="shared" si="106"/>
        <v>171.57</v>
      </c>
      <c r="O189" s="68">
        <f t="shared" si="125"/>
        <v>148.88999999999999</v>
      </c>
      <c r="P189" s="75">
        <f t="shared" si="126"/>
        <v>141.44999999999999</v>
      </c>
      <c r="Q189" s="75">
        <v>142</v>
      </c>
      <c r="R189" s="75">
        <f t="shared" si="127"/>
        <v>146.4</v>
      </c>
      <c r="S189" s="68">
        <f t="shared" si="128"/>
        <v>127.05</v>
      </c>
      <c r="T189" s="75">
        <f t="shared" si="129"/>
        <v>-14.4</v>
      </c>
      <c r="U189" s="68">
        <f t="shared" si="130"/>
        <v>134.49</v>
      </c>
      <c r="V189" s="68">
        <f>VLOOKUP($F189,Limits!$J$2:$L$5,3,FALSE)</f>
        <v>20.85</v>
      </c>
      <c r="W189" s="68">
        <f t="shared" si="131"/>
        <v>21.5</v>
      </c>
      <c r="X189" s="68">
        <f>VLOOKUP($F189,Limits!$R$2:$T$5,3,FALSE)</f>
        <v>102.02</v>
      </c>
      <c r="Y189" s="68">
        <f t="shared" si="132"/>
        <v>105.18</v>
      </c>
      <c r="Z189" s="75">
        <f>VLOOKUP(A189,FRV!$A$4:$U$208,21,FALSE)</f>
        <v>37.909999999999997</v>
      </c>
      <c r="AA189" s="141">
        <f>VLOOKUP(A189,'RE Tax'!$A$2:$G$206,3,FALSE)</f>
        <v>45292</v>
      </c>
      <c r="AB189" s="141">
        <f>VLOOKUP(A189,'RE Tax'!$A$2:$G$206,4,FALSE)</f>
        <v>45657</v>
      </c>
      <c r="AC189" s="4">
        <f>VLOOKUP(A189,'RE Tax'!$A$2:$G$206,7,FALSE)</f>
        <v>0</v>
      </c>
      <c r="AD189" s="4">
        <f>VLOOKUP($A189,'RE Tax'!$A$2:$I$206,9,FALSE)</f>
        <v>16104</v>
      </c>
      <c r="AE189" s="4">
        <f>VLOOKUP($A189,'RE Tax'!$A$2:$I$206,8,FALSE)</f>
        <v>15297</v>
      </c>
      <c r="AF189" s="142">
        <f>IF(ISNA(VLOOKUP(A189&amp;AB189,'Days Exceptions'!$C$3:$I$7,6,FALSE)),ROUND(AC189/MAX(AE189,(AD189*Min_Occ)),2),ROUND(AC189/VLOOKUP(A189&amp;AB189,'Days Exceptions'!$C$3:$I$7,6,FALSE),2))</f>
        <v>0</v>
      </c>
      <c r="AG189" s="68">
        <v>0</v>
      </c>
      <c r="AH189" s="68">
        <f t="shared" si="133"/>
        <v>0</v>
      </c>
      <c r="AI189" s="4">
        <v>0</v>
      </c>
      <c r="AJ189" s="4">
        <v>0</v>
      </c>
      <c r="AK189" s="68">
        <f>IF(AI189=0,0,IF(ISNA(MATCH(A189,Documentation!$B$66:$B$71,0)),QA_Tax_reg,QA_Tax_5high))</f>
        <v>0</v>
      </c>
      <c r="AL189" s="75">
        <f t="shared" si="134"/>
        <v>0</v>
      </c>
      <c r="AM189" s="68">
        <f t="shared" si="135"/>
        <v>299.08</v>
      </c>
      <c r="AN189" s="68">
        <f t="shared" si="136"/>
        <v>231.84</v>
      </c>
      <c r="AO189" s="68">
        <f t="shared" si="137"/>
        <v>164.59</v>
      </c>
      <c r="AP189" s="37" t="s">
        <v>671</v>
      </c>
      <c r="AQ189" s="37" t="s">
        <v>672</v>
      </c>
      <c r="AR189" s="37" t="s">
        <v>1141</v>
      </c>
      <c r="AS189" s="66" t="e">
        <f>VLOOKUP(A189,'CMI Data'!$A$3:$J$209,10,FALSE)</f>
        <v>#DIV/0!</v>
      </c>
      <c r="AT189" s="68">
        <f t="shared" si="107"/>
        <v>166.41</v>
      </c>
      <c r="AU189" s="68" t="e">
        <f t="shared" si="108"/>
        <v>#DIV/0!</v>
      </c>
      <c r="AV189" s="75" t="e">
        <f t="shared" si="138"/>
        <v>#DIV/0!</v>
      </c>
      <c r="AW189" s="68" t="e">
        <f>IF($I189="NA","NA",ROUND(#REF!*$AS189/$I189,2))</f>
        <v>#REF!</v>
      </c>
      <c r="AX189" s="75" t="e">
        <f t="shared" si="155"/>
        <v>#REF!</v>
      </c>
      <c r="AY189" s="68" t="e">
        <f t="shared" si="139"/>
        <v>#REF!</v>
      </c>
      <c r="AZ189" s="4">
        <f t="shared" si="140"/>
        <v>0</v>
      </c>
      <c r="BA189" s="4">
        <f t="shared" si="141"/>
        <v>16104</v>
      </c>
      <c r="BB189" s="4">
        <f t="shared" si="142"/>
        <v>15297</v>
      </c>
      <c r="BC189" s="142">
        <f>IF(ISNA(VLOOKUP($A189&amp;$AB189,'Days Exceptions'!$C$3:$I$7,6,FALSE)),ROUND(AZ189/MAX(BB189,(BA189*Min_Occ)),2),ROUND(AZ189/VLOOKUP($A189&amp;$AB189,'Days Exceptions'!$C$3:$I$7,6,FALSE),2))</f>
        <v>0</v>
      </c>
      <c r="BD189" s="143" t="e">
        <f t="shared" si="109"/>
        <v>#REF!</v>
      </c>
      <c r="BE189" s="143" t="e">
        <f t="shared" si="110"/>
        <v>#REF!</v>
      </c>
      <c r="BF189" s="143">
        <f t="shared" si="111"/>
        <v>160.78</v>
      </c>
      <c r="BG189" s="37" t="s">
        <v>671</v>
      </c>
      <c r="BH189" s="37" t="s">
        <v>672</v>
      </c>
      <c r="BI189" s="37" t="s">
        <v>1345</v>
      </c>
      <c r="BJ189" s="66" t="e">
        <f>VLOOKUP(A189,'CMI Data'!$A$3:$AZ$209,15,FALSE)</f>
        <v>#DIV/0!</v>
      </c>
      <c r="BK189" s="68">
        <f t="shared" si="112"/>
        <v>166.41</v>
      </c>
      <c r="BL189" s="68" t="e">
        <f t="shared" si="113"/>
        <v>#DIV/0!</v>
      </c>
      <c r="BM189" s="75" t="e">
        <f t="shared" si="143"/>
        <v>#DIV/0!</v>
      </c>
      <c r="BN189" s="68" t="e">
        <f>IF($I189="NA","NA",ROUND(#REF!*$BJ189/$I189,2))</f>
        <v>#REF!</v>
      </c>
      <c r="BO189" s="75" t="e">
        <f t="shared" si="144"/>
        <v>#REF!</v>
      </c>
      <c r="BP189" s="68" t="e">
        <f t="shared" si="145"/>
        <v>#REF!</v>
      </c>
      <c r="BQ189" s="4">
        <f t="shared" si="146"/>
        <v>0</v>
      </c>
      <c r="BR189" s="4">
        <f t="shared" si="147"/>
        <v>16104</v>
      </c>
      <c r="BS189" s="4">
        <f t="shared" si="148"/>
        <v>15297</v>
      </c>
      <c r="BT189" s="142">
        <f>IF(ISNA(VLOOKUP($A189&amp;$AB189,'Days Exceptions'!$C$3:$I$7,6,FALSE)),ROUND(BQ189/MAX(BS189,(BR189*Min_Occ)),2),ROUND(BQ189/VLOOKUP($A189&amp;$AB189,'Days Exceptions'!$C$3:$I$7,6,FALSE),2))</f>
        <v>0</v>
      </c>
      <c r="BU189" s="143" t="e">
        <f t="shared" si="114"/>
        <v>#REF!</v>
      </c>
      <c r="BV189" s="143" t="e">
        <f t="shared" si="115"/>
        <v>#REF!</v>
      </c>
      <c r="BW189" s="143">
        <f t="shared" si="116"/>
        <v>160.78</v>
      </c>
      <c r="BX189" s="37" t="s">
        <v>671</v>
      </c>
      <c r="BY189" s="37" t="s">
        <v>672</v>
      </c>
      <c r="BZ189" s="37" t="s">
        <v>1734</v>
      </c>
      <c r="CA189" s="66" t="e">
        <f>VLOOKUP(A189,'CMI Data'!$A$3:$AZ$209,20,FALSE)</f>
        <v>#DIV/0!</v>
      </c>
      <c r="CB189" s="68">
        <f t="shared" si="117"/>
        <v>166.41</v>
      </c>
      <c r="CC189" s="68" t="e">
        <f t="shared" si="118"/>
        <v>#DIV/0!</v>
      </c>
      <c r="CD189" s="75" t="e">
        <f t="shared" si="149"/>
        <v>#DIV/0!</v>
      </c>
      <c r="CE189" s="68" t="e">
        <f>IF($I189="NA","NA",ROUND(#REF!*$CA189/$I189,2))</f>
        <v>#REF!</v>
      </c>
      <c r="CF189" s="75" t="e">
        <f t="shared" si="150"/>
        <v>#REF!</v>
      </c>
      <c r="CG189" s="68" t="e">
        <f t="shared" si="151"/>
        <v>#REF!</v>
      </c>
      <c r="CH189" s="4">
        <f t="shared" si="152"/>
        <v>0</v>
      </c>
      <c r="CI189" s="4">
        <f t="shared" si="153"/>
        <v>16104</v>
      </c>
      <c r="CJ189" s="4">
        <f t="shared" si="154"/>
        <v>15297</v>
      </c>
      <c r="CK189" s="142">
        <f>IF(ISNA(VLOOKUP($A189&amp;$AB189,'Days Exceptions'!$C$3:$I$7,6,FALSE)),ROUND(CH189/MAX(CJ189,(CI189*Min_Occ)),2),ROUND(CH189/VLOOKUP($A189&amp;$AB189,'Days Exceptions'!$C$3:$I$7,6,FALSE),2))</f>
        <v>0</v>
      </c>
      <c r="CL189" s="143" t="e">
        <f t="shared" si="119"/>
        <v>#REF!</v>
      </c>
      <c r="CM189" s="143" t="e">
        <f t="shared" si="120"/>
        <v>#REF!</v>
      </c>
      <c r="CN189" s="143">
        <f t="shared" si="121"/>
        <v>160.78</v>
      </c>
      <c r="CO189" s="37" t="s">
        <v>671</v>
      </c>
      <c r="CP189" s="37" t="s">
        <v>672</v>
      </c>
      <c r="CQ189" s="37" t="s">
        <v>1735</v>
      </c>
    </row>
    <row r="190" spans="1:95" x14ac:dyDescent="0.15">
      <c r="A190" s="130">
        <v>767</v>
      </c>
      <c r="B190" s="37" t="s">
        <v>216</v>
      </c>
      <c r="C190" s="1" t="s">
        <v>148</v>
      </c>
      <c r="D190" s="1" t="s">
        <v>122</v>
      </c>
      <c r="E190" s="1" t="str">
        <f>VLOOKUP(D190,Documentation!$B$4:$D$27,3,FALSE)</f>
        <v>WASHINGTON METRO</v>
      </c>
      <c r="F190" s="1" t="str">
        <f>VLOOKUP(D190,Documentation!$B$4:$C$27,2,FALSE)</f>
        <v>NON METRO</v>
      </c>
      <c r="G190" s="82">
        <f>VLOOKUP(A190,'2022 CR and CMI'!$A$3:$D$207,3,FALSE)</f>
        <v>44378</v>
      </c>
      <c r="H190" s="82">
        <f>VLOOKUP(A190,'2022 CR and CMI'!$A$3:$D$207,4,FALSE)</f>
        <v>44742</v>
      </c>
      <c r="I190" s="72">
        <f>VLOOKUP(A190,'2022 CR and CMI'!$A$2:$T$210,19,FALSE)</f>
        <v>1.47</v>
      </c>
      <c r="J190" s="139">
        <f>Inflation!$G$24</f>
        <v>1.0309999999999999</v>
      </c>
      <c r="K190" s="192">
        <f>VLOOKUP(E190,Limits!$B$2:$D$5,3,FALSE)</f>
        <v>176.01</v>
      </c>
      <c r="L190" s="192">
        <f t="shared" si="124"/>
        <v>181.47</v>
      </c>
      <c r="M190" s="140">
        <f>VLOOKUP(A190,'CMI Data'!$A$4:$C$208,3,FALSE)</f>
        <v>1.3452</v>
      </c>
      <c r="N190" s="68">
        <f t="shared" si="106"/>
        <v>184.84</v>
      </c>
      <c r="O190" s="68">
        <f t="shared" si="125"/>
        <v>169.15</v>
      </c>
      <c r="P190" s="75">
        <f t="shared" si="126"/>
        <v>160.69</v>
      </c>
      <c r="Q190" s="75">
        <v>136.49</v>
      </c>
      <c r="R190" s="75">
        <f t="shared" si="127"/>
        <v>140.72</v>
      </c>
      <c r="S190" s="68">
        <f t="shared" si="128"/>
        <v>128.77000000000001</v>
      </c>
      <c r="T190" s="75">
        <f t="shared" si="129"/>
        <v>-31.92</v>
      </c>
      <c r="U190" s="68">
        <f t="shared" si="130"/>
        <v>137.22999999999999</v>
      </c>
      <c r="V190" s="68">
        <f>VLOOKUP($F190,Limits!$J$2:$L$5,3,FALSE)</f>
        <v>20.239999999999998</v>
      </c>
      <c r="W190" s="68">
        <f t="shared" si="131"/>
        <v>20.87</v>
      </c>
      <c r="X190" s="68">
        <f>VLOOKUP($F190,Limits!$R$2:$T$5,3,FALSE)</f>
        <v>89.55</v>
      </c>
      <c r="Y190" s="68">
        <f t="shared" si="132"/>
        <v>92.33</v>
      </c>
      <c r="Z190" s="75">
        <f>VLOOKUP(A190,FRV!$A$4:$U$208,21,FALSE)</f>
        <v>44.29</v>
      </c>
      <c r="AA190" s="141">
        <f>VLOOKUP(A190,'RE Tax'!$A$2:$G$206,3,FALSE)</f>
        <v>45108</v>
      </c>
      <c r="AB190" s="141">
        <f>VLOOKUP(A190,'RE Tax'!$A$2:$G$206,4,FALSE)</f>
        <v>45473</v>
      </c>
      <c r="AC190" s="4">
        <f>VLOOKUP(A190,'RE Tax'!$A$2:$G$206,7,FALSE)</f>
        <v>0</v>
      </c>
      <c r="AD190" s="4">
        <f>VLOOKUP($A190,'RE Tax'!$A$2:$I$206,9,FALSE)</f>
        <v>58560</v>
      </c>
      <c r="AE190" s="4">
        <f>VLOOKUP($A190,'RE Tax'!$A$2:$I$206,8,FALSE)</f>
        <v>39849</v>
      </c>
      <c r="AF190" s="142">
        <f>IF(ISNA(VLOOKUP(A190&amp;AB190,'Days Exceptions'!$C$3:$I$7,6,FALSE)),ROUND(AC190/MAX(AE190,(AD190*Min_Occ)),2),ROUND(AC190/VLOOKUP(A190&amp;AB190,'Days Exceptions'!$C$3:$I$7,6,FALSE),2))</f>
        <v>0</v>
      </c>
      <c r="AG190" s="68">
        <v>0</v>
      </c>
      <c r="AH190" s="68">
        <f t="shared" si="133"/>
        <v>0</v>
      </c>
      <c r="AI190" s="4">
        <v>34702</v>
      </c>
      <c r="AJ190" s="4">
        <v>38995</v>
      </c>
      <c r="AK190" s="68">
        <f>IF(AI190=0,0,IF(ISNA(MATCH(A190,Documentation!$B$66:$B$71,0)),QA_Tax_reg,QA_Tax_5high))</f>
        <v>32.92</v>
      </c>
      <c r="AL190" s="75">
        <f t="shared" si="134"/>
        <v>29.3</v>
      </c>
      <c r="AM190" s="68">
        <f t="shared" si="135"/>
        <v>294.72000000000003</v>
      </c>
      <c r="AN190" s="68">
        <f t="shared" si="136"/>
        <v>226.11</v>
      </c>
      <c r="AO190" s="68">
        <f t="shared" si="137"/>
        <v>157.49</v>
      </c>
      <c r="AP190" s="37" t="s">
        <v>18</v>
      </c>
      <c r="AQ190" s="37" t="s">
        <v>216</v>
      </c>
      <c r="AR190" s="37" t="s">
        <v>1142</v>
      </c>
      <c r="AS190" s="66" t="e">
        <f>VLOOKUP(A190,'CMI Data'!$A$3:$J$209,10,FALSE)</f>
        <v>#DIV/0!</v>
      </c>
      <c r="AT190" s="68">
        <f t="shared" si="107"/>
        <v>179.28</v>
      </c>
      <c r="AU190" s="68" t="e">
        <f t="shared" si="108"/>
        <v>#DIV/0!</v>
      </c>
      <c r="AV190" s="75" t="e">
        <f t="shared" si="138"/>
        <v>#DIV/0!</v>
      </c>
      <c r="AW190" s="68" t="e">
        <f>IF($I190="NA","NA",ROUND(#REF!*$AS190/$I190,2))</f>
        <v>#REF!</v>
      </c>
      <c r="AX190" s="75" t="e">
        <f t="shared" si="155"/>
        <v>#REF!</v>
      </c>
      <c r="AY190" s="68" t="e">
        <f t="shared" si="139"/>
        <v>#REF!</v>
      </c>
      <c r="AZ190" s="4">
        <f t="shared" si="140"/>
        <v>0</v>
      </c>
      <c r="BA190" s="4">
        <f t="shared" si="141"/>
        <v>58560</v>
      </c>
      <c r="BB190" s="4">
        <f t="shared" si="142"/>
        <v>39849</v>
      </c>
      <c r="BC190" s="142">
        <f>IF(ISNA(VLOOKUP($A190&amp;$AB190,'Days Exceptions'!$C$3:$I$7,6,FALSE)),ROUND(AZ190/MAX(BB190,(BA190*Min_Occ)),2),ROUND(AZ190/VLOOKUP($A190&amp;$AB190,'Days Exceptions'!$C$3:$I$7,6,FALSE),2))</f>
        <v>0</v>
      </c>
      <c r="BD190" s="143" t="e">
        <f t="shared" si="109"/>
        <v>#REF!</v>
      </c>
      <c r="BE190" s="143" t="e">
        <f t="shared" si="110"/>
        <v>#REF!</v>
      </c>
      <c r="BF190" s="143">
        <f t="shared" si="111"/>
        <v>154.08000000000001</v>
      </c>
      <c r="BG190" s="37" t="s">
        <v>18</v>
      </c>
      <c r="BH190" s="37" t="s">
        <v>216</v>
      </c>
      <c r="BI190" s="37" t="s">
        <v>1346</v>
      </c>
      <c r="BJ190" s="66" t="e">
        <f>VLOOKUP(A190,'CMI Data'!$A$3:$AZ$209,15,FALSE)</f>
        <v>#DIV/0!</v>
      </c>
      <c r="BK190" s="68">
        <f t="shared" si="112"/>
        <v>179.28</v>
      </c>
      <c r="BL190" s="68" t="e">
        <f t="shared" si="113"/>
        <v>#DIV/0!</v>
      </c>
      <c r="BM190" s="75" t="e">
        <f t="shared" si="143"/>
        <v>#DIV/0!</v>
      </c>
      <c r="BN190" s="68" t="e">
        <f>IF($I190="NA","NA",ROUND(#REF!*$BJ190/$I190,2))</f>
        <v>#REF!</v>
      </c>
      <c r="BO190" s="75" t="e">
        <f t="shared" si="144"/>
        <v>#REF!</v>
      </c>
      <c r="BP190" s="68" t="e">
        <f t="shared" si="145"/>
        <v>#REF!</v>
      </c>
      <c r="BQ190" s="4">
        <f t="shared" si="146"/>
        <v>0</v>
      </c>
      <c r="BR190" s="4">
        <f t="shared" si="147"/>
        <v>58560</v>
      </c>
      <c r="BS190" s="4">
        <f t="shared" si="148"/>
        <v>39849</v>
      </c>
      <c r="BT190" s="142">
        <f>IF(ISNA(VLOOKUP($A190&amp;$AB190,'Days Exceptions'!$C$3:$I$7,6,FALSE)),ROUND(BQ190/MAX(BS190,(BR190*Min_Occ)),2),ROUND(BQ190/VLOOKUP($A190&amp;$AB190,'Days Exceptions'!$C$3:$I$7,6,FALSE),2))</f>
        <v>0</v>
      </c>
      <c r="BU190" s="143" t="e">
        <f t="shared" si="114"/>
        <v>#REF!</v>
      </c>
      <c r="BV190" s="143" t="e">
        <f t="shared" si="115"/>
        <v>#REF!</v>
      </c>
      <c r="BW190" s="143">
        <f t="shared" si="116"/>
        <v>154.08000000000001</v>
      </c>
      <c r="BX190" s="37" t="s">
        <v>18</v>
      </c>
      <c r="BY190" s="37" t="s">
        <v>216</v>
      </c>
      <c r="BZ190" s="37" t="s">
        <v>1736</v>
      </c>
      <c r="CA190" s="66" t="e">
        <f>VLOOKUP(A190,'CMI Data'!$A$3:$AZ$209,20,FALSE)</f>
        <v>#DIV/0!</v>
      </c>
      <c r="CB190" s="68">
        <f t="shared" si="117"/>
        <v>179.28</v>
      </c>
      <c r="CC190" s="68" t="e">
        <f t="shared" si="118"/>
        <v>#DIV/0!</v>
      </c>
      <c r="CD190" s="75" t="e">
        <f t="shared" si="149"/>
        <v>#DIV/0!</v>
      </c>
      <c r="CE190" s="68" t="e">
        <f>IF($I190="NA","NA",ROUND(#REF!*$CA190/$I190,2))</f>
        <v>#REF!</v>
      </c>
      <c r="CF190" s="75" t="e">
        <f t="shared" si="150"/>
        <v>#REF!</v>
      </c>
      <c r="CG190" s="68" t="e">
        <f t="shared" si="151"/>
        <v>#REF!</v>
      </c>
      <c r="CH190" s="4">
        <f t="shared" si="152"/>
        <v>0</v>
      </c>
      <c r="CI190" s="4">
        <f t="shared" si="153"/>
        <v>58560</v>
      </c>
      <c r="CJ190" s="4">
        <f t="shared" si="154"/>
        <v>39849</v>
      </c>
      <c r="CK190" s="142">
        <f>IF(ISNA(VLOOKUP($A190&amp;$AB190,'Days Exceptions'!$C$3:$I$7,6,FALSE)),ROUND(CH190/MAX(CJ190,(CI190*Min_Occ)),2),ROUND(CH190/VLOOKUP($A190&amp;$AB190,'Days Exceptions'!$C$3:$I$7,6,FALSE),2))</f>
        <v>0</v>
      </c>
      <c r="CL190" s="143" t="e">
        <f t="shared" si="119"/>
        <v>#REF!</v>
      </c>
      <c r="CM190" s="143" t="e">
        <f t="shared" si="120"/>
        <v>#REF!</v>
      </c>
      <c r="CN190" s="143">
        <f t="shared" si="121"/>
        <v>154.08000000000001</v>
      </c>
      <c r="CO190" s="37" t="s">
        <v>18</v>
      </c>
      <c r="CP190" s="37" t="s">
        <v>216</v>
      </c>
      <c r="CQ190" s="37" t="s">
        <v>1737</v>
      </c>
    </row>
    <row r="191" spans="1:95" x14ac:dyDescent="0.15">
      <c r="A191" s="130">
        <v>428</v>
      </c>
      <c r="B191" s="37" t="s">
        <v>241</v>
      </c>
      <c r="C191" s="1" t="s">
        <v>148</v>
      </c>
      <c r="D191" s="1" t="s">
        <v>107</v>
      </c>
      <c r="E191" s="1" t="str">
        <f>VLOOKUP(D191,Documentation!$B$4:$D$27,3,FALSE)</f>
        <v>BALTIMORE METRO</v>
      </c>
      <c r="F191" s="1" t="str">
        <f>VLOOKUP(D191,Documentation!$B$4:$C$27,2,FALSE)</f>
        <v>BALTIMORE METRO</v>
      </c>
      <c r="G191" s="82">
        <f>VLOOKUP(A191,'2022 CR and CMI'!$A$3:$D$207,3,FALSE)</f>
        <v>44378</v>
      </c>
      <c r="H191" s="82">
        <f>VLOOKUP(A191,'2022 CR and CMI'!$A$3:$D$207,4,FALSE)</f>
        <v>44742</v>
      </c>
      <c r="I191" s="72">
        <f>VLOOKUP(A191,'2022 CR and CMI'!$A$2:$T$210,19,FALSE)</f>
        <v>1.4958</v>
      </c>
      <c r="J191" s="139">
        <f>Inflation!$G$24</f>
        <v>1.0309999999999999</v>
      </c>
      <c r="K191" s="192">
        <f>VLOOKUP(E191,Limits!$B$2:$D$5,3,FALSE)</f>
        <v>195.33</v>
      </c>
      <c r="L191" s="192">
        <f t="shared" si="124"/>
        <v>201.39</v>
      </c>
      <c r="M191" s="140">
        <f>VLOOKUP(A191,'CMI Data'!$A$4:$C$208,3,FALSE)</f>
        <v>1.4831000000000001</v>
      </c>
      <c r="N191" s="68">
        <f t="shared" si="106"/>
        <v>208.73</v>
      </c>
      <c r="O191" s="68">
        <f t="shared" si="125"/>
        <v>206.96</v>
      </c>
      <c r="P191" s="75">
        <f t="shared" si="126"/>
        <v>196.61</v>
      </c>
      <c r="Q191" s="75">
        <v>174.75</v>
      </c>
      <c r="R191" s="75">
        <f t="shared" si="127"/>
        <v>180.17</v>
      </c>
      <c r="S191" s="68">
        <f t="shared" si="128"/>
        <v>178.64</v>
      </c>
      <c r="T191" s="75">
        <f t="shared" si="129"/>
        <v>-17.97</v>
      </c>
      <c r="U191" s="68">
        <f t="shared" si="130"/>
        <v>188.99</v>
      </c>
      <c r="V191" s="68">
        <f>VLOOKUP($F191,Limits!$J$2:$L$5,3,FALSE)</f>
        <v>20.85</v>
      </c>
      <c r="W191" s="68">
        <f t="shared" si="131"/>
        <v>21.5</v>
      </c>
      <c r="X191" s="68">
        <f>VLOOKUP($F191,Limits!$R$2:$T$5,3,FALSE)</f>
        <v>102.02</v>
      </c>
      <c r="Y191" s="68">
        <f t="shared" si="132"/>
        <v>105.18</v>
      </c>
      <c r="Z191" s="75">
        <f>VLOOKUP(A191,FRV!$A$4:$U$208,21,FALSE)</f>
        <v>41.47</v>
      </c>
      <c r="AA191" s="141">
        <f>VLOOKUP(A191,'RE Tax'!$A$2:$G$206,3,FALSE)</f>
        <v>45108</v>
      </c>
      <c r="AB191" s="141">
        <f>VLOOKUP(A191,'RE Tax'!$A$2:$G$206,4,FALSE)</f>
        <v>45473</v>
      </c>
      <c r="AC191" s="4">
        <f>VLOOKUP(A191,'RE Tax'!$A$2:$G$206,7,FALSE)</f>
        <v>36799</v>
      </c>
      <c r="AD191" s="4">
        <f>VLOOKUP($A191,'RE Tax'!$A$2:$I$206,9,FALSE)</f>
        <v>142740</v>
      </c>
      <c r="AE191" s="4">
        <f>VLOOKUP($A191,'RE Tax'!$A$2:$I$206,8,FALSE)</f>
        <v>126628</v>
      </c>
      <c r="AF191" s="142">
        <f>IF(ISNA(VLOOKUP(A191&amp;AB191,'Days Exceptions'!$C$3:$I$7,6,FALSE)),ROUND(AC191/MAX(AE191,(AD191*Min_Occ)),2),ROUND(AC191/VLOOKUP(A191&amp;AB191,'Days Exceptions'!$C$3:$I$7,6,FALSE),2))</f>
        <v>0.28999999999999998</v>
      </c>
      <c r="AG191" s="68">
        <v>0</v>
      </c>
      <c r="AH191" s="68">
        <f t="shared" si="133"/>
        <v>0</v>
      </c>
      <c r="AI191" s="4">
        <v>97265</v>
      </c>
      <c r="AJ191" s="4">
        <v>125668</v>
      </c>
      <c r="AK191" s="68">
        <f>IF(AI191=0,0,IF(ISNA(MATCH(A191,Documentation!$B$66:$B$71,0)),QA_Tax_reg,QA_Tax_5high))</f>
        <v>3.04</v>
      </c>
      <c r="AL191" s="75">
        <f t="shared" si="134"/>
        <v>2.35</v>
      </c>
      <c r="AM191" s="68">
        <f t="shared" si="135"/>
        <v>357.43</v>
      </c>
      <c r="AN191" s="68">
        <f t="shared" si="136"/>
        <v>262.94</v>
      </c>
      <c r="AO191" s="68">
        <f t="shared" si="137"/>
        <v>168.44</v>
      </c>
      <c r="AP191" s="37" t="s">
        <v>22</v>
      </c>
      <c r="AQ191" s="37" t="s">
        <v>241</v>
      </c>
      <c r="AR191" s="37" t="s">
        <v>1143</v>
      </c>
      <c r="AS191" s="66" t="e">
        <f>VLOOKUP(A191,'CMI Data'!$A$3:$J$209,10,FALSE)</f>
        <v>#DIV/0!</v>
      </c>
      <c r="AT191" s="68">
        <f t="shared" si="107"/>
        <v>202.45</v>
      </c>
      <c r="AU191" s="68" t="e">
        <f t="shared" si="108"/>
        <v>#DIV/0!</v>
      </c>
      <c r="AV191" s="75" t="e">
        <f t="shared" si="138"/>
        <v>#DIV/0!</v>
      </c>
      <c r="AW191" s="68" t="e">
        <f>IF($I191="NA","NA",ROUND(#REF!*$AS191/$I191,2))</f>
        <v>#REF!</v>
      </c>
      <c r="AX191" s="75" t="e">
        <f t="shared" si="155"/>
        <v>#REF!</v>
      </c>
      <c r="AY191" s="68" t="e">
        <f t="shared" si="139"/>
        <v>#REF!</v>
      </c>
      <c r="AZ191" s="4">
        <f t="shared" si="140"/>
        <v>36799</v>
      </c>
      <c r="BA191" s="4">
        <f t="shared" si="141"/>
        <v>142740</v>
      </c>
      <c r="BB191" s="4">
        <f t="shared" si="142"/>
        <v>126628</v>
      </c>
      <c r="BC191" s="142">
        <f>IF(ISNA(VLOOKUP($A191&amp;$AB191,'Days Exceptions'!$C$3:$I$7,6,FALSE)),ROUND(AZ191/MAX(BB191,(BA191*Min_Occ)),2),ROUND(AZ191/VLOOKUP($A191&amp;$AB191,'Days Exceptions'!$C$3:$I$7,6,FALSE),2))</f>
        <v>0.28999999999999998</v>
      </c>
      <c r="BD191" s="143" t="e">
        <f t="shared" si="109"/>
        <v>#REF!</v>
      </c>
      <c r="BE191" s="143" t="e">
        <f t="shared" si="110"/>
        <v>#REF!</v>
      </c>
      <c r="BF191" s="143">
        <f t="shared" si="111"/>
        <v>164.63</v>
      </c>
      <c r="BG191" s="37" t="s">
        <v>22</v>
      </c>
      <c r="BH191" s="37" t="s">
        <v>241</v>
      </c>
      <c r="BI191" s="37" t="s">
        <v>1347</v>
      </c>
      <c r="BJ191" s="66" t="e">
        <f>VLOOKUP(A191,'CMI Data'!$A$3:$AZ$209,15,FALSE)</f>
        <v>#DIV/0!</v>
      </c>
      <c r="BK191" s="68">
        <f t="shared" si="112"/>
        <v>202.45</v>
      </c>
      <c r="BL191" s="68" t="e">
        <f t="shared" si="113"/>
        <v>#DIV/0!</v>
      </c>
      <c r="BM191" s="75" t="e">
        <f t="shared" si="143"/>
        <v>#DIV/0!</v>
      </c>
      <c r="BN191" s="68" t="e">
        <f>IF($I191="NA","NA",ROUND(#REF!*$BJ191/$I191,2))</f>
        <v>#REF!</v>
      </c>
      <c r="BO191" s="75" t="e">
        <f t="shared" si="144"/>
        <v>#REF!</v>
      </c>
      <c r="BP191" s="68" t="e">
        <f t="shared" si="145"/>
        <v>#REF!</v>
      </c>
      <c r="BQ191" s="4">
        <f t="shared" si="146"/>
        <v>36799</v>
      </c>
      <c r="BR191" s="4">
        <f t="shared" si="147"/>
        <v>142740</v>
      </c>
      <c r="BS191" s="4">
        <f t="shared" si="148"/>
        <v>126628</v>
      </c>
      <c r="BT191" s="142">
        <f>IF(ISNA(VLOOKUP($A191&amp;$AB191,'Days Exceptions'!$C$3:$I$7,6,FALSE)),ROUND(BQ191/MAX(BS191,(BR191*Min_Occ)),2),ROUND(BQ191/VLOOKUP($A191&amp;$AB191,'Days Exceptions'!$C$3:$I$7,6,FALSE),2))</f>
        <v>0.28999999999999998</v>
      </c>
      <c r="BU191" s="143" t="e">
        <f t="shared" si="114"/>
        <v>#REF!</v>
      </c>
      <c r="BV191" s="143" t="e">
        <f t="shared" si="115"/>
        <v>#REF!</v>
      </c>
      <c r="BW191" s="143">
        <f t="shared" si="116"/>
        <v>164.63</v>
      </c>
      <c r="BX191" s="37" t="s">
        <v>22</v>
      </c>
      <c r="BY191" s="37" t="s">
        <v>241</v>
      </c>
      <c r="BZ191" s="37" t="s">
        <v>1738</v>
      </c>
      <c r="CA191" s="66" t="e">
        <f>VLOOKUP(A191,'CMI Data'!$A$3:$AZ$209,20,FALSE)</f>
        <v>#DIV/0!</v>
      </c>
      <c r="CB191" s="68">
        <f t="shared" si="117"/>
        <v>202.45</v>
      </c>
      <c r="CC191" s="68" t="e">
        <f t="shared" si="118"/>
        <v>#DIV/0!</v>
      </c>
      <c r="CD191" s="75" t="e">
        <f t="shared" si="149"/>
        <v>#DIV/0!</v>
      </c>
      <c r="CE191" s="68" t="e">
        <f>IF($I191="NA","NA",ROUND(#REF!*$CA191/$I191,2))</f>
        <v>#REF!</v>
      </c>
      <c r="CF191" s="75" t="e">
        <f t="shared" si="150"/>
        <v>#REF!</v>
      </c>
      <c r="CG191" s="68" t="e">
        <f t="shared" si="151"/>
        <v>#REF!</v>
      </c>
      <c r="CH191" s="4">
        <f t="shared" si="152"/>
        <v>36799</v>
      </c>
      <c r="CI191" s="4">
        <f t="shared" si="153"/>
        <v>142740</v>
      </c>
      <c r="CJ191" s="4">
        <f t="shared" si="154"/>
        <v>126628</v>
      </c>
      <c r="CK191" s="142">
        <f>IF(ISNA(VLOOKUP($A191&amp;$AB191,'Days Exceptions'!$C$3:$I$7,6,FALSE)),ROUND(CH191/MAX(CJ191,(CI191*Min_Occ)),2),ROUND(CH191/VLOOKUP($A191&amp;$AB191,'Days Exceptions'!$C$3:$I$7,6,FALSE),2))</f>
        <v>0.28999999999999998</v>
      </c>
      <c r="CL191" s="143" t="e">
        <f t="shared" si="119"/>
        <v>#REF!</v>
      </c>
      <c r="CM191" s="143" t="e">
        <f t="shared" si="120"/>
        <v>#REF!</v>
      </c>
      <c r="CN191" s="143">
        <f t="shared" si="121"/>
        <v>164.63</v>
      </c>
      <c r="CO191" s="37" t="s">
        <v>22</v>
      </c>
      <c r="CP191" s="37" t="s">
        <v>241</v>
      </c>
      <c r="CQ191" s="37" t="s">
        <v>1739</v>
      </c>
    </row>
    <row r="192" spans="1:95" x14ac:dyDescent="0.15">
      <c r="A192" s="130">
        <v>176</v>
      </c>
      <c r="B192" s="37" t="s">
        <v>845</v>
      </c>
      <c r="C192" s="1" t="s">
        <v>148</v>
      </c>
      <c r="D192" s="1" t="s">
        <v>105</v>
      </c>
      <c r="E192" s="1" t="str">
        <f>VLOOKUP(D192,Documentation!$B$4:$D$27,3,FALSE)</f>
        <v>WESTERN REGION</v>
      </c>
      <c r="F192" s="1" t="str">
        <f>VLOOKUP(D192,Documentation!$B$4:$C$27,2,FALSE)</f>
        <v>NON METRO</v>
      </c>
      <c r="G192" s="82">
        <f>VLOOKUP(A192,'2022 CR and CMI'!$A$3:$D$207,3,FALSE)</f>
        <v>44562</v>
      </c>
      <c r="H192" s="82">
        <f>VLOOKUP(A192,'2022 CR and CMI'!$A$3:$D$207,4,FALSE)</f>
        <v>44926</v>
      </c>
      <c r="I192" s="72">
        <f>VLOOKUP(A192,'2022 CR and CMI'!$A$2:$T$210,19,FALSE)</f>
        <v>1.3543000000000001</v>
      </c>
      <c r="J192" s="139">
        <f>Inflation!$G$24</f>
        <v>1.0309999999999999</v>
      </c>
      <c r="K192" s="192">
        <f>VLOOKUP(E192,Limits!$B$2:$D$5,3,FALSE)</f>
        <v>166.26</v>
      </c>
      <c r="L192" s="192">
        <f t="shared" si="124"/>
        <v>171.41</v>
      </c>
      <c r="M192" s="140">
        <f>VLOOKUP(A192,'CMI Data'!$A$4:$C$208,3,FALSE)</f>
        <v>1.33</v>
      </c>
      <c r="N192" s="68">
        <f t="shared" si="106"/>
        <v>160.85</v>
      </c>
      <c r="O192" s="68">
        <f t="shared" si="125"/>
        <v>157.96</v>
      </c>
      <c r="P192" s="75">
        <f t="shared" si="126"/>
        <v>150.06</v>
      </c>
      <c r="Q192" s="75">
        <v>144.12</v>
      </c>
      <c r="R192" s="75">
        <f t="shared" si="127"/>
        <v>148.59</v>
      </c>
      <c r="S192" s="68">
        <f t="shared" si="128"/>
        <v>145.91999999999999</v>
      </c>
      <c r="T192" s="75">
        <f t="shared" si="129"/>
        <v>-4.1399999999999997</v>
      </c>
      <c r="U192" s="68">
        <f t="shared" si="130"/>
        <v>153.82</v>
      </c>
      <c r="V192" s="68">
        <f>VLOOKUP($F192,Limits!$J$2:$L$5,3,FALSE)</f>
        <v>20.239999999999998</v>
      </c>
      <c r="W192" s="68">
        <f t="shared" si="131"/>
        <v>20.87</v>
      </c>
      <c r="X192" s="68">
        <f>VLOOKUP($F192,Limits!$R$2:$T$5,3,FALSE)</f>
        <v>89.55</v>
      </c>
      <c r="Y192" s="68">
        <f t="shared" si="132"/>
        <v>92.33</v>
      </c>
      <c r="Z192" s="75">
        <f>VLOOKUP(A192,FRV!$A$4:$U$208,21,FALSE)</f>
        <v>28.99</v>
      </c>
      <c r="AA192" s="141">
        <f>VLOOKUP(A192,'RE Tax'!$A$2:$G$206,3,FALSE)</f>
        <v>45292</v>
      </c>
      <c r="AB192" s="141">
        <f>VLOOKUP(A192,'RE Tax'!$A$2:$G$206,4,FALSE)</f>
        <v>45657</v>
      </c>
      <c r="AC192" s="4">
        <f>VLOOKUP(A192,'RE Tax'!$A$2:$G$206,7,FALSE)</f>
        <v>108592</v>
      </c>
      <c r="AD192" s="4">
        <f>VLOOKUP($A192,'RE Tax'!$A$2:$I$206,9,FALSE)</f>
        <v>48312</v>
      </c>
      <c r="AE192" s="4">
        <f>VLOOKUP($A192,'RE Tax'!$A$2:$I$206,8,FALSE)</f>
        <v>39179</v>
      </c>
      <c r="AF192" s="142">
        <f>IF(ISNA(VLOOKUP(A192&amp;AB192,'Days Exceptions'!$C$3:$I$7,6,FALSE)),ROUND(AC192/MAX(AE192,(AD192*Min_Occ)),2),ROUND(AC192/VLOOKUP(A192&amp;AB192,'Days Exceptions'!$C$3:$I$7,6,FALSE),2))</f>
        <v>2.76</v>
      </c>
      <c r="AG192" s="68">
        <v>0</v>
      </c>
      <c r="AH192" s="68">
        <f t="shared" si="133"/>
        <v>0</v>
      </c>
      <c r="AI192" s="4">
        <v>32042</v>
      </c>
      <c r="AJ192" s="4">
        <v>39179</v>
      </c>
      <c r="AK192" s="68">
        <f>IF(AI192=0,0,IF(ISNA(MATCH(A192,Documentation!$B$66:$B$71,0)),QA_Tax_reg,QA_Tax_5high))</f>
        <v>32.92</v>
      </c>
      <c r="AL192" s="75">
        <f t="shared" si="134"/>
        <v>26.92</v>
      </c>
      <c r="AM192" s="68">
        <f t="shared" si="135"/>
        <v>298.77</v>
      </c>
      <c r="AN192" s="68">
        <f t="shared" si="136"/>
        <v>221.86</v>
      </c>
      <c r="AO192" s="68">
        <f t="shared" si="137"/>
        <v>144.94999999999999</v>
      </c>
      <c r="AP192" s="37" t="s">
        <v>938</v>
      </c>
      <c r="AQ192" s="37" t="s">
        <v>845</v>
      </c>
      <c r="AR192" s="37" t="s">
        <v>1144</v>
      </c>
      <c r="AS192" s="66" t="e">
        <f>VLOOKUP(A192,'CMI Data'!$A$3:$J$209,10,FALSE)</f>
        <v>#DIV/0!</v>
      </c>
      <c r="AT192" s="68">
        <f t="shared" si="107"/>
        <v>156.02000000000001</v>
      </c>
      <c r="AU192" s="68" t="e">
        <f t="shared" si="108"/>
        <v>#DIV/0!</v>
      </c>
      <c r="AV192" s="75" t="e">
        <f t="shared" si="138"/>
        <v>#DIV/0!</v>
      </c>
      <c r="AW192" s="68" t="e">
        <f>IF($I192="NA","NA",ROUND(#REF!*$AS192/$I192,2))</f>
        <v>#REF!</v>
      </c>
      <c r="AX192" s="75" t="e">
        <f t="shared" si="155"/>
        <v>#REF!</v>
      </c>
      <c r="AY192" s="68" t="e">
        <f t="shared" si="139"/>
        <v>#REF!</v>
      </c>
      <c r="AZ192" s="4">
        <f t="shared" si="140"/>
        <v>108592</v>
      </c>
      <c r="BA192" s="4">
        <f t="shared" si="141"/>
        <v>48312</v>
      </c>
      <c r="BB192" s="4">
        <f t="shared" si="142"/>
        <v>39179</v>
      </c>
      <c r="BC192" s="142">
        <f>IF(ISNA(VLOOKUP($A192&amp;$AB192,'Days Exceptions'!$C$3:$I$7,6,FALSE)),ROUND(AZ192/MAX(BB192,(BA192*Min_Occ)),2),ROUND(AZ192/VLOOKUP($A192&amp;$AB192,'Days Exceptions'!$C$3:$I$7,6,FALSE),2))</f>
        <v>2.76</v>
      </c>
      <c r="BD192" s="143" t="e">
        <f t="shared" si="109"/>
        <v>#REF!</v>
      </c>
      <c r="BE192" s="143" t="e">
        <f t="shared" si="110"/>
        <v>#REF!</v>
      </c>
      <c r="BF192" s="143">
        <f t="shared" si="111"/>
        <v>141.54</v>
      </c>
      <c r="BG192" s="37" t="s">
        <v>414</v>
      </c>
      <c r="BH192" s="37" t="s">
        <v>415</v>
      </c>
      <c r="BI192" s="37" t="s">
        <v>1348</v>
      </c>
      <c r="BJ192" s="66" t="e">
        <f>VLOOKUP(A192,'CMI Data'!$A$3:$AZ$209,15,FALSE)</f>
        <v>#DIV/0!</v>
      </c>
      <c r="BK192" s="68">
        <f t="shared" si="112"/>
        <v>156.02000000000001</v>
      </c>
      <c r="BL192" s="68" t="e">
        <f t="shared" si="113"/>
        <v>#DIV/0!</v>
      </c>
      <c r="BM192" s="75" t="e">
        <f t="shared" si="143"/>
        <v>#DIV/0!</v>
      </c>
      <c r="BN192" s="68" t="e">
        <f>IF($I192="NA","NA",ROUND(#REF!*$BJ192/$I192,2))</f>
        <v>#REF!</v>
      </c>
      <c r="BO192" s="75" t="e">
        <f t="shared" si="144"/>
        <v>#REF!</v>
      </c>
      <c r="BP192" s="68" t="e">
        <f t="shared" si="145"/>
        <v>#REF!</v>
      </c>
      <c r="BQ192" s="4">
        <f t="shared" si="146"/>
        <v>108592</v>
      </c>
      <c r="BR192" s="4">
        <f t="shared" si="147"/>
        <v>48312</v>
      </c>
      <c r="BS192" s="4">
        <f t="shared" si="148"/>
        <v>39179</v>
      </c>
      <c r="BT192" s="142">
        <f>IF(ISNA(VLOOKUP($A192&amp;$AB192,'Days Exceptions'!$C$3:$I$7,6,FALSE)),ROUND(BQ192/MAX(BS192,(BR192*Min_Occ)),2),ROUND(BQ192/VLOOKUP($A192&amp;$AB192,'Days Exceptions'!$C$3:$I$7,6,FALSE),2))</f>
        <v>2.76</v>
      </c>
      <c r="BU192" s="143" t="e">
        <f t="shared" si="114"/>
        <v>#REF!</v>
      </c>
      <c r="BV192" s="143" t="e">
        <f t="shared" si="115"/>
        <v>#REF!</v>
      </c>
      <c r="BW192" s="143">
        <f t="shared" si="116"/>
        <v>141.54</v>
      </c>
      <c r="BX192" s="37" t="s">
        <v>414</v>
      </c>
      <c r="BY192" s="37" t="s">
        <v>415</v>
      </c>
      <c r="BZ192" s="37" t="s">
        <v>1740</v>
      </c>
      <c r="CA192" s="66" t="e">
        <f>VLOOKUP(A192,'CMI Data'!$A$3:$AZ$209,20,FALSE)</f>
        <v>#DIV/0!</v>
      </c>
      <c r="CB192" s="68">
        <f t="shared" si="117"/>
        <v>156.02000000000001</v>
      </c>
      <c r="CC192" s="68" t="e">
        <f t="shared" si="118"/>
        <v>#DIV/0!</v>
      </c>
      <c r="CD192" s="75" t="e">
        <f t="shared" si="149"/>
        <v>#DIV/0!</v>
      </c>
      <c r="CE192" s="68" t="e">
        <f>IF($I192="NA","NA",ROUND(#REF!*$CA192/$I192,2))</f>
        <v>#REF!</v>
      </c>
      <c r="CF192" s="75" t="e">
        <f t="shared" si="150"/>
        <v>#REF!</v>
      </c>
      <c r="CG192" s="68" t="e">
        <f t="shared" si="151"/>
        <v>#REF!</v>
      </c>
      <c r="CH192" s="4">
        <f t="shared" si="152"/>
        <v>108592</v>
      </c>
      <c r="CI192" s="4">
        <f t="shared" si="153"/>
        <v>48312</v>
      </c>
      <c r="CJ192" s="4">
        <f t="shared" si="154"/>
        <v>39179</v>
      </c>
      <c r="CK192" s="142">
        <f>IF(ISNA(VLOOKUP($A192&amp;$AB192,'Days Exceptions'!$C$3:$I$7,6,FALSE)),ROUND(CH192/MAX(CJ192,(CI192*Min_Occ)),2),ROUND(CH192/VLOOKUP($A192&amp;$AB192,'Days Exceptions'!$C$3:$I$7,6,FALSE),2))</f>
        <v>2.76</v>
      </c>
      <c r="CL192" s="143" t="e">
        <f t="shared" si="119"/>
        <v>#REF!</v>
      </c>
      <c r="CM192" s="143" t="e">
        <f t="shared" si="120"/>
        <v>#REF!</v>
      </c>
      <c r="CN192" s="143">
        <f t="shared" si="121"/>
        <v>141.54</v>
      </c>
      <c r="CO192" s="37" t="s">
        <v>414</v>
      </c>
      <c r="CP192" s="37" t="s">
        <v>415</v>
      </c>
      <c r="CQ192" s="37" t="s">
        <v>1741</v>
      </c>
    </row>
    <row r="193" spans="1:95" x14ac:dyDescent="0.15">
      <c r="A193" s="130">
        <v>378</v>
      </c>
      <c r="B193" s="37" t="s">
        <v>418</v>
      </c>
      <c r="C193" s="1" t="s">
        <v>148</v>
      </c>
      <c r="D193" s="1" t="s">
        <v>125</v>
      </c>
      <c r="E193" s="1" t="str">
        <f>VLOOKUP(D193,Documentation!$B$4:$D$27,3,FALSE)</f>
        <v>WESTERN REGION</v>
      </c>
      <c r="F193" s="1" t="str">
        <f>VLOOKUP(D193,Documentation!$B$4:$C$27,2,FALSE)</f>
        <v>NON METRO</v>
      </c>
      <c r="G193" s="82">
        <f>VLOOKUP(A193,'2022 CR and CMI'!$A$3:$D$207,3,FALSE)</f>
        <v>44562</v>
      </c>
      <c r="H193" s="82">
        <f>VLOOKUP(A193,'2022 CR and CMI'!$A$3:$D$207,4,FALSE)</f>
        <v>44926</v>
      </c>
      <c r="I193" s="72">
        <f>VLOOKUP(A193,'2022 CR and CMI'!$A$2:$T$210,19,FALSE)</f>
        <v>1.3633</v>
      </c>
      <c r="J193" s="139">
        <f>Inflation!$G$24</f>
        <v>1.0309999999999999</v>
      </c>
      <c r="K193" s="192">
        <f>VLOOKUP(E193,Limits!$B$2:$D$5,3,FALSE)</f>
        <v>166.26</v>
      </c>
      <c r="L193" s="192">
        <f t="shared" si="124"/>
        <v>171.41</v>
      </c>
      <c r="M193" s="140">
        <f>VLOOKUP(A193,'CMI Data'!$A$4:$C$208,3,FALSE)</f>
        <v>1.3787</v>
      </c>
      <c r="N193" s="68">
        <f t="shared" si="106"/>
        <v>161.91999999999999</v>
      </c>
      <c r="O193" s="68">
        <f t="shared" si="125"/>
        <v>163.75</v>
      </c>
      <c r="P193" s="75">
        <f t="shared" si="126"/>
        <v>155.56</v>
      </c>
      <c r="Q193" s="75">
        <v>140.33000000000001</v>
      </c>
      <c r="R193" s="75">
        <f t="shared" si="127"/>
        <v>144.68</v>
      </c>
      <c r="S193" s="68">
        <f t="shared" si="128"/>
        <v>146.31</v>
      </c>
      <c r="T193" s="75">
        <f t="shared" si="129"/>
        <v>-9.25</v>
      </c>
      <c r="U193" s="68">
        <f t="shared" si="130"/>
        <v>154.5</v>
      </c>
      <c r="V193" s="68">
        <f>VLOOKUP($F193,Limits!$J$2:$L$5,3,FALSE)</f>
        <v>20.239999999999998</v>
      </c>
      <c r="W193" s="68">
        <f t="shared" si="131"/>
        <v>20.87</v>
      </c>
      <c r="X193" s="68">
        <f>VLOOKUP($F193,Limits!$R$2:$T$5,3,FALSE)</f>
        <v>89.55</v>
      </c>
      <c r="Y193" s="68">
        <f t="shared" si="132"/>
        <v>92.33</v>
      </c>
      <c r="Z193" s="75">
        <f>VLOOKUP(A193,FRV!$A$4:$U$208,21,FALSE)</f>
        <v>44.17</v>
      </c>
      <c r="AA193" s="141">
        <f>VLOOKUP(A193,'RE Tax'!$A$2:$G$206,3,FALSE)</f>
        <v>45292</v>
      </c>
      <c r="AB193" s="141">
        <f>VLOOKUP(A193,'RE Tax'!$A$2:$G$206,4,FALSE)</f>
        <v>45657</v>
      </c>
      <c r="AC193" s="4">
        <f>VLOOKUP(A193,'RE Tax'!$A$2:$G$206,7,FALSE)</f>
        <v>154509</v>
      </c>
      <c r="AD193" s="4">
        <f>VLOOKUP($A193,'RE Tax'!$A$2:$I$206,9,FALSE)</f>
        <v>54168</v>
      </c>
      <c r="AE193" s="4">
        <f>VLOOKUP($A193,'RE Tax'!$A$2:$I$206,8,FALSE)</f>
        <v>43453</v>
      </c>
      <c r="AF193" s="142">
        <f>IF(ISNA(VLOOKUP(A193&amp;AB193,'Days Exceptions'!$C$3:$I$7,6,FALSE)),ROUND(AC193/MAX(AE193,(AD193*Min_Occ)),2),ROUND(AC193/VLOOKUP(A193&amp;AB193,'Days Exceptions'!$C$3:$I$7,6,FALSE),2))</f>
        <v>3.5</v>
      </c>
      <c r="AG193" s="68">
        <v>0</v>
      </c>
      <c r="AH193" s="68">
        <f t="shared" si="133"/>
        <v>0</v>
      </c>
      <c r="AI193" s="4">
        <v>34629</v>
      </c>
      <c r="AJ193" s="4">
        <v>44363</v>
      </c>
      <c r="AK193" s="68">
        <f>IF(AI193=0,0,IF(ISNA(MATCH(A193,Documentation!$B$66:$B$71,0)),QA_Tax_reg,QA_Tax_5high))</f>
        <v>32.92</v>
      </c>
      <c r="AL193" s="75">
        <f t="shared" si="134"/>
        <v>25.7</v>
      </c>
      <c r="AM193" s="68">
        <f t="shared" si="135"/>
        <v>315.37</v>
      </c>
      <c r="AN193" s="68">
        <f t="shared" si="136"/>
        <v>238.12</v>
      </c>
      <c r="AO193" s="68">
        <f t="shared" si="137"/>
        <v>160.87</v>
      </c>
      <c r="AP193" s="37" t="s">
        <v>417</v>
      </c>
      <c r="AQ193" s="37" t="s">
        <v>418</v>
      </c>
      <c r="AR193" s="37" t="s">
        <v>1145</v>
      </c>
      <c r="AS193" s="66" t="e">
        <f>VLOOKUP(A193,'CMI Data'!$A$3:$J$209,10,FALSE)</f>
        <v>#DIV/0!</v>
      </c>
      <c r="AT193" s="68">
        <f t="shared" si="107"/>
        <v>157.06</v>
      </c>
      <c r="AU193" s="68" t="e">
        <f t="shared" si="108"/>
        <v>#DIV/0!</v>
      </c>
      <c r="AV193" s="75" t="e">
        <f t="shared" si="138"/>
        <v>#DIV/0!</v>
      </c>
      <c r="AW193" s="68" t="e">
        <f>IF($I193="NA","NA",ROUND(#REF!*$AS193/$I193,2))</f>
        <v>#REF!</v>
      </c>
      <c r="AX193" s="75" t="e">
        <f t="shared" si="155"/>
        <v>#REF!</v>
      </c>
      <c r="AY193" s="68" t="e">
        <f t="shared" si="139"/>
        <v>#REF!</v>
      </c>
      <c r="AZ193" s="4">
        <f t="shared" si="140"/>
        <v>154509</v>
      </c>
      <c r="BA193" s="4">
        <f t="shared" si="141"/>
        <v>54168</v>
      </c>
      <c r="BB193" s="4">
        <f t="shared" si="142"/>
        <v>43453</v>
      </c>
      <c r="BC193" s="142">
        <f>IF(ISNA(VLOOKUP($A193&amp;$AB193,'Days Exceptions'!$C$3:$I$7,6,FALSE)),ROUND(AZ193/MAX(BB193,(BA193*Min_Occ)),2),ROUND(AZ193/VLOOKUP($A193&amp;$AB193,'Days Exceptions'!$C$3:$I$7,6,FALSE),2))</f>
        <v>3.5</v>
      </c>
      <c r="BD193" s="143" t="e">
        <f t="shared" si="109"/>
        <v>#REF!</v>
      </c>
      <c r="BE193" s="143" t="e">
        <f t="shared" si="110"/>
        <v>#REF!</v>
      </c>
      <c r="BF193" s="143">
        <f t="shared" si="111"/>
        <v>157.46</v>
      </c>
      <c r="BG193" s="37" t="s">
        <v>417</v>
      </c>
      <c r="BH193" s="37" t="s">
        <v>418</v>
      </c>
      <c r="BI193" s="37" t="s">
        <v>1349</v>
      </c>
      <c r="BJ193" s="66" t="e">
        <f>VLOOKUP(A193,'CMI Data'!$A$3:$AZ$209,15,FALSE)</f>
        <v>#DIV/0!</v>
      </c>
      <c r="BK193" s="68">
        <f t="shared" si="112"/>
        <v>157.06</v>
      </c>
      <c r="BL193" s="68" t="e">
        <f t="shared" si="113"/>
        <v>#DIV/0!</v>
      </c>
      <c r="BM193" s="75" t="e">
        <f t="shared" si="143"/>
        <v>#DIV/0!</v>
      </c>
      <c r="BN193" s="68" t="e">
        <f>IF($I193="NA","NA",ROUND(#REF!*$BJ193/$I193,2))</f>
        <v>#REF!</v>
      </c>
      <c r="BO193" s="75" t="e">
        <f t="shared" si="144"/>
        <v>#REF!</v>
      </c>
      <c r="BP193" s="68" t="e">
        <f t="shared" si="145"/>
        <v>#REF!</v>
      </c>
      <c r="BQ193" s="4">
        <f t="shared" si="146"/>
        <v>154509</v>
      </c>
      <c r="BR193" s="4">
        <f t="shared" si="147"/>
        <v>54168</v>
      </c>
      <c r="BS193" s="4">
        <f t="shared" si="148"/>
        <v>43453</v>
      </c>
      <c r="BT193" s="142">
        <f>IF(ISNA(VLOOKUP($A193&amp;$AB193,'Days Exceptions'!$C$3:$I$7,6,FALSE)),ROUND(BQ193/MAX(BS193,(BR193*Min_Occ)),2),ROUND(BQ193/VLOOKUP($A193&amp;$AB193,'Days Exceptions'!$C$3:$I$7,6,FALSE),2))</f>
        <v>3.5</v>
      </c>
      <c r="BU193" s="143" t="e">
        <f t="shared" si="114"/>
        <v>#REF!</v>
      </c>
      <c r="BV193" s="143" t="e">
        <f t="shared" si="115"/>
        <v>#REF!</v>
      </c>
      <c r="BW193" s="143">
        <f t="shared" si="116"/>
        <v>157.46</v>
      </c>
      <c r="BX193" s="37" t="s">
        <v>417</v>
      </c>
      <c r="BY193" s="37" t="s">
        <v>418</v>
      </c>
      <c r="BZ193" s="37" t="s">
        <v>1742</v>
      </c>
      <c r="CA193" s="66" t="e">
        <f>VLOOKUP(A193,'CMI Data'!$A$3:$AZ$209,20,FALSE)</f>
        <v>#DIV/0!</v>
      </c>
      <c r="CB193" s="68">
        <f t="shared" si="117"/>
        <v>157.06</v>
      </c>
      <c r="CC193" s="68" t="e">
        <f t="shared" si="118"/>
        <v>#DIV/0!</v>
      </c>
      <c r="CD193" s="75" t="e">
        <f t="shared" si="149"/>
        <v>#DIV/0!</v>
      </c>
      <c r="CE193" s="68" t="e">
        <f>IF($I193="NA","NA",ROUND(#REF!*$CA193/$I193,2))</f>
        <v>#REF!</v>
      </c>
      <c r="CF193" s="75" t="e">
        <f t="shared" si="150"/>
        <v>#REF!</v>
      </c>
      <c r="CG193" s="68" t="e">
        <f t="shared" si="151"/>
        <v>#REF!</v>
      </c>
      <c r="CH193" s="4">
        <f t="shared" si="152"/>
        <v>154509</v>
      </c>
      <c r="CI193" s="4">
        <f t="shared" si="153"/>
        <v>54168</v>
      </c>
      <c r="CJ193" s="4">
        <f t="shared" si="154"/>
        <v>43453</v>
      </c>
      <c r="CK193" s="142">
        <f>IF(ISNA(VLOOKUP($A193&amp;$AB193,'Days Exceptions'!$C$3:$I$7,6,FALSE)),ROUND(CH193/MAX(CJ193,(CI193*Min_Occ)),2),ROUND(CH193/VLOOKUP($A193&amp;$AB193,'Days Exceptions'!$C$3:$I$7,6,FALSE),2))</f>
        <v>3.5</v>
      </c>
      <c r="CL193" s="143" t="e">
        <f t="shared" si="119"/>
        <v>#REF!</v>
      </c>
      <c r="CM193" s="143" t="e">
        <f t="shared" si="120"/>
        <v>#REF!</v>
      </c>
      <c r="CN193" s="143">
        <f t="shared" si="121"/>
        <v>157.46</v>
      </c>
      <c r="CO193" s="37" t="s">
        <v>417</v>
      </c>
      <c r="CP193" s="37" t="s">
        <v>418</v>
      </c>
      <c r="CQ193" s="37" t="s">
        <v>1743</v>
      </c>
    </row>
    <row r="194" spans="1:95" x14ac:dyDescent="0.15">
      <c r="A194" s="130">
        <v>54</v>
      </c>
      <c r="B194" s="37" t="s">
        <v>603</v>
      </c>
      <c r="C194" s="1" t="s">
        <v>148</v>
      </c>
      <c r="D194" s="1" t="s">
        <v>116</v>
      </c>
      <c r="E194" s="1" t="str">
        <f>VLOOKUP(D194,Documentation!$B$4:$D$27,3,FALSE)</f>
        <v>BALTIMORE METRO</v>
      </c>
      <c r="F194" s="1" t="str">
        <f>VLOOKUP(D194,Documentation!$B$4:$C$27,2,FALSE)</f>
        <v>BALTIMORE METRO</v>
      </c>
      <c r="G194" s="82">
        <f>VLOOKUP(A194,'2022 CR and CMI'!$A$3:$D$207,3,FALSE)</f>
        <v>44713</v>
      </c>
      <c r="H194" s="82">
        <f>VLOOKUP(A194,'2022 CR and CMI'!$A$3:$D$207,4,FALSE)</f>
        <v>44926</v>
      </c>
      <c r="I194" s="72">
        <f>VLOOKUP(A194,'2022 CR and CMI'!$A$2:$T$210,19,FALSE)</f>
        <v>1.3629</v>
      </c>
      <c r="J194" s="139">
        <f>Inflation!$G$24</f>
        <v>1.0309999999999999</v>
      </c>
      <c r="K194" s="192">
        <f>VLOOKUP(E194,Limits!$B$2:$D$5,3,FALSE)</f>
        <v>195.33</v>
      </c>
      <c r="L194" s="192">
        <f t="shared" si="124"/>
        <v>201.39</v>
      </c>
      <c r="M194" s="140">
        <f>VLOOKUP(A194,'CMI Data'!$A$4:$C$208,3,FALSE)</f>
        <v>1.4113</v>
      </c>
      <c r="N194" s="68">
        <f t="shared" si="106"/>
        <v>190.18</v>
      </c>
      <c r="O194" s="68">
        <f t="shared" si="125"/>
        <v>196.93</v>
      </c>
      <c r="P194" s="75">
        <f t="shared" si="126"/>
        <v>187.08</v>
      </c>
      <c r="Q194" s="75">
        <v>189.01</v>
      </c>
      <c r="R194" s="75">
        <f t="shared" si="127"/>
        <v>194.87</v>
      </c>
      <c r="S194" s="68">
        <f t="shared" si="128"/>
        <v>201.79</v>
      </c>
      <c r="T194" s="75">
        <f t="shared" si="129"/>
        <v>0</v>
      </c>
      <c r="U194" s="68">
        <f t="shared" si="130"/>
        <v>196.93</v>
      </c>
      <c r="V194" s="68">
        <f>VLOOKUP($F194,Limits!$J$2:$L$5,3,FALSE)</f>
        <v>20.85</v>
      </c>
      <c r="W194" s="68">
        <f t="shared" si="131"/>
        <v>21.5</v>
      </c>
      <c r="X194" s="68">
        <f>VLOOKUP($F194,Limits!$R$2:$T$5,3,FALSE)</f>
        <v>102.02</v>
      </c>
      <c r="Y194" s="68">
        <f t="shared" si="132"/>
        <v>105.18</v>
      </c>
      <c r="Z194" s="75">
        <f>VLOOKUP(A194,FRV!$A$4:$U$208,21,FALSE)</f>
        <v>25.54</v>
      </c>
      <c r="AA194" s="141">
        <f>VLOOKUP(A194,'RE Tax'!$A$2:$G$206,3,FALSE)</f>
        <v>45292</v>
      </c>
      <c r="AB194" s="141">
        <f>VLOOKUP(A194,'RE Tax'!$A$2:$G$206,4,FALSE)</f>
        <v>45657</v>
      </c>
      <c r="AC194" s="4">
        <f>VLOOKUP(A194,'RE Tax'!$A$2:$G$206,7,FALSE)</f>
        <v>75719</v>
      </c>
      <c r="AD194" s="4">
        <f>VLOOKUP($A194,'RE Tax'!$A$2:$I$206,9,FALSE)</f>
        <v>56730</v>
      </c>
      <c r="AE194" s="4">
        <f>VLOOKUP($A194,'RE Tax'!$A$2:$I$206,8,FALSE)</f>
        <v>46057</v>
      </c>
      <c r="AF194" s="142">
        <f>IF(ISNA(VLOOKUP(A194&amp;AB194,'Days Exceptions'!$C$3:$I$7,6,FALSE)),ROUND(AC194/MAX(AE194,(AD194*Min_Occ)),2),ROUND(AC194/VLOOKUP(A194&amp;AB194,'Days Exceptions'!$C$3:$I$7,6,FALSE),2))</f>
        <v>1.64</v>
      </c>
      <c r="AG194" s="68">
        <v>0</v>
      </c>
      <c r="AH194" s="68">
        <f t="shared" si="133"/>
        <v>0</v>
      </c>
      <c r="AI194" s="4">
        <v>37341</v>
      </c>
      <c r="AJ194" s="4">
        <v>46039</v>
      </c>
      <c r="AK194" s="68">
        <f>IF(AI194=0,0,IF(ISNA(MATCH(A194,Documentation!$B$66:$B$71,0)),QA_Tax_reg,QA_Tax_5high))</f>
        <v>32.92</v>
      </c>
      <c r="AL194" s="75">
        <f t="shared" si="134"/>
        <v>26.7</v>
      </c>
      <c r="AM194" s="68">
        <f t="shared" si="135"/>
        <v>350.79</v>
      </c>
      <c r="AN194" s="68">
        <f t="shared" si="136"/>
        <v>252.33</v>
      </c>
      <c r="AO194" s="68">
        <f t="shared" si="137"/>
        <v>153.86000000000001</v>
      </c>
      <c r="AP194" s="37" t="s">
        <v>608</v>
      </c>
      <c r="AQ194" s="37" t="s">
        <v>603</v>
      </c>
      <c r="AR194" s="37" t="s">
        <v>1146</v>
      </c>
      <c r="AS194" s="66" t="e">
        <f>VLOOKUP(A194,'CMI Data'!$A$3:$J$209,10,FALSE)</f>
        <v>#DIV/0!</v>
      </c>
      <c r="AT194" s="68">
        <f t="shared" si="107"/>
        <v>184.46</v>
      </c>
      <c r="AU194" s="68" t="e">
        <f t="shared" si="108"/>
        <v>#DIV/0!</v>
      </c>
      <c r="AV194" s="75" t="e">
        <f t="shared" si="138"/>
        <v>#DIV/0!</v>
      </c>
      <c r="AW194" s="68" t="e">
        <f>IF($I194="NA","NA",ROUND(#REF!*$AS194/$I194,2))</f>
        <v>#REF!</v>
      </c>
      <c r="AX194" s="75" t="e">
        <f t="shared" si="155"/>
        <v>#REF!</v>
      </c>
      <c r="AY194" s="68" t="e">
        <f t="shared" si="139"/>
        <v>#REF!</v>
      </c>
      <c r="AZ194" s="4">
        <f t="shared" si="140"/>
        <v>75719</v>
      </c>
      <c r="BA194" s="4">
        <f t="shared" si="141"/>
        <v>56730</v>
      </c>
      <c r="BB194" s="4">
        <f t="shared" si="142"/>
        <v>46057</v>
      </c>
      <c r="BC194" s="142">
        <f>IF(ISNA(VLOOKUP($A194&amp;$AB194,'Days Exceptions'!$C$3:$I$7,6,FALSE)),ROUND(AZ194/MAX(BB194,(BA194*Min_Occ)),2),ROUND(AZ194/VLOOKUP($A194&amp;$AB194,'Days Exceptions'!$C$3:$I$7,6,FALSE),2))</f>
        <v>1.64</v>
      </c>
      <c r="BD194" s="143" t="e">
        <f t="shared" si="109"/>
        <v>#REF!</v>
      </c>
      <c r="BE194" s="143" t="e">
        <f t="shared" si="110"/>
        <v>#REF!</v>
      </c>
      <c r="BF194" s="143">
        <f t="shared" si="111"/>
        <v>150.05000000000001</v>
      </c>
      <c r="BG194" s="37" t="s">
        <v>608</v>
      </c>
      <c r="BH194" s="37" t="s">
        <v>603</v>
      </c>
      <c r="BI194" s="37" t="s">
        <v>1350</v>
      </c>
      <c r="BJ194" s="66" t="e">
        <f>VLOOKUP(A194,'CMI Data'!$A$3:$AZ$209,15,FALSE)</f>
        <v>#DIV/0!</v>
      </c>
      <c r="BK194" s="68">
        <f t="shared" si="112"/>
        <v>184.46</v>
      </c>
      <c r="BL194" s="68" t="e">
        <f t="shared" si="113"/>
        <v>#DIV/0!</v>
      </c>
      <c r="BM194" s="75" t="e">
        <f t="shared" si="143"/>
        <v>#DIV/0!</v>
      </c>
      <c r="BN194" s="68" t="e">
        <f>IF($I194="NA","NA",ROUND(#REF!*$BJ194/$I194,2))</f>
        <v>#REF!</v>
      </c>
      <c r="BO194" s="75" t="e">
        <f t="shared" si="144"/>
        <v>#REF!</v>
      </c>
      <c r="BP194" s="68" t="e">
        <f t="shared" si="145"/>
        <v>#REF!</v>
      </c>
      <c r="BQ194" s="4">
        <f t="shared" si="146"/>
        <v>75719</v>
      </c>
      <c r="BR194" s="4">
        <f t="shared" si="147"/>
        <v>56730</v>
      </c>
      <c r="BS194" s="4">
        <f t="shared" si="148"/>
        <v>46057</v>
      </c>
      <c r="BT194" s="142">
        <f>IF(ISNA(VLOOKUP($A194&amp;$AB194,'Days Exceptions'!$C$3:$I$7,6,FALSE)),ROUND(BQ194/MAX(BS194,(BR194*Min_Occ)),2),ROUND(BQ194/VLOOKUP($A194&amp;$AB194,'Days Exceptions'!$C$3:$I$7,6,FALSE),2))</f>
        <v>1.64</v>
      </c>
      <c r="BU194" s="143" t="e">
        <f t="shared" si="114"/>
        <v>#REF!</v>
      </c>
      <c r="BV194" s="143" t="e">
        <f t="shared" si="115"/>
        <v>#REF!</v>
      </c>
      <c r="BW194" s="143">
        <f t="shared" si="116"/>
        <v>150.05000000000001</v>
      </c>
      <c r="BX194" s="37" t="s">
        <v>608</v>
      </c>
      <c r="BY194" s="37" t="s">
        <v>603</v>
      </c>
      <c r="BZ194" s="37" t="s">
        <v>1744</v>
      </c>
      <c r="CA194" s="66" t="e">
        <f>VLOOKUP(A194,'CMI Data'!$A$3:$AZ$209,20,FALSE)</f>
        <v>#DIV/0!</v>
      </c>
      <c r="CB194" s="68">
        <f t="shared" si="117"/>
        <v>184.46</v>
      </c>
      <c r="CC194" s="68" t="e">
        <f t="shared" si="118"/>
        <v>#DIV/0!</v>
      </c>
      <c r="CD194" s="75" t="e">
        <f t="shared" si="149"/>
        <v>#DIV/0!</v>
      </c>
      <c r="CE194" s="68" t="e">
        <f>IF($I194="NA","NA",ROUND(#REF!*$CA194/$I194,2))</f>
        <v>#REF!</v>
      </c>
      <c r="CF194" s="75" t="e">
        <f t="shared" si="150"/>
        <v>#REF!</v>
      </c>
      <c r="CG194" s="68" t="e">
        <f t="shared" si="151"/>
        <v>#REF!</v>
      </c>
      <c r="CH194" s="4">
        <f t="shared" si="152"/>
        <v>75719</v>
      </c>
      <c r="CI194" s="4">
        <f t="shared" si="153"/>
        <v>56730</v>
      </c>
      <c r="CJ194" s="4">
        <f t="shared" si="154"/>
        <v>46057</v>
      </c>
      <c r="CK194" s="142">
        <f>IF(ISNA(VLOOKUP($A194&amp;$AB194,'Days Exceptions'!$C$3:$I$7,6,FALSE)),ROUND(CH194/MAX(CJ194,(CI194*Min_Occ)),2),ROUND(CH194/VLOOKUP($A194&amp;$AB194,'Days Exceptions'!$C$3:$I$7,6,FALSE),2))</f>
        <v>1.64</v>
      </c>
      <c r="CL194" s="143" t="e">
        <f t="shared" si="119"/>
        <v>#REF!</v>
      </c>
      <c r="CM194" s="143" t="e">
        <f t="shared" si="120"/>
        <v>#REF!</v>
      </c>
      <c r="CN194" s="143">
        <f t="shared" si="121"/>
        <v>150.05000000000001</v>
      </c>
      <c r="CO194" s="37" t="s">
        <v>608</v>
      </c>
      <c r="CP194" s="37" t="s">
        <v>603</v>
      </c>
      <c r="CQ194" s="37" t="s">
        <v>1745</v>
      </c>
    </row>
    <row r="195" spans="1:95" x14ac:dyDescent="0.15">
      <c r="A195" s="130">
        <v>60</v>
      </c>
      <c r="B195" s="37" t="s">
        <v>618</v>
      </c>
      <c r="C195" s="1" t="s">
        <v>148</v>
      </c>
      <c r="D195" s="1" t="s">
        <v>119</v>
      </c>
      <c r="E195" s="1" t="str">
        <f>VLOOKUP(D195,Documentation!$B$4:$D$27,3,FALSE)</f>
        <v>WASHINGTON METRO</v>
      </c>
      <c r="F195" s="1" t="str">
        <f>VLOOKUP(D195,Documentation!$B$4:$C$27,2,FALSE)</f>
        <v>WASHINGTON METRO</v>
      </c>
      <c r="G195" s="82">
        <f>VLOOKUP(A195,'2022 CR and CMI'!$A$3:$D$207,3,FALSE)</f>
        <v>44713</v>
      </c>
      <c r="H195" s="82">
        <f>VLOOKUP(A195,'2022 CR and CMI'!$A$3:$D$207,4,FALSE)</f>
        <v>44926</v>
      </c>
      <c r="I195" s="72">
        <f>VLOOKUP(A195,'2022 CR and CMI'!$A$2:$T$210,19,FALSE)</f>
        <v>1.2111000000000001</v>
      </c>
      <c r="J195" s="139">
        <f>Inflation!$G$24</f>
        <v>1.0309999999999999</v>
      </c>
      <c r="K195" s="192">
        <f>VLOOKUP(E195,Limits!$B$2:$D$5,3,FALSE)</f>
        <v>176.01</v>
      </c>
      <c r="L195" s="192">
        <f t="shared" si="124"/>
        <v>181.47</v>
      </c>
      <c r="M195" s="140">
        <f>VLOOKUP(A195,'CMI Data'!$A$4:$C$208,3,FALSE)</f>
        <v>1.3161</v>
      </c>
      <c r="N195" s="68">
        <f t="shared" si="106"/>
        <v>152.29</v>
      </c>
      <c r="O195" s="68">
        <f t="shared" si="125"/>
        <v>165.49</v>
      </c>
      <c r="P195" s="75">
        <f t="shared" si="126"/>
        <v>157.22</v>
      </c>
      <c r="Q195" s="75">
        <v>153.08000000000001</v>
      </c>
      <c r="R195" s="75">
        <f t="shared" si="127"/>
        <v>157.83000000000001</v>
      </c>
      <c r="S195" s="68">
        <f t="shared" si="128"/>
        <v>171.51</v>
      </c>
      <c r="T195" s="75">
        <f t="shared" si="129"/>
        <v>0</v>
      </c>
      <c r="U195" s="68">
        <f t="shared" si="130"/>
        <v>165.49</v>
      </c>
      <c r="V195" s="68">
        <f>VLOOKUP($F195,Limits!$J$2:$L$5,3,FALSE)</f>
        <v>19.23</v>
      </c>
      <c r="W195" s="68">
        <f t="shared" si="131"/>
        <v>19.829999999999998</v>
      </c>
      <c r="X195" s="68">
        <f>VLOOKUP($F195,Limits!$R$2:$T$5,3,FALSE)</f>
        <v>100.61</v>
      </c>
      <c r="Y195" s="68">
        <f t="shared" si="132"/>
        <v>103.73</v>
      </c>
      <c r="Z195" s="75">
        <f>VLOOKUP(A195,FRV!$A$4:$U$208,21,FALSE)</f>
        <v>39.549999999999997</v>
      </c>
      <c r="AA195" s="141">
        <f>VLOOKUP(A195,'RE Tax'!$A$2:$G$206,3,FALSE)</f>
        <v>45292</v>
      </c>
      <c r="AB195" s="141">
        <f>VLOOKUP(A195,'RE Tax'!$A$2:$G$206,4,FALSE)</f>
        <v>45657</v>
      </c>
      <c r="AC195" s="4">
        <f>VLOOKUP(A195,'RE Tax'!$A$2:$G$206,7,FALSE)</f>
        <v>236859</v>
      </c>
      <c r="AD195" s="4">
        <f>VLOOKUP($A195,'RE Tax'!$A$2:$I$206,9,FALSE)</f>
        <v>71370</v>
      </c>
      <c r="AE195" s="4">
        <f>VLOOKUP($A195,'RE Tax'!$A$2:$I$206,8,FALSE)</f>
        <v>63060</v>
      </c>
      <c r="AF195" s="142">
        <f>IF(ISNA(VLOOKUP(A195&amp;AB195,'Days Exceptions'!$C$3:$I$7,6,FALSE)),ROUND(AC195/MAX(AE195,(AD195*Min_Occ)),2),ROUND(AC195/VLOOKUP(A195&amp;AB195,'Days Exceptions'!$C$3:$I$7,6,FALSE),2))</f>
        <v>3.76</v>
      </c>
      <c r="AG195" s="68">
        <v>0</v>
      </c>
      <c r="AH195" s="68">
        <f t="shared" si="133"/>
        <v>0</v>
      </c>
      <c r="AI195" s="4">
        <v>58931</v>
      </c>
      <c r="AJ195" s="4">
        <v>63032</v>
      </c>
      <c r="AK195" s="68">
        <f>IF(AI195=0,0,IF(ISNA(MATCH(A195,Documentation!$B$66:$B$71,0)),QA_Tax_reg,QA_Tax_5high))</f>
        <v>32.92</v>
      </c>
      <c r="AL195" s="75">
        <f t="shared" si="134"/>
        <v>30.78</v>
      </c>
      <c r="AM195" s="68">
        <f t="shared" si="135"/>
        <v>332.36</v>
      </c>
      <c r="AN195" s="68">
        <f t="shared" si="136"/>
        <v>249.62</v>
      </c>
      <c r="AO195" s="68">
        <f t="shared" si="137"/>
        <v>166.87</v>
      </c>
      <c r="AP195" s="37" t="s">
        <v>631</v>
      </c>
      <c r="AQ195" s="37" t="s">
        <v>618</v>
      </c>
      <c r="AR195" s="37" t="s">
        <v>1147</v>
      </c>
      <c r="AS195" s="66" t="e">
        <f>VLOOKUP(A195,'CMI Data'!$A$3:$J$209,10,FALSE)</f>
        <v>#DIV/0!</v>
      </c>
      <c r="AT195" s="68">
        <f t="shared" si="107"/>
        <v>147.69999999999999</v>
      </c>
      <c r="AU195" s="68" t="e">
        <f t="shared" si="108"/>
        <v>#DIV/0!</v>
      </c>
      <c r="AV195" s="75" t="e">
        <f t="shared" si="138"/>
        <v>#DIV/0!</v>
      </c>
      <c r="AW195" s="68" t="e">
        <f>IF($I195="NA","NA",ROUND(#REF!*$AS195/$I195,2))</f>
        <v>#REF!</v>
      </c>
      <c r="AX195" s="75" t="e">
        <f t="shared" si="155"/>
        <v>#REF!</v>
      </c>
      <c r="AY195" s="68" t="e">
        <f t="shared" si="139"/>
        <v>#REF!</v>
      </c>
      <c r="AZ195" s="4">
        <f t="shared" si="140"/>
        <v>236859</v>
      </c>
      <c r="BA195" s="4">
        <f t="shared" si="141"/>
        <v>71370</v>
      </c>
      <c r="BB195" s="4">
        <f t="shared" si="142"/>
        <v>63060</v>
      </c>
      <c r="BC195" s="142">
        <f>IF(ISNA(VLOOKUP($A195&amp;$AB195,'Days Exceptions'!$C$3:$I$7,6,FALSE)),ROUND(AZ195/MAX(BB195,(BA195*Min_Occ)),2),ROUND(AZ195/VLOOKUP($A195&amp;$AB195,'Days Exceptions'!$C$3:$I$7,6,FALSE),2))</f>
        <v>3.76</v>
      </c>
      <c r="BD195" s="143" t="e">
        <f t="shared" si="109"/>
        <v>#REF!</v>
      </c>
      <c r="BE195" s="143" t="e">
        <f t="shared" si="110"/>
        <v>#REF!</v>
      </c>
      <c r="BF195" s="143">
        <f t="shared" si="111"/>
        <v>163.15</v>
      </c>
      <c r="BG195" s="37" t="s">
        <v>631</v>
      </c>
      <c r="BH195" s="37" t="s">
        <v>618</v>
      </c>
      <c r="BI195" s="37" t="s">
        <v>1351</v>
      </c>
      <c r="BJ195" s="66" t="e">
        <f>VLOOKUP(A195,'CMI Data'!$A$3:$AZ$209,15,FALSE)</f>
        <v>#DIV/0!</v>
      </c>
      <c r="BK195" s="68">
        <f t="shared" si="112"/>
        <v>147.69999999999999</v>
      </c>
      <c r="BL195" s="68" t="e">
        <f t="shared" si="113"/>
        <v>#DIV/0!</v>
      </c>
      <c r="BM195" s="75" t="e">
        <f t="shared" si="143"/>
        <v>#DIV/0!</v>
      </c>
      <c r="BN195" s="68" t="e">
        <f>IF($I195="NA","NA",ROUND(#REF!*$BJ195/$I195,2))</f>
        <v>#REF!</v>
      </c>
      <c r="BO195" s="75" t="e">
        <f t="shared" si="144"/>
        <v>#REF!</v>
      </c>
      <c r="BP195" s="68" t="e">
        <f t="shared" si="145"/>
        <v>#REF!</v>
      </c>
      <c r="BQ195" s="4">
        <f t="shared" si="146"/>
        <v>236859</v>
      </c>
      <c r="BR195" s="4">
        <f t="shared" si="147"/>
        <v>71370</v>
      </c>
      <c r="BS195" s="4">
        <f t="shared" si="148"/>
        <v>63060</v>
      </c>
      <c r="BT195" s="142">
        <f>IF(ISNA(VLOOKUP($A195&amp;$AB195,'Days Exceptions'!$C$3:$I$7,6,FALSE)),ROUND(BQ195/MAX(BS195,(BR195*Min_Occ)),2),ROUND(BQ195/VLOOKUP($A195&amp;$AB195,'Days Exceptions'!$C$3:$I$7,6,FALSE),2))</f>
        <v>3.76</v>
      </c>
      <c r="BU195" s="143" t="e">
        <f t="shared" si="114"/>
        <v>#REF!</v>
      </c>
      <c r="BV195" s="143" t="e">
        <f t="shared" si="115"/>
        <v>#REF!</v>
      </c>
      <c r="BW195" s="143">
        <f t="shared" si="116"/>
        <v>163.15</v>
      </c>
      <c r="BX195" s="37" t="s">
        <v>631</v>
      </c>
      <c r="BY195" s="37" t="s">
        <v>618</v>
      </c>
      <c r="BZ195" s="37" t="s">
        <v>1746</v>
      </c>
      <c r="CA195" s="66" t="e">
        <f>VLOOKUP(A195,'CMI Data'!$A$3:$AZ$209,20,FALSE)</f>
        <v>#DIV/0!</v>
      </c>
      <c r="CB195" s="68">
        <f t="shared" si="117"/>
        <v>147.69999999999999</v>
      </c>
      <c r="CC195" s="68" t="e">
        <f t="shared" si="118"/>
        <v>#DIV/0!</v>
      </c>
      <c r="CD195" s="75" t="e">
        <f t="shared" si="149"/>
        <v>#DIV/0!</v>
      </c>
      <c r="CE195" s="68" t="e">
        <f>IF($I195="NA","NA",ROUND(#REF!*$CA195/$I195,2))</f>
        <v>#REF!</v>
      </c>
      <c r="CF195" s="75" t="e">
        <f t="shared" si="150"/>
        <v>#REF!</v>
      </c>
      <c r="CG195" s="68" t="e">
        <f t="shared" si="151"/>
        <v>#REF!</v>
      </c>
      <c r="CH195" s="4">
        <f t="shared" si="152"/>
        <v>236859</v>
      </c>
      <c r="CI195" s="4">
        <f t="shared" si="153"/>
        <v>71370</v>
      </c>
      <c r="CJ195" s="4">
        <f t="shared" si="154"/>
        <v>63060</v>
      </c>
      <c r="CK195" s="142">
        <f>IF(ISNA(VLOOKUP($A195&amp;$AB195,'Days Exceptions'!$C$3:$I$7,6,FALSE)),ROUND(CH195/MAX(CJ195,(CI195*Min_Occ)),2),ROUND(CH195/VLOOKUP($A195&amp;$AB195,'Days Exceptions'!$C$3:$I$7,6,FALSE),2))</f>
        <v>3.76</v>
      </c>
      <c r="CL195" s="143" t="e">
        <f t="shared" si="119"/>
        <v>#REF!</v>
      </c>
      <c r="CM195" s="143" t="e">
        <f t="shared" si="120"/>
        <v>#REF!</v>
      </c>
      <c r="CN195" s="143">
        <f t="shared" si="121"/>
        <v>163.15</v>
      </c>
      <c r="CO195" s="37" t="s">
        <v>631</v>
      </c>
      <c r="CP195" s="37" t="s">
        <v>618</v>
      </c>
      <c r="CQ195" s="37" t="s">
        <v>1747</v>
      </c>
    </row>
    <row r="196" spans="1:95" x14ac:dyDescent="0.15">
      <c r="A196" s="130">
        <v>663</v>
      </c>
      <c r="B196" s="37" t="s">
        <v>605</v>
      </c>
      <c r="C196" s="1" t="s">
        <v>148</v>
      </c>
      <c r="D196" s="1" t="s">
        <v>116</v>
      </c>
      <c r="E196" s="1" t="str">
        <f>VLOOKUP(D196,Documentation!$B$4:$D$27,3,FALSE)</f>
        <v>BALTIMORE METRO</v>
      </c>
      <c r="F196" s="1" t="str">
        <f>VLOOKUP(D196,Documentation!$B$4:$C$27,2,FALSE)</f>
        <v>BALTIMORE METRO</v>
      </c>
      <c r="G196" s="82">
        <f>VLOOKUP(A196,'2022 CR and CMI'!$A$3:$D$207,3,FALSE)</f>
        <v>44713</v>
      </c>
      <c r="H196" s="82">
        <f>VLOOKUP(A196,'2022 CR and CMI'!$A$3:$D$207,4,FALSE)</f>
        <v>44926</v>
      </c>
      <c r="I196" s="72">
        <f>VLOOKUP(A196,'2022 CR and CMI'!$A$2:$T$210,19,FALSE)</f>
        <v>1.2698</v>
      </c>
      <c r="J196" s="139">
        <f>Inflation!$G$24</f>
        <v>1.0309999999999999</v>
      </c>
      <c r="K196" s="192">
        <f>VLOOKUP(E196,Limits!$B$2:$D$5,3,FALSE)</f>
        <v>195.33</v>
      </c>
      <c r="L196" s="192">
        <f t="shared" si="124"/>
        <v>201.39</v>
      </c>
      <c r="M196" s="140">
        <f>VLOOKUP(A196,'CMI Data'!$A$4:$C$208,3,FALSE)</f>
        <v>1.5383</v>
      </c>
      <c r="N196" s="68">
        <f t="shared" si="106"/>
        <v>177.19</v>
      </c>
      <c r="O196" s="68">
        <f t="shared" si="125"/>
        <v>214.66</v>
      </c>
      <c r="P196" s="75">
        <f t="shared" si="126"/>
        <v>203.93</v>
      </c>
      <c r="Q196" s="75">
        <v>191.81</v>
      </c>
      <c r="R196" s="75">
        <f t="shared" si="127"/>
        <v>197.76</v>
      </c>
      <c r="S196" s="68">
        <f t="shared" si="128"/>
        <v>239.58</v>
      </c>
      <c r="T196" s="75">
        <f t="shared" si="129"/>
        <v>0</v>
      </c>
      <c r="U196" s="68">
        <f t="shared" si="130"/>
        <v>214.66</v>
      </c>
      <c r="V196" s="68">
        <f>VLOOKUP($F196,Limits!$J$2:$L$5,3,FALSE)</f>
        <v>20.85</v>
      </c>
      <c r="W196" s="68">
        <f t="shared" si="131"/>
        <v>21.5</v>
      </c>
      <c r="X196" s="68">
        <f>VLOOKUP($F196,Limits!$R$2:$T$5,3,FALSE)</f>
        <v>102.02</v>
      </c>
      <c r="Y196" s="68">
        <f t="shared" si="132"/>
        <v>105.18</v>
      </c>
      <c r="Z196" s="75">
        <f>VLOOKUP(A196,FRV!$A$4:$U$208,21,FALSE)</f>
        <v>31.21</v>
      </c>
      <c r="AA196" s="141">
        <f>VLOOKUP(A196,'RE Tax'!$A$2:$G$206,3,FALSE)</f>
        <v>45292</v>
      </c>
      <c r="AB196" s="141">
        <f>VLOOKUP(A196,'RE Tax'!$A$2:$G$206,4,FALSE)</f>
        <v>45657</v>
      </c>
      <c r="AC196" s="4">
        <f>VLOOKUP(A196,'RE Tax'!$A$2:$G$206,7,FALSE)</f>
        <v>143095</v>
      </c>
      <c r="AD196" s="4">
        <f>VLOOKUP($A196,'RE Tax'!$A$2:$I$206,9,FALSE)</f>
        <v>57096</v>
      </c>
      <c r="AE196" s="4">
        <f>VLOOKUP($A196,'RE Tax'!$A$2:$I$206,8,FALSE)</f>
        <v>47382</v>
      </c>
      <c r="AF196" s="142">
        <f>IF(ISNA(VLOOKUP(A196&amp;AB196,'Days Exceptions'!$C$3:$I$7,6,FALSE)),ROUND(AC196/MAX(AE196,(AD196*Min_Occ)),2),ROUND(AC196/VLOOKUP(A196&amp;AB196,'Days Exceptions'!$C$3:$I$7,6,FALSE),2))</f>
        <v>3.02</v>
      </c>
      <c r="AG196" s="68">
        <v>0</v>
      </c>
      <c r="AH196" s="68">
        <f t="shared" si="133"/>
        <v>0</v>
      </c>
      <c r="AI196" s="4">
        <v>33644</v>
      </c>
      <c r="AJ196" s="4">
        <v>47381</v>
      </c>
      <c r="AK196" s="68">
        <f>IF(AI196=0,0,IF(ISNA(MATCH(A196,Documentation!$B$66:$B$71,0)),QA_Tax_reg,QA_Tax_5high))</f>
        <v>32.92</v>
      </c>
      <c r="AL196" s="75">
        <f t="shared" si="134"/>
        <v>23.38</v>
      </c>
      <c r="AM196" s="68">
        <f t="shared" si="135"/>
        <v>375.57</v>
      </c>
      <c r="AN196" s="68">
        <f t="shared" si="136"/>
        <v>268.24</v>
      </c>
      <c r="AO196" s="68">
        <f t="shared" si="137"/>
        <v>160.91</v>
      </c>
      <c r="AP196" s="37" t="s">
        <v>609</v>
      </c>
      <c r="AQ196" s="37" t="s">
        <v>605</v>
      </c>
      <c r="AR196" s="37" t="s">
        <v>1148</v>
      </c>
      <c r="AS196" s="66" t="e">
        <f>VLOOKUP(A196,'CMI Data'!$A$3:$J$209,10,FALSE)</f>
        <v>#DIV/0!</v>
      </c>
      <c r="AT196" s="68">
        <f t="shared" si="107"/>
        <v>171.86</v>
      </c>
      <c r="AU196" s="68" t="e">
        <f t="shared" si="108"/>
        <v>#DIV/0!</v>
      </c>
      <c r="AV196" s="75" t="e">
        <f t="shared" si="138"/>
        <v>#DIV/0!</v>
      </c>
      <c r="AW196" s="68" t="e">
        <f>IF($I196="NA","NA",ROUND(#REF!*$AS196/$I196,2))</f>
        <v>#REF!</v>
      </c>
      <c r="AX196" s="75" t="e">
        <f t="shared" si="155"/>
        <v>#REF!</v>
      </c>
      <c r="AY196" s="68" t="e">
        <f t="shared" si="139"/>
        <v>#REF!</v>
      </c>
      <c r="AZ196" s="4">
        <f t="shared" si="140"/>
        <v>143095</v>
      </c>
      <c r="BA196" s="4">
        <f t="shared" si="141"/>
        <v>57096</v>
      </c>
      <c r="BB196" s="4">
        <f t="shared" si="142"/>
        <v>47382</v>
      </c>
      <c r="BC196" s="142">
        <f>IF(ISNA(VLOOKUP($A196&amp;$AB196,'Days Exceptions'!$C$3:$I$7,6,FALSE)),ROUND(AZ196/MAX(BB196,(BA196*Min_Occ)),2),ROUND(AZ196/VLOOKUP($A196&amp;$AB196,'Days Exceptions'!$C$3:$I$7,6,FALSE),2))</f>
        <v>3.02</v>
      </c>
      <c r="BD196" s="143" t="e">
        <f t="shared" si="109"/>
        <v>#REF!</v>
      </c>
      <c r="BE196" s="143" t="e">
        <f t="shared" si="110"/>
        <v>#REF!</v>
      </c>
      <c r="BF196" s="143">
        <f t="shared" si="111"/>
        <v>157.1</v>
      </c>
      <c r="BG196" s="37" t="s">
        <v>609</v>
      </c>
      <c r="BH196" s="37" t="s">
        <v>605</v>
      </c>
      <c r="BI196" s="37" t="s">
        <v>1352</v>
      </c>
      <c r="BJ196" s="66" t="e">
        <f>VLOOKUP(A196,'CMI Data'!$A$3:$AZ$209,15,FALSE)</f>
        <v>#DIV/0!</v>
      </c>
      <c r="BK196" s="68">
        <f t="shared" si="112"/>
        <v>171.86</v>
      </c>
      <c r="BL196" s="68" t="e">
        <f t="shared" si="113"/>
        <v>#DIV/0!</v>
      </c>
      <c r="BM196" s="75" t="e">
        <f t="shared" si="143"/>
        <v>#DIV/0!</v>
      </c>
      <c r="BN196" s="68" t="e">
        <f>IF($I196="NA","NA",ROUND(#REF!*$BJ196/$I196,2))</f>
        <v>#REF!</v>
      </c>
      <c r="BO196" s="75" t="e">
        <f t="shared" si="144"/>
        <v>#REF!</v>
      </c>
      <c r="BP196" s="68" t="e">
        <f t="shared" si="145"/>
        <v>#REF!</v>
      </c>
      <c r="BQ196" s="4">
        <f t="shared" si="146"/>
        <v>143095</v>
      </c>
      <c r="BR196" s="4">
        <f t="shared" si="147"/>
        <v>57096</v>
      </c>
      <c r="BS196" s="4">
        <f t="shared" si="148"/>
        <v>47382</v>
      </c>
      <c r="BT196" s="142">
        <f>IF(ISNA(VLOOKUP($A196&amp;$AB196,'Days Exceptions'!$C$3:$I$7,6,FALSE)),ROUND(BQ196/MAX(BS196,(BR196*Min_Occ)),2),ROUND(BQ196/VLOOKUP($A196&amp;$AB196,'Days Exceptions'!$C$3:$I$7,6,FALSE),2))</f>
        <v>3.02</v>
      </c>
      <c r="BU196" s="143" t="e">
        <f t="shared" si="114"/>
        <v>#REF!</v>
      </c>
      <c r="BV196" s="143" t="e">
        <f t="shared" si="115"/>
        <v>#REF!</v>
      </c>
      <c r="BW196" s="143">
        <f t="shared" si="116"/>
        <v>157.1</v>
      </c>
      <c r="BX196" s="37" t="s">
        <v>609</v>
      </c>
      <c r="BY196" s="37" t="s">
        <v>605</v>
      </c>
      <c r="BZ196" s="37" t="s">
        <v>1748</v>
      </c>
      <c r="CA196" s="66" t="e">
        <f>VLOOKUP(A196,'CMI Data'!$A$3:$AZ$209,20,FALSE)</f>
        <v>#DIV/0!</v>
      </c>
      <c r="CB196" s="68">
        <f t="shared" si="117"/>
        <v>171.86</v>
      </c>
      <c r="CC196" s="68" t="e">
        <f t="shared" si="118"/>
        <v>#DIV/0!</v>
      </c>
      <c r="CD196" s="75" t="e">
        <f t="shared" si="149"/>
        <v>#DIV/0!</v>
      </c>
      <c r="CE196" s="68" t="e">
        <f>IF($I196="NA","NA",ROUND(#REF!*$CA196/$I196,2))</f>
        <v>#REF!</v>
      </c>
      <c r="CF196" s="75" t="e">
        <f t="shared" si="150"/>
        <v>#REF!</v>
      </c>
      <c r="CG196" s="68" t="e">
        <f t="shared" si="151"/>
        <v>#REF!</v>
      </c>
      <c r="CH196" s="4">
        <f t="shared" si="152"/>
        <v>143095</v>
      </c>
      <c r="CI196" s="4">
        <f t="shared" si="153"/>
        <v>57096</v>
      </c>
      <c r="CJ196" s="4">
        <f t="shared" si="154"/>
        <v>47382</v>
      </c>
      <c r="CK196" s="142">
        <f>IF(ISNA(VLOOKUP($A196&amp;$AB196,'Days Exceptions'!$C$3:$I$7,6,FALSE)),ROUND(CH196/MAX(CJ196,(CI196*Min_Occ)),2),ROUND(CH196/VLOOKUP($A196&amp;$AB196,'Days Exceptions'!$C$3:$I$7,6,FALSE),2))</f>
        <v>3.02</v>
      </c>
      <c r="CL196" s="143" t="e">
        <f t="shared" si="119"/>
        <v>#REF!</v>
      </c>
      <c r="CM196" s="143" t="e">
        <f t="shared" si="120"/>
        <v>#REF!</v>
      </c>
      <c r="CN196" s="143">
        <f t="shared" si="121"/>
        <v>157.1</v>
      </c>
      <c r="CO196" s="37" t="s">
        <v>609</v>
      </c>
      <c r="CP196" s="37" t="s">
        <v>605</v>
      </c>
      <c r="CQ196" s="37" t="s">
        <v>1749</v>
      </c>
    </row>
    <row r="197" spans="1:95" x14ac:dyDescent="0.15">
      <c r="A197" s="130">
        <v>236</v>
      </c>
      <c r="B197" s="37" t="s">
        <v>689</v>
      </c>
      <c r="C197" s="1" t="s">
        <v>148</v>
      </c>
      <c r="D197" s="1" t="s">
        <v>120</v>
      </c>
      <c r="E197" s="1" t="str">
        <f>VLOOKUP(D197,Documentation!$B$4:$D$27,3,FALSE)</f>
        <v>WASHINGTON METRO</v>
      </c>
      <c r="F197" s="1" t="str">
        <f>VLOOKUP(D197,Documentation!$B$4:$C$27,2,FALSE)</f>
        <v>WASHINGTON METRO</v>
      </c>
      <c r="G197" s="82">
        <f>VLOOKUP(A197,'2022 CR and CMI'!$A$3:$D$207,3,FALSE)</f>
        <v>44562</v>
      </c>
      <c r="H197" s="82">
        <f>VLOOKUP(A197,'2022 CR and CMI'!$A$3:$D$207,4,FALSE)</f>
        <v>44926</v>
      </c>
      <c r="I197" s="72">
        <f>VLOOKUP(A197,'2022 CR and CMI'!$A$2:$T$210,19,FALSE)</f>
        <v>1.4798</v>
      </c>
      <c r="J197" s="139">
        <f>Inflation!$G$24</f>
        <v>1.0309999999999999</v>
      </c>
      <c r="K197" s="192">
        <f>VLOOKUP(E197,Limits!$B$2:$D$5,3,FALSE)</f>
        <v>176.01</v>
      </c>
      <c r="L197" s="192">
        <f t="shared" si="124"/>
        <v>181.47</v>
      </c>
      <c r="M197" s="140">
        <f>VLOOKUP(A197,'CMI Data'!$A$4:$C$208,3,FALSE)</f>
        <v>1.4287000000000001</v>
      </c>
      <c r="N197" s="68">
        <f t="shared" ref="N197:N208" si="156">IF($I197="NA","NA",ROUND($L197*$I197/SW_CR_CMI,2))</f>
        <v>186.07</v>
      </c>
      <c r="O197" s="68">
        <f t="shared" si="125"/>
        <v>179.64</v>
      </c>
      <c r="P197" s="75">
        <f t="shared" si="126"/>
        <v>170.66</v>
      </c>
      <c r="Q197" s="75">
        <v>164</v>
      </c>
      <c r="R197" s="75">
        <f t="shared" si="127"/>
        <v>169.08</v>
      </c>
      <c r="S197" s="68">
        <f t="shared" si="128"/>
        <v>163.24</v>
      </c>
      <c r="T197" s="75">
        <f t="shared" si="129"/>
        <v>-7.42</v>
      </c>
      <c r="U197" s="68">
        <f t="shared" si="130"/>
        <v>172.22</v>
      </c>
      <c r="V197" s="68">
        <f>VLOOKUP($F197,Limits!$J$2:$L$5,3,FALSE)</f>
        <v>19.23</v>
      </c>
      <c r="W197" s="68">
        <f t="shared" si="131"/>
        <v>19.829999999999998</v>
      </c>
      <c r="X197" s="68">
        <f>VLOOKUP($F197,Limits!$R$2:$T$5,3,FALSE)</f>
        <v>100.61</v>
      </c>
      <c r="Y197" s="68">
        <f t="shared" si="132"/>
        <v>103.73</v>
      </c>
      <c r="Z197" s="75">
        <f>VLOOKUP(A197,FRV!$A$4:$U$208,21,FALSE)</f>
        <v>39.979999999999997</v>
      </c>
      <c r="AA197" s="141">
        <f>VLOOKUP(A197,'RE Tax'!$A$2:$G$206,3,FALSE)</f>
        <v>45292</v>
      </c>
      <c r="AB197" s="141">
        <f>VLOOKUP(A197,'RE Tax'!$A$2:$G$206,4,FALSE)</f>
        <v>45657</v>
      </c>
      <c r="AC197" s="4">
        <f>VLOOKUP(A197,'RE Tax'!$A$2:$G$206,7,FALSE)</f>
        <v>159166</v>
      </c>
      <c r="AD197" s="4">
        <f>VLOOKUP($A197,'RE Tax'!$A$2:$I$206,9,FALSE)</f>
        <v>24156</v>
      </c>
      <c r="AE197" s="4">
        <f>VLOOKUP($A197,'RE Tax'!$A$2:$I$206,8,FALSE)</f>
        <v>21757</v>
      </c>
      <c r="AF197" s="142">
        <f>IF(ISNA(VLOOKUP(A197&amp;AB197,'Days Exceptions'!$C$3:$I$7,6,FALSE)),ROUND(AC197/MAX(AE197,(AD197*Min_Occ)),2),ROUND(AC197/VLOOKUP(A197&amp;AB197,'Days Exceptions'!$C$3:$I$7,6,FALSE),2))</f>
        <v>7.32</v>
      </c>
      <c r="AG197" s="68">
        <v>0</v>
      </c>
      <c r="AH197" s="68">
        <f t="shared" si="133"/>
        <v>0</v>
      </c>
      <c r="AI197" s="4">
        <v>12282</v>
      </c>
      <c r="AJ197" s="4">
        <v>21723</v>
      </c>
      <c r="AK197" s="68">
        <f>IF(AI197=0,0,IF(ISNA(MATCH(A197,Documentation!$B$66:$B$71,0)),QA_Tax_reg,QA_Tax_5high))</f>
        <v>32.92</v>
      </c>
      <c r="AL197" s="75">
        <f t="shared" si="134"/>
        <v>18.61</v>
      </c>
      <c r="AM197" s="68">
        <f t="shared" si="135"/>
        <v>343.08</v>
      </c>
      <c r="AN197" s="68">
        <f t="shared" si="136"/>
        <v>256.97000000000003</v>
      </c>
      <c r="AO197" s="68">
        <f t="shared" si="137"/>
        <v>170.86</v>
      </c>
      <c r="AP197" s="37" t="s">
        <v>688</v>
      </c>
      <c r="AQ197" s="37" t="s">
        <v>689</v>
      </c>
      <c r="AR197" s="37" t="s">
        <v>1149</v>
      </c>
      <c r="AS197" s="66" t="e">
        <f>VLOOKUP(A197,'CMI Data'!$A$3:$J$209,10,FALSE)</f>
        <v>#DIV/0!</v>
      </c>
      <c r="AT197" s="68">
        <f t="shared" ref="AT197:AT208" si="157">IF($I197="NA","NA",ROUND($K197*$I197/SW_CR_CMI,2))</f>
        <v>180.47</v>
      </c>
      <c r="AU197" s="68" t="e">
        <f t="shared" ref="AU197:AU208" si="158">IF($I197="NA",ROUND(AS197*$K197,2),ROUND(AT197*(AS197/$I197),2))</f>
        <v>#DIV/0!</v>
      </c>
      <c r="AV197" s="75" t="e">
        <f t="shared" si="138"/>
        <v>#DIV/0!</v>
      </c>
      <c r="AW197" s="68" t="e">
        <f>IF($I197="NA","NA",ROUND(#REF!*$AS197/$I197,2))</f>
        <v>#REF!</v>
      </c>
      <c r="AX197" s="75" t="e">
        <f t="shared" si="155"/>
        <v>#REF!</v>
      </c>
      <c r="AY197" s="68" t="e">
        <f t="shared" si="139"/>
        <v>#REF!</v>
      </c>
      <c r="AZ197" s="4">
        <f t="shared" si="140"/>
        <v>159166</v>
      </c>
      <c r="BA197" s="4">
        <f t="shared" si="141"/>
        <v>24156</v>
      </c>
      <c r="BB197" s="4">
        <f t="shared" si="142"/>
        <v>21757</v>
      </c>
      <c r="BC197" s="142">
        <f>IF(ISNA(VLOOKUP($A197&amp;$AB197,'Days Exceptions'!$C$3:$I$7,6,FALSE)),ROUND(AZ197/MAX(BB197,(BA197*Min_Occ)),2),ROUND(AZ197/VLOOKUP($A197&amp;$AB197,'Days Exceptions'!$C$3:$I$7,6,FALSE),2))</f>
        <v>7.32</v>
      </c>
      <c r="BD197" s="143" t="e">
        <f t="shared" ref="BD197:BD208" si="159">$BC197+$AY197+$AG197+$Z197+$X197+$V197</f>
        <v>#REF!</v>
      </c>
      <c r="BE197" s="143" t="e">
        <f t="shared" ref="BE197:BE208" si="160">$BC197+$AG197+$Z197+$X197+$V197+ROUND(+$AY197*0.5,2)</f>
        <v>#REF!</v>
      </c>
      <c r="BF197" s="143">
        <f t="shared" ref="BF197:BF208" si="161">$BC197+$AG197+$Z197+$X197+$V197</f>
        <v>167.14</v>
      </c>
      <c r="BG197" s="37" t="s">
        <v>688</v>
      </c>
      <c r="BH197" s="37" t="s">
        <v>689</v>
      </c>
      <c r="BI197" s="37" t="s">
        <v>1353</v>
      </c>
      <c r="BJ197" s="66" t="e">
        <f>VLOOKUP(A197,'CMI Data'!$A$3:$AZ$209,15,FALSE)</f>
        <v>#DIV/0!</v>
      </c>
      <c r="BK197" s="68">
        <f t="shared" ref="BK197:BK208" si="162">IF($I197="NA","NA",ROUND($K197*$I197/SW_CR_CMI,2))</f>
        <v>180.47</v>
      </c>
      <c r="BL197" s="68" t="e">
        <f t="shared" ref="BL197:BL208" si="163">IF($I197="NA",ROUND(BJ197*$K197,2),ROUND(BK197*(BJ197/$I197),2))</f>
        <v>#DIV/0!</v>
      </c>
      <c r="BM197" s="75" t="e">
        <f t="shared" si="143"/>
        <v>#DIV/0!</v>
      </c>
      <c r="BN197" s="68" t="e">
        <f>IF($I197="NA","NA",ROUND(#REF!*$BJ197/$I197,2))</f>
        <v>#REF!</v>
      </c>
      <c r="BO197" s="75" t="e">
        <f t="shared" si="144"/>
        <v>#REF!</v>
      </c>
      <c r="BP197" s="68" t="e">
        <f t="shared" si="145"/>
        <v>#REF!</v>
      </c>
      <c r="BQ197" s="4">
        <f t="shared" si="146"/>
        <v>159166</v>
      </c>
      <c r="BR197" s="4">
        <f t="shared" si="147"/>
        <v>24156</v>
      </c>
      <c r="BS197" s="4">
        <f t="shared" si="148"/>
        <v>21757</v>
      </c>
      <c r="BT197" s="142">
        <f>IF(ISNA(VLOOKUP($A197&amp;$AB197,'Days Exceptions'!$C$3:$I$7,6,FALSE)),ROUND(BQ197/MAX(BS197,(BR197*Min_Occ)),2),ROUND(BQ197/VLOOKUP($A197&amp;$AB197,'Days Exceptions'!$C$3:$I$7,6,FALSE),2))</f>
        <v>7.32</v>
      </c>
      <c r="BU197" s="143" t="e">
        <f t="shared" ref="BU197:BU208" si="164">$BT197+$BP197+$AG197+$Z197+$X197+$V197</f>
        <v>#REF!</v>
      </c>
      <c r="BV197" s="143" t="e">
        <f t="shared" ref="BV197:BV208" si="165">$BT197+$AG197+$Z197+$X197+$V197+ROUND(+$BP197*0.5,2)</f>
        <v>#REF!</v>
      </c>
      <c r="BW197" s="143">
        <f t="shared" ref="BW197:BW208" si="166">$BT197+$AG197+$Z197+$X197+$V197</f>
        <v>167.14</v>
      </c>
      <c r="BX197" s="37" t="s">
        <v>688</v>
      </c>
      <c r="BY197" s="37" t="s">
        <v>689</v>
      </c>
      <c r="BZ197" s="37" t="s">
        <v>1750</v>
      </c>
      <c r="CA197" s="66" t="e">
        <f>VLOOKUP(A197,'CMI Data'!$A$3:$AZ$209,20,FALSE)</f>
        <v>#DIV/0!</v>
      </c>
      <c r="CB197" s="68">
        <f t="shared" ref="CB197:CB208" si="167">IF($I197="NA","NA",ROUND($K197*$I197/SW_CR_CMI,2))</f>
        <v>180.47</v>
      </c>
      <c r="CC197" s="68" t="e">
        <f t="shared" ref="CC197:CC208" si="168">IF($I197="NA",ROUND(CA197*$K197,2),ROUND(CB197*(CA197/$I197),2))</f>
        <v>#DIV/0!</v>
      </c>
      <c r="CD197" s="75" t="e">
        <f t="shared" si="149"/>
        <v>#DIV/0!</v>
      </c>
      <c r="CE197" s="68" t="e">
        <f>IF($I197="NA","NA",ROUND(#REF!*$CA197/$I197,2))</f>
        <v>#REF!</v>
      </c>
      <c r="CF197" s="75" t="e">
        <f t="shared" si="150"/>
        <v>#REF!</v>
      </c>
      <c r="CG197" s="68" t="e">
        <f t="shared" si="151"/>
        <v>#REF!</v>
      </c>
      <c r="CH197" s="4">
        <f t="shared" si="152"/>
        <v>159166</v>
      </c>
      <c r="CI197" s="4">
        <f t="shared" si="153"/>
        <v>24156</v>
      </c>
      <c r="CJ197" s="4">
        <f t="shared" si="154"/>
        <v>21757</v>
      </c>
      <c r="CK197" s="142">
        <f>IF(ISNA(VLOOKUP($A197&amp;$AB197,'Days Exceptions'!$C$3:$I$7,6,FALSE)),ROUND(CH197/MAX(CJ197,(CI197*Min_Occ)),2),ROUND(CH197/VLOOKUP($A197&amp;$AB197,'Days Exceptions'!$C$3:$I$7,6,FALSE),2))</f>
        <v>7.32</v>
      </c>
      <c r="CL197" s="143" t="e">
        <f t="shared" ref="CL197:CL208" si="169">$CK197+$CG197+$AG197+$Z197+$X197+$V197</f>
        <v>#REF!</v>
      </c>
      <c r="CM197" s="143" t="e">
        <f t="shared" ref="CM197:CM208" si="170">$CK197+$AG197+$Z197+$X197+$V197+ROUND(+$CG197*0.5,2)</f>
        <v>#REF!</v>
      </c>
      <c r="CN197" s="143">
        <f t="shared" ref="CN197:CN208" si="171">$CK197+$AG197+$Z197+$X197+$V197</f>
        <v>167.14</v>
      </c>
      <c r="CO197" s="37" t="s">
        <v>688</v>
      </c>
      <c r="CP197" s="37" t="s">
        <v>689</v>
      </c>
      <c r="CQ197" s="37" t="s">
        <v>1751</v>
      </c>
    </row>
    <row r="198" spans="1:95" x14ac:dyDescent="0.15">
      <c r="A198" s="130">
        <v>288</v>
      </c>
      <c r="B198" s="37" t="s">
        <v>479</v>
      </c>
      <c r="C198" s="1" t="s">
        <v>148</v>
      </c>
      <c r="D198" s="1" t="s">
        <v>116</v>
      </c>
      <c r="E198" s="1" t="str">
        <f>VLOOKUP(D198,Documentation!$B$4:$D$27,3,FALSE)</f>
        <v>BALTIMORE METRO</v>
      </c>
      <c r="F198" s="1" t="str">
        <f>VLOOKUP(D198,Documentation!$B$4:$C$27,2,FALSE)</f>
        <v>BALTIMORE METRO</v>
      </c>
      <c r="G198" s="82">
        <f>VLOOKUP(A198,'2022 CR and CMI'!$A$3:$D$207,3,FALSE)</f>
        <v>44562</v>
      </c>
      <c r="H198" s="82">
        <f>VLOOKUP(A198,'2022 CR and CMI'!$A$3:$D$207,4,FALSE)</f>
        <v>44926</v>
      </c>
      <c r="I198" s="72">
        <f>VLOOKUP(A198,'2022 CR and CMI'!$A$2:$T$210,19,FALSE)</f>
        <v>1.3982000000000001</v>
      </c>
      <c r="J198" s="139">
        <f>Inflation!$G$24</f>
        <v>1.0309999999999999</v>
      </c>
      <c r="K198" s="192">
        <f>VLOOKUP(E198,Limits!$B$2:$D$5,3,FALSE)</f>
        <v>195.33</v>
      </c>
      <c r="L198" s="192">
        <f t="shared" ref="L198:L208" si="172">ROUND(K198*J198,2)</f>
        <v>201.39</v>
      </c>
      <c r="M198" s="140">
        <f>VLOOKUP(A198,'CMI Data'!$A$4:$C$208,3,FALSE)</f>
        <v>1.5995999999999999</v>
      </c>
      <c r="N198" s="68">
        <f t="shared" si="156"/>
        <v>195.11</v>
      </c>
      <c r="O198" s="68">
        <f t="shared" ref="O198:O208" si="173">IF($I198="NA",ROUND(M198*L198,2),ROUND(N198*(M198/$I198),2))</f>
        <v>223.21</v>
      </c>
      <c r="P198" s="75">
        <f t="shared" ref="P198:P208" si="174">IF($I198="NA","NA",ROUND(O198*0.95,2))</f>
        <v>212.05</v>
      </c>
      <c r="Q198" s="75">
        <v>171.94</v>
      </c>
      <c r="R198" s="75">
        <f t="shared" ref="R198:R208" si="175">IF(Q198="NA","NA",ROUND(Q198*J198,2))</f>
        <v>177.27</v>
      </c>
      <c r="S198" s="68">
        <f t="shared" ref="S198:S208" si="176">IF($I198="NA","NA",ROUND(R198*M198/$I198,2))</f>
        <v>202.8</v>
      </c>
      <c r="T198" s="75">
        <f t="shared" ref="T198:T208" si="177">IF(S198="NA","NA",MIN(S198-P198,0))</f>
        <v>-9.25</v>
      </c>
      <c r="U198" s="68">
        <f t="shared" ref="U198:U208" si="178">IF(T198="NA",O198,O198+T198)</f>
        <v>213.96</v>
      </c>
      <c r="V198" s="68">
        <f>VLOOKUP($F198,Limits!$J$2:$L$5,3,FALSE)</f>
        <v>20.85</v>
      </c>
      <c r="W198" s="68">
        <f t="shared" ref="W198:W208" si="179">ROUND(V198*J198,2)</f>
        <v>21.5</v>
      </c>
      <c r="X198" s="68">
        <f>VLOOKUP($F198,Limits!$R$2:$T$5,3,FALSE)</f>
        <v>102.02</v>
      </c>
      <c r="Y198" s="68">
        <f t="shared" ref="Y198:Y208" si="180">ROUND(X198*J198,2)</f>
        <v>105.18</v>
      </c>
      <c r="Z198" s="75">
        <f>VLOOKUP(A198,FRV!$A$4:$U$208,21,FALSE)</f>
        <v>35.340000000000003</v>
      </c>
      <c r="AA198" s="141">
        <f>VLOOKUP(A198,'RE Tax'!$A$2:$G$206,3,FALSE)</f>
        <v>45292</v>
      </c>
      <c r="AB198" s="141">
        <f>VLOOKUP(A198,'RE Tax'!$A$2:$G$206,4,FALSE)</f>
        <v>45657</v>
      </c>
      <c r="AC198" s="4">
        <f>VLOOKUP(A198,'RE Tax'!$A$2:$G$206,7,FALSE)</f>
        <v>126627</v>
      </c>
      <c r="AD198" s="4">
        <f>VLOOKUP($A198,'RE Tax'!$A$2:$I$206,9,FALSE)</f>
        <v>46482</v>
      </c>
      <c r="AE198" s="4">
        <f>VLOOKUP($A198,'RE Tax'!$A$2:$I$206,8,FALSE)</f>
        <v>39815</v>
      </c>
      <c r="AF198" s="142">
        <f>IF(ISNA(VLOOKUP(A198&amp;AB198,'Days Exceptions'!$C$3:$I$7,6,FALSE)),ROUND(AC198/MAX(AE198,(AD198*Min_Occ)),2),ROUND(AC198/VLOOKUP(A198&amp;AB198,'Days Exceptions'!$C$3:$I$7,6,FALSE),2))</f>
        <v>3.18</v>
      </c>
      <c r="AG198" s="68">
        <v>0</v>
      </c>
      <c r="AH198" s="68">
        <f t="shared" ref="AH198:AH208" si="181">ROUND(AG198*J198,2)</f>
        <v>0</v>
      </c>
      <c r="AI198" s="4">
        <v>27906</v>
      </c>
      <c r="AJ198" s="4">
        <v>39802</v>
      </c>
      <c r="AK198" s="68">
        <f>IF(AI198=0,0,IF(ISNA(MATCH(A198,Documentation!$B$66:$B$71,0)),QA_Tax_reg,QA_Tax_5high))</f>
        <v>32.92</v>
      </c>
      <c r="AL198" s="75">
        <f t="shared" ref="AL198:AL208" si="182">IF(AK198=0,0,ROUND((AK198*AI198)/AJ198,2))</f>
        <v>23.08</v>
      </c>
      <c r="AM198" s="68">
        <f t="shared" ref="AM198:AM208" si="183">+AH198+AF198+Z198+Y198+W198+U198</f>
        <v>379.16</v>
      </c>
      <c r="AN198" s="68">
        <f t="shared" ref="AN198:AN208" si="184">+AH198+AF198+Z198+Y198+W198+ROUND(U198*0.5,2)</f>
        <v>272.18</v>
      </c>
      <c r="AO198" s="68">
        <f t="shared" ref="AO198:AO208" si="185">+AH198+AF198+Z198+Y198+W198</f>
        <v>165.2</v>
      </c>
      <c r="AP198" s="37" t="s">
        <v>480</v>
      </c>
      <c r="AQ198" s="37" t="s">
        <v>479</v>
      </c>
      <c r="AR198" s="37" t="s">
        <v>1150</v>
      </c>
      <c r="AS198" s="66" t="e">
        <f>VLOOKUP(A198,'CMI Data'!$A$3:$J$209,10,FALSE)</f>
        <v>#DIV/0!</v>
      </c>
      <c r="AT198" s="68">
        <f t="shared" si="157"/>
        <v>189.24</v>
      </c>
      <c r="AU198" s="68" t="e">
        <f t="shared" si="158"/>
        <v>#DIV/0!</v>
      </c>
      <c r="AV198" s="75" t="e">
        <f t="shared" ref="AV198:AV208" si="186">IF($I198="NA","NA",ROUND(AU198*0.95,2))</f>
        <v>#DIV/0!</v>
      </c>
      <c r="AW198" s="68" t="e">
        <f>IF($I198="NA","NA",ROUND(#REF!*$AS198/$I198,2))</f>
        <v>#REF!</v>
      </c>
      <c r="AX198" s="75" t="e">
        <f t="shared" si="155"/>
        <v>#REF!</v>
      </c>
      <c r="AY198" s="68" t="e">
        <f t="shared" ref="AY198:AY208" si="187">IF(AX198="NA",AU198,AU198+AX198)</f>
        <v>#REF!</v>
      </c>
      <c r="AZ198" s="4">
        <f t="shared" ref="AZ198:AZ208" si="188">$AC198</f>
        <v>126627</v>
      </c>
      <c r="BA198" s="4">
        <f t="shared" ref="BA198:BA208" si="189">$AD198</f>
        <v>46482</v>
      </c>
      <c r="BB198" s="4">
        <f t="shared" ref="BB198:BB208" si="190">$AE198</f>
        <v>39815</v>
      </c>
      <c r="BC198" s="142">
        <f>IF(ISNA(VLOOKUP($A198&amp;$AB198,'Days Exceptions'!$C$3:$I$7,6,FALSE)),ROUND(AZ198/MAX(BB198,(BA198*Min_Occ)),2),ROUND(AZ198/VLOOKUP($A198&amp;$AB198,'Days Exceptions'!$C$3:$I$7,6,FALSE),2))</f>
        <v>3.18</v>
      </c>
      <c r="BD198" s="143" t="e">
        <f t="shared" si="159"/>
        <v>#REF!</v>
      </c>
      <c r="BE198" s="143" t="e">
        <f t="shared" si="160"/>
        <v>#REF!</v>
      </c>
      <c r="BF198" s="143">
        <f t="shared" si="161"/>
        <v>161.38999999999999</v>
      </c>
      <c r="BG198" s="37" t="s">
        <v>480</v>
      </c>
      <c r="BH198" s="37" t="s">
        <v>479</v>
      </c>
      <c r="BI198" s="37" t="s">
        <v>1354</v>
      </c>
      <c r="BJ198" s="66" t="e">
        <f>VLOOKUP(A198,'CMI Data'!$A$3:$AZ$209,15,FALSE)</f>
        <v>#DIV/0!</v>
      </c>
      <c r="BK198" s="68">
        <f t="shared" si="162"/>
        <v>189.24</v>
      </c>
      <c r="BL198" s="68" t="e">
        <f t="shared" si="163"/>
        <v>#DIV/0!</v>
      </c>
      <c r="BM198" s="75" t="e">
        <f t="shared" ref="BM198:BM208" si="191">IF($I198="NA","NA",ROUND(BL198*0.95,2))</f>
        <v>#DIV/0!</v>
      </c>
      <c r="BN198" s="68" t="e">
        <f>IF($I198="NA","NA",ROUND(#REF!*$BJ198/$I198,2))</f>
        <v>#REF!</v>
      </c>
      <c r="BO198" s="75" t="e">
        <f t="shared" ref="BO198:BO208" si="192">IF(BN198="NA","NA",MIN(BN198-BM198,0))</f>
        <v>#REF!</v>
      </c>
      <c r="BP198" s="68" t="e">
        <f t="shared" ref="BP198:BP208" si="193">IF(BO198="NA",BL198,BL198+BO198)</f>
        <v>#REF!</v>
      </c>
      <c r="BQ198" s="4">
        <f t="shared" ref="BQ198:BQ208" si="194">$AC198</f>
        <v>126627</v>
      </c>
      <c r="BR198" s="4">
        <f t="shared" ref="BR198:BR208" si="195">$AD198</f>
        <v>46482</v>
      </c>
      <c r="BS198" s="4">
        <f t="shared" ref="BS198:BS208" si="196">$AE198</f>
        <v>39815</v>
      </c>
      <c r="BT198" s="142">
        <f>IF(ISNA(VLOOKUP($A198&amp;$AB198,'Days Exceptions'!$C$3:$I$7,6,FALSE)),ROUND(BQ198/MAX(BS198,(BR198*Min_Occ)),2),ROUND(BQ198/VLOOKUP($A198&amp;$AB198,'Days Exceptions'!$C$3:$I$7,6,FALSE),2))</f>
        <v>3.18</v>
      </c>
      <c r="BU198" s="143" t="e">
        <f t="shared" si="164"/>
        <v>#REF!</v>
      </c>
      <c r="BV198" s="143" t="e">
        <f t="shared" si="165"/>
        <v>#REF!</v>
      </c>
      <c r="BW198" s="143">
        <f t="shared" si="166"/>
        <v>161.38999999999999</v>
      </c>
      <c r="BX198" s="37" t="s">
        <v>480</v>
      </c>
      <c r="BY198" s="37" t="s">
        <v>479</v>
      </c>
      <c r="BZ198" s="37" t="s">
        <v>1752</v>
      </c>
      <c r="CA198" s="66" t="e">
        <f>VLOOKUP(A198,'CMI Data'!$A$3:$AZ$209,20,FALSE)</f>
        <v>#DIV/0!</v>
      </c>
      <c r="CB198" s="68">
        <f t="shared" si="167"/>
        <v>189.24</v>
      </c>
      <c r="CC198" s="68" t="e">
        <f t="shared" si="168"/>
        <v>#DIV/0!</v>
      </c>
      <c r="CD198" s="75" t="e">
        <f t="shared" ref="CD198:CD208" si="197">IF($I198="NA","NA",ROUND(CC198*0.95,2))</f>
        <v>#DIV/0!</v>
      </c>
      <c r="CE198" s="68" t="e">
        <f>IF($I198="NA","NA",ROUND(#REF!*$CA198/$I198,2))</f>
        <v>#REF!</v>
      </c>
      <c r="CF198" s="75" t="e">
        <f t="shared" ref="CF198:CF208" si="198">IF(CE198="NA","NA",MIN(CE198-CD198,0))</f>
        <v>#REF!</v>
      </c>
      <c r="CG198" s="68" t="e">
        <f t="shared" ref="CG198:CG208" si="199">IF(CF198="NA",CC198,CC198+CF198)</f>
        <v>#REF!</v>
      </c>
      <c r="CH198" s="4">
        <f t="shared" ref="CH198:CH208" si="200">$AC198</f>
        <v>126627</v>
      </c>
      <c r="CI198" s="4">
        <f t="shared" ref="CI198:CI208" si="201">$AD198</f>
        <v>46482</v>
      </c>
      <c r="CJ198" s="4">
        <f t="shared" ref="CJ198:CJ208" si="202">$AE198</f>
        <v>39815</v>
      </c>
      <c r="CK198" s="142">
        <f>IF(ISNA(VLOOKUP($A198&amp;$AB198,'Days Exceptions'!$C$3:$I$7,6,FALSE)),ROUND(CH198/MAX(CJ198,(CI198*Min_Occ)),2),ROUND(CH198/VLOOKUP($A198&amp;$AB198,'Days Exceptions'!$C$3:$I$7,6,FALSE),2))</f>
        <v>3.18</v>
      </c>
      <c r="CL198" s="143" t="e">
        <f t="shared" si="169"/>
        <v>#REF!</v>
      </c>
      <c r="CM198" s="143" t="e">
        <f t="shared" si="170"/>
        <v>#REF!</v>
      </c>
      <c r="CN198" s="143">
        <f t="shared" si="171"/>
        <v>161.38999999999999</v>
      </c>
      <c r="CO198" s="37" t="s">
        <v>480</v>
      </c>
      <c r="CP198" s="37" t="s">
        <v>479</v>
      </c>
      <c r="CQ198" s="37" t="s">
        <v>1753</v>
      </c>
    </row>
    <row r="199" spans="1:95" x14ac:dyDescent="0.15">
      <c r="A199" s="130">
        <v>388</v>
      </c>
      <c r="B199" s="37" t="s">
        <v>532</v>
      </c>
      <c r="C199" s="1" t="s">
        <v>148</v>
      </c>
      <c r="D199" s="1" t="s">
        <v>119</v>
      </c>
      <c r="E199" s="1" t="str">
        <f>VLOOKUP(D199,Documentation!$B$4:$D$27,3,FALSE)</f>
        <v>WASHINGTON METRO</v>
      </c>
      <c r="F199" s="1" t="str">
        <f>VLOOKUP(D199,Documentation!$B$4:$C$27,2,FALSE)</f>
        <v>WASHINGTON METRO</v>
      </c>
      <c r="G199" s="82">
        <f>VLOOKUP(A199,'2022 CR and CMI'!$A$3:$D$207,3,FALSE)</f>
        <v>44562</v>
      </c>
      <c r="H199" s="82">
        <f>VLOOKUP(A199,'2022 CR and CMI'!$A$3:$D$207,4,FALSE)</f>
        <v>44926</v>
      </c>
      <c r="I199" s="72">
        <f>VLOOKUP(A199,'2022 CR and CMI'!$A$2:$T$210,19,FALSE)</f>
        <v>1.3887</v>
      </c>
      <c r="J199" s="139">
        <f>Inflation!$G$24</f>
        <v>1.0309999999999999</v>
      </c>
      <c r="K199" s="192">
        <f>VLOOKUP(E199,Limits!$B$2:$D$5,3,FALSE)</f>
        <v>176.01</v>
      </c>
      <c r="L199" s="192">
        <f t="shared" si="172"/>
        <v>181.47</v>
      </c>
      <c r="M199" s="140">
        <f>VLOOKUP(A199,'CMI Data'!$A$4:$C$208,3,FALSE)</f>
        <v>1.5607</v>
      </c>
      <c r="N199" s="68">
        <f t="shared" si="156"/>
        <v>174.62</v>
      </c>
      <c r="O199" s="68">
        <f t="shared" si="173"/>
        <v>196.25</v>
      </c>
      <c r="P199" s="75">
        <f t="shared" si="174"/>
        <v>186.44</v>
      </c>
      <c r="Q199" s="75">
        <v>144.94999999999999</v>
      </c>
      <c r="R199" s="75">
        <f t="shared" si="175"/>
        <v>149.44</v>
      </c>
      <c r="S199" s="68">
        <f t="shared" si="176"/>
        <v>167.95</v>
      </c>
      <c r="T199" s="75">
        <f t="shared" si="177"/>
        <v>-18.489999999999998</v>
      </c>
      <c r="U199" s="68">
        <f t="shared" si="178"/>
        <v>177.76</v>
      </c>
      <c r="V199" s="68">
        <f>VLOOKUP($F199,Limits!$J$2:$L$5,3,FALSE)</f>
        <v>19.23</v>
      </c>
      <c r="W199" s="68">
        <f t="shared" si="179"/>
        <v>19.829999999999998</v>
      </c>
      <c r="X199" s="68">
        <f>VLOOKUP($F199,Limits!$R$2:$T$5,3,FALSE)</f>
        <v>100.61</v>
      </c>
      <c r="Y199" s="68">
        <f t="shared" si="180"/>
        <v>103.73</v>
      </c>
      <c r="Z199" s="75">
        <f>VLOOKUP(A199,FRV!$A$4:$U$208,21,FALSE)</f>
        <v>42.01</v>
      </c>
      <c r="AA199" s="141">
        <f>VLOOKUP(A199,'RE Tax'!$A$2:$G$206,3,FALSE)</f>
        <v>45292</v>
      </c>
      <c r="AB199" s="141">
        <f>VLOOKUP(A199,'RE Tax'!$A$2:$G$206,4,FALSE)</f>
        <v>45657</v>
      </c>
      <c r="AC199" s="4">
        <f>VLOOKUP(A199,'RE Tax'!$A$2:$G$206,7,FALSE)</f>
        <v>108675</v>
      </c>
      <c r="AD199" s="4">
        <f>VLOOKUP($A199,'RE Tax'!$A$2:$I$206,9,FALSE)</f>
        <v>36600</v>
      </c>
      <c r="AE199" s="4">
        <f>VLOOKUP($A199,'RE Tax'!$A$2:$I$206,8,FALSE)</f>
        <v>31439</v>
      </c>
      <c r="AF199" s="142">
        <f>IF(ISNA(VLOOKUP(A199&amp;AB199,'Days Exceptions'!$C$3:$I$7,6,FALSE)),ROUND(AC199/MAX(AE199,(AD199*Min_Occ)),2),ROUND(AC199/VLOOKUP(A199&amp;AB199,'Days Exceptions'!$C$3:$I$7,6,FALSE),2))</f>
        <v>3.46</v>
      </c>
      <c r="AG199" s="68">
        <v>0</v>
      </c>
      <c r="AH199" s="68">
        <f t="shared" si="181"/>
        <v>0</v>
      </c>
      <c r="AI199" s="4">
        <v>22326</v>
      </c>
      <c r="AJ199" s="4">
        <v>31435</v>
      </c>
      <c r="AK199" s="68">
        <f>IF(AI199=0,0,IF(ISNA(MATCH(A199,Documentation!$B$66:$B$71,0)),QA_Tax_reg,QA_Tax_5high))</f>
        <v>32.92</v>
      </c>
      <c r="AL199" s="75">
        <f t="shared" si="182"/>
        <v>23.38</v>
      </c>
      <c r="AM199" s="68">
        <f t="shared" si="183"/>
        <v>346.79</v>
      </c>
      <c r="AN199" s="68">
        <f t="shared" si="184"/>
        <v>257.91000000000003</v>
      </c>
      <c r="AO199" s="68">
        <f t="shared" si="185"/>
        <v>169.03</v>
      </c>
      <c r="AP199" s="37" t="s">
        <v>541</v>
      </c>
      <c r="AQ199" s="37" t="s">
        <v>532</v>
      </c>
      <c r="AR199" s="37" t="s">
        <v>1151</v>
      </c>
      <c r="AS199" s="66" t="e">
        <f>VLOOKUP(A199,'CMI Data'!$A$3:$J$209,10,FALSE)</f>
        <v>#DIV/0!</v>
      </c>
      <c r="AT199" s="68">
        <f t="shared" si="157"/>
        <v>169.36</v>
      </c>
      <c r="AU199" s="68" t="e">
        <f t="shared" si="158"/>
        <v>#DIV/0!</v>
      </c>
      <c r="AV199" s="75" t="e">
        <f t="shared" si="186"/>
        <v>#DIV/0!</v>
      </c>
      <c r="AW199" s="68" t="e">
        <f>IF($I199="NA","NA",ROUND(#REF!*$AS199/$I199,2))</f>
        <v>#REF!</v>
      </c>
      <c r="AX199" s="75" t="e">
        <f t="shared" si="155"/>
        <v>#REF!</v>
      </c>
      <c r="AY199" s="68" t="e">
        <f t="shared" si="187"/>
        <v>#REF!</v>
      </c>
      <c r="AZ199" s="4">
        <f t="shared" si="188"/>
        <v>108675</v>
      </c>
      <c r="BA199" s="4">
        <f t="shared" si="189"/>
        <v>36600</v>
      </c>
      <c r="BB199" s="4">
        <f t="shared" si="190"/>
        <v>31439</v>
      </c>
      <c r="BC199" s="142">
        <f>IF(ISNA(VLOOKUP($A199&amp;$AB199,'Days Exceptions'!$C$3:$I$7,6,FALSE)),ROUND(AZ199/MAX(BB199,(BA199*Min_Occ)),2),ROUND(AZ199/VLOOKUP($A199&amp;$AB199,'Days Exceptions'!$C$3:$I$7,6,FALSE),2))</f>
        <v>3.46</v>
      </c>
      <c r="BD199" s="143" t="e">
        <f t="shared" si="159"/>
        <v>#REF!</v>
      </c>
      <c r="BE199" s="143" t="e">
        <f t="shared" si="160"/>
        <v>#REF!</v>
      </c>
      <c r="BF199" s="143">
        <f t="shared" si="161"/>
        <v>165.31</v>
      </c>
      <c r="BG199" s="37" t="s">
        <v>541</v>
      </c>
      <c r="BH199" s="37" t="s">
        <v>532</v>
      </c>
      <c r="BI199" s="37" t="s">
        <v>1355</v>
      </c>
      <c r="BJ199" s="66" t="e">
        <f>VLOOKUP(A199,'CMI Data'!$A$3:$AZ$209,15,FALSE)</f>
        <v>#DIV/0!</v>
      </c>
      <c r="BK199" s="68">
        <f t="shared" si="162"/>
        <v>169.36</v>
      </c>
      <c r="BL199" s="68" t="e">
        <f t="shared" si="163"/>
        <v>#DIV/0!</v>
      </c>
      <c r="BM199" s="75" t="e">
        <f t="shared" si="191"/>
        <v>#DIV/0!</v>
      </c>
      <c r="BN199" s="68" t="e">
        <f>IF($I199="NA","NA",ROUND(#REF!*$BJ199/$I199,2))</f>
        <v>#REF!</v>
      </c>
      <c r="BO199" s="75" t="e">
        <f t="shared" si="192"/>
        <v>#REF!</v>
      </c>
      <c r="BP199" s="68" t="e">
        <f t="shared" si="193"/>
        <v>#REF!</v>
      </c>
      <c r="BQ199" s="4">
        <f t="shared" si="194"/>
        <v>108675</v>
      </c>
      <c r="BR199" s="4">
        <f t="shared" si="195"/>
        <v>36600</v>
      </c>
      <c r="BS199" s="4">
        <f t="shared" si="196"/>
        <v>31439</v>
      </c>
      <c r="BT199" s="142">
        <f>IF(ISNA(VLOOKUP($A199&amp;$AB199,'Days Exceptions'!$C$3:$I$7,6,FALSE)),ROUND(BQ199/MAX(BS199,(BR199*Min_Occ)),2),ROUND(BQ199/VLOOKUP($A199&amp;$AB199,'Days Exceptions'!$C$3:$I$7,6,FALSE),2))</f>
        <v>3.46</v>
      </c>
      <c r="BU199" s="143" t="e">
        <f t="shared" si="164"/>
        <v>#REF!</v>
      </c>
      <c r="BV199" s="143" t="e">
        <f t="shared" si="165"/>
        <v>#REF!</v>
      </c>
      <c r="BW199" s="143">
        <f t="shared" si="166"/>
        <v>165.31</v>
      </c>
      <c r="BX199" s="37" t="s">
        <v>541</v>
      </c>
      <c r="BY199" s="37" t="s">
        <v>532</v>
      </c>
      <c r="BZ199" s="37" t="s">
        <v>1754</v>
      </c>
      <c r="CA199" s="66" t="e">
        <f>VLOOKUP(A199,'CMI Data'!$A$3:$AZ$209,20,FALSE)</f>
        <v>#DIV/0!</v>
      </c>
      <c r="CB199" s="68">
        <f t="shared" si="167"/>
        <v>169.36</v>
      </c>
      <c r="CC199" s="68" t="e">
        <f t="shared" si="168"/>
        <v>#DIV/0!</v>
      </c>
      <c r="CD199" s="75" t="e">
        <f t="shared" si="197"/>
        <v>#DIV/0!</v>
      </c>
      <c r="CE199" s="68" t="e">
        <f>IF($I199="NA","NA",ROUND(#REF!*$CA199/$I199,2))</f>
        <v>#REF!</v>
      </c>
      <c r="CF199" s="75" t="e">
        <f t="shared" si="198"/>
        <v>#REF!</v>
      </c>
      <c r="CG199" s="68" t="e">
        <f t="shared" si="199"/>
        <v>#REF!</v>
      </c>
      <c r="CH199" s="4">
        <f t="shared" si="200"/>
        <v>108675</v>
      </c>
      <c r="CI199" s="4">
        <f t="shared" si="201"/>
        <v>36600</v>
      </c>
      <c r="CJ199" s="4">
        <f t="shared" si="202"/>
        <v>31439</v>
      </c>
      <c r="CK199" s="142">
        <f>IF(ISNA(VLOOKUP($A199&amp;$AB199,'Days Exceptions'!$C$3:$I$7,6,FALSE)),ROUND(CH199/MAX(CJ199,(CI199*Min_Occ)),2),ROUND(CH199/VLOOKUP($A199&amp;$AB199,'Days Exceptions'!$C$3:$I$7,6,FALSE),2))</f>
        <v>3.46</v>
      </c>
      <c r="CL199" s="143" t="e">
        <f t="shared" si="169"/>
        <v>#REF!</v>
      </c>
      <c r="CM199" s="143" t="e">
        <f t="shared" si="170"/>
        <v>#REF!</v>
      </c>
      <c r="CN199" s="143">
        <f t="shared" si="171"/>
        <v>165.31</v>
      </c>
      <c r="CO199" s="37" t="s">
        <v>541</v>
      </c>
      <c r="CP199" s="37" t="s">
        <v>532</v>
      </c>
      <c r="CQ199" s="37" t="s">
        <v>1755</v>
      </c>
    </row>
    <row r="200" spans="1:95" x14ac:dyDescent="0.15">
      <c r="A200" s="130">
        <v>1203</v>
      </c>
      <c r="B200" s="37" t="s">
        <v>407</v>
      </c>
      <c r="C200" s="1" t="s">
        <v>148</v>
      </c>
      <c r="D200" s="1" t="s">
        <v>102</v>
      </c>
      <c r="E200" s="1" t="str">
        <f>VLOOKUP(D200,Documentation!$B$4:$D$27,3,FALSE)</f>
        <v>BALTIMORE METRO</v>
      </c>
      <c r="F200" s="1" t="str">
        <f>VLOOKUP(D200,Documentation!$B$4:$C$27,2,FALSE)</f>
        <v>BALTIMORE CITY</v>
      </c>
      <c r="G200" s="82">
        <f>VLOOKUP(A200,'2022 CR and CMI'!$A$3:$D$207,3,FALSE)</f>
        <v>44562</v>
      </c>
      <c r="H200" s="82">
        <f>VLOOKUP(A200,'2022 CR and CMI'!$A$3:$D$207,4,FALSE)</f>
        <v>44926</v>
      </c>
      <c r="I200" s="72">
        <f>VLOOKUP(A200,'2022 CR and CMI'!$A$2:$T$210,19,FALSE)</f>
        <v>1.5901000000000001</v>
      </c>
      <c r="J200" s="139">
        <f>Inflation!$G$24</f>
        <v>1.0309999999999999</v>
      </c>
      <c r="K200" s="192">
        <f>VLOOKUP(E200,Limits!$B$2:$D$5,3,FALSE)</f>
        <v>195.33</v>
      </c>
      <c r="L200" s="192">
        <f t="shared" si="172"/>
        <v>201.39</v>
      </c>
      <c r="M200" s="140">
        <f>VLOOKUP(A200,'CMI Data'!$A$4:$C$208,3,FALSE)</f>
        <v>1.4499</v>
      </c>
      <c r="N200" s="68">
        <f t="shared" si="156"/>
        <v>221.89</v>
      </c>
      <c r="O200" s="68">
        <f t="shared" si="173"/>
        <v>202.33</v>
      </c>
      <c r="P200" s="75">
        <f t="shared" si="174"/>
        <v>192.21</v>
      </c>
      <c r="Q200" s="75">
        <v>158.79</v>
      </c>
      <c r="R200" s="75">
        <f t="shared" si="175"/>
        <v>163.71</v>
      </c>
      <c r="S200" s="68">
        <f t="shared" si="176"/>
        <v>149.28</v>
      </c>
      <c r="T200" s="75">
        <f t="shared" si="177"/>
        <v>-42.93</v>
      </c>
      <c r="U200" s="68">
        <f t="shared" si="178"/>
        <v>159.4</v>
      </c>
      <c r="V200" s="68">
        <f>VLOOKUP($F200,Limits!$J$2:$L$5,3,FALSE)</f>
        <v>24.89</v>
      </c>
      <c r="W200" s="68">
        <f t="shared" si="179"/>
        <v>25.66</v>
      </c>
      <c r="X200" s="68">
        <f>VLOOKUP($F200,Limits!$R$2:$T$5,3,FALSE)</f>
        <v>114.15</v>
      </c>
      <c r="Y200" s="68">
        <f t="shared" si="180"/>
        <v>117.69</v>
      </c>
      <c r="Z200" s="75">
        <f>VLOOKUP(A200,FRV!$A$4:$U$208,21,FALSE)</f>
        <v>48.55</v>
      </c>
      <c r="AA200" s="141">
        <f>VLOOKUP(A200,'RE Tax'!$A$2:$G$206,3,FALSE)</f>
        <v>45292</v>
      </c>
      <c r="AB200" s="141">
        <f>VLOOKUP(A200,'RE Tax'!$A$2:$G$206,4,FALSE)</f>
        <v>45657</v>
      </c>
      <c r="AC200" s="4">
        <f>VLOOKUP(A200,'RE Tax'!$A$2:$G$206,7,FALSE)</f>
        <v>70715</v>
      </c>
      <c r="AD200" s="4">
        <f>VLOOKUP($A200,'RE Tax'!$A$2:$I$206,9,FALSE)</f>
        <v>19398</v>
      </c>
      <c r="AE200" s="4">
        <f>VLOOKUP($A200,'RE Tax'!$A$2:$I$206,8,FALSE)</f>
        <v>17983</v>
      </c>
      <c r="AF200" s="142">
        <f>IF(ISNA(VLOOKUP(A200&amp;AB200,'Days Exceptions'!$C$3:$I$7,6,FALSE)),ROUND(AC200/MAX(AE200,(AD200*Min_Occ)),2),ROUND(AC200/VLOOKUP(A200&amp;AB200,'Days Exceptions'!$C$3:$I$7,6,FALSE),2))</f>
        <v>3.93</v>
      </c>
      <c r="AG200" s="68">
        <v>0</v>
      </c>
      <c r="AH200" s="68">
        <f t="shared" si="181"/>
        <v>0</v>
      </c>
      <c r="AI200" s="4">
        <v>9933</v>
      </c>
      <c r="AJ200" s="4">
        <v>17985</v>
      </c>
      <c r="AK200" s="68">
        <f>IF(AI200=0,0,IF(ISNA(MATCH(A200,Documentation!$B$66:$B$71,0)),QA_Tax_reg,QA_Tax_5high))</f>
        <v>32.92</v>
      </c>
      <c r="AL200" s="75">
        <f t="shared" si="182"/>
        <v>18.18</v>
      </c>
      <c r="AM200" s="68">
        <f t="shared" si="183"/>
        <v>355.23</v>
      </c>
      <c r="AN200" s="68">
        <f t="shared" si="184"/>
        <v>275.52999999999997</v>
      </c>
      <c r="AO200" s="68">
        <f t="shared" si="185"/>
        <v>195.83</v>
      </c>
      <c r="AP200" s="37" t="s">
        <v>406</v>
      </c>
      <c r="AQ200" s="37" t="s">
        <v>407</v>
      </c>
      <c r="AR200" s="37" t="s">
        <v>1152</v>
      </c>
      <c r="AS200" s="66" t="e">
        <f>VLOOKUP(A200,'CMI Data'!$A$3:$J$209,10,FALSE)</f>
        <v>#DIV/0!</v>
      </c>
      <c r="AT200" s="68">
        <f t="shared" si="157"/>
        <v>215.21</v>
      </c>
      <c r="AU200" s="68" t="e">
        <f t="shared" si="158"/>
        <v>#DIV/0!</v>
      </c>
      <c r="AV200" s="75" t="e">
        <f t="shared" si="186"/>
        <v>#DIV/0!</v>
      </c>
      <c r="AW200" s="68" t="e">
        <f>IF($I200="NA","NA",ROUND(#REF!*$AS200/$I200,2))</f>
        <v>#REF!</v>
      </c>
      <c r="AX200" s="75" t="e">
        <f t="shared" si="155"/>
        <v>#REF!</v>
      </c>
      <c r="AY200" s="68" t="e">
        <f t="shared" si="187"/>
        <v>#REF!</v>
      </c>
      <c r="AZ200" s="4">
        <f t="shared" si="188"/>
        <v>70715</v>
      </c>
      <c r="BA200" s="4">
        <f t="shared" si="189"/>
        <v>19398</v>
      </c>
      <c r="BB200" s="4">
        <f t="shared" si="190"/>
        <v>17983</v>
      </c>
      <c r="BC200" s="142">
        <f>IF(ISNA(VLOOKUP($A200&amp;$AB200,'Days Exceptions'!$C$3:$I$7,6,FALSE)),ROUND(AZ200/MAX(BB200,(BA200*Min_Occ)),2),ROUND(AZ200/VLOOKUP($A200&amp;$AB200,'Days Exceptions'!$C$3:$I$7,6,FALSE),2))</f>
        <v>3.93</v>
      </c>
      <c r="BD200" s="143" t="e">
        <f t="shared" si="159"/>
        <v>#REF!</v>
      </c>
      <c r="BE200" s="143" t="e">
        <f t="shared" si="160"/>
        <v>#REF!</v>
      </c>
      <c r="BF200" s="143">
        <f t="shared" si="161"/>
        <v>191.52</v>
      </c>
      <c r="BG200" s="37" t="s">
        <v>406</v>
      </c>
      <c r="BH200" s="37" t="s">
        <v>407</v>
      </c>
      <c r="BI200" s="37" t="s">
        <v>1356</v>
      </c>
      <c r="BJ200" s="66" t="e">
        <f>VLOOKUP(A200,'CMI Data'!$A$3:$AZ$209,15,FALSE)</f>
        <v>#DIV/0!</v>
      </c>
      <c r="BK200" s="68">
        <f t="shared" si="162"/>
        <v>215.21</v>
      </c>
      <c r="BL200" s="68" t="e">
        <f t="shared" si="163"/>
        <v>#DIV/0!</v>
      </c>
      <c r="BM200" s="75" t="e">
        <f t="shared" si="191"/>
        <v>#DIV/0!</v>
      </c>
      <c r="BN200" s="68" t="e">
        <f>IF($I200="NA","NA",ROUND(#REF!*$BJ200/$I200,2))</f>
        <v>#REF!</v>
      </c>
      <c r="BO200" s="75" t="e">
        <f t="shared" si="192"/>
        <v>#REF!</v>
      </c>
      <c r="BP200" s="68" t="e">
        <f t="shared" si="193"/>
        <v>#REF!</v>
      </c>
      <c r="BQ200" s="4">
        <f t="shared" si="194"/>
        <v>70715</v>
      </c>
      <c r="BR200" s="4">
        <f t="shared" si="195"/>
        <v>19398</v>
      </c>
      <c r="BS200" s="4">
        <f t="shared" si="196"/>
        <v>17983</v>
      </c>
      <c r="BT200" s="142">
        <f>IF(ISNA(VLOOKUP($A200&amp;$AB200,'Days Exceptions'!$C$3:$I$7,6,FALSE)),ROUND(BQ200/MAX(BS200,(BR200*Min_Occ)),2),ROUND(BQ200/VLOOKUP($A200&amp;$AB200,'Days Exceptions'!$C$3:$I$7,6,FALSE),2))</f>
        <v>3.93</v>
      </c>
      <c r="BU200" s="143" t="e">
        <f t="shared" si="164"/>
        <v>#REF!</v>
      </c>
      <c r="BV200" s="143" t="e">
        <f t="shared" si="165"/>
        <v>#REF!</v>
      </c>
      <c r="BW200" s="143">
        <f t="shared" si="166"/>
        <v>191.52</v>
      </c>
      <c r="BX200" s="37" t="s">
        <v>406</v>
      </c>
      <c r="BY200" s="37" t="s">
        <v>407</v>
      </c>
      <c r="BZ200" s="37" t="s">
        <v>1756</v>
      </c>
      <c r="CA200" s="66" t="e">
        <f>VLOOKUP(A200,'CMI Data'!$A$3:$AZ$209,20,FALSE)</f>
        <v>#DIV/0!</v>
      </c>
      <c r="CB200" s="68">
        <f t="shared" si="167"/>
        <v>215.21</v>
      </c>
      <c r="CC200" s="68" t="e">
        <f t="shared" si="168"/>
        <v>#DIV/0!</v>
      </c>
      <c r="CD200" s="75" t="e">
        <f t="shared" si="197"/>
        <v>#DIV/0!</v>
      </c>
      <c r="CE200" s="68" t="e">
        <f>IF($I200="NA","NA",ROUND(#REF!*$CA200/$I200,2))</f>
        <v>#REF!</v>
      </c>
      <c r="CF200" s="75" t="e">
        <f t="shared" si="198"/>
        <v>#REF!</v>
      </c>
      <c r="CG200" s="68" t="e">
        <f t="shared" si="199"/>
        <v>#REF!</v>
      </c>
      <c r="CH200" s="4">
        <f t="shared" si="200"/>
        <v>70715</v>
      </c>
      <c r="CI200" s="4">
        <f t="shared" si="201"/>
        <v>19398</v>
      </c>
      <c r="CJ200" s="4">
        <f t="shared" si="202"/>
        <v>17983</v>
      </c>
      <c r="CK200" s="142">
        <f>IF(ISNA(VLOOKUP($A200&amp;$AB200,'Days Exceptions'!$C$3:$I$7,6,FALSE)),ROUND(CH200/MAX(CJ200,(CI200*Min_Occ)),2),ROUND(CH200/VLOOKUP($A200&amp;$AB200,'Days Exceptions'!$C$3:$I$7,6,FALSE),2))</f>
        <v>3.93</v>
      </c>
      <c r="CL200" s="143" t="e">
        <f t="shared" si="169"/>
        <v>#REF!</v>
      </c>
      <c r="CM200" s="143" t="e">
        <f t="shared" si="170"/>
        <v>#REF!</v>
      </c>
      <c r="CN200" s="143">
        <f t="shared" si="171"/>
        <v>191.52</v>
      </c>
      <c r="CO200" s="37" t="s">
        <v>406</v>
      </c>
      <c r="CP200" s="37" t="s">
        <v>407</v>
      </c>
      <c r="CQ200" s="37" t="s">
        <v>1757</v>
      </c>
    </row>
    <row r="201" spans="1:95" x14ac:dyDescent="0.15">
      <c r="A201" s="130">
        <v>344</v>
      </c>
      <c r="B201" s="37" t="s">
        <v>348</v>
      </c>
      <c r="C201" s="1" t="s">
        <v>148</v>
      </c>
      <c r="D201" s="1" t="s">
        <v>119</v>
      </c>
      <c r="E201" s="1" t="str">
        <f>VLOOKUP(D201,Documentation!$B$4:$D$27,3,FALSE)</f>
        <v>WASHINGTON METRO</v>
      </c>
      <c r="F201" s="1" t="str">
        <f>VLOOKUP(D201,Documentation!$B$4:$C$27,2,FALSE)</f>
        <v>WASHINGTON METRO</v>
      </c>
      <c r="G201" s="82">
        <f>VLOOKUP(A201,'2022 CR and CMI'!$A$3:$D$207,3,FALSE)</f>
        <v>44562</v>
      </c>
      <c r="H201" s="82">
        <f>VLOOKUP(A201,'2022 CR and CMI'!$A$3:$D$207,4,FALSE)</f>
        <v>44926</v>
      </c>
      <c r="I201" s="72">
        <f>VLOOKUP(A201,'2022 CR and CMI'!$A$2:$T$210,19,FALSE)</f>
        <v>1.4297</v>
      </c>
      <c r="J201" s="139">
        <f>Inflation!$G$24</f>
        <v>1.0309999999999999</v>
      </c>
      <c r="K201" s="192">
        <f>VLOOKUP(E201,Limits!$B$2:$D$5,3,FALSE)</f>
        <v>176.01</v>
      </c>
      <c r="L201" s="192">
        <f t="shared" si="172"/>
        <v>181.47</v>
      </c>
      <c r="M201" s="140">
        <f>VLOOKUP(A201,'CMI Data'!$A$4:$C$208,3,FALSE)</f>
        <v>1.4487000000000001</v>
      </c>
      <c r="N201" s="68">
        <f t="shared" si="156"/>
        <v>179.77</v>
      </c>
      <c r="O201" s="68">
        <f t="shared" si="173"/>
        <v>182.16</v>
      </c>
      <c r="P201" s="75">
        <f t="shared" si="174"/>
        <v>173.05</v>
      </c>
      <c r="Q201" s="75">
        <v>210.5</v>
      </c>
      <c r="R201" s="75">
        <f t="shared" si="175"/>
        <v>217.03</v>
      </c>
      <c r="S201" s="68">
        <f t="shared" si="176"/>
        <v>219.91</v>
      </c>
      <c r="T201" s="75">
        <f t="shared" si="177"/>
        <v>0</v>
      </c>
      <c r="U201" s="68">
        <f t="shared" si="178"/>
        <v>182.16</v>
      </c>
      <c r="V201" s="68">
        <f>VLOOKUP($F201,Limits!$J$2:$L$5,3,FALSE)</f>
        <v>19.23</v>
      </c>
      <c r="W201" s="68">
        <f t="shared" si="179"/>
        <v>19.829999999999998</v>
      </c>
      <c r="X201" s="68">
        <f>VLOOKUP($F201,Limits!$R$2:$T$5,3,FALSE)</f>
        <v>100.61</v>
      </c>
      <c r="Y201" s="68">
        <f t="shared" si="180"/>
        <v>103.73</v>
      </c>
      <c r="Z201" s="75">
        <f>VLOOKUP(A201,FRV!$A$4:$U$208,21,FALSE)</f>
        <v>44.29</v>
      </c>
      <c r="AA201" s="141">
        <f>VLOOKUP(A201,'RE Tax'!$A$2:$G$206,3,FALSE)</f>
        <v>45292</v>
      </c>
      <c r="AB201" s="141">
        <f>VLOOKUP(A201,'RE Tax'!$A$2:$G$206,4,FALSE)</f>
        <v>45657</v>
      </c>
      <c r="AC201" s="4">
        <f>VLOOKUP(A201,'RE Tax'!$A$2:$G$206,7,FALSE)</f>
        <v>0</v>
      </c>
      <c r="AD201" s="4">
        <f>VLOOKUP($A201,'RE Tax'!$A$2:$I$206,9,FALSE)</f>
        <v>58560</v>
      </c>
      <c r="AE201" s="4">
        <f>VLOOKUP($A201,'RE Tax'!$A$2:$I$206,8,FALSE)</f>
        <v>50988</v>
      </c>
      <c r="AF201" s="142">
        <f>IF(ISNA(VLOOKUP(A201&amp;AB201,'Days Exceptions'!$C$3:$I$7,6,FALSE)),ROUND(AC201/MAX(AE201,(AD201*Min_Occ)),2),ROUND(AC201/VLOOKUP(A201&amp;AB201,'Days Exceptions'!$C$3:$I$7,6,FALSE),2))</f>
        <v>0</v>
      </c>
      <c r="AG201" s="68">
        <v>0</v>
      </c>
      <c r="AH201" s="68">
        <f t="shared" si="181"/>
        <v>0</v>
      </c>
      <c r="AI201" s="4">
        <v>0</v>
      </c>
      <c r="AJ201" s="4">
        <v>0</v>
      </c>
      <c r="AK201" s="68">
        <f>IF(AI201=0,0,IF(ISNA(MATCH(A201,Documentation!$B$66:$B$71,0)),QA_Tax_reg,QA_Tax_5high))</f>
        <v>0</v>
      </c>
      <c r="AL201" s="75">
        <f t="shared" si="182"/>
        <v>0</v>
      </c>
      <c r="AM201" s="68">
        <f t="shared" si="183"/>
        <v>350.01</v>
      </c>
      <c r="AN201" s="68">
        <f t="shared" si="184"/>
        <v>258.93</v>
      </c>
      <c r="AO201" s="68">
        <f t="shared" si="185"/>
        <v>167.85</v>
      </c>
      <c r="AP201" s="37" t="s">
        <v>84</v>
      </c>
      <c r="AQ201" s="37" t="s">
        <v>348</v>
      </c>
      <c r="AR201" s="37" t="s">
        <v>1153</v>
      </c>
      <c r="AS201" s="66" t="e">
        <f>VLOOKUP(A201,'CMI Data'!$A$3:$J$209,10,FALSE)</f>
        <v>#DIV/0!</v>
      </c>
      <c r="AT201" s="68">
        <f t="shared" si="157"/>
        <v>174.36</v>
      </c>
      <c r="AU201" s="68" t="e">
        <f t="shared" si="158"/>
        <v>#DIV/0!</v>
      </c>
      <c r="AV201" s="75" t="e">
        <f t="shared" si="186"/>
        <v>#DIV/0!</v>
      </c>
      <c r="AW201" s="68" t="e">
        <f>IF($I201="NA","NA",ROUND(#REF!*$AS201/$I201,2))</f>
        <v>#REF!</v>
      </c>
      <c r="AX201" s="75" t="e">
        <f t="shared" si="155"/>
        <v>#REF!</v>
      </c>
      <c r="AY201" s="68" t="e">
        <f t="shared" si="187"/>
        <v>#REF!</v>
      </c>
      <c r="AZ201" s="4">
        <f t="shared" si="188"/>
        <v>0</v>
      </c>
      <c r="BA201" s="4">
        <f t="shared" si="189"/>
        <v>58560</v>
      </c>
      <c r="BB201" s="4">
        <f t="shared" si="190"/>
        <v>50988</v>
      </c>
      <c r="BC201" s="142">
        <f>IF(ISNA(VLOOKUP($A201&amp;$AB201,'Days Exceptions'!$C$3:$I$7,6,FALSE)),ROUND(AZ201/MAX(BB201,(BA201*Min_Occ)),2),ROUND(AZ201/VLOOKUP($A201&amp;$AB201,'Days Exceptions'!$C$3:$I$7,6,FALSE),2))</f>
        <v>0</v>
      </c>
      <c r="BD201" s="143" t="e">
        <f t="shared" si="159"/>
        <v>#REF!</v>
      </c>
      <c r="BE201" s="143" t="e">
        <f t="shared" si="160"/>
        <v>#REF!</v>
      </c>
      <c r="BF201" s="143">
        <f t="shared" si="161"/>
        <v>164.13</v>
      </c>
      <c r="BG201" s="37" t="s">
        <v>84</v>
      </c>
      <c r="BH201" s="37" t="s">
        <v>348</v>
      </c>
      <c r="BI201" s="37" t="s">
        <v>1357</v>
      </c>
      <c r="BJ201" s="66" t="e">
        <f>VLOOKUP(A201,'CMI Data'!$A$3:$AZ$209,15,FALSE)</f>
        <v>#DIV/0!</v>
      </c>
      <c r="BK201" s="68">
        <f t="shared" si="162"/>
        <v>174.36</v>
      </c>
      <c r="BL201" s="68" t="e">
        <f t="shared" si="163"/>
        <v>#DIV/0!</v>
      </c>
      <c r="BM201" s="75" t="e">
        <f t="shared" si="191"/>
        <v>#DIV/0!</v>
      </c>
      <c r="BN201" s="68" t="e">
        <f>IF($I201="NA","NA",ROUND(#REF!*$BJ201/$I201,2))</f>
        <v>#REF!</v>
      </c>
      <c r="BO201" s="75" t="e">
        <f t="shared" si="192"/>
        <v>#REF!</v>
      </c>
      <c r="BP201" s="68" t="e">
        <f t="shared" si="193"/>
        <v>#REF!</v>
      </c>
      <c r="BQ201" s="4">
        <f t="shared" si="194"/>
        <v>0</v>
      </c>
      <c r="BR201" s="4">
        <f t="shared" si="195"/>
        <v>58560</v>
      </c>
      <c r="BS201" s="4">
        <f t="shared" si="196"/>
        <v>50988</v>
      </c>
      <c r="BT201" s="142">
        <f>IF(ISNA(VLOOKUP($A201&amp;$AB201,'Days Exceptions'!$C$3:$I$7,6,FALSE)),ROUND(BQ201/MAX(BS201,(BR201*Min_Occ)),2),ROUND(BQ201/VLOOKUP($A201&amp;$AB201,'Days Exceptions'!$C$3:$I$7,6,FALSE),2))</f>
        <v>0</v>
      </c>
      <c r="BU201" s="143" t="e">
        <f t="shared" si="164"/>
        <v>#REF!</v>
      </c>
      <c r="BV201" s="143" t="e">
        <f t="shared" si="165"/>
        <v>#REF!</v>
      </c>
      <c r="BW201" s="143">
        <f t="shared" si="166"/>
        <v>164.13</v>
      </c>
      <c r="BX201" s="37" t="s">
        <v>84</v>
      </c>
      <c r="BY201" s="37" t="s">
        <v>348</v>
      </c>
      <c r="BZ201" s="37" t="s">
        <v>1758</v>
      </c>
      <c r="CA201" s="66" t="e">
        <f>VLOOKUP(A201,'CMI Data'!$A$3:$AZ$209,20,FALSE)</f>
        <v>#DIV/0!</v>
      </c>
      <c r="CB201" s="68">
        <f t="shared" si="167"/>
        <v>174.36</v>
      </c>
      <c r="CC201" s="68" t="e">
        <f t="shared" si="168"/>
        <v>#DIV/0!</v>
      </c>
      <c r="CD201" s="75" t="e">
        <f t="shared" si="197"/>
        <v>#DIV/0!</v>
      </c>
      <c r="CE201" s="68" t="e">
        <f>IF($I201="NA","NA",ROUND(#REF!*$CA201/$I201,2))</f>
        <v>#REF!</v>
      </c>
      <c r="CF201" s="75" t="e">
        <f t="shared" si="198"/>
        <v>#REF!</v>
      </c>
      <c r="CG201" s="68" t="e">
        <f t="shared" si="199"/>
        <v>#REF!</v>
      </c>
      <c r="CH201" s="4">
        <f t="shared" si="200"/>
        <v>0</v>
      </c>
      <c r="CI201" s="4">
        <f t="shared" si="201"/>
        <v>58560</v>
      </c>
      <c r="CJ201" s="4">
        <f t="shared" si="202"/>
        <v>50988</v>
      </c>
      <c r="CK201" s="142">
        <f>IF(ISNA(VLOOKUP($A201&amp;$AB201,'Days Exceptions'!$C$3:$I$7,6,FALSE)),ROUND(CH201/MAX(CJ201,(CI201*Min_Occ)),2),ROUND(CH201/VLOOKUP($A201&amp;$AB201,'Days Exceptions'!$C$3:$I$7,6,FALSE),2))</f>
        <v>0</v>
      </c>
      <c r="CL201" s="143" t="e">
        <f t="shared" si="169"/>
        <v>#REF!</v>
      </c>
      <c r="CM201" s="143" t="e">
        <f t="shared" si="170"/>
        <v>#REF!</v>
      </c>
      <c r="CN201" s="143">
        <f t="shared" si="171"/>
        <v>164.13</v>
      </c>
      <c r="CO201" s="37" t="s">
        <v>84</v>
      </c>
      <c r="CP201" s="37" t="s">
        <v>348</v>
      </c>
      <c r="CQ201" s="37" t="s">
        <v>1759</v>
      </c>
    </row>
    <row r="202" spans="1:95" x14ac:dyDescent="0.15">
      <c r="A202" s="130">
        <v>703</v>
      </c>
      <c r="B202" s="37" t="s">
        <v>677</v>
      </c>
      <c r="C202" s="1" t="s">
        <v>148</v>
      </c>
      <c r="D202" s="1" t="s">
        <v>119</v>
      </c>
      <c r="E202" s="1" t="str">
        <f>VLOOKUP(D202,Documentation!$B$4:$D$27,3,FALSE)</f>
        <v>WASHINGTON METRO</v>
      </c>
      <c r="F202" s="1" t="str">
        <f>VLOOKUP(D202,Documentation!$B$4:$C$27,2,FALSE)</f>
        <v>WASHINGTON METRO</v>
      </c>
      <c r="G202" s="82">
        <f>VLOOKUP(A202,'2022 CR and CMI'!$A$3:$D$207,3,FALSE)</f>
        <v>44562</v>
      </c>
      <c r="H202" s="82">
        <f>VLOOKUP(A202,'2022 CR and CMI'!$A$3:$D$207,4,FALSE)</f>
        <v>44926</v>
      </c>
      <c r="I202" s="72">
        <f>VLOOKUP(A202,'2022 CR and CMI'!$A$2:$T$210,19,FALSE)</f>
        <v>1.4724999999999999</v>
      </c>
      <c r="J202" s="139">
        <f>Inflation!$G$24</f>
        <v>1.0309999999999999</v>
      </c>
      <c r="K202" s="192">
        <f>VLOOKUP(E202,Limits!$B$2:$D$5,3,FALSE)</f>
        <v>176.01</v>
      </c>
      <c r="L202" s="192">
        <f t="shared" si="172"/>
        <v>181.47</v>
      </c>
      <c r="M202" s="140">
        <f>VLOOKUP(A202,'CMI Data'!$A$4:$C$208,3,FALSE)</f>
        <v>1.5028999999999999</v>
      </c>
      <c r="N202" s="68">
        <f t="shared" si="156"/>
        <v>185.15</v>
      </c>
      <c r="O202" s="68">
        <f t="shared" si="173"/>
        <v>188.97</v>
      </c>
      <c r="P202" s="75">
        <f t="shared" si="174"/>
        <v>179.52</v>
      </c>
      <c r="Q202" s="75">
        <v>176.74</v>
      </c>
      <c r="R202" s="75">
        <f t="shared" si="175"/>
        <v>182.22</v>
      </c>
      <c r="S202" s="68">
        <f t="shared" si="176"/>
        <v>185.98</v>
      </c>
      <c r="T202" s="75">
        <f t="shared" si="177"/>
        <v>0</v>
      </c>
      <c r="U202" s="68">
        <f t="shared" si="178"/>
        <v>188.97</v>
      </c>
      <c r="V202" s="68">
        <f>VLOOKUP($F202,Limits!$J$2:$L$5,3,FALSE)</f>
        <v>19.23</v>
      </c>
      <c r="W202" s="68">
        <f t="shared" si="179"/>
        <v>19.829999999999998</v>
      </c>
      <c r="X202" s="68">
        <f>VLOOKUP($F202,Limits!$R$2:$T$5,3,FALSE)</f>
        <v>100.61</v>
      </c>
      <c r="Y202" s="68">
        <f t="shared" si="180"/>
        <v>103.73</v>
      </c>
      <c r="Z202" s="75">
        <f>VLOOKUP(A202,FRV!$A$4:$U$208,21,FALSE)</f>
        <v>40.32</v>
      </c>
      <c r="AA202" s="141">
        <f>VLOOKUP(A202,'RE Tax'!$A$2:$G$206,3,FALSE)</f>
        <v>45292</v>
      </c>
      <c r="AB202" s="141">
        <f>VLOOKUP(A202,'RE Tax'!$A$2:$G$206,4,FALSE)</f>
        <v>45657</v>
      </c>
      <c r="AC202" s="4">
        <f>VLOOKUP(A202,'RE Tax'!$A$2:$G$206,7,FALSE)</f>
        <v>43485</v>
      </c>
      <c r="AD202" s="4">
        <f>VLOOKUP($A202,'RE Tax'!$A$2:$I$206,9,FALSE)</f>
        <v>14274</v>
      </c>
      <c r="AE202" s="4">
        <f>VLOOKUP($A202,'RE Tax'!$A$2:$I$206,8,FALSE)</f>
        <v>12746</v>
      </c>
      <c r="AF202" s="142">
        <f>IF(ISNA(VLOOKUP(A202&amp;AB202,'Days Exceptions'!$C$3:$I$7,6,FALSE)),ROUND(AC202/MAX(AE202,(AD202*Min_Occ)),2),ROUND(AC202/VLOOKUP(A202&amp;AB202,'Days Exceptions'!$C$3:$I$7,6,FALSE),2))</f>
        <v>3.41</v>
      </c>
      <c r="AG202" s="68">
        <v>0</v>
      </c>
      <c r="AH202" s="68">
        <f t="shared" si="181"/>
        <v>0</v>
      </c>
      <c r="AI202" s="4">
        <v>0</v>
      </c>
      <c r="AJ202" s="4">
        <v>0</v>
      </c>
      <c r="AK202" s="68">
        <f>IF(AI202=0,0,IF(ISNA(MATCH(A202,Documentation!$B$66:$B$71,0)),QA_Tax_reg,QA_Tax_5high))</f>
        <v>0</v>
      </c>
      <c r="AL202" s="75">
        <f t="shared" si="182"/>
        <v>0</v>
      </c>
      <c r="AM202" s="68">
        <f t="shared" si="183"/>
        <v>356.26</v>
      </c>
      <c r="AN202" s="68">
        <f t="shared" si="184"/>
        <v>261.77999999999997</v>
      </c>
      <c r="AO202" s="68">
        <f t="shared" si="185"/>
        <v>167.29</v>
      </c>
      <c r="AP202" s="37" t="s">
        <v>682</v>
      </c>
      <c r="AQ202" s="37" t="s">
        <v>677</v>
      </c>
      <c r="AR202" s="37" t="s">
        <v>1154</v>
      </c>
      <c r="AS202" s="66" t="e">
        <f>VLOOKUP(A202,'CMI Data'!$A$3:$J$209,10,FALSE)</f>
        <v>#DIV/0!</v>
      </c>
      <c r="AT202" s="68">
        <f t="shared" si="157"/>
        <v>179.58</v>
      </c>
      <c r="AU202" s="68" t="e">
        <f t="shared" si="158"/>
        <v>#DIV/0!</v>
      </c>
      <c r="AV202" s="75" t="e">
        <f t="shared" si="186"/>
        <v>#DIV/0!</v>
      </c>
      <c r="AW202" s="68" t="e">
        <f>IF($I202="NA","NA",ROUND(#REF!*$AS202/$I202,2))</f>
        <v>#REF!</v>
      </c>
      <c r="AX202" s="75" t="e">
        <f t="shared" si="155"/>
        <v>#REF!</v>
      </c>
      <c r="AY202" s="68" t="e">
        <f t="shared" si="187"/>
        <v>#REF!</v>
      </c>
      <c r="AZ202" s="4">
        <f t="shared" si="188"/>
        <v>43485</v>
      </c>
      <c r="BA202" s="4">
        <f t="shared" si="189"/>
        <v>14274</v>
      </c>
      <c r="BB202" s="4">
        <f t="shared" si="190"/>
        <v>12746</v>
      </c>
      <c r="BC202" s="142">
        <f>IF(ISNA(VLOOKUP($A202&amp;$AB202,'Days Exceptions'!$C$3:$I$7,6,FALSE)),ROUND(AZ202/MAX(BB202,(BA202*Min_Occ)),2),ROUND(AZ202/VLOOKUP($A202&amp;$AB202,'Days Exceptions'!$C$3:$I$7,6,FALSE),2))</f>
        <v>3.41</v>
      </c>
      <c r="BD202" s="143" t="e">
        <f t="shared" si="159"/>
        <v>#REF!</v>
      </c>
      <c r="BE202" s="143" t="e">
        <f t="shared" si="160"/>
        <v>#REF!</v>
      </c>
      <c r="BF202" s="143">
        <f t="shared" si="161"/>
        <v>163.57</v>
      </c>
      <c r="BG202" s="37" t="s">
        <v>682</v>
      </c>
      <c r="BH202" s="37" t="s">
        <v>677</v>
      </c>
      <c r="BI202" s="37" t="s">
        <v>1358</v>
      </c>
      <c r="BJ202" s="66" t="e">
        <f>VLOOKUP(A202,'CMI Data'!$A$3:$AZ$209,15,FALSE)</f>
        <v>#DIV/0!</v>
      </c>
      <c r="BK202" s="68">
        <f t="shared" si="162"/>
        <v>179.58</v>
      </c>
      <c r="BL202" s="68" t="e">
        <f t="shared" si="163"/>
        <v>#DIV/0!</v>
      </c>
      <c r="BM202" s="75" t="e">
        <f t="shared" si="191"/>
        <v>#DIV/0!</v>
      </c>
      <c r="BN202" s="68" t="e">
        <f>IF($I202="NA","NA",ROUND(#REF!*$BJ202/$I202,2))</f>
        <v>#REF!</v>
      </c>
      <c r="BO202" s="75" t="e">
        <f t="shared" si="192"/>
        <v>#REF!</v>
      </c>
      <c r="BP202" s="68" t="e">
        <f t="shared" si="193"/>
        <v>#REF!</v>
      </c>
      <c r="BQ202" s="4">
        <f t="shared" si="194"/>
        <v>43485</v>
      </c>
      <c r="BR202" s="4">
        <f t="shared" si="195"/>
        <v>14274</v>
      </c>
      <c r="BS202" s="4">
        <f t="shared" si="196"/>
        <v>12746</v>
      </c>
      <c r="BT202" s="142">
        <f>IF(ISNA(VLOOKUP($A202&amp;$AB202,'Days Exceptions'!$C$3:$I$7,6,FALSE)),ROUND(BQ202/MAX(BS202,(BR202*Min_Occ)),2),ROUND(BQ202/VLOOKUP($A202&amp;$AB202,'Days Exceptions'!$C$3:$I$7,6,FALSE),2))</f>
        <v>3.41</v>
      </c>
      <c r="BU202" s="143" t="e">
        <f t="shared" si="164"/>
        <v>#REF!</v>
      </c>
      <c r="BV202" s="143" t="e">
        <f t="shared" si="165"/>
        <v>#REF!</v>
      </c>
      <c r="BW202" s="143">
        <f t="shared" si="166"/>
        <v>163.57</v>
      </c>
      <c r="BX202" s="37" t="s">
        <v>682</v>
      </c>
      <c r="BY202" s="37" t="s">
        <v>677</v>
      </c>
      <c r="BZ202" s="37" t="s">
        <v>1760</v>
      </c>
      <c r="CA202" s="66" t="e">
        <f>VLOOKUP(A202,'CMI Data'!$A$3:$AZ$209,20,FALSE)</f>
        <v>#DIV/0!</v>
      </c>
      <c r="CB202" s="68">
        <f t="shared" si="167"/>
        <v>179.58</v>
      </c>
      <c r="CC202" s="68" t="e">
        <f t="shared" si="168"/>
        <v>#DIV/0!</v>
      </c>
      <c r="CD202" s="75" t="e">
        <f t="shared" si="197"/>
        <v>#DIV/0!</v>
      </c>
      <c r="CE202" s="68" t="e">
        <f>IF($I202="NA","NA",ROUND(#REF!*$CA202/$I202,2))</f>
        <v>#REF!</v>
      </c>
      <c r="CF202" s="75" t="e">
        <f t="shared" si="198"/>
        <v>#REF!</v>
      </c>
      <c r="CG202" s="68" t="e">
        <f t="shared" si="199"/>
        <v>#REF!</v>
      </c>
      <c r="CH202" s="4">
        <f t="shared" si="200"/>
        <v>43485</v>
      </c>
      <c r="CI202" s="4">
        <f t="shared" si="201"/>
        <v>14274</v>
      </c>
      <c r="CJ202" s="4">
        <f t="shared" si="202"/>
        <v>12746</v>
      </c>
      <c r="CK202" s="142">
        <f>IF(ISNA(VLOOKUP($A202&amp;$AB202,'Days Exceptions'!$C$3:$I$7,6,FALSE)),ROUND(CH202/MAX(CJ202,(CI202*Min_Occ)),2),ROUND(CH202/VLOOKUP($A202&amp;$AB202,'Days Exceptions'!$C$3:$I$7,6,FALSE),2))</f>
        <v>3.41</v>
      </c>
      <c r="CL202" s="143" t="e">
        <f t="shared" si="169"/>
        <v>#REF!</v>
      </c>
      <c r="CM202" s="143" t="e">
        <f t="shared" si="170"/>
        <v>#REF!</v>
      </c>
      <c r="CN202" s="143">
        <f t="shared" si="171"/>
        <v>163.57</v>
      </c>
      <c r="CO202" s="37" t="s">
        <v>682</v>
      </c>
      <c r="CP202" s="37" t="s">
        <v>677</v>
      </c>
      <c r="CQ202" s="37" t="s">
        <v>1761</v>
      </c>
    </row>
    <row r="203" spans="1:95" x14ac:dyDescent="0.15">
      <c r="A203" s="130">
        <v>444</v>
      </c>
      <c r="B203" s="37" t="s">
        <v>391</v>
      </c>
      <c r="C203" s="1" t="s">
        <v>148</v>
      </c>
      <c r="D203" s="1" t="s">
        <v>120</v>
      </c>
      <c r="E203" s="1" t="str">
        <f>VLOOKUP(D203,Documentation!$B$4:$D$27,3,FALSE)</f>
        <v>WASHINGTON METRO</v>
      </c>
      <c r="F203" s="1" t="str">
        <f>VLOOKUP(D203,Documentation!$B$4:$C$27,2,FALSE)</f>
        <v>WASHINGTON METRO</v>
      </c>
      <c r="G203" s="82">
        <f>VLOOKUP(A203,'2022 CR and CMI'!$A$3:$D$207,3,FALSE)</f>
        <v>44562</v>
      </c>
      <c r="H203" s="82">
        <f>VLOOKUP(A203,'2022 CR and CMI'!$A$3:$D$207,4,FALSE)</f>
        <v>44926</v>
      </c>
      <c r="I203" s="72">
        <f>VLOOKUP(A203,'2022 CR and CMI'!$A$2:$T$210,19,FALSE)</f>
        <v>1.4274</v>
      </c>
      <c r="J203" s="139">
        <f>Inflation!$G$24</f>
        <v>1.0309999999999999</v>
      </c>
      <c r="K203" s="192">
        <f>VLOOKUP(E203,Limits!$B$2:$D$5,3,FALSE)</f>
        <v>176.01</v>
      </c>
      <c r="L203" s="192">
        <f t="shared" si="172"/>
        <v>181.47</v>
      </c>
      <c r="M203" s="140">
        <f>VLOOKUP(A203,'CMI Data'!$A$4:$C$208,3,FALSE)</f>
        <v>1.4464999999999999</v>
      </c>
      <c r="N203" s="68">
        <f t="shared" si="156"/>
        <v>179.48</v>
      </c>
      <c r="O203" s="68">
        <f t="shared" si="173"/>
        <v>181.88</v>
      </c>
      <c r="P203" s="75">
        <f t="shared" si="174"/>
        <v>172.79</v>
      </c>
      <c r="Q203" s="75">
        <v>160.44</v>
      </c>
      <c r="R203" s="75">
        <f t="shared" si="175"/>
        <v>165.41</v>
      </c>
      <c r="S203" s="68">
        <f t="shared" si="176"/>
        <v>167.62</v>
      </c>
      <c r="T203" s="75">
        <f t="shared" si="177"/>
        <v>-5.17</v>
      </c>
      <c r="U203" s="68">
        <f t="shared" si="178"/>
        <v>176.71</v>
      </c>
      <c r="V203" s="68">
        <f>VLOOKUP($F203,Limits!$J$2:$L$5,3,FALSE)</f>
        <v>19.23</v>
      </c>
      <c r="W203" s="68">
        <f t="shared" si="179"/>
        <v>19.829999999999998</v>
      </c>
      <c r="X203" s="68">
        <f>VLOOKUP($F203,Limits!$R$2:$T$5,3,FALSE)</f>
        <v>100.61</v>
      </c>
      <c r="Y203" s="68">
        <f t="shared" si="180"/>
        <v>103.73</v>
      </c>
      <c r="Z203" s="75">
        <f>VLOOKUP(A203,FRV!$A$4:$U$208,21,FALSE)</f>
        <v>44.17</v>
      </c>
      <c r="AA203" s="141">
        <f>VLOOKUP(A203,'RE Tax'!$A$2:$G$206,3,FALSE)</f>
        <v>45292</v>
      </c>
      <c r="AB203" s="141">
        <f>VLOOKUP(A203,'RE Tax'!$A$2:$G$206,4,FALSE)</f>
        <v>45657</v>
      </c>
      <c r="AC203" s="4">
        <f>VLOOKUP(A203,'RE Tax'!$A$2:$G$206,7,FALSE)</f>
        <v>654</v>
      </c>
      <c r="AD203" s="4">
        <f>VLOOKUP($A203,'RE Tax'!$A$2:$I$206,9,FALSE)</f>
        <v>39162</v>
      </c>
      <c r="AE203" s="4">
        <f>VLOOKUP($A203,'RE Tax'!$A$2:$I$206,8,FALSE)</f>
        <v>31670</v>
      </c>
      <c r="AF203" s="142">
        <f>IF(ISNA(VLOOKUP(A203&amp;AB203,'Days Exceptions'!$C$3:$I$7,6,FALSE)),ROUND(AC203/MAX(AE203,(AD203*Min_Occ)),2),ROUND(AC203/VLOOKUP(A203&amp;AB203,'Days Exceptions'!$C$3:$I$7,6,FALSE),2))</f>
        <v>0.02</v>
      </c>
      <c r="AG203" s="68">
        <v>0</v>
      </c>
      <c r="AH203" s="68">
        <f t="shared" si="181"/>
        <v>0</v>
      </c>
      <c r="AI203" s="4">
        <v>24443</v>
      </c>
      <c r="AJ203" s="4">
        <v>31669</v>
      </c>
      <c r="AK203" s="68">
        <f>IF(AI203=0,0,IF(ISNA(MATCH(A203,Documentation!$B$66:$B$71,0)),QA_Tax_reg,QA_Tax_5high))</f>
        <v>32.92</v>
      </c>
      <c r="AL203" s="75">
        <f t="shared" si="182"/>
        <v>25.41</v>
      </c>
      <c r="AM203" s="68">
        <f t="shared" si="183"/>
        <v>344.46</v>
      </c>
      <c r="AN203" s="68">
        <f t="shared" si="184"/>
        <v>256.11</v>
      </c>
      <c r="AO203" s="68">
        <f t="shared" si="185"/>
        <v>167.75</v>
      </c>
      <c r="AP203" s="37" t="s">
        <v>390</v>
      </c>
      <c r="AQ203" s="37" t="s">
        <v>391</v>
      </c>
      <c r="AR203" s="37" t="s">
        <v>1155</v>
      </c>
      <c r="AS203" s="66" t="e">
        <f>VLOOKUP(A203,'CMI Data'!$A$3:$J$209,10,FALSE)</f>
        <v>#DIV/0!</v>
      </c>
      <c r="AT203" s="68">
        <f t="shared" si="157"/>
        <v>174.08</v>
      </c>
      <c r="AU203" s="68" t="e">
        <f t="shared" si="158"/>
        <v>#DIV/0!</v>
      </c>
      <c r="AV203" s="75" t="e">
        <f t="shared" si="186"/>
        <v>#DIV/0!</v>
      </c>
      <c r="AW203" s="68" t="e">
        <f>IF($I203="NA","NA",ROUND(#REF!*$AS203/$I203,2))</f>
        <v>#REF!</v>
      </c>
      <c r="AX203" s="75" t="e">
        <f t="shared" si="155"/>
        <v>#REF!</v>
      </c>
      <c r="AY203" s="68" t="e">
        <f t="shared" si="187"/>
        <v>#REF!</v>
      </c>
      <c r="AZ203" s="4">
        <f t="shared" si="188"/>
        <v>654</v>
      </c>
      <c r="BA203" s="4">
        <f t="shared" si="189"/>
        <v>39162</v>
      </c>
      <c r="BB203" s="4">
        <f t="shared" si="190"/>
        <v>31670</v>
      </c>
      <c r="BC203" s="142">
        <f>IF(ISNA(VLOOKUP($A203&amp;$AB203,'Days Exceptions'!$C$3:$I$7,6,FALSE)),ROUND(AZ203/MAX(BB203,(BA203*Min_Occ)),2),ROUND(AZ203/VLOOKUP($A203&amp;$AB203,'Days Exceptions'!$C$3:$I$7,6,FALSE),2))</f>
        <v>0.02</v>
      </c>
      <c r="BD203" s="143" t="e">
        <f t="shared" si="159"/>
        <v>#REF!</v>
      </c>
      <c r="BE203" s="143" t="e">
        <f t="shared" si="160"/>
        <v>#REF!</v>
      </c>
      <c r="BF203" s="143">
        <f t="shared" si="161"/>
        <v>164.03</v>
      </c>
      <c r="BG203" s="37" t="s">
        <v>390</v>
      </c>
      <c r="BH203" s="37" t="s">
        <v>391</v>
      </c>
      <c r="BI203" s="37" t="s">
        <v>1359</v>
      </c>
      <c r="BJ203" s="66" t="e">
        <f>VLOOKUP(A203,'CMI Data'!$A$3:$AZ$209,15,FALSE)</f>
        <v>#DIV/0!</v>
      </c>
      <c r="BK203" s="68">
        <f t="shared" si="162"/>
        <v>174.08</v>
      </c>
      <c r="BL203" s="68" t="e">
        <f t="shared" si="163"/>
        <v>#DIV/0!</v>
      </c>
      <c r="BM203" s="75" t="e">
        <f t="shared" si="191"/>
        <v>#DIV/0!</v>
      </c>
      <c r="BN203" s="68" t="e">
        <f>IF($I203="NA","NA",ROUND(#REF!*$BJ203/$I203,2))</f>
        <v>#REF!</v>
      </c>
      <c r="BO203" s="75" t="e">
        <f t="shared" si="192"/>
        <v>#REF!</v>
      </c>
      <c r="BP203" s="68" t="e">
        <f t="shared" si="193"/>
        <v>#REF!</v>
      </c>
      <c r="BQ203" s="4">
        <f t="shared" si="194"/>
        <v>654</v>
      </c>
      <c r="BR203" s="4">
        <f t="shared" si="195"/>
        <v>39162</v>
      </c>
      <c r="BS203" s="4">
        <f t="shared" si="196"/>
        <v>31670</v>
      </c>
      <c r="BT203" s="142">
        <f>IF(ISNA(VLOOKUP($A203&amp;$AB203,'Days Exceptions'!$C$3:$I$7,6,FALSE)),ROUND(BQ203/MAX(BS203,(BR203*Min_Occ)),2),ROUND(BQ203/VLOOKUP($A203&amp;$AB203,'Days Exceptions'!$C$3:$I$7,6,FALSE),2))</f>
        <v>0.02</v>
      </c>
      <c r="BU203" s="143" t="e">
        <f t="shared" si="164"/>
        <v>#REF!</v>
      </c>
      <c r="BV203" s="143" t="e">
        <f t="shared" si="165"/>
        <v>#REF!</v>
      </c>
      <c r="BW203" s="143">
        <f t="shared" si="166"/>
        <v>164.03</v>
      </c>
      <c r="BX203" s="37" t="s">
        <v>390</v>
      </c>
      <c r="BY203" s="37" t="s">
        <v>391</v>
      </c>
      <c r="BZ203" s="37" t="s">
        <v>1762</v>
      </c>
      <c r="CA203" s="66" t="e">
        <f>VLOOKUP(A203,'CMI Data'!$A$3:$AZ$209,20,FALSE)</f>
        <v>#DIV/0!</v>
      </c>
      <c r="CB203" s="68">
        <f t="shared" si="167"/>
        <v>174.08</v>
      </c>
      <c r="CC203" s="68" t="e">
        <f t="shared" si="168"/>
        <v>#DIV/0!</v>
      </c>
      <c r="CD203" s="75" t="e">
        <f t="shared" si="197"/>
        <v>#DIV/0!</v>
      </c>
      <c r="CE203" s="68" t="e">
        <f>IF($I203="NA","NA",ROUND(#REF!*$CA203/$I203,2))</f>
        <v>#REF!</v>
      </c>
      <c r="CF203" s="75" t="e">
        <f t="shared" si="198"/>
        <v>#REF!</v>
      </c>
      <c r="CG203" s="68" t="e">
        <f t="shared" si="199"/>
        <v>#REF!</v>
      </c>
      <c r="CH203" s="4">
        <f t="shared" si="200"/>
        <v>654</v>
      </c>
      <c r="CI203" s="4">
        <f t="shared" si="201"/>
        <v>39162</v>
      </c>
      <c r="CJ203" s="4">
        <f t="shared" si="202"/>
        <v>31670</v>
      </c>
      <c r="CK203" s="142">
        <f>IF(ISNA(VLOOKUP($A203&amp;$AB203,'Days Exceptions'!$C$3:$I$7,6,FALSE)),ROUND(CH203/MAX(CJ203,(CI203*Min_Occ)),2),ROUND(CH203/VLOOKUP($A203&amp;$AB203,'Days Exceptions'!$C$3:$I$7,6,FALSE),2))</f>
        <v>0.02</v>
      </c>
      <c r="CL203" s="143" t="e">
        <f t="shared" si="169"/>
        <v>#REF!</v>
      </c>
      <c r="CM203" s="143" t="e">
        <f t="shared" si="170"/>
        <v>#REF!</v>
      </c>
      <c r="CN203" s="143">
        <f t="shared" si="171"/>
        <v>164.03</v>
      </c>
      <c r="CO203" s="37" t="s">
        <v>390</v>
      </c>
      <c r="CP203" s="37" t="s">
        <v>391</v>
      </c>
      <c r="CQ203" s="37" t="s">
        <v>1763</v>
      </c>
    </row>
    <row r="204" spans="1:95" x14ac:dyDescent="0.15">
      <c r="A204" s="130">
        <v>448</v>
      </c>
      <c r="B204" s="37" t="s">
        <v>194</v>
      </c>
      <c r="C204" s="1" t="s">
        <v>148</v>
      </c>
      <c r="D204" s="1" t="s">
        <v>112</v>
      </c>
      <c r="E204" s="1" t="str">
        <f>VLOOKUP(D204,Documentation!$B$4:$D$27,3,FALSE)</f>
        <v>WASHINGTON METRO</v>
      </c>
      <c r="F204" s="1" t="str">
        <f>VLOOKUP(D204,Documentation!$B$4:$C$27,2,FALSE)</f>
        <v>WASHINGTON METRO</v>
      </c>
      <c r="G204" s="82">
        <f>VLOOKUP(A204,'2022 CR and CMI'!$A$3:$D$207,3,FALSE)</f>
        <v>44562</v>
      </c>
      <c r="H204" s="82">
        <f>VLOOKUP(A204,'2022 CR and CMI'!$A$3:$D$207,4,FALSE)</f>
        <v>44926</v>
      </c>
      <c r="I204" s="72">
        <f>VLOOKUP(A204,'2022 CR and CMI'!$A$2:$T$210,19,FALSE)</f>
        <v>1.4446000000000001</v>
      </c>
      <c r="J204" s="139">
        <f>Inflation!$G$24</f>
        <v>1.0309999999999999</v>
      </c>
      <c r="K204" s="192">
        <f>VLOOKUP(E204,Limits!$B$2:$D$5,3,FALSE)</f>
        <v>176.01</v>
      </c>
      <c r="L204" s="192">
        <f t="shared" si="172"/>
        <v>181.47</v>
      </c>
      <c r="M204" s="140">
        <f>VLOOKUP(A204,'CMI Data'!$A$4:$C$208,3,FALSE)</f>
        <v>1.3555999999999999</v>
      </c>
      <c r="N204" s="68">
        <f t="shared" si="156"/>
        <v>181.65</v>
      </c>
      <c r="O204" s="68">
        <f t="shared" si="173"/>
        <v>170.46</v>
      </c>
      <c r="P204" s="75">
        <f t="shared" si="174"/>
        <v>161.94</v>
      </c>
      <c r="Q204" s="75">
        <v>164.05</v>
      </c>
      <c r="R204" s="75">
        <f t="shared" si="175"/>
        <v>169.14</v>
      </c>
      <c r="S204" s="68">
        <f t="shared" si="176"/>
        <v>158.72</v>
      </c>
      <c r="T204" s="75">
        <f t="shared" si="177"/>
        <v>-3.22</v>
      </c>
      <c r="U204" s="68">
        <f t="shared" si="178"/>
        <v>167.24</v>
      </c>
      <c r="V204" s="68">
        <f>VLOOKUP($F204,Limits!$J$2:$L$5,3,FALSE)</f>
        <v>19.23</v>
      </c>
      <c r="W204" s="68">
        <f t="shared" si="179"/>
        <v>19.829999999999998</v>
      </c>
      <c r="X204" s="68">
        <f>VLOOKUP($F204,Limits!$R$2:$T$5,3,FALSE)</f>
        <v>100.61</v>
      </c>
      <c r="Y204" s="68">
        <f t="shared" si="180"/>
        <v>103.73</v>
      </c>
      <c r="Z204" s="75">
        <f>VLOOKUP(A204,FRV!$A$4:$U$208,21,FALSE)</f>
        <v>27.36</v>
      </c>
      <c r="AA204" s="141">
        <f>VLOOKUP(A204,'RE Tax'!$A$2:$G$206,3,FALSE)</f>
        <v>45292</v>
      </c>
      <c r="AB204" s="141">
        <f>VLOOKUP(A204,'RE Tax'!$A$2:$G$206,4,FALSE)</f>
        <v>45657</v>
      </c>
      <c r="AC204" s="4">
        <f>VLOOKUP(A204,'RE Tax'!$A$2:$G$206,7,FALSE)</f>
        <v>169340</v>
      </c>
      <c r="AD204" s="4">
        <f>VLOOKUP($A204,'RE Tax'!$A$2:$I$206,9,FALSE)</f>
        <v>42090</v>
      </c>
      <c r="AE204" s="4">
        <f>VLOOKUP($A204,'RE Tax'!$A$2:$I$206,8,FALSE)</f>
        <v>40163</v>
      </c>
      <c r="AF204" s="142">
        <f>IF(ISNA(VLOOKUP(A204&amp;AB204,'Days Exceptions'!$C$3:$I$7,6,FALSE)),ROUND(AC204/MAX(AE204,(AD204*Min_Occ)),2),ROUND(AC204/VLOOKUP(A204&amp;AB204,'Days Exceptions'!$C$3:$I$7,6,FALSE),2))</f>
        <v>4.22</v>
      </c>
      <c r="AG204" s="68">
        <v>0</v>
      </c>
      <c r="AH204" s="68">
        <f t="shared" si="181"/>
        <v>0</v>
      </c>
      <c r="AI204" s="4">
        <v>28779</v>
      </c>
      <c r="AJ204" s="4">
        <v>40086</v>
      </c>
      <c r="AK204" s="68">
        <f>IF(AI204=0,0,IF(ISNA(MATCH(A204,Documentation!$B$66:$B$71,0)),QA_Tax_reg,QA_Tax_5high))</f>
        <v>32.92</v>
      </c>
      <c r="AL204" s="75">
        <f t="shared" si="182"/>
        <v>23.63</v>
      </c>
      <c r="AM204" s="68">
        <f t="shared" si="183"/>
        <v>322.38</v>
      </c>
      <c r="AN204" s="68">
        <f t="shared" si="184"/>
        <v>238.76</v>
      </c>
      <c r="AO204" s="68">
        <f t="shared" si="185"/>
        <v>155.13999999999999</v>
      </c>
      <c r="AP204" s="37" t="s">
        <v>168</v>
      </c>
      <c r="AQ204" s="37" t="s">
        <v>194</v>
      </c>
      <c r="AR204" s="37" t="s">
        <v>1156</v>
      </c>
      <c r="AS204" s="66" t="e">
        <f>VLOOKUP(A204,'CMI Data'!$A$3:$J$209,10,FALSE)</f>
        <v>#DIV/0!</v>
      </c>
      <c r="AT204" s="68">
        <f t="shared" si="157"/>
        <v>176.18</v>
      </c>
      <c r="AU204" s="68" t="e">
        <f t="shared" si="158"/>
        <v>#DIV/0!</v>
      </c>
      <c r="AV204" s="75" t="e">
        <f t="shared" si="186"/>
        <v>#DIV/0!</v>
      </c>
      <c r="AW204" s="68" t="e">
        <f>IF($I204="NA","NA",ROUND(#REF!*$AS204/$I204,2))</f>
        <v>#REF!</v>
      </c>
      <c r="AX204" s="75" t="e">
        <f t="shared" si="155"/>
        <v>#REF!</v>
      </c>
      <c r="AY204" s="68" t="e">
        <f t="shared" si="187"/>
        <v>#REF!</v>
      </c>
      <c r="AZ204" s="4">
        <f t="shared" si="188"/>
        <v>169340</v>
      </c>
      <c r="BA204" s="4">
        <f t="shared" si="189"/>
        <v>42090</v>
      </c>
      <c r="BB204" s="4">
        <f t="shared" si="190"/>
        <v>40163</v>
      </c>
      <c r="BC204" s="142">
        <f>IF(ISNA(VLOOKUP($A204&amp;$AB204,'Days Exceptions'!$C$3:$I$7,6,FALSE)),ROUND(AZ204/MAX(BB204,(BA204*Min_Occ)),2),ROUND(AZ204/VLOOKUP($A204&amp;$AB204,'Days Exceptions'!$C$3:$I$7,6,FALSE),2))</f>
        <v>4.22</v>
      </c>
      <c r="BD204" s="143" t="e">
        <f t="shared" si="159"/>
        <v>#REF!</v>
      </c>
      <c r="BE204" s="143" t="e">
        <f t="shared" si="160"/>
        <v>#REF!</v>
      </c>
      <c r="BF204" s="143">
        <f t="shared" si="161"/>
        <v>151.41999999999999</v>
      </c>
      <c r="BG204" s="37" t="s">
        <v>168</v>
      </c>
      <c r="BH204" s="37" t="s">
        <v>194</v>
      </c>
      <c r="BI204" s="37" t="s">
        <v>1360</v>
      </c>
      <c r="BJ204" s="66" t="e">
        <f>VLOOKUP(A204,'CMI Data'!$A$3:$AZ$209,15,FALSE)</f>
        <v>#DIV/0!</v>
      </c>
      <c r="BK204" s="68">
        <f t="shared" si="162"/>
        <v>176.18</v>
      </c>
      <c r="BL204" s="68" t="e">
        <f t="shared" si="163"/>
        <v>#DIV/0!</v>
      </c>
      <c r="BM204" s="75" t="e">
        <f t="shared" si="191"/>
        <v>#DIV/0!</v>
      </c>
      <c r="BN204" s="68" t="e">
        <f>IF($I204="NA","NA",ROUND(#REF!*$BJ204/$I204,2))</f>
        <v>#REF!</v>
      </c>
      <c r="BO204" s="75" t="e">
        <f t="shared" si="192"/>
        <v>#REF!</v>
      </c>
      <c r="BP204" s="68" t="e">
        <f t="shared" si="193"/>
        <v>#REF!</v>
      </c>
      <c r="BQ204" s="4">
        <f t="shared" si="194"/>
        <v>169340</v>
      </c>
      <c r="BR204" s="4">
        <f t="shared" si="195"/>
        <v>42090</v>
      </c>
      <c r="BS204" s="4">
        <f t="shared" si="196"/>
        <v>40163</v>
      </c>
      <c r="BT204" s="142">
        <f>IF(ISNA(VLOOKUP($A204&amp;$AB204,'Days Exceptions'!$C$3:$I$7,6,FALSE)),ROUND(BQ204/MAX(BS204,(BR204*Min_Occ)),2),ROUND(BQ204/VLOOKUP($A204&amp;$AB204,'Days Exceptions'!$C$3:$I$7,6,FALSE),2))</f>
        <v>4.22</v>
      </c>
      <c r="BU204" s="143" t="e">
        <f t="shared" si="164"/>
        <v>#REF!</v>
      </c>
      <c r="BV204" s="143" t="e">
        <f t="shared" si="165"/>
        <v>#REF!</v>
      </c>
      <c r="BW204" s="143">
        <f t="shared" si="166"/>
        <v>151.41999999999999</v>
      </c>
      <c r="BX204" s="37" t="s">
        <v>168</v>
      </c>
      <c r="BY204" s="37" t="s">
        <v>194</v>
      </c>
      <c r="BZ204" s="37" t="s">
        <v>1764</v>
      </c>
      <c r="CA204" s="66" t="e">
        <f>VLOOKUP(A204,'CMI Data'!$A$3:$AZ$209,20,FALSE)</f>
        <v>#DIV/0!</v>
      </c>
      <c r="CB204" s="68">
        <f t="shared" si="167"/>
        <v>176.18</v>
      </c>
      <c r="CC204" s="68" t="e">
        <f t="shared" si="168"/>
        <v>#DIV/0!</v>
      </c>
      <c r="CD204" s="75" t="e">
        <f t="shared" si="197"/>
        <v>#DIV/0!</v>
      </c>
      <c r="CE204" s="68" t="e">
        <f>IF($I204="NA","NA",ROUND(#REF!*$CA204/$I204,2))</f>
        <v>#REF!</v>
      </c>
      <c r="CF204" s="75" t="e">
        <f t="shared" si="198"/>
        <v>#REF!</v>
      </c>
      <c r="CG204" s="68" t="e">
        <f t="shared" si="199"/>
        <v>#REF!</v>
      </c>
      <c r="CH204" s="4">
        <f t="shared" si="200"/>
        <v>169340</v>
      </c>
      <c r="CI204" s="4">
        <f t="shared" si="201"/>
        <v>42090</v>
      </c>
      <c r="CJ204" s="4">
        <f t="shared" si="202"/>
        <v>40163</v>
      </c>
      <c r="CK204" s="142">
        <f>IF(ISNA(VLOOKUP($A204&amp;$AB204,'Days Exceptions'!$C$3:$I$7,6,FALSE)),ROUND(CH204/MAX(CJ204,(CI204*Min_Occ)),2),ROUND(CH204/VLOOKUP($A204&amp;$AB204,'Days Exceptions'!$C$3:$I$7,6,FALSE),2))</f>
        <v>4.22</v>
      </c>
      <c r="CL204" s="143" t="e">
        <f t="shared" si="169"/>
        <v>#REF!</v>
      </c>
      <c r="CM204" s="143" t="e">
        <f t="shared" si="170"/>
        <v>#REF!</v>
      </c>
      <c r="CN204" s="143">
        <f t="shared" si="171"/>
        <v>151.41999999999999</v>
      </c>
      <c r="CO204" s="37" t="s">
        <v>168</v>
      </c>
      <c r="CP204" s="37" t="s">
        <v>194</v>
      </c>
      <c r="CQ204" s="37" t="s">
        <v>1765</v>
      </c>
    </row>
    <row r="205" spans="1:95" x14ac:dyDescent="0.15">
      <c r="A205" s="130">
        <v>386</v>
      </c>
      <c r="B205" s="37" t="s">
        <v>338</v>
      </c>
      <c r="C205" s="1" t="s">
        <v>148</v>
      </c>
      <c r="D205" s="1" t="s">
        <v>102</v>
      </c>
      <c r="E205" s="1" t="str">
        <f>VLOOKUP(D205,Documentation!$B$4:$D$27,3,FALSE)</f>
        <v>BALTIMORE METRO</v>
      </c>
      <c r="F205" s="1" t="str">
        <f>VLOOKUP(D205,Documentation!$B$4:$C$27,2,FALSE)</f>
        <v>BALTIMORE CITY</v>
      </c>
      <c r="G205" s="82">
        <f>VLOOKUP(A205,'2022 CR and CMI'!$A$3:$D$207,3,FALSE)</f>
        <v>44562</v>
      </c>
      <c r="H205" s="82">
        <f>VLOOKUP(A205,'2022 CR and CMI'!$A$3:$D$207,4,FALSE)</f>
        <v>44926</v>
      </c>
      <c r="I205" s="72">
        <f>VLOOKUP(A205,'2022 CR and CMI'!$A$2:$T$210,19,FALSE)</f>
        <v>1.4722</v>
      </c>
      <c r="J205" s="139">
        <f>Inflation!$G$24</f>
        <v>1.0309999999999999</v>
      </c>
      <c r="K205" s="192">
        <f>VLOOKUP(E205,Limits!$B$2:$D$5,3,FALSE)</f>
        <v>195.33</v>
      </c>
      <c r="L205" s="192">
        <f t="shared" si="172"/>
        <v>201.39</v>
      </c>
      <c r="M205" s="140">
        <f>VLOOKUP(A205,'CMI Data'!$A$4:$C$208,3,FALSE)</f>
        <v>1.5327999999999999</v>
      </c>
      <c r="N205" s="68">
        <f t="shared" si="156"/>
        <v>205.44</v>
      </c>
      <c r="O205" s="68">
        <f t="shared" si="173"/>
        <v>213.9</v>
      </c>
      <c r="P205" s="75">
        <f t="shared" si="174"/>
        <v>203.21</v>
      </c>
      <c r="Q205" s="75">
        <v>151.4</v>
      </c>
      <c r="R205" s="75">
        <f t="shared" si="175"/>
        <v>156.09</v>
      </c>
      <c r="S205" s="68">
        <f t="shared" si="176"/>
        <v>162.52000000000001</v>
      </c>
      <c r="T205" s="75">
        <f t="shared" si="177"/>
        <v>-40.69</v>
      </c>
      <c r="U205" s="68">
        <f t="shared" si="178"/>
        <v>173.21</v>
      </c>
      <c r="V205" s="68">
        <f>VLOOKUP($F205,Limits!$J$2:$L$5,3,FALSE)</f>
        <v>24.89</v>
      </c>
      <c r="W205" s="68">
        <f t="shared" si="179"/>
        <v>25.66</v>
      </c>
      <c r="X205" s="68">
        <f>VLOOKUP($F205,Limits!$R$2:$T$5,3,FALSE)</f>
        <v>114.15</v>
      </c>
      <c r="Y205" s="68">
        <f t="shared" si="180"/>
        <v>117.69</v>
      </c>
      <c r="Z205" s="75">
        <f>VLOOKUP(A205,FRV!$A$4:$U$208,21,FALSE)</f>
        <v>46.1</v>
      </c>
      <c r="AA205" s="141">
        <f>VLOOKUP(A205,'RE Tax'!$A$2:$G$206,3,FALSE)</f>
        <v>45292</v>
      </c>
      <c r="AB205" s="141">
        <f>VLOOKUP(A205,'RE Tax'!$A$2:$G$206,4,FALSE)</f>
        <v>45657</v>
      </c>
      <c r="AC205" s="4">
        <f>VLOOKUP(A205,'RE Tax'!$A$2:$G$206,7,FALSE)</f>
        <v>156821</v>
      </c>
      <c r="AD205" s="4">
        <f>VLOOKUP($A205,'RE Tax'!$A$2:$I$206,9,FALSE)</f>
        <v>43920</v>
      </c>
      <c r="AE205" s="4">
        <f>VLOOKUP($A205,'RE Tax'!$A$2:$I$206,8,FALSE)</f>
        <v>41592</v>
      </c>
      <c r="AF205" s="142">
        <f>IF(ISNA(VLOOKUP(A205&amp;AB205,'Days Exceptions'!$C$3:$I$7,6,FALSE)),ROUND(AC205/MAX(AE205,(AD205*Min_Occ)),2),ROUND(AC205/VLOOKUP(A205&amp;AB205,'Days Exceptions'!$C$3:$I$7,6,FALSE),2))</f>
        <v>3.77</v>
      </c>
      <c r="AG205" s="68">
        <v>0</v>
      </c>
      <c r="AH205" s="68">
        <f t="shared" si="181"/>
        <v>0</v>
      </c>
      <c r="AI205" s="4">
        <v>35221</v>
      </c>
      <c r="AJ205" s="4">
        <v>41592</v>
      </c>
      <c r="AK205" s="68">
        <f>IF(AI205=0,0,IF(ISNA(MATCH(A205,Documentation!$B$66:$B$71,0)),QA_Tax_reg,QA_Tax_5high))</f>
        <v>32.92</v>
      </c>
      <c r="AL205" s="75">
        <f t="shared" si="182"/>
        <v>27.88</v>
      </c>
      <c r="AM205" s="68">
        <f t="shared" si="183"/>
        <v>366.43</v>
      </c>
      <c r="AN205" s="68">
        <f t="shared" si="184"/>
        <v>279.83</v>
      </c>
      <c r="AO205" s="68">
        <f t="shared" si="185"/>
        <v>193.22</v>
      </c>
      <c r="AP205" s="37" t="s">
        <v>337</v>
      </c>
      <c r="AQ205" s="37" t="s">
        <v>338</v>
      </c>
      <c r="AR205" s="37" t="s">
        <v>1157</v>
      </c>
      <c r="AS205" s="66" t="e">
        <f>VLOOKUP(A205,'CMI Data'!$A$3:$J$209,10,FALSE)</f>
        <v>#DIV/0!</v>
      </c>
      <c r="AT205" s="68">
        <f t="shared" si="157"/>
        <v>199.26</v>
      </c>
      <c r="AU205" s="68" t="e">
        <f t="shared" si="158"/>
        <v>#DIV/0!</v>
      </c>
      <c r="AV205" s="75" t="e">
        <f t="shared" si="186"/>
        <v>#DIV/0!</v>
      </c>
      <c r="AW205" s="68" t="e">
        <f>IF($I205="NA","NA",ROUND(#REF!*$AS205/$I205,2))</f>
        <v>#REF!</v>
      </c>
      <c r="AX205" s="75" t="e">
        <f t="shared" si="155"/>
        <v>#REF!</v>
      </c>
      <c r="AY205" s="68" t="e">
        <f t="shared" si="187"/>
        <v>#REF!</v>
      </c>
      <c r="AZ205" s="4">
        <f t="shared" si="188"/>
        <v>156821</v>
      </c>
      <c r="BA205" s="4">
        <f t="shared" si="189"/>
        <v>43920</v>
      </c>
      <c r="BB205" s="4">
        <f t="shared" si="190"/>
        <v>41592</v>
      </c>
      <c r="BC205" s="142">
        <f>IF(ISNA(VLOOKUP($A205&amp;$AB205,'Days Exceptions'!$C$3:$I$7,6,FALSE)),ROUND(AZ205/MAX(BB205,(BA205*Min_Occ)),2),ROUND(AZ205/VLOOKUP($A205&amp;$AB205,'Days Exceptions'!$C$3:$I$7,6,FALSE),2))</f>
        <v>3.77</v>
      </c>
      <c r="BD205" s="143" t="e">
        <f t="shared" si="159"/>
        <v>#REF!</v>
      </c>
      <c r="BE205" s="143" t="e">
        <f t="shared" si="160"/>
        <v>#REF!</v>
      </c>
      <c r="BF205" s="143">
        <f t="shared" si="161"/>
        <v>188.91</v>
      </c>
      <c r="BG205" s="37" t="s">
        <v>337</v>
      </c>
      <c r="BH205" s="37" t="s">
        <v>338</v>
      </c>
      <c r="BI205" s="37" t="s">
        <v>1361</v>
      </c>
      <c r="BJ205" s="66" t="e">
        <f>VLOOKUP(A205,'CMI Data'!$A$3:$AZ$209,15,FALSE)</f>
        <v>#DIV/0!</v>
      </c>
      <c r="BK205" s="68">
        <f t="shared" si="162"/>
        <v>199.26</v>
      </c>
      <c r="BL205" s="68" t="e">
        <f t="shared" si="163"/>
        <v>#DIV/0!</v>
      </c>
      <c r="BM205" s="75" t="e">
        <f t="shared" si="191"/>
        <v>#DIV/0!</v>
      </c>
      <c r="BN205" s="68" t="e">
        <f>IF($I205="NA","NA",ROUND(#REF!*$BJ205/$I205,2))</f>
        <v>#REF!</v>
      </c>
      <c r="BO205" s="75" t="e">
        <f t="shared" si="192"/>
        <v>#REF!</v>
      </c>
      <c r="BP205" s="68" t="e">
        <f t="shared" si="193"/>
        <v>#REF!</v>
      </c>
      <c r="BQ205" s="4">
        <f t="shared" si="194"/>
        <v>156821</v>
      </c>
      <c r="BR205" s="4">
        <f t="shared" si="195"/>
        <v>43920</v>
      </c>
      <c r="BS205" s="4">
        <f t="shared" si="196"/>
        <v>41592</v>
      </c>
      <c r="BT205" s="142">
        <f>IF(ISNA(VLOOKUP($A205&amp;$AB205,'Days Exceptions'!$C$3:$I$7,6,FALSE)),ROUND(BQ205/MAX(BS205,(BR205*Min_Occ)),2),ROUND(BQ205/VLOOKUP($A205&amp;$AB205,'Days Exceptions'!$C$3:$I$7,6,FALSE),2))</f>
        <v>3.77</v>
      </c>
      <c r="BU205" s="143" t="e">
        <f t="shared" si="164"/>
        <v>#REF!</v>
      </c>
      <c r="BV205" s="143" t="e">
        <f t="shared" si="165"/>
        <v>#REF!</v>
      </c>
      <c r="BW205" s="143">
        <f t="shared" si="166"/>
        <v>188.91</v>
      </c>
      <c r="BX205" s="37" t="s">
        <v>337</v>
      </c>
      <c r="BY205" s="37" t="s">
        <v>338</v>
      </c>
      <c r="BZ205" s="37" t="s">
        <v>1766</v>
      </c>
      <c r="CA205" s="66" t="e">
        <f>VLOOKUP(A205,'CMI Data'!$A$3:$AZ$209,20,FALSE)</f>
        <v>#DIV/0!</v>
      </c>
      <c r="CB205" s="68">
        <f t="shared" si="167"/>
        <v>199.26</v>
      </c>
      <c r="CC205" s="68" t="e">
        <f t="shared" si="168"/>
        <v>#DIV/0!</v>
      </c>
      <c r="CD205" s="75" t="e">
        <f t="shared" si="197"/>
        <v>#DIV/0!</v>
      </c>
      <c r="CE205" s="68" t="e">
        <f>IF($I205="NA","NA",ROUND(#REF!*$CA205/$I205,2))</f>
        <v>#REF!</v>
      </c>
      <c r="CF205" s="75" t="e">
        <f t="shared" si="198"/>
        <v>#REF!</v>
      </c>
      <c r="CG205" s="68" t="e">
        <f t="shared" si="199"/>
        <v>#REF!</v>
      </c>
      <c r="CH205" s="4">
        <f t="shared" si="200"/>
        <v>156821</v>
      </c>
      <c r="CI205" s="4">
        <f t="shared" si="201"/>
        <v>43920</v>
      </c>
      <c r="CJ205" s="4">
        <f t="shared" si="202"/>
        <v>41592</v>
      </c>
      <c r="CK205" s="142">
        <f>IF(ISNA(VLOOKUP($A205&amp;$AB205,'Days Exceptions'!$C$3:$I$7,6,FALSE)),ROUND(CH205/MAX(CJ205,(CI205*Min_Occ)),2),ROUND(CH205/VLOOKUP($A205&amp;$AB205,'Days Exceptions'!$C$3:$I$7,6,FALSE),2))</f>
        <v>3.77</v>
      </c>
      <c r="CL205" s="143" t="e">
        <f t="shared" si="169"/>
        <v>#REF!</v>
      </c>
      <c r="CM205" s="143" t="e">
        <f t="shared" si="170"/>
        <v>#REF!</v>
      </c>
      <c r="CN205" s="143">
        <f t="shared" si="171"/>
        <v>188.91</v>
      </c>
      <c r="CO205" s="37" t="s">
        <v>337</v>
      </c>
      <c r="CP205" s="37" t="s">
        <v>338</v>
      </c>
      <c r="CQ205" s="37" t="s">
        <v>1767</v>
      </c>
    </row>
    <row r="206" spans="1:95" x14ac:dyDescent="0.15">
      <c r="A206" s="130">
        <v>452</v>
      </c>
      <c r="B206" s="37" t="s">
        <v>399</v>
      </c>
      <c r="C206" s="1" t="s">
        <v>148</v>
      </c>
      <c r="D206" s="1" t="s">
        <v>110</v>
      </c>
      <c r="E206" s="1" t="str">
        <f>VLOOKUP(D206,Documentation!$B$4:$D$27,3,FALSE)</f>
        <v>BALTIMORE METRO</v>
      </c>
      <c r="F206" s="1" t="str">
        <f>VLOOKUP(D206,Documentation!$B$4:$C$27,2,FALSE)</f>
        <v>BALTIMORE METRO</v>
      </c>
      <c r="G206" s="82">
        <f>VLOOKUP(A206,'2022 CR and CMI'!$A$3:$D$207,3,FALSE)</f>
        <v>44378</v>
      </c>
      <c r="H206" s="82">
        <f>VLOOKUP(A206,'2022 CR and CMI'!$A$3:$D$207,4,FALSE)</f>
        <v>44742</v>
      </c>
      <c r="I206" s="72">
        <f>VLOOKUP(A206,'2022 CR and CMI'!$A$2:$T$210,19,FALSE)</f>
        <v>1.2858000000000001</v>
      </c>
      <c r="J206" s="139">
        <f>Inflation!$G$24</f>
        <v>1.0309999999999999</v>
      </c>
      <c r="K206" s="192">
        <f>VLOOKUP(E206,Limits!$B$2:$D$5,3,FALSE)</f>
        <v>195.33</v>
      </c>
      <c r="L206" s="192">
        <f t="shared" si="172"/>
        <v>201.39</v>
      </c>
      <c r="M206" s="140">
        <f>VLOOKUP(A206,'CMI Data'!$A$4:$C$208,3,FALSE)</f>
        <v>1.3669</v>
      </c>
      <c r="N206" s="68">
        <f t="shared" si="156"/>
        <v>179.43</v>
      </c>
      <c r="O206" s="68">
        <f t="shared" si="173"/>
        <v>190.75</v>
      </c>
      <c r="P206" s="75">
        <f t="shared" si="174"/>
        <v>181.21</v>
      </c>
      <c r="Q206" s="75">
        <v>174.5</v>
      </c>
      <c r="R206" s="75">
        <f t="shared" si="175"/>
        <v>179.91</v>
      </c>
      <c r="S206" s="68">
        <f t="shared" si="176"/>
        <v>191.26</v>
      </c>
      <c r="T206" s="75">
        <f t="shared" si="177"/>
        <v>0</v>
      </c>
      <c r="U206" s="68">
        <f t="shared" si="178"/>
        <v>190.75</v>
      </c>
      <c r="V206" s="68">
        <f>VLOOKUP($F206,Limits!$J$2:$L$5,3,FALSE)</f>
        <v>20.85</v>
      </c>
      <c r="W206" s="68">
        <f t="shared" si="179"/>
        <v>21.5</v>
      </c>
      <c r="X206" s="68">
        <f>VLOOKUP($F206,Limits!$R$2:$T$5,3,FALSE)</f>
        <v>102.02</v>
      </c>
      <c r="Y206" s="68">
        <f t="shared" si="180"/>
        <v>105.18</v>
      </c>
      <c r="Z206" s="75">
        <f>VLOOKUP(A206,FRV!$A$4:$U$208,21,FALSE)</f>
        <v>21.9</v>
      </c>
      <c r="AA206" s="141">
        <f>VLOOKUP(A206,'RE Tax'!$A$2:$G$206,3,FALSE)</f>
        <v>45108</v>
      </c>
      <c r="AB206" s="141">
        <f>VLOOKUP(A206,'RE Tax'!$A$2:$G$206,4,FALSE)</f>
        <v>45473</v>
      </c>
      <c r="AC206" s="4">
        <f>VLOOKUP(A206,'RE Tax'!$A$2:$G$206,7,FALSE)</f>
        <v>104780</v>
      </c>
      <c r="AD206" s="4">
        <f>VLOOKUP($A206,'RE Tax'!$A$2:$I$206,9,FALSE)</f>
        <v>57828</v>
      </c>
      <c r="AE206" s="4">
        <f>VLOOKUP($A206,'RE Tax'!$A$2:$I$206,8,FALSE)</f>
        <v>40785</v>
      </c>
      <c r="AF206" s="142">
        <f>IF(ISNA(VLOOKUP(A206&amp;AB206,'Days Exceptions'!$C$3:$I$7,6,FALSE)),ROUND(AC206/MAX(AE206,(AD206*Min_Occ)),2),ROUND(AC206/VLOOKUP(A206&amp;AB206,'Days Exceptions'!$C$3:$I$7,6,FALSE),2))</f>
        <v>2.2200000000000002</v>
      </c>
      <c r="AG206" s="68">
        <v>0</v>
      </c>
      <c r="AH206" s="68">
        <f t="shared" si="181"/>
        <v>0</v>
      </c>
      <c r="AI206" s="4">
        <v>36102</v>
      </c>
      <c r="AJ206" s="4">
        <v>39459</v>
      </c>
      <c r="AK206" s="68">
        <f>IF(AI206=0,0,IF(ISNA(MATCH(A206,Documentation!$B$66:$B$71,0)),QA_Tax_reg,QA_Tax_5high))</f>
        <v>32.92</v>
      </c>
      <c r="AL206" s="75">
        <f t="shared" si="182"/>
        <v>30.12</v>
      </c>
      <c r="AM206" s="68">
        <f t="shared" si="183"/>
        <v>341.55</v>
      </c>
      <c r="AN206" s="68">
        <f t="shared" si="184"/>
        <v>246.18</v>
      </c>
      <c r="AO206" s="68">
        <f t="shared" si="185"/>
        <v>150.80000000000001</v>
      </c>
      <c r="AP206" s="37" t="s">
        <v>408</v>
      </c>
      <c r="AQ206" s="37" t="s">
        <v>399</v>
      </c>
      <c r="AR206" s="37" t="s">
        <v>1158</v>
      </c>
      <c r="AS206" s="66" t="e">
        <f>VLOOKUP(A206,'CMI Data'!$A$3:$J$209,10,FALSE)</f>
        <v>#DIV/0!</v>
      </c>
      <c r="AT206" s="68">
        <f t="shared" si="157"/>
        <v>174.03</v>
      </c>
      <c r="AU206" s="68" t="e">
        <f t="shared" si="158"/>
        <v>#DIV/0!</v>
      </c>
      <c r="AV206" s="75" t="e">
        <f t="shared" si="186"/>
        <v>#DIV/0!</v>
      </c>
      <c r="AW206" s="68" t="e">
        <f>IF($I206="NA","NA",ROUND(#REF!*$AS206/$I206,2))</f>
        <v>#REF!</v>
      </c>
      <c r="AX206" s="75" t="e">
        <f t="shared" si="155"/>
        <v>#REF!</v>
      </c>
      <c r="AY206" s="68" t="e">
        <f t="shared" si="187"/>
        <v>#REF!</v>
      </c>
      <c r="AZ206" s="4">
        <f t="shared" si="188"/>
        <v>104780</v>
      </c>
      <c r="BA206" s="4">
        <f t="shared" si="189"/>
        <v>57828</v>
      </c>
      <c r="BB206" s="4">
        <f t="shared" si="190"/>
        <v>40785</v>
      </c>
      <c r="BC206" s="142">
        <f>IF(ISNA(VLOOKUP($A206&amp;$AB206,'Days Exceptions'!$C$3:$I$7,6,FALSE)),ROUND(AZ206/MAX(BB206,(BA206*Min_Occ)),2),ROUND(AZ206/VLOOKUP($A206&amp;$AB206,'Days Exceptions'!$C$3:$I$7,6,FALSE),2))</f>
        <v>2.2200000000000002</v>
      </c>
      <c r="BD206" s="143" t="e">
        <f t="shared" si="159"/>
        <v>#REF!</v>
      </c>
      <c r="BE206" s="143" t="e">
        <f t="shared" si="160"/>
        <v>#REF!</v>
      </c>
      <c r="BF206" s="143">
        <f t="shared" si="161"/>
        <v>146.99</v>
      </c>
      <c r="BG206" s="37" t="s">
        <v>408</v>
      </c>
      <c r="BH206" s="37" t="s">
        <v>399</v>
      </c>
      <c r="BI206" s="37" t="s">
        <v>1362</v>
      </c>
      <c r="BJ206" s="66" t="e">
        <f>VLOOKUP(A206,'CMI Data'!$A$3:$AZ$209,15,FALSE)</f>
        <v>#DIV/0!</v>
      </c>
      <c r="BK206" s="68">
        <f t="shared" si="162"/>
        <v>174.03</v>
      </c>
      <c r="BL206" s="68" t="e">
        <f t="shared" si="163"/>
        <v>#DIV/0!</v>
      </c>
      <c r="BM206" s="75" t="e">
        <f t="shared" si="191"/>
        <v>#DIV/0!</v>
      </c>
      <c r="BN206" s="68" t="e">
        <f>IF($I206="NA","NA",ROUND(#REF!*$BJ206/$I206,2))</f>
        <v>#REF!</v>
      </c>
      <c r="BO206" s="75" t="e">
        <f t="shared" si="192"/>
        <v>#REF!</v>
      </c>
      <c r="BP206" s="68" t="e">
        <f t="shared" si="193"/>
        <v>#REF!</v>
      </c>
      <c r="BQ206" s="4">
        <f t="shared" si="194"/>
        <v>104780</v>
      </c>
      <c r="BR206" s="4">
        <f t="shared" si="195"/>
        <v>57828</v>
      </c>
      <c r="BS206" s="4">
        <f t="shared" si="196"/>
        <v>40785</v>
      </c>
      <c r="BT206" s="142">
        <f>IF(ISNA(VLOOKUP($A206&amp;$AB206,'Days Exceptions'!$C$3:$I$7,6,FALSE)),ROUND(BQ206/MAX(BS206,(BR206*Min_Occ)),2),ROUND(BQ206/VLOOKUP($A206&amp;$AB206,'Days Exceptions'!$C$3:$I$7,6,FALSE),2))</f>
        <v>2.2200000000000002</v>
      </c>
      <c r="BU206" s="143" t="e">
        <f t="shared" si="164"/>
        <v>#REF!</v>
      </c>
      <c r="BV206" s="143" t="e">
        <f t="shared" si="165"/>
        <v>#REF!</v>
      </c>
      <c r="BW206" s="143">
        <f t="shared" si="166"/>
        <v>146.99</v>
      </c>
      <c r="BX206" s="37" t="s">
        <v>408</v>
      </c>
      <c r="BY206" s="37" t="s">
        <v>399</v>
      </c>
      <c r="BZ206" s="37" t="s">
        <v>1768</v>
      </c>
      <c r="CA206" s="66" t="e">
        <f>VLOOKUP(A206,'CMI Data'!$A$3:$AZ$209,20,FALSE)</f>
        <v>#DIV/0!</v>
      </c>
      <c r="CB206" s="68">
        <f t="shared" si="167"/>
        <v>174.03</v>
      </c>
      <c r="CC206" s="68" t="e">
        <f t="shared" si="168"/>
        <v>#DIV/0!</v>
      </c>
      <c r="CD206" s="75" t="e">
        <f t="shared" si="197"/>
        <v>#DIV/0!</v>
      </c>
      <c r="CE206" s="68" t="e">
        <f>IF($I206="NA","NA",ROUND(#REF!*$CA206/$I206,2))</f>
        <v>#REF!</v>
      </c>
      <c r="CF206" s="75" t="e">
        <f t="shared" si="198"/>
        <v>#REF!</v>
      </c>
      <c r="CG206" s="68" t="e">
        <f t="shared" si="199"/>
        <v>#REF!</v>
      </c>
      <c r="CH206" s="4">
        <f t="shared" si="200"/>
        <v>104780</v>
      </c>
      <c r="CI206" s="4">
        <f t="shared" si="201"/>
        <v>57828</v>
      </c>
      <c r="CJ206" s="4">
        <f t="shared" si="202"/>
        <v>40785</v>
      </c>
      <c r="CK206" s="142">
        <f>IF(ISNA(VLOOKUP($A206&amp;$AB206,'Days Exceptions'!$C$3:$I$7,6,FALSE)),ROUND(CH206/MAX(CJ206,(CI206*Min_Occ)),2),ROUND(CH206/VLOOKUP($A206&amp;$AB206,'Days Exceptions'!$C$3:$I$7,6,FALSE),2))</f>
        <v>2.2200000000000002</v>
      </c>
      <c r="CL206" s="143" t="e">
        <f t="shared" si="169"/>
        <v>#REF!</v>
      </c>
      <c r="CM206" s="143" t="e">
        <f t="shared" si="170"/>
        <v>#REF!</v>
      </c>
      <c r="CN206" s="143">
        <f t="shared" si="171"/>
        <v>146.99</v>
      </c>
      <c r="CO206" s="37" t="s">
        <v>408</v>
      </c>
      <c r="CP206" s="37" t="s">
        <v>399</v>
      </c>
      <c r="CQ206" s="37" t="s">
        <v>1769</v>
      </c>
    </row>
    <row r="207" spans="1:95" x14ac:dyDescent="0.15">
      <c r="A207" s="130">
        <v>454</v>
      </c>
      <c r="B207" s="37" t="s">
        <v>207</v>
      </c>
      <c r="C207" s="1" t="s">
        <v>148</v>
      </c>
      <c r="D207" s="1" t="s">
        <v>126</v>
      </c>
      <c r="E207" s="1" t="str">
        <f>VLOOKUP(D207,Documentation!$B$4:$D$27,3,FALSE)</f>
        <v>EASTERN REGION</v>
      </c>
      <c r="F207" s="1" t="str">
        <f>VLOOKUP(D207,Documentation!$B$4:$C$27,2,FALSE)</f>
        <v>NON METRO</v>
      </c>
      <c r="G207" s="82">
        <f>VLOOKUP(A207,'2022 CR and CMI'!$A$3:$D$207,3,FALSE)</f>
        <v>44378</v>
      </c>
      <c r="H207" s="82">
        <f>VLOOKUP(A207,'2022 CR and CMI'!$A$3:$D$207,4,FALSE)</f>
        <v>44742</v>
      </c>
      <c r="I207" s="72">
        <f>VLOOKUP(A207,'2022 CR and CMI'!$A$2:$T$210,19,FALSE)</f>
        <v>1.3137000000000001</v>
      </c>
      <c r="J207" s="139">
        <f>Inflation!$G$24</f>
        <v>1.0309999999999999</v>
      </c>
      <c r="K207" s="192">
        <f>VLOOKUP(E207,Limits!$B$2:$D$5,3,FALSE)</f>
        <v>186.31</v>
      </c>
      <c r="L207" s="192">
        <f t="shared" si="172"/>
        <v>192.09</v>
      </c>
      <c r="M207" s="140">
        <f>VLOOKUP(A207,'CMI Data'!$A$4:$C$208,3,FALSE)</f>
        <v>1.3683000000000001</v>
      </c>
      <c r="N207" s="68">
        <f t="shared" si="156"/>
        <v>174.85</v>
      </c>
      <c r="O207" s="68">
        <f t="shared" si="173"/>
        <v>182.12</v>
      </c>
      <c r="P207" s="75">
        <f t="shared" si="174"/>
        <v>173.01</v>
      </c>
      <c r="Q207" s="75">
        <v>165.16</v>
      </c>
      <c r="R207" s="75">
        <f t="shared" si="175"/>
        <v>170.28</v>
      </c>
      <c r="S207" s="68">
        <f t="shared" si="176"/>
        <v>177.36</v>
      </c>
      <c r="T207" s="75">
        <f t="shared" si="177"/>
        <v>0</v>
      </c>
      <c r="U207" s="68">
        <f t="shared" si="178"/>
        <v>182.12</v>
      </c>
      <c r="V207" s="68">
        <f>VLOOKUP($F207,Limits!$J$2:$L$5,3,FALSE)</f>
        <v>20.239999999999998</v>
      </c>
      <c r="W207" s="68">
        <f t="shared" si="179"/>
        <v>20.87</v>
      </c>
      <c r="X207" s="68">
        <f>VLOOKUP($F207,Limits!$R$2:$T$5,3,FALSE)</f>
        <v>89.55</v>
      </c>
      <c r="Y207" s="68">
        <f t="shared" si="180"/>
        <v>92.33</v>
      </c>
      <c r="Z207" s="75">
        <f>VLOOKUP(A207,FRV!$A$4:$U$208,21,FALSE)</f>
        <v>30.54</v>
      </c>
      <c r="AA207" s="141">
        <f>VLOOKUP(A207,'RE Tax'!$A$2:$G$206,3,FALSE)</f>
        <v>45108</v>
      </c>
      <c r="AB207" s="141">
        <f>VLOOKUP(A207,'RE Tax'!$A$2:$G$206,4,FALSE)</f>
        <v>45473</v>
      </c>
      <c r="AC207" s="4">
        <f>VLOOKUP(A207,'RE Tax'!$A$2:$G$206,7,FALSE)</f>
        <v>0</v>
      </c>
      <c r="AD207" s="4">
        <f>VLOOKUP($A207,'RE Tax'!$A$2:$I$206,9,FALSE)</f>
        <v>37332</v>
      </c>
      <c r="AE207" s="4">
        <f>VLOOKUP($A207,'RE Tax'!$A$2:$I$206,8,FALSE)</f>
        <v>24839</v>
      </c>
      <c r="AF207" s="142">
        <f>IF(ISNA(VLOOKUP(A207&amp;AB207,'Days Exceptions'!$C$3:$I$7,6,FALSE)),ROUND(AC207/MAX(AE207,(AD207*Min_Occ)),2),ROUND(AC207/VLOOKUP(A207&amp;AB207,'Days Exceptions'!$C$3:$I$7,6,FALSE),2))</f>
        <v>0</v>
      </c>
      <c r="AG207" s="68">
        <v>0</v>
      </c>
      <c r="AH207" s="68">
        <f t="shared" si="181"/>
        <v>0</v>
      </c>
      <c r="AI207" s="4">
        <v>20227</v>
      </c>
      <c r="AJ207" s="4">
        <v>23561</v>
      </c>
      <c r="AK207" s="68">
        <f>IF(AI207=0,0,IF(ISNA(MATCH(A207,Documentation!$B$66:$B$71,0)),QA_Tax_reg,QA_Tax_5high))</f>
        <v>32.92</v>
      </c>
      <c r="AL207" s="75">
        <f t="shared" si="182"/>
        <v>28.26</v>
      </c>
      <c r="AM207" s="68">
        <f t="shared" si="183"/>
        <v>325.86</v>
      </c>
      <c r="AN207" s="68">
        <f t="shared" si="184"/>
        <v>234.8</v>
      </c>
      <c r="AO207" s="68">
        <f t="shared" si="185"/>
        <v>143.74</v>
      </c>
      <c r="AP207" s="37" t="s">
        <v>94</v>
      </c>
      <c r="AQ207" s="37" t="s">
        <v>207</v>
      </c>
      <c r="AR207" s="37" t="s">
        <v>1159</v>
      </c>
      <c r="AS207" s="66" t="e">
        <f>VLOOKUP(A207,'CMI Data'!$A$3:$J$209,10,FALSE)</f>
        <v>#DIV/0!</v>
      </c>
      <c r="AT207" s="68">
        <f t="shared" si="157"/>
        <v>169.59</v>
      </c>
      <c r="AU207" s="68" t="e">
        <f t="shared" si="158"/>
        <v>#DIV/0!</v>
      </c>
      <c r="AV207" s="75" t="e">
        <f t="shared" si="186"/>
        <v>#DIV/0!</v>
      </c>
      <c r="AW207" s="68" t="e">
        <f>IF($I207="NA","NA",ROUND(#REF!*$AS207/$I207,2))</f>
        <v>#REF!</v>
      </c>
      <c r="AX207" s="75" t="e">
        <f t="shared" si="155"/>
        <v>#REF!</v>
      </c>
      <c r="AY207" s="68" t="e">
        <f t="shared" si="187"/>
        <v>#REF!</v>
      </c>
      <c r="AZ207" s="4">
        <f t="shared" si="188"/>
        <v>0</v>
      </c>
      <c r="BA207" s="4">
        <f t="shared" si="189"/>
        <v>37332</v>
      </c>
      <c r="BB207" s="4">
        <f t="shared" si="190"/>
        <v>24839</v>
      </c>
      <c r="BC207" s="142">
        <f>IF(ISNA(VLOOKUP($A207&amp;$AB207,'Days Exceptions'!$C$3:$I$7,6,FALSE)),ROUND(AZ207/MAX(BB207,(BA207*Min_Occ)),2),ROUND(AZ207/VLOOKUP($A207&amp;$AB207,'Days Exceptions'!$C$3:$I$7,6,FALSE),2))</f>
        <v>0</v>
      </c>
      <c r="BD207" s="143" t="e">
        <f t="shared" si="159"/>
        <v>#REF!</v>
      </c>
      <c r="BE207" s="143" t="e">
        <f t="shared" si="160"/>
        <v>#REF!</v>
      </c>
      <c r="BF207" s="143">
        <f t="shared" si="161"/>
        <v>140.33000000000001</v>
      </c>
      <c r="BG207" s="37" t="s">
        <v>94</v>
      </c>
      <c r="BH207" s="37" t="s">
        <v>207</v>
      </c>
      <c r="BI207" s="37" t="s">
        <v>1363</v>
      </c>
      <c r="BJ207" s="66" t="e">
        <f>VLOOKUP(A207,'CMI Data'!$A$3:$AZ$209,15,FALSE)</f>
        <v>#DIV/0!</v>
      </c>
      <c r="BK207" s="68">
        <f t="shared" si="162"/>
        <v>169.59</v>
      </c>
      <c r="BL207" s="68" t="e">
        <f t="shared" si="163"/>
        <v>#DIV/0!</v>
      </c>
      <c r="BM207" s="75" t="e">
        <f t="shared" si="191"/>
        <v>#DIV/0!</v>
      </c>
      <c r="BN207" s="68" t="e">
        <f>IF($I207="NA","NA",ROUND(#REF!*$BJ207/$I207,2))</f>
        <v>#REF!</v>
      </c>
      <c r="BO207" s="75" t="e">
        <f t="shared" si="192"/>
        <v>#REF!</v>
      </c>
      <c r="BP207" s="68" t="e">
        <f t="shared" si="193"/>
        <v>#REF!</v>
      </c>
      <c r="BQ207" s="4">
        <f t="shared" si="194"/>
        <v>0</v>
      </c>
      <c r="BR207" s="4">
        <f t="shared" si="195"/>
        <v>37332</v>
      </c>
      <c r="BS207" s="4">
        <f t="shared" si="196"/>
        <v>24839</v>
      </c>
      <c r="BT207" s="142">
        <f>IF(ISNA(VLOOKUP($A207&amp;$AB207,'Days Exceptions'!$C$3:$I$7,6,FALSE)),ROUND(BQ207/MAX(BS207,(BR207*Min_Occ)),2),ROUND(BQ207/VLOOKUP($A207&amp;$AB207,'Days Exceptions'!$C$3:$I$7,6,FALSE),2))</f>
        <v>0</v>
      </c>
      <c r="BU207" s="143" t="e">
        <f t="shared" si="164"/>
        <v>#REF!</v>
      </c>
      <c r="BV207" s="143" t="e">
        <f t="shared" si="165"/>
        <v>#REF!</v>
      </c>
      <c r="BW207" s="143">
        <f t="shared" si="166"/>
        <v>140.33000000000001</v>
      </c>
      <c r="BX207" s="37" t="s">
        <v>94</v>
      </c>
      <c r="BY207" s="37" t="s">
        <v>207</v>
      </c>
      <c r="BZ207" s="37" t="s">
        <v>1770</v>
      </c>
      <c r="CA207" s="66" t="e">
        <f>VLOOKUP(A207,'CMI Data'!$A$3:$AZ$209,20,FALSE)</f>
        <v>#DIV/0!</v>
      </c>
      <c r="CB207" s="68">
        <f t="shared" si="167"/>
        <v>169.59</v>
      </c>
      <c r="CC207" s="68" t="e">
        <f t="shared" si="168"/>
        <v>#DIV/0!</v>
      </c>
      <c r="CD207" s="75" t="e">
        <f t="shared" si="197"/>
        <v>#DIV/0!</v>
      </c>
      <c r="CE207" s="68" t="e">
        <f>IF($I207="NA","NA",ROUND(#REF!*$CA207/$I207,2))</f>
        <v>#REF!</v>
      </c>
      <c r="CF207" s="75" t="e">
        <f t="shared" si="198"/>
        <v>#REF!</v>
      </c>
      <c r="CG207" s="68" t="e">
        <f t="shared" si="199"/>
        <v>#REF!</v>
      </c>
      <c r="CH207" s="4">
        <f t="shared" si="200"/>
        <v>0</v>
      </c>
      <c r="CI207" s="4">
        <f t="shared" si="201"/>
        <v>37332</v>
      </c>
      <c r="CJ207" s="4">
        <f t="shared" si="202"/>
        <v>24839</v>
      </c>
      <c r="CK207" s="142">
        <f>IF(ISNA(VLOOKUP($A207&amp;$AB207,'Days Exceptions'!$C$3:$I$7,6,FALSE)),ROUND(CH207/MAX(CJ207,(CI207*Min_Occ)),2),ROUND(CH207/VLOOKUP($A207&amp;$AB207,'Days Exceptions'!$C$3:$I$7,6,FALSE),2))</f>
        <v>0</v>
      </c>
      <c r="CL207" s="143" t="e">
        <f t="shared" si="169"/>
        <v>#REF!</v>
      </c>
      <c r="CM207" s="143" t="e">
        <f t="shared" si="170"/>
        <v>#REF!</v>
      </c>
      <c r="CN207" s="143">
        <f t="shared" si="171"/>
        <v>140.33000000000001</v>
      </c>
      <c r="CO207" s="37" t="s">
        <v>94</v>
      </c>
      <c r="CP207" s="37" t="s">
        <v>207</v>
      </c>
      <c r="CQ207" s="37" t="s">
        <v>1771</v>
      </c>
    </row>
    <row r="208" spans="1:95" x14ac:dyDescent="0.15">
      <c r="A208" s="130">
        <v>458</v>
      </c>
      <c r="B208" s="37" t="s">
        <v>821</v>
      </c>
      <c r="C208" s="1" t="s">
        <v>148</v>
      </c>
      <c r="D208" s="1" t="s">
        <v>125</v>
      </c>
      <c r="E208" s="1" t="str">
        <f>VLOOKUP(D208,Documentation!$B$4:$D$27,3,FALSE)</f>
        <v>WESTERN REGION</v>
      </c>
      <c r="F208" s="1" t="str">
        <f>VLOOKUP(D208,Documentation!$B$4:$C$27,2,FALSE)</f>
        <v>NON METRO</v>
      </c>
      <c r="G208" s="82">
        <f>VLOOKUP(A208,'2022 CR and CMI'!$A$3:$D$207,3,FALSE)</f>
        <v>44378</v>
      </c>
      <c r="H208" s="82">
        <f>VLOOKUP(A208,'2022 CR and CMI'!$A$3:$D$207,4,FALSE)</f>
        <v>44742</v>
      </c>
      <c r="I208" s="72">
        <f>VLOOKUP(A208,'2022 CR and CMI'!$A$2:$T$210,19,FALSE)</f>
        <v>1.4460999999999999</v>
      </c>
      <c r="J208" s="139">
        <f>Inflation!$G$24</f>
        <v>1.0309999999999999</v>
      </c>
      <c r="K208" s="192">
        <f>VLOOKUP(E208,Limits!$B$2:$D$5,3,FALSE)</f>
        <v>166.26</v>
      </c>
      <c r="L208" s="192">
        <f t="shared" si="172"/>
        <v>171.41</v>
      </c>
      <c r="M208" s="140">
        <f>VLOOKUP(A208,'CMI Data'!$A$4:$C$208,3,FALSE)</f>
        <v>1.6108</v>
      </c>
      <c r="N208" s="68">
        <f t="shared" si="156"/>
        <v>171.75</v>
      </c>
      <c r="O208" s="68">
        <f t="shared" si="173"/>
        <v>191.31</v>
      </c>
      <c r="P208" s="75">
        <f t="shared" si="174"/>
        <v>181.74</v>
      </c>
      <c r="Q208" s="75">
        <v>172.61</v>
      </c>
      <c r="R208" s="75">
        <f t="shared" si="175"/>
        <v>177.96</v>
      </c>
      <c r="S208" s="68">
        <f t="shared" si="176"/>
        <v>198.23</v>
      </c>
      <c r="T208" s="75">
        <f t="shared" si="177"/>
        <v>0</v>
      </c>
      <c r="U208" s="68">
        <f t="shared" si="178"/>
        <v>191.31</v>
      </c>
      <c r="V208" s="68">
        <f>VLOOKUP($F208,Limits!$J$2:$L$5,3,FALSE)</f>
        <v>20.239999999999998</v>
      </c>
      <c r="W208" s="68">
        <f t="shared" si="179"/>
        <v>20.87</v>
      </c>
      <c r="X208" s="68">
        <f>VLOOKUP($F208,Limits!$R$2:$T$5,3,FALSE)</f>
        <v>89.55</v>
      </c>
      <c r="Y208" s="68">
        <f t="shared" si="180"/>
        <v>92.33</v>
      </c>
      <c r="Z208" s="75">
        <f>VLOOKUP(A208,FRV!$A$4:$U$208,21,FALSE)</f>
        <v>42.2</v>
      </c>
      <c r="AA208" s="141">
        <f>VLOOKUP(A208,'RE Tax'!$A$2:$G$206,3,FALSE)</f>
        <v>45597</v>
      </c>
      <c r="AB208" s="141">
        <f>VLOOKUP(A208,'RE Tax'!$A$2:$G$206,4,FALSE)</f>
        <v>45657</v>
      </c>
      <c r="AC208" s="4">
        <f>VLOOKUP(A208,'RE Tax'!$A$2:$G$206,7,FALSE)</f>
        <v>227</v>
      </c>
      <c r="AD208" s="4">
        <f>VLOOKUP($A208,'RE Tax'!$A$2:$I$206,9,FALSE)</f>
        <v>7808</v>
      </c>
      <c r="AE208" s="4">
        <f>VLOOKUP($A208,'RE Tax'!$A$2:$I$206,8,FALSE)</f>
        <v>7398</v>
      </c>
      <c r="AF208" s="142">
        <f>IF(ISNA(VLOOKUP(A208&amp;AB208,'Days Exceptions'!$C$3:$I$7,6,FALSE)),ROUND(AC208/MAX(AE208,(AD208*Min_Occ)),2),ROUND(AC208/VLOOKUP(A208&amp;AB208,'Days Exceptions'!$C$3:$I$7,6,FALSE),2))</f>
        <v>0.03</v>
      </c>
      <c r="AG208" s="68">
        <v>0</v>
      </c>
      <c r="AH208" s="68">
        <f t="shared" si="181"/>
        <v>0</v>
      </c>
      <c r="AI208" s="4">
        <v>30599</v>
      </c>
      <c r="AJ208" s="4">
        <v>40871</v>
      </c>
      <c r="AK208" s="68">
        <f>IF(AI208=0,0,IF(ISNA(MATCH(A208,Documentation!$B$66:$B$71,0)),QA_Tax_reg,QA_Tax_5high))</f>
        <v>32.92</v>
      </c>
      <c r="AL208" s="75">
        <f t="shared" si="182"/>
        <v>24.65</v>
      </c>
      <c r="AM208" s="68">
        <f t="shared" si="183"/>
        <v>346.74</v>
      </c>
      <c r="AN208" s="68">
        <f t="shared" si="184"/>
        <v>251.09</v>
      </c>
      <c r="AO208" s="68">
        <f t="shared" si="185"/>
        <v>155.43</v>
      </c>
      <c r="AP208" s="37" t="s">
        <v>939</v>
      </c>
      <c r="AQ208" s="37" t="s">
        <v>821</v>
      </c>
      <c r="AR208" s="37" t="s">
        <v>1160</v>
      </c>
      <c r="AS208" s="66" t="e">
        <f>VLOOKUP(A208,'CMI Data'!$A$3:$J$209,10,FALSE)</f>
        <v>#DIV/0!</v>
      </c>
      <c r="AT208" s="68">
        <f t="shared" si="157"/>
        <v>166.59</v>
      </c>
      <c r="AU208" s="68" t="e">
        <f t="shared" si="158"/>
        <v>#DIV/0!</v>
      </c>
      <c r="AV208" s="75" t="e">
        <f t="shared" si="186"/>
        <v>#DIV/0!</v>
      </c>
      <c r="AW208" s="68" t="e">
        <f>IF($I208="NA","NA",ROUND(#REF!*$AS208/$I208,2))</f>
        <v>#REF!</v>
      </c>
      <c r="AX208" s="75" t="e">
        <f t="shared" si="155"/>
        <v>#REF!</v>
      </c>
      <c r="AY208" s="68" t="e">
        <f t="shared" si="187"/>
        <v>#REF!</v>
      </c>
      <c r="AZ208" s="4">
        <f t="shared" si="188"/>
        <v>227</v>
      </c>
      <c r="BA208" s="4">
        <f t="shared" si="189"/>
        <v>7808</v>
      </c>
      <c r="BB208" s="4">
        <f t="shared" si="190"/>
        <v>7398</v>
      </c>
      <c r="BC208" s="142">
        <f>IF(ISNA(VLOOKUP($A208&amp;$AB208,'Days Exceptions'!$C$3:$I$7,6,FALSE)),ROUND(AZ208/MAX(BB208,(BA208*Min_Occ)),2),ROUND(AZ208/VLOOKUP($A208&amp;$AB208,'Days Exceptions'!$C$3:$I$7,6,FALSE),2))</f>
        <v>0.03</v>
      </c>
      <c r="BD208" s="143" t="e">
        <f t="shared" si="159"/>
        <v>#REF!</v>
      </c>
      <c r="BE208" s="143" t="e">
        <f t="shared" si="160"/>
        <v>#REF!</v>
      </c>
      <c r="BF208" s="143">
        <f t="shared" si="161"/>
        <v>152.02000000000001</v>
      </c>
      <c r="BG208" s="37" t="s">
        <v>93</v>
      </c>
      <c r="BH208" s="37" t="s">
        <v>206</v>
      </c>
      <c r="BI208" s="37" t="s">
        <v>1364</v>
      </c>
      <c r="BJ208" s="66" t="e">
        <f>VLOOKUP(A208,'CMI Data'!$A$3:$AZ$209,15,FALSE)</f>
        <v>#DIV/0!</v>
      </c>
      <c r="BK208" s="68">
        <f t="shared" si="162"/>
        <v>166.59</v>
      </c>
      <c r="BL208" s="68" t="e">
        <f t="shared" si="163"/>
        <v>#DIV/0!</v>
      </c>
      <c r="BM208" s="75" t="e">
        <f t="shared" si="191"/>
        <v>#DIV/0!</v>
      </c>
      <c r="BN208" s="68" t="e">
        <f>IF($I208="NA","NA",ROUND(#REF!*$BJ208/$I208,2))</f>
        <v>#REF!</v>
      </c>
      <c r="BO208" s="75" t="e">
        <f t="shared" si="192"/>
        <v>#REF!</v>
      </c>
      <c r="BP208" s="68" t="e">
        <f t="shared" si="193"/>
        <v>#REF!</v>
      </c>
      <c r="BQ208" s="4">
        <f t="shared" si="194"/>
        <v>227</v>
      </c>
      <c r="BR208" s="4">
        <f t="shared" si="195"/>
        <v>7808</v>
      </c>
      <c r="BS208" s="4">
        <f t="shared" si="196"/>
        <v>7398</v>
      </c>
      <c r="BT208" s="142">
        <f>IF(ISNA(VLOOKUP($A208&amp;$AB208,'Days Exceptions'!$C$3:$I$7,6,FALSE)),ROUND(BQ208/MAX(BS208,(BR208*Min_Occ)),2),ROUND(BQ208/VLOOKUP($A208&amp;$AB208,'Days Exceptions'!$C$3:$I$7,6,FALSE),2))</f>
        <v>0.03</v>
      </c>
      <c r="BU208" s="143" t="e">
        <f t="shared" si="164"/>
        <v>#REF!</v>
      </c>
      <c r="BV208" s="143" t="e">
        <f t="shared" si="165"/>
        <v>#REF!</v>
      </c>
      <c r="BW208" s="143">
        <f t="shared" si="166"/>
        <v>152.02000000000001</v>
      </c>
      <c r="BX208" s="37" t="s">
        <v>93</v>
      </c>
      <c r="BY208" s="37" t="s">
        <v>206</v>
      </c>
      <c r="BZ208" s="37" t="s">
        <v>1772</v>
      </c>
      <c r="CA208" s="66" t="e">
        <f>VLOOKUP(A208,'CMI Data'!$A$3:$AZ$209,20,FALSE)</f>
        <v>#DIV/0!</v>
      </c>
      <c r="CB208" s="68">
        <f t="shared" si="167"/>
        <v>166.59</v>
      </c>
      <c r="CC208" s="68" t="e">
        <f t="shared" si="168"/>
        <v>#DIV/0!</v>
      </c>
      <c r="CD208" s="75" t="e">
        <f t="shared" si="197"/>
        <v>#DIV/0!</v>
      </c>
      <c r="CE208" s="68" t="e">
        <f>IF($I208="NA","NA",ROUND(#REF!*$CA208/$I208,2))</f>
        <v>#REF!</v>
      </c>
      <c r="CF208" s="75" t="e">
        <f t="shared" si="198"/>
        <v>#REF!</v>
      </c>
      <c r="CG208" s="68" t="e">
        <f t="shared" si="199"/>
        <v>#REF!</v>
      </c>
      <c r="CH208" s="4">
        <f t="shared" si="200"/>
        <v>227</v>
      </c>
      <c r="CI208" s="4">
        <f t="shared" si="201"/>
        <v>7808</v>
      </c>
      <c r="CJ208" s="4">
        <f t="shared" si="202"/>
        <v>7398</v>
      </c>
      <c r="CK208" s="142">
        <f>IF(ISNA(VLOOKUP($A208&amp;$AB208,'Days Exceptions'!$C$3:$I$7,6,FALSE)),ROUND(CH208/MAX(CJ208,(CI208*Min_Occ)),2),ROUND(CH208/VLOOKUP($A208&amp;$AB208,'Days Exceptions'!$C$3:$I$7,6,FALSE),2))</f>
        <v>0.03</v>
      </c>
      <c r="CL208" s="143" t="e">
        <f t="shared" si="169"/>
        <v>#REF!</v>
      </c>
      <c r="CM208" s="143" t="e">
        <f t="shared" si="170"/>
        <v>#REF!</v>
      </c>
      <c r="CN208" s="143">
        <f t="shared" si="171"/>
        <v>152.02000000000001</v>
      </c>
      <c r="CO208" s="37" t="s">
        <v>93</v>
      </c>
      <c r="CP208" s="37" t="s">
        <v>206</v>
      </c>
      <c r="CQ208" s="37" t="s">
        <v>1773</v>
      </c>
    </row>
    <row r="209" spans="1:92" x14ac:dyDescent="0.15">
      <c r="A209" s="130"/>
      <c r="B209" s="37"/>
      <c r="G209" s="82"/>
      <c r="H209" s="82"/>
      <c r="I209" s="72"/>
      <c r="J209" s="139"/>
      <c r="K209" s="140"/>
      <c r="L209" s="140"/>
      <c r="M209" s="140"/>
      <c r="N209" s="68"/>
      <c r="O209" s="68"/>
      <c r="P209" s="75"/>
      <c r="Q209" s="75"/>
      <c r="R209" s="75"/>
      <c r="S209" s="68"/>
      <c r="T209" s="75"/>
      <c r="U209" s="68"/>
      <c r="V209" s="68"/>
      <c r="W209" s="68"/>
      <c r="X209" s="68"/>
      <c r="Y209" s="68"/>
      <c r="Z209" s="75"/>
      <c r="AA209" s="141"/>
      <c r="AB209" s="141"/>
      <c r="AC209" s="4"/>
      <c r="AD209" s="4"/>
      <c r="AE209" s="4"/>
      <c r="AF209" s="142"/>
      <c r="AG209" s="68"/>
      <c r="AH209" s="68"/>
      <c r="AI209" s="4"/>
      <c r="AJ209" s="4"/>
      <c r="AK209" s="68"/>
      <c r="AL209" s="75"/>
      <c r="AM209" s="68"/>
      <c r="AN209" s="68"/>
      <c r="AO209" s="68"/>
      <c r="AP209" s="37"/>
      <c r="AQ209" s="37"/>
      <c r="AR209" s="37"/>
      <c r="AS209" s="66"/>
      <c r="AT209" s="68"/>
      <c r="AU209" s="68"/>
      <c r="AV209" s="75"/>
      <c r="AW209" s="68"/>
      <c r="AX209" s="75"/>
      <c r="AY209" s="68"/>
      <c r="AZ209" s="4"/>
      <c r="BA209" s="4"/>
      <c r="BB209" s="4"/>
      <c r="BC209" s="142"/>
      <c r="BD209" s="143"/>
      <c r="BE209" s="68"/>
      <c r="BF209" s="68"/>
      <c r="BJ209" s="66"/>
      <c r="BK209" s="68"/>
      <c r="BL209" s="68"/>
      <c r="BM209" s="75"/>
      <c r="BN209" s="68"/>
      <c r="BO209" s="75"/>
      <c r="BP209" s="68"/>
      <c r="BQ209" s="4"/>
      <c r="BR209" s="4"/>
      <c r="BS209" s="4"/>
      <c r="BT209" s="142"/>
      <c r="BU209" s="143"/>
      <c r="BV209" s="68"/>
      <c r="BW209" s="68"/>
      <c r="CA209" s="66"/>
      <c r="CB209" s="68"/>
      <c r="CC209" s="68"/>
      <c r="CD209" s="75"/>
      <c r="CE209" s="68"/>
      <c r="CF209" s="75"/>
      <c r="CG209" s="68"/>
      <c r="CH209" s="4"/>
      <c r="CI209" s="4"/>
      <c r="CJ209" s="4"/>
      <c r="CK209" s="142"/>
      <c r="CL209" s="143"/>
      <c r="CM209" s="68"/>
      <c r="CN209" s="68"/>
    </row>
    <row r="210" spans="1:92" x14ac:dyDescent="0.15">
      <c r="A210" s="130"/>
      <c r="B210" s="37"/>
      <c r="G210" s="82"/>
      <c r="H210" s="82"/>
      <c r="I210" s="72"/>
      <c r="J210" s="139"/>
      <c r="K210" s="140"/>
      <c r="L210" s="140"/>
      <c r="M210" s="140"/>
      <c r="N210" s="68"/>
      <c r="O210" s="68"/>
      <c r="P210" s="75"/>
      <c r="Q210" s="75"/>
      <c r="R210" s="75"/>
      <c r="S210" s="68"/>
      <c r="T210" s="75"/>
      <c r="U210" s="68"/>
      <c r="V210" s="68"/>
      <c r="W210" s="68"/>
      <c r="X210" s="68"/>
      <c r="Y210" s="68"/>
      <c r="Z210" s="75"/>
      <c r="AA210" s="141"/>
      <c r="AB210" s="141"/>
      <c r="AC210" s="4"/>
      <c r="AD210" s="4"/>
      <c r="AE210" s="4"/>
      <c r="AF210" s="142"/>
      <c r="AG210" s="68"/>
      <c r="AH210" s="68"/>
      <c r="AI210" s="4"/>
      <c r="AJ210" s="4"/>
      <c r="AK210" s="68"/>
      <c r="AL210" s="75"/>
      <c r="AM210" s="68"/>
      <c r="AN210" s="68"/>
      <c r="AO210" s="68"/>
      <c r="AP210" s="37"/>
      <c r="AQ210" s="37"/>
      <c r="AR210" s="37"/>
      <c r="AS210" s="66"/>
      <c r="AT210" s="68"/>
      <c r="AU210" s="68"/>
      <c r="AV210" s="75"/>
      <c r="AW210" s="68"/>
      <c r="AX210" s="75"/>
      <c r="AY210" s="68"/>
      <c r="AZ210" s="4"/>
      <c r="BA210" s="4"/>
      <c r="BB210" s="4"/>
      <c r="BC210" s="142"/>
      <c r="BD210" s="143"/>
      <c r="BE210" s="68"/>
      <c r="BF210" s="68"/>
      <c r="BJ210" s="66"/>
      <c r="BK210" s="68"/>
      <c r="BL210" s="68"/>
      <c r="BM210" s="75"/>
      <c r="BN210" s="68"/>
      <c r="BO210" s="75"/>
      <c r="BP210" s="68"/>
      <c r="BQ210" s="4"/>
      <c r="BR210" s="4"/>
      <c r="BS210" s="4"/>
      <c r="BT210" s="142"/>
      <c r="BU210" s="143"/>
      <c r="BV210" s="68"/>
      <c r="BW210" s="68"/>
      <c r="CA210" s="66"/>
      <c r="CB210" s="68"/>
      <c r="CC210" s="68"/>
      <c r="CD210" s="75"/>
      <c r="CE210" s="68"/>
      <c r="CF210" s="75"/>
      <c r="CG210" s="68"/>
      <c r="CH210" s="4"/>
      <c r="CI210" s="4"/>
      <c r="CJ210" s="4"/>
      <c r="CK210" s="142"/>
      <c r="CL210" s="143"/>
      <c r="CM210" s="68"/>
      <c r="CN210" s="68"/>
    </row>
    <row r="211" spans="1:92" x14ac:dyDescent="0.15">
      <c r="A211" s="130"/>
      <c r="B211" s="37"/>
      <c r="G211" s="82"/>
      <c r="H211" s="82"/>
      <c r="I211" s="72"/>
      <c r="J211" s="139"/>
      <c r="K211" s="140"/>
      <c r="L211" s="140"/>
      <c r="M211" s="140"/>
      <c r="N211" s="68"/>
      <c r="O211" s="68"/>
      <c r="P211" s="75"/>
      <c r="Q211" s="75"/>
      <c r="R211" s="75"/>
      <c r="S211" s="68"/>
      <c r="T211" s="75"/>
      <c r="U211" s="68"/>
      <c r="V211" s="68"/>
      <c r="W211" s="68"/>
      <c r="X211" s="68"/>
      <c r="Y211" s="68"/>
      <c r="Z211" s="75"/>
      <c r="AA211" s="141"/>
      <c r="AB211" s="141"/>
      <c r="AC211" s="4"/>
      <c r="AD211" s="4"/>
      <c r="AE211" s="4"/>
      <c r="AF211" s="142"/>
      <c r="AG211" s="68"/>
      <c r="AH211" s="68"/>
      <c r="AI211" s="4"/>
      <c r="AJ211" s="4"/>
      <c r="AK211" s="68"/>
      <c r="AL211" s="75"/>
      <c r="AM211" s="68"/>
      <c r="AN211" s="68"/>
      <c r="AO211" s="68"/>
      <c r="AQ211" s="37"/>
      <c r="AR211" s="37"/>
      <c r="AS211" s="66"/>
      <c r="AT211" s="68"/>
      <c r="AU211" s="68"/>
      <c r="AV211" s="75"/>
      <c r="AW211" s="68"/>
      <c r="AX211" s="75"/>
      <c r="AY211" s="68"/>
      <c r="AZ211" s="4"/>
      <c r="BA211" s="4"/>
      <c r="BB211" s="4"/>
      <c r="BC211" s="142"/>
      <c r="BD211" s="143"/>
      <c r="BE211" s="68"/>
      <c r="BF211" s="68"/>
      <c r="BJ211" s="66"/>
      <c r="BK211" s="68"/>
      <c r="BL211" s="68"/>
      <c r="BM211" s="75"/>
      <c r="BN211" s="68"/>
      <c r="BO211" s="75"/>
      <c r="BP211" s="68"/>
      <c r="BQ211" s="4"/>
      <c r="BR211" s="4"/>
      <c r="BS211" s="4"/>
      <c r="BT211" s="142"/>
      <c r="BU211" s="143"/>
      <c r="BV211" s="68"/>
      <c r="BW211" s="68"/>
      <c r="CA211" s="66"/>
      <c r="CB211" s="68"/>
      <c r="CC211" s="68"/>
      <c r="CD211" s="75"/>
      <c r="CE211" s="68"/>
      <c r="CF211" s="75"/>
      <c r="CG211" s="68"/>
      <c r="CH211" s="4"/>
      <c r="CI211" s="4"/>
      <c r="CJ211" s="4"/>
      <c r="CK211" s="142"/>
      <c r="CL211" s="143"/>
      <c r="CM211" s="68"/>
      <c r="CN211" s="68"/>
    </row>
    <row r="212" spans="1:92" x14ac:dyDescent="0.15">
      <c r="G212" s="5"/>
      <c r="H212" s="5"/>
      <c r="S212" s="68"/>
      <c r="AK212" s="4"/>
      <c r="AL212" s="4"/>
      <c r="AN212" s="1"/>
      <c r="AQ212" s="89"/>
    </row>
    <row r="213" spans="1:92" x14ac:dyDescent="0.15">
      <c r="G213" s="5"/>
      <c r="H213" s="5"/>
      <c r="S213" s="68"/>
      <c r="AK213" s="4"/>
      <c r="AL213" s="4"/>
      <c r="AN213" s="1"/>
      <c r="AQ213" s="89"/>
    </row>
    <row r="214" spans="1:92" x14ac:dyDescent="0.15">
      <c r="G214" s="5"/>
      <c r="H214" s="5"/>
      <c r="S214" s="68"/>
      <c r="AK214" s="4"/>
      <c r="AL214" s="4"/>
      <c r="AN214" s="1"/>
      <c r="AQ214" s="89"/>
    </row>
    <row r="215" spans="1:92" x14ac:dyDescent="0.15">
      <c r="G215" s="5"/>
      <c r="H215" s="5"/>
      <c r="S215" s="68"/>
      <c r="AK215" s="4"/>
      <c r="AL215" s="4"/>
      <c r="AN215" s="1"/>
      <c r="AQ215" s="89"/>
    </row>
    <row r="216" spans="1:92" x14ac:dyDescent="0.15">
      <c r="A216" s="37"/>
      <c r="G216" s="5"/>
      <c r="H216" s="5"/>
      <c r="S216" s="68"/>
      <c r="AK216" s="4"/>
      <c r="AL216" s="4"/>
      <c r="AN216" s="1"/>
      <c r="AQ216" s="89"/>
    </row>
    <row r="217" spans="1:92" x14ac:dyDescent="0.15">
      <c r="A217" s="37"/>
      <c r="G217" s="5"/>
      <c r="H217" s="5"/>
      <c r="S217" s="68"/>
      <c r="AK217" s="4"/>
      <c r="AL217" s="4"/>
      <c r="AN217" s="1"/>
      <c r="AQ217" s="89"/>
    </row>
    <row r="218" spans="1:92" x14ac:dyDescent="0.15">
      <c r="A218" s="37"/>
      <c r="G218" s="5"/>
      <c r="H218" s="5"/>
      <c r="S218" s="68"/>
      <c r="AK218" s="4"/>
      <c r="AL218" s="4"/>
      <c r="AN218" s="1"/>
      <c r="AQ218" s="89"/>
    </row>
    <row r="219" spans="1:92" x14ac:dyDescent="0.15">
      <c r="G219" s="5"/>
      <c r="H219" s="5"/>
      <c r="S219" s="68"/>
      <c r="AK219" s="4"/>
      <c r="AL219" s="4"/>
      <c r="AN219" s="1"/>
      <c r="AQ219" s="89"/>
    </row>
    <row r="220" spans="1:92" x14ac:dyDescent="0.15">
      <c r="G220" s="5"/>
      <c r="H220" s="5"/>
      <c r="P220" s="68"/>
      <c r="Q220" s="68"/>
      <c r="R220" s="68"/>
      <c r="AK220" s="4"/>
      <c r="AL220" s="4"/>
    </row>
    <row r="221" spans="1:92" x14ac:dyDescent="0.15">
      <c r="G221" s="5"/>
      <c r="H221" s="5"/>
      <c r="P221" s="68"/>
      <c r="Q221" s="68"/>
      <c r="R221" s="68"/>
      <c r="AK221" s="4"/>
      <c r="AL221" s="4"/>
    </row>
    <row r="222" spans="1:92" x14ac:dyDescent="0.15">
      <c r="G222" s="5"/>
      <c r="H222" s="5"/>
      <c r="P222" s="68"/>
      <c r="Q222" s="68"/>
      <c r="R222" s="68"/>
      <c r="AK222" s="4"/>
      <c r="AL222" s="4"/>
    </row>
    <row r="223" spans="1:92" x14ac:dyDescent="0.15">
      <c r="G223" s="5"/>
      <c r="H223" s="5"/>
      <c r="P223" s="68"/>
      <c r="Q223" s="68"/>
      <c r="R223" s="68"/>
      <c r="AK223" s="4"/>
      <c r="AL223" s="4"/>
    </row>
    <row r="224" spans="1:92" x14ac:dyDescent="0.15">
      <c r="A224" s="37"/>
      <c r="G224" s="5"/>
      <c r="H224" s="5"/>
      <c r="P224" s="68"/>
      <c r="Q224" s="68"/>
      <c r="R224" s="68"/>
      <c r="AK224" s="4"/>
      <c r="AL224" s="4"/>
    </row>
    <row r="225" spans="7:38" x14ac:dyDescent="0.15">
      <c r="G225" s="5"/>
      <c r="H225" s="5"/>
      <c r="P225" s="68"/>
      <c r="Q225" s="68"/>
      <c r="R225" s="68"/>
      <c r="AK225" s="4"/>
      <c r="AL225" s="4"/>
    </row>
    <row r="226" spans="7:38" x14ac:dyDescent="0.15">
      <c r="P226" s="68"/>
      <c r="Q226" s="68"/>
      <c r="R226" s="68"/>
      <c r="AK226" s="4"/>
      <c r="AL226" s="4"/>
    </row>
    <row r="227" spans="7:38" x14ac:dyDescent="0.15">
      <c r="P227" s="68"/>
      <c r="Q227" s="68"/>
      <c r="R227" s="68"/>
      <c r="AK227" s="4"/>
      <c r="AL227" s="4"/>
    </row>
    <row r="228" spans="7:38" x14ac:dyDescent="0.15">
      <c r="P228" s="68"/>
      <c r="Q228" s="68"/>
      <c r="R228" s="68"/>
      <c r="AK228" s="4"/>
      <c r="AL228" s="4"/>
    </row>
    <row r="229" spans="7:38" x14ac:dyDescent="0.15">
      <c r="P229" s="68"/>
      <c r="Q229" s="68"/>
      <c r="R229" s="68"/>
      <c r="AK229" s="4"/>
      <c r="AL229" s="4"/>
    </row>
    <row r="230" spans="7:38" x14ac:dyDescent="0.15">
      <c r="P230" s="68"/>
      <c r="Q230" s="68"/>
      <c r="R230" s="68"/>
      <c r="AK230" s="4"/>
      <c r="AL230" s="4"/>
    </row>
    <row r="231" spans="7:38" x14ac:dyDescent="0.15">
      <c r="P231" s="68"/>
      <c r="Q231" s="68"/>
      <c r="R231" s="68"/>
      <c r="AK231" s="4"/>
      <c r="AL231" s="4"/>
    </row>
    <row r="232" spans="7:38" x14ac:dyDescent="0.15">
      <c r="P232" s="68"/>
      <c r="Q232" s="68"/>
      <c r="R232" s="68"/>
      <c r="AK232" s="4"/>
      <c r="AL232" s="4"/>
    </row>
    <row r="233" spans="7:38" x14ac:dyDescent="0.15">
      <c r="P233" s="68"/>
      <c r="Q233" s="68"/>
      <c r="R233" s="68"/>
      <c r="AK233" s="4"/>
      <c r="AL233" s="4"/>
    </row>
    <row r="234" spans="7:38" x14ac:dyDescent="0.15">
      <c r="P234" s="68"/>
      <c r="Q234" s="68"/>
      <c r="R234" s="68"/>
      <c r="AK234" s="4"/>
      <c r="AL234" s="4"/>
    </row>
    <row r="235" spans="7:38" x14ac:dyDescent="0.15">
      <c r="P235" s="68"/>
      <c r="Q235" s="68"/>
      <c r="R235" s="68"/>
      <c r="AK235" s="4"/>
      <c r="AL235" s="4"/>
    </row>
    <row r="236" spans="7:38" x14ac:dyDescent="0.15">
      <c r="P236" s="68"/>
      <c r="Q236" s="68"/>
      <c r="R236" s="68"/>
      <c r="AK236" s="4"/>
      <c r="AL236" s="4"/>
    </row>
    <row r="237" spans="7:38" x14ac:dyDescent="0.15">
      <c r="P237" s="68"/>
      <c r="Q237" s="68"/>
      <c r="R237" s="68"/>
      <c r="AK237" s="4"/>
      <c r="AL237" s="4"/>
    </row>
    <row r="238" spans="7:38" x14ac:dyDescent="0.15">
      <c r="P238" s="68"/>
      <c r="Q238" s="68"/>
      <c r="R238" s="68"/>
      <c r="AK238" s="4"/>
      <c r="AL238" s="4"/>
    </row>
    <row r="239" spans="7:38" x14ac:dyDescent="0.15">
      <c r="P239" s="68"/>
      <c r="Q239" s="68"/>
      <c r="R239" s="68"/>
      <c r="AK239" s="4"/>
      <c r="AL239" s="4"/>
    </row>
    <row r="240" spans="7:38" x14ac:dyDescent="0.15">
      <c r="P240" s="68"/>
      <c r="Q240" s="68"/>
      <c r="R240" s="68"/>
      <c r="AK240" s="4"/>
      <c r="AL240" s="4"/>
    </row>
    <row r="241" spans="16:38" x14ac:dyDescent="0.15">
      <c r="P241" s="68"/>
      <c r="Q241" s="68"/>
      <c r="R241" s="68"/>
      <c r="AK241" s="4"/>
      <c r="AL241" s="4"/>
    </row>
    <row r="242" spans="16:38" x14ac:dyDescent="0.15">
      <c r="P242" s="68"/>
      <c r="Q242" s="68"/>
      <c r="R242" s="68"/>
      <c r="AK242" s="4"/>
      <c r="AL242" s="4"/>
    </row>
    <row r="243" spans="16:38" x14ac:dyDescent="0.15">
      <c r="P243" s="68"/>
      <c r="Q243" s="68"/>
      <c r="R243" s="68"/>
      <c r="AK243" s="4"/>
      <c r="AL243" s="4"/>
    </row>
    <row r="244" spans="16:38" x14ac:dyDescent="0.15">
      <c r="P244" s="68"/>
      <c r="Q244" s="68"/>
      <c r="R244" s="68"/>
      <c r="AK244" s="4"/>
      <c r="AL244" s="4"/>
    </row>
    <row r="245" spans="16:38" x14ac:dyDescent="0.15">
      <c r="P245" s="68"/>
      <c r="Q245" s="68"/>
      <c r="R245" s="68"/>
      <c r="AK245" s="4"/>
      <c r="AL245" s="4"/>
    </row>
    <row r="246" spans="16:38" x14ac:dyDescent="0.15">
      <c r="P246" s="68"/>
      <c r="Q246" s="68"/>
      <c r="R246" s="68"/>
      <c r="AK246" s="4"/>
      <c r="AL246" s="4"/>
    </row>
    <row r="247" spans="16:38" x14ac:dyDescent="0.15">
      <c r="P247" s="68"/>
      <c r="Q247" s="68"/>
      <c r="R247" s="68"/>
      <c r="AK247" s="4"/>
      <c r="AL247" s="4"/>
    </row>
    <row r="248" spans="16:38" x14ac:dyDescent="0.15">
      <c r="P248" s="68"/>
      <c r="Q248" s="68"/>
      <c r="R248" s="68"/>
      <c r="AK248" s="4"/>
      <c r="AL248" s="4"/>
    </row>
    <row r="249" spans="16:38" x14ac:dyDescent="0.15">
      <c r="P249" s="68"/>
      <c r="Q249" s="68"/>
      <c r="R249" s="68"/>
      <c r="AK249" s="4"/>
      <c r="AL249" s="4"/>
    </row>
    <row r="250" spans="16:38" x14ac:dyDescent="0.15">
      <c r="P250" s="68"/>
      <c r="Q250" s="68"/>
      <c r="R250" s="68"/>
      <c r="AK250" s="4"/>
      <c r="AL250" s="4"/>
    </row>
    <row r="251" spans="16:38" x14ac:dyDescent="0.15">
      <c r="P251" s="68"/>
      <c r="Q251" s="68"/>
      <c r="R251" s="68"/>
      <c r="AK251" s="4"/>
      <c r="AL251" s="4"/>
    </row>
    <row r="252" spans="16:38" x14ac:dyDescent="0.15">
      <c r="P252" s="68"/>
      <c r="Q252" s="68"/>
      <c r="R252" s="68"/>
      <c r="AK252" s="4"/>
      <c r="AL252" s="4"/>
    </row>
    <row r="253" spans="16:38" x14ac:dyDescent="0.15">
      <c r="P253" s="68"/>
      <c r="Q253" s="68"/>
      <c r="R253" s="68"/>
      <c r="AK253" s="4"/>
      <c r="AL253" s="4"/>
    </row>
    <row r="254" spans="16:38" x14ac:dyDescent="0.15">
      <c r="P254" s="68"/>
      <c r="Q254" s="68"/>
      <c r="R254" s="68"/>
      <c r="AK254" s="4"/>
      <c r="AL254" s="4"/>
    </row>
    <row r="255" spans="16:38" x14ac:dyDescent="0.15">
      <c r="P255" s="68"/>
      <c r="Q255" s="68"/>
      <c r="R255" s="68"/>
      <c r="AK255" s="4"/>
      <c r="AL255" s="4"/>
    </row>
    <row r="256" spans="16:38" x14ac:dyDescent="0.15">
      <c r="P256" s="68"/>
      <c r="Q256" s="68"/>
      <c r="R256" s="68"/>
      <c r="AK256" s="4"/>
      <c r="AL256" s="4"/>
    </row>
    <row r="257" spans="16:38" x14ac:dyDescent="0.15">
      <c r="P257" s="68"/>
      <c r="Q257" s="68"/>
      <c r="R257" s="68"/>
      <c r="AK257" s="4"/>
      <c r="AL257" s="4"/>
    </row>
    <row r="258" spans="16:38" x14ac:dyDescent="0.15">
      <c r="P258" s="68"/>
      <c r="Q258" s="68"/>
      <c r="R258" s="68"/>
      <c r="AK258" s="4"/>
      <c r="AL258" s="4"/>
    </row>
    <row r="259" spans="16:38" x14ac:dyDescent="0.15">
      <c r="P259" s="68"/>
      <c r="Q259" s="68"/>
      <c r="R259" s="68"/>
      <c r="AK259" s="4"/>
      <c r="AL259" s="4"/>
    </row>
    <row r="260" spans="16:38" x14ac:dyDescent="0.15">
      <c r="P260" s="68"/>
      <c r="Q260" s="68"/>
      <c r="R260" s="68"/>
      <c r="AK260" s="4"/>
      <c r="AL260" s="4"/>
    </row>
    <row r="261" spans="16:38" x14ac:dyDescent="0.15">
      <c r="P261" s="68"/>
      <c r="Q261" s="68"/>
      <c r="R261" s="68"/>
      <c r="AK261" s="4"/>
      <c r="AL261" s="4"/>
    </row>
    <row r="262" spans="16:38" x14ac:dyDescent="0.15">
      <c r="P262" s="68"/>
      <c r="Q262" s="68"/>
      <c r="R262" s="68"/>
      <c r="AK262" s="4"/>
      <c r="AL262" s="4"/>
    </row>
    <row r="263" spans="16:38" x14ac:dyDescent="0.15">
      <c r="P263" s="68"/>
      <c r="Q263" s="68"/>
      <c r="R263" s="68"/>
      <c r="AK263" s="4"/>
      <c r="AL263" s="4"/>
    </row>
    <row r="264" spans="16:38" x14ac:dyDescent="0.15">
      <c r="P264" s="68"/>
      <c r="Q264" s="68"/>
      <c r="R264" s="68"/>
      <c r="AK264" s="4"/>
      <c r="AL264" s="4"/>
    </row>
    <row r="265" spans="16:38" x14ac:dyDescent="0.15">
      <c r="P265" s="68"/>
      <c r="Q265" s="68"/>
      <c r="R265" s="68"/>
      <c r="AK265" s="4"/>
      <c r="AL265" s="4"/>
    </row>
    <row r="266" spans="16:38" x14ac:dyDescent="0.15">
      <c r="P266" s="68"/>
      <c r="Q266" s="68"/>
      <c r="R266" s="68"/>
      <c r="AK266" s="4"/>
      <c r="AL266" s="4"/>
    </row>
    <row r="267" spans="16:38" x14ac:dyDescent="0.15">
      <c r="P267" s="68"/>
      <c r="Q267" s="68"/>
      <c r="R267" s="68"/>
      <c r="AK267" s="4"/>
      <c r="AL267" s="4"/>
    </row>
    <row r="268" spans="16:38" x14ac:dyDescent="0.15">
      <c r="P268" s="68"/>
      <c r="Q268" s="68"/>
      <c r="R268" s="68"/>
      <c r="AK268" s="4"/>
      <c r="AL268" s="4"/>
    </row>
    <row r="269" spans="16:38" x14ac:dyDescent="0.15">
      <c r="P269" s="68"/>
      <c r="Q269" s="68"/>
      <c r="R269" s="68"/>
      <c r="AK269" s="4"/>
      <c r="AL269" s="4"/>
    </row>
    <row r="270" spans="16:38" x14ac:dyDescent="0.15">
      <c r="P270" s="68"/>
      <c r="Q270" s="68"/>
      <c r="R270" s="68"/>
      <c r="AK270" s="4"/>
      <c r="AL270" s="4"/>
    </row>
    <row r="271" spans="16:38" x14ac:dyDescent="0.15">
      <c r="P271" s="68"/>
      <c r="Q271" s="68"/>
      <c r="R271" s="68"/>
      <c r="AK271" s="4"/>
      <c r="AL271" s="4"/>
    </row>
    <row r="272" spans="16:38" x14ac:dyDescent="0.15">
      <c r="P272" s="68"/>
      <c r="Q272" s="68"/>
      <c r="R272" s="68"/>
      <c r="AK272" s="4"/>
      <c r="AL272" s="4"/>
    </row>
    <row r="273" spans="16:38" x14ac:dyDescent="0.15">
      <c r="P273" s="68"/>
      <c r="Q273" s="68"/>
      <c r="R273" s="68"/>
      <c r="AK273" s="4"/>
      <c r="AL273" s="4"/>
    </row>
    <row r="274" spans="16:38" x14ac:dyDescent="0.15">
      <c r="P274" s="68"/>
      <c r="Q274" s="68"/>
      <c r="R274" s="68"/>
      <c r="AK274" s="4"/>
      <c r="AL274" s="4"/>
    </row>
    <row r="275" spans="16:38" x14ac:dyDescent="0.15">
      <c r="P275" s="68"/>
      <c r="Q275" s="68"/>
      <c r="R275" s="68"/>
      <c r="AK275" s="4"/>
      <c r="AL275" s="4"/>
    </row>
    <row r="276" spans="16:38" x14ac:dyDescent="0.15">
      <c r="P276" s="68"/>
      <c r="Q276" s="68"/>
      <c r="R276" s="68"/>
      <c r="AK276" s="4"/>
      <c r="AL276" s="4"/>
    </row>
    <row r="277" spans="16:38" x14ac:dyDescent="0.15">
      <c r="P277" s="68"/>
      <c r="Q277" s="68"/>
      <c r="R277" s="68"/>
      <c r="AK277" s="4"/>
      <c r="AL277" s="4"/>
    </row>
    <row r="278" spans="16:38" x14ac:dyDescent="0.15">
      <c r="P278" s="68"/>
      <c r="Q278" s="68"/>
      <c r="R278" s="68"/>
      <c r="AK278" s="4"/>
      <c r="AL278" s="4"/>
    </row>
    <row r="279" spans="16:38" x14ac:dyDescent="0.15">
      <c r="P279" s="68"/>
      <c r="Q279" s="68"/>
      <c r="R279" s="68"/>
      <c r="AK279" s="4"/>
      <c r="AL279" s="4"/>
    </row>
    <row r="280" spans="16:38" x14ac:dyDescent="0.15">
      <c r="P280" s="68"/>
      <c r="Q280" s="68"/>
      <c r="R280" s="68"/>
      <c r="AK280" s="4"/>
      <c r="AL280" s="4"/>
    </row>
    <row r="281" spans="16:38" x14ac:dyDescent="0.15">
      <c r="P281" s="68"/>
      <c r="Q281" s="68"/>
      <c r="R281" s="68"/>
      <c r="AK281" s="4"/>
      <c r="AL281" s="4"/>
    </row>
    <row r="282" spans="16:38" x14ac:dyDescent="0.15">
      <c r="P282" s="68"/>
      <c r="Q282" s="68"/>
      <c r="R282" s="68"/>
      <c r="AK282" s="4"/>
      <c r="AL282" s="4"/>
    </row>
    <row r="283" spans="16:38" x14ac:dyDescent="0.15">
      <c r="P283" s="68"/>
      <c r="Q283" s="68"/>
      <c r="R283" s="68"/>
      <c r="AK283" s="4"/>
      <c r="AL283" s="4"/>
    </row>
    <row r="284" spans="16:38" x14ac:dyDescent="0.15">
      <c r="P284" s="68"/>
      <c r="Q284" s="68"/>
      <c r="R284" s="68"/>
      <c r="AK284" s="4"/>
      <c r="AL284" s="4"/>
    </row>
    <row r="285" spans="16:38" x14ac:dyDescent="0.15">
      <c r="P285" s="68"/>
      <c r="Q285" s="68"/>
      <c r="R285" s="68"/>
      <c r="AK285" s="4"/>
      <c r="AL285" s="4"/>
    </row>
    <row r="286" spans="16:38" x14ac:dyDescent="0.15">
      <c r="P286" s="68"/>
      <c r="Q286" s="68"/>
      <c r="R286" s="68"/>
      <c r="AK286" s="4"/>
      <c r="AL286" s="4"/>
    </row>
    <row r="287" spans="16:38" x14ac:dyDescent="0.15">
      <c r="P287" s="68"/>
      <c r="Q287" s="68"/>
      <c r="R287" s="68"/>
      <c r="AK287" s="4"/>
      <c r="AL287" s="4"/>
    </row>
    <row r="288" spans="16:38" x14ac:dyDescent="0.15">
      <c r="P288" s="68"/>
      <c r="Q288" s="68"/>
      <c r="R288" s="68"/>
      <c r="AK288" s="4"/>
      <c r="AL288" s="4"/>
    </row>
    <row r="289" spans="16:38" x14ac:dyDescent="0.15">
      <c r="P289" s="68"/>
      <c r="Q289" s="68"/>
      <c r="R289" s="68"/>
      <c r="AK289" s="4"/>
      <c r="AL289" s="4"/>
    </row>
    <row r="290" spans="16:38" x14ac:dyDescent="0.15">
      <c r="P290" s="68"/>
      <c r="Q290" s="68"/>
      <c r="R290" s="68"/>
      <c r="AK290" s="4"/>
      <c r="AL290" s="4"/>
    </row>
    <row r="291" spans="16:38" x14ac:dyDescent="0.15">
      <c r="P291" s="68"/>
      <c r="Q291" s="68"/>
      <c r="R291" s="68"/>
      <c r="AK291" s="4"/>
      <c r="AL291" s="4"/>
    </row>
    <row r="292" spans="16:38" x14ac:dyDescent="0.15">
      <c r="P292" s="68"/>
      <c r="Q292" s="68"/>
      <c r="R292" s="68"/>
      <c r="AK292" s="4"/>
      <c r="AL292" s="4"/>
    </row>
    <row r="293" spans="16:38" x14ac:dyDescent="0.15">
      <c r="P293" s="68"/>
      <c r="Q293" s="68"/>
      <c r="R293" s="68"/>
      <c r="AK293" s="4"/>
      <c r="AL293" s="4"/>
    </row>
    <row r="294" spans="16:38" x14ac:dyDescent="0.15">
      <c r="P294" s="68"/>
      <c r="Q294" s="68"/>
      <c r="R294" s="68"/>
      <c r="AK294" s="4"/>
      <c r="AL294" s="4"/>
    </row>
    <row r="295" spans="16:38" x14ac:dyDescent="0.15">
      <c r="P295" s="68"/>
      <c r="Q295" s="68"/>
      <c r="R295" s="68"/>
      <c r="AK295" s="4"/>
      <c r="AL295" s="4"/>
    </row>
    <row r="296" spans="16:38" x14ac:dyDescent="0.15">
      <c r="P296" s="68"/>
      <c r="Q296" s="68"/>
      <c r="R296" s="68"/>
      <c r="AK296" s="4"/>
      <c r="AL296" s="4"/>
    </row>
    <row r="297" spans="16:38" x14ac:dyDescent="0.15">
      <c r="P297" s="68"/>
      <c r="Q297" s="68"/>
      <c r="R297" s="68"/>
      <c r="AK297" s="4"/>
      <c r="AL297" s="4"/>
    </row>
    <row r="298" spans="16:38" x14ac:dyDescent="0.15">
      <c r="P298" s="68"/>
      <c r="Q298" s="68"/>
      <c r="R298" s="68"/>
      <c r="AK298" s="4"/>
      <c r="AL298" s="4"/>
    </row>
    <row r="299" spans="16:38" x14ac:dyDescent="0.15">
      <c r="P299" s="68"/>
      <c r="Q299" s="68"/>
      <c r="R299" s="68"/>
      <c r="AK299" s="4"/>
      <c r="AL299" s="4"/>
    </row>
    <row r="300" spans="16:38" x14ac:dyDescent="0.15">
      <c r="P300" s="68"/>
      <c r="Q300" s="68"/>
      <c r="R300" s="68"/>
      <c r="AK300" s="4"/>
      <c r="AL300" s="4"/>
    </row>
    <row r="301" spans="16:38" x14ac:dyDescent="0.15">
      <c r="P301" s="68"/>
      <c r="Q301" s="68"/>
      <c r="R301" s="68"/>
      <c r="AK301" s="4"/>
      <c r="AL301" s="4"/>
    </row>
    <row r="302" spans="16:38" x14ac:dyDescent="0.15">
      <c r="P302" s="68"/>
      <c r="Q302" s="68"/>
      <c r="R302" s="68"/>
      <c r="AK302" s="4"/>
      <c r="AL302" s="4"/>
    </row>
    <row r="303" spans="16:38" x14ac:dyDescent="0.15">
      <c r="P303" s="68"/>
      <c r="Q303" s="68"/>
      <c r="R303" s="68"/>
      <c r="AK303" s="4"/>
      <c r="AL303" s="4"/>
    </row>
    <row r="304" spans="16:38" x14ac:dyDescent="0.15">
      <c r="P304" s="68"/>
      <c r="Q304" s="68"/>
      <c r="R304" s="68"/>
      <c r="AK304" s="4"/>
      <c r="AL304" s="4"/>
    </row>
    <row r="305" spans="16:38" x14ac:dyDescent="0.15">
      <c r="P305" s="68"/>
      <c r="Q305" s="68"/>
      <c r="R305" s="68"/>
      <c r="AK305" s="4"/>
      <c r="AL305" s="4"/>
    </row>
    <row r="306" spans="16:38" x14ac:dyDescent="0.15">
      <c r="P306" s="68"/>
      <c r="Q306" s="68"/>
      <c r="R306" s="68"/>
      <c r="AK306" s="4"/>
      <c r="AL306" s="4"/>
    </row>
    <row r="307" spans="16:38" x14ac:dyDescent="0.15">
      <c r="P307" s="68"/>
      <c r="Q307" s="68"/>
      <c r="R307" s="68"/>
      <c r="AK307" s="4"/>
      <c r="AL307" s="4"/>
    </row>
    <row r="308" spans="16:38" x14ac:dyDescent="0.15">
      <c r="P308" s="68"/>
      <c r="Q308" s="68"/>
      <c r="R308" s="68"/>
      <c r="AK308" s="4"/>
      <c r="AL308" s="4"/>
    </row>
    <row r="309" spans="16:38" x14ac:dyDescent="0.15">
      <c r="P309" s="68"/>
      <c r="Q309" s="68"/>
      <c r="R309" s="68"/>
      <c r="AK309" s="4"/>
      <c r="AL309" s="4"/>
    </row>
    <row r="310" spans="16:38" x14ac:dyDescent="0.15">
      <c r="P310" s="68"/>
      <c r="Q310" s="68"/>
      <c r="R310" s="68"/>
      <c r="AK310" s="4"/>
      <c r="AL310" s="4"/>
    </row>
    <row r="311" spans="16:38" x14ac:dyDescent="0.15">
      <c r="P311" s="68"/>
      <c r="Q311" s="68"/>
      <c r="R311" s="68"/>
      <c r="AK311" s="4"/>
      <c r="AL311" s="4"/>
    </row>
    <row r="312" spans="16:38" x14ac:dyDescent="0.15">
      <c r="P312" s="68"/>
      <c r="Q312" s="68"/>
      <c r="R312" s="68"/>
      <c r="AK312" s="4"/>
      <c r="AL312" s="4"/>
    </row>
    <row r="313" spans="16:38" x14ac:dyDescent="0.15">
      <c r="P313" s="68"/>
      <c r="Q313" s="68"/>
      <c r="R313" s="68"/>
      <c r="AK313" s="4"/>
      <c r="AL313" s="4"/>
    </row>
    <row r="314" spans="16:38" x14ac:dyDescent="0.15">
      <c r="P314" s="68"/>
      <c r="Q314" s="68"/>
      <c r="R314" s="68"/>
      <c r="AK314" s="4"/>
      <c r="AL314" s="4"/>
    </row>
    <row r="315" spans="16:38" x14ac:dyDescent="0.15">
      <c r="P315" s="68"/>
      <c r="Q315" s="68"/>
      <c r="R315" s="68"/>
      <c r="AK315" s="4"/>
      <c r="AL315" s="4"/>
    </row>
    <row r="316" spans="16:38" x14ac:dyDescent="0.15">
      <c r="P316" s="68"/>
      <c r="Q316" s="68"/>
      <c r="R316" s="68"/>
      <c r="AK316" s="4"/>
      <c r="AL316" s="4"/>
    </row>
    <row r="317" spans="16:38" x14ac:dyDescent="0.15">
      <c r="P317" s="68"/>
      <c r="Q317" s="68"/>
      <c r="R317" s="68"/>
      <c r="AK317" s="4"/>
      <c r="AL317" s="4"/>
    </row>
    <row r="318" spans="16:38" x14ac:dyDescent="0.15">
      <c r="P318" s="68"/>
      <c r="Q318" s="68"/>
      <c r="R318" s="68"/>
      <c r="AK318" s="4"/>
      <c r="AL318" s="4"/>
    </row>
    <row r="319" spans="16:38" x14ac:dyDescent="0.15">
      <c r="P319" s="68"/>
      <c r="Q319" s="68"/>
      <c r="R319" s="68"/>
      <c r="AK319" s="4"/>
      <c r="AL319" s="4"/>
    </row>
    <row r="320" spans="16:38" x14ac:dyDescent="0.15">
      <c r="P320" s="68"/>
      <c r="Q320" s="68"/>
      <c r="R320" s="68"/>
      <c r="AK320" s="4"/>
      <c r="AL320" s="4"/>
    </row>
    <row r="321" spans="16:38" x14ac:dyDescent="0.15">
      <c r="P321" s="68"/>
      <c r="Q321" s="68"/>
      <c r="R321" s="68"/>
      <c r="AK321" s="4"/>
      <c r="AL321" s="4"/>
    </row>
    <row r="322" spans="16:38" x14ac:dyDescent="0.15">
      <c r="P322" s="68"/>
      <c r="Q322" s="68"/>
      <c r="R322" s="68"/>
      <c r="AK322" s="4"/>
      <c r="AL322" s="4"/>
    </row>
    <row r="323" spans="16:38" x14ac:dyDescent="0.15">
      <c r="P323" s="68"/>
      <c r="Q323" s="68"/>
      <c r="R323" s="68"/>
      <c r="AK323" s="4"/>
      <c r="AL323" s="4"/>
    </row>
    <row r="324" spans="16:38" x14ac:dyDescent="0.15">
      <c r="P324" s="68"/>
      <c r="Q324" s="68"/>
      <c r="R324" s="68"/>
      <c r="AK324" s="4"/>
      <c r="AL324" s="4"/>
    </row>
    <row r="325" spans="16:38" x14ac:dyDescent="0.15">
      <c r="P325" s="68"/>
      <c r="Q325" s="68"/>
      <c r="R325" s="68"/>
      <c r="AK325" s="4"/>
      <c r="AL325" s="4"/>
    </row>
    <row r="326" spans="16:38" x14ac:dyDescent="0.15">
      <c r="P326" s="68"/>
      <c r="Q326" s="68"/>
      <c r="R326" s="68"/>
      <c r="AK326" s="4"/>
      <c r="AL326" s="4"/>
    </row>
    <row r="327" spans="16:38" x14ac:dyDescent="0.15">
      <c r="P327" s="68"/>
      <c r="Q327" s="68"/>
      <c r="R327" s="68"/>
      <c r="AK327" s="4"/>
      <c r="AL327" s="4"/>
    </row>
    <row r="328" spans="16:38" x14ac:dyDescent="0.15">
      <c r="P328" s="68"/>
      <c r="Q328" s="68"/>
      <c r="R328" s="68"/>
      <c r="AK328" s="4"/>
      <c r="AL328" s="4"/>
    </row>
    <row r="329" spans="16:38" x14ac:dyDescent="0.15">
      <c r="P329" s="68"/>
      <c r="Q329" s="68"/>
      <c r="R329" s="68"/>
      <c r="AK329" s="4"/>
      <c r="AL329" s="4"/>
    </row>
    <row r="330" spans="16:38" x14ac:dyDescent="0.15">
      <c r="P330" s="68"/>
      <c r="Q330" s="68"/>
      <c r="R330" s="68"/>
      <c r="AK330" s="4"/>
      <c r="AL330" s="4"/>
    </row>
    <row r="331" spans="16:38" x14ac:dyDescent="0.15">
      <c r="P331" s="68"/>
      <c r="Q331" s="68"/>
      <c r="R331" s="68"/>
      <c r="AK331" s="4"/>
      <c r="AL331" s="4"/>
    </row>
    <row r="332" spans="16:38" x14ac:dyDescent="0.15">
      <c r="P332" s="68"/>
      <c r="Q332" s="68"/>
      <c r="R332" s="68"/>
      <c r="AK332" s="4"/>
      <c r="AL332" s="4"/>
    </row>
    <row r="333" spans="16:38" x14ac:dyDescent="0.15">
      <c r="P333" s="68"/>
      <c r="Q333" s="68"/>
      <c r="R333" s="68"/>
      <c r="AK333" s="4"/>
      <c r="AL333" s="4"/>
    </row>
    <row r="334" spans="16:38" x14ac:dyDescent="0.15">
      <c r="P334" s="68"/>
      <c r="Q334" s="68"/>
      <c r="R334" s="68"/>
      <c r="AK334" s="4"/>
      <c r="AL334" s="4"/>
    </row>
    <row r="335" spans="16:38" x14ac:dyDescent="0.15">
      <c r="P335" s="68"/>
      <c r="Q335" s="68"/>
      <c r="R335" s="68"/>
      <c r="AK335" s="4"/>
      <c r="AL335" s="4"/>
    </row>
    <row r="336" spans="16:38" x14ac:dyDescent="0.15">
      <c r="P336" s="68"/>
      <c r="Q336" s="68"/>
      <c r="R336" s="68"/>
      <c r="AK336" s="4"/>
      <c r="AL336" s="4"/>
    </row>
    <row r="337" spans="16:38" x14ac:dyDescent="0.15">
      <c r="P337" s="68"/>
      <c r="Q337" s="68"/>
      <c r="R337" s="68"/>
      <c r="AK337" s="4"/>
      <c r="AL337" s="4"/>
    </row>
    <row r="338" spans="16:38" x14ac:dyDescent="0.15">
      <c r="P338" s="68"/>
      <c r="Q338" s="68"/>
      <c r="R338" s="68"/>
      <c r="AK338" s="4"/>
      <c r="AL338" s="4"/>
    </row>
    <row r="339" spans="16:38" x14ac:dyDescent="0.15">
      <c r="P339" s="68"/>
      <c r="Q339" s="68"/>
      <c r="R339" s="68"/>
      <c r="AK339" s="4"/>
      <c r="AL339" s="4"/>
    </row>
    <row r="340" spans="16:38" x14ac:dyDescent="0.15">
      <c r="P340" s="68"/>
      <c r="Q340" s="68"/>
      <c r="R340" s="68"/>
      <c r="AK340" s="4"/>
      <c r="AL340" s="4"/>
    </row>
    <row r="341" spans="16:38" x14ac:dyDescent="0.15">
      <c r="P341" s="68"/>
      <c r="Q341" s="68"/>
      <c r="R341" s="68"/>
      <c r="AK341" s="4"/>
      <c r="AL341" s="4"/>
    </row>
    <row r="342" spans="16:38" x14ac:dyDescent="0.15">
      <c r="P342" s="68"/>
      <c r="Q342" s="68"/>
      <c r="R342" s="68"/>
      <c r="AK342" s="4"/>
      <c r="AL342" s="4"/>
    </row>
    <row r="343" spans="16:38" x14ac:dyDescent="0.15">
      <c r="P343" s="68"/>
      <c r="Q343" s="68"/>
      <c r="R343" s="68"/>
      <c r="AK343" s="4"/>
      <c r="AL343" s="4"/>
    </row>
    <row r="344" spans="16:38" x14ac:dyDescent="0.15">
      <c r="P344" s="68"/>
      <c r="Q344" s="68"/>
      <c r="R344" s="68"/>
      <c r="AK344" s="4"/>
      <c r="AL344" s="4"/>
    </row>
    <row r="345" spans="16:38" x14ac:dyDescent="0.15">
      <c r="P345" s="68"/>
      <c r="Q345" s="68"/>
      <c r="R345" s="68"/>
      <c r="AK345" s="4"/>
      <c r="AL345" s="4"/>
    </row>
    <row r="346" spans="16:38" x14ac:dyDescent="0.15">
      <c r="P346" s="68"/>
      <c r="Q346" s="68"/>
      <c r="R346" s="68"/>
      <c r="AK346" s="4"/>
      <c r="AL346" s="4"/>
    </row>
    <row r="347" spans="16:38" x14ac:dyDescent="0.15">
      <c r="P347" s="68"/>
      <c r="Q347" s="68"/>
      <c r="R347" s="68"/>
      <c r="AK347" s="4"/>
      <c r="AL347" s="4"/>
    </row>
    <row r="348" spans="16:38" x14ac:dyDescent="0.15">
      <c r="P348" s="68"/>
      <c r="Q348" s="68"/>
      <c r="R348" s="68"/>
      <c r="AK348" s="4"/>
      <c r="AL348" s="4"/>
    </row>
    <row r="349" spans="16:38" x14ac:dyDescent="0.15">
      <c r="P349" s="68"/>
      <c r="Q349" s="68"/>
      <c r="R349" s="68"/>
      <c r="AK349" s="4"/>
      <c r="AL349" s="4"/>
    </row>
    <row r="350" spans="16:38" x14ac:dyDescent="0.15">
      <c r="P350" s="68"/>
      <c r="Q350" s="68"/>
      <c r="R350" s="68"/>
      <c r="AK350" s="4"/>
      <c r="AL350" s="4"/>
    </row>
    <row r="351" spans="16:38" x14ac:dyDescent="0.15">
      <c r="P351" s="68"/>
      <c r="Q351" s="68"/>
      <c r="R351" s="68"/>
      <c r="AK351" s="4"/>
      <c r="AL351" s="4"/>
    </row>
    <row r="352" spans="16:38" x14ac:dyDescent="0.15">
      <c r="P352" s="68"/>
      <c r="Q352" s="68"/>
      <c r="R352" s="68"/>
      <c r="AK352" s="4"/>
      <c r="AL352" s="4"/>
    </row>
    <row r="353" spans="16:38" x14ac:dyDescent="0.15">
      <c r="P353" s="68"/>
      <c r="Q353" s="68"/>
      <c r="R353" s="68"/>
      <c r="AK353" s="4"/>
      <c r="AL353" s="4"/>
    </row>
    <row r="354" spans="16:38" x14ac:dyDescent="0.15">
      <c r="P354" s="68"/>
      <c r="Q354" s="68"/>
      <c r="R354" s="68"/>
      <c r="AK354" s="4"/>
      <c r="AL354" s="4"/>
    </row>
    <row r="355" spans="16:38" x14ac:dyDescent="0.15">
      <c r="P355" s="68"/>
      <c r="Q355" s="68"/>
      <c r="R355" s="68"/>
      <c r="AK355" s="4"/>
      <c r="AL355" s="4"/>
    </row>
    <row r="356" spans="16:38" x14ac:dyDescent="0.15">
      <c r="P356" s="68"/>
      <c r="Q356" s="68"/>
      <c r="R356" s="68"/>
      <c r="AK356" s="4"/>
      <c r="AL356" s="4"/>
    </row>
    <row r="357" spans="16:38" x14ac:dyDescent="0.15">
      <c r="P357" s="68"/>
      <c r="Q357" s="68"/>
      <c r="R357" s="68"/>
      <c r="AK357" s="4"/>
      <c r="AL357" s="4"/>
    </row>
    <row r="358" spans="16:38" x14ac:dyDescent="0.15">
      <c r="P358" s="68"/>
      <c r="Q358" s="68"/>
      <c r="R358" s="68"/>
      <c r="AK358" s="4"/>
      <c r="AL358" s="4"/>
    </row>
    <row r="359" spans="16:38" x14ac:dyDescent="0.15">
      <c r="P359" s="68"/>
      <c r="Q359" s="68"/>
      <c r="R359" s="68"/>
      <c r="AK359" s="4"/>
      <c r="AL359" s="4"/>
    </row>
    <row r="360" spans="16:38" x14ac:dyDescent="0.15">
      <c r="P360" s="68"/>
      <c r="Q360" s="68"/>
      <c r="R360" s="68"/>
      <c r="AK360" s="4"/>
      <c r="AL360" s="4"/>
    </row>
    <row r="361" spans="16:38" x14ac:dyDescent="0.15">
      <c r="P361" s="68"/>
      <c r="Q361" s="68"/>
      <c r="R361" s="68"/>
      <c r="AK361" s="4"/>
      <c r="AL361" s="4"/>
    </row>
    <row r="362" spans="16:38" x14ac:dyDescent="0.15">
      <c r="P362" s="68"/>
      <c r="Q362" s="68"/>
      <c r="R362" s="68"/>
      <c r="AK362" s="4"/>
      <c r="AL362" s="4"/>
    </row>
    <row r="363" spans="16:38" x14ac:dyDescent="0.15">
      <c r="P363" s="68"/>
      <c r="Q363" s="68"/>
      <c r="R363" s="68"/>
      <c r="AK363" s="4"/>
      <c r="AL363" s="4"/>
    </row>
    <row r="364" spans="16:38" x14ac:dyDescent="0.15">
      <c r="P364" s="68"/>
      <c r="Q364" s="68"/>
      <c r="R364" s="68"/>
      <c r="AK364" s="4"/>
      <c r="AL364" s="4"/>
    </row>
    <row r="365" spans="16:38" x14ac:dyDescent="0.15">
      <c r="P365" s="68"/>
      <c r="Q365" s="68"/>
      <c r="R365" s="68"/>
    </row>
    <row r="366" spans="16:38" x14ac:dyDescent="0.15">
      <c r="P366" s="68"/>
      <c r="Q366" s="68"/>
      <c r="R366" s="68"/>
    </row>
    <row r="367" spans="16:38" x14ac:dyDescent="0.15">
      <c r="P367" s="68"/>
      <c r="Q367" s="68"/>
      <c r="R367" s="68"/>
    </row>
    <row r="368" spans="16:38" x14ac:dyDescent="0.15">
      <c r="P368" s="68"/>
      <c r="Q368" s="68"/>
      <c r="R368" s="68"/>
    </row>
    <row r="369" spans="16:18" x14ac:dyDescent="0.15">
      <c r="P369" s="68"/>
      <c r="Q369" s="68"/>
      <c r="R369" s="68"/>
    </row>
    <row r="370" spans="16:18" x14ac:dyDescent="0.15">
      <c r="P370" s="68"/>
      <c r="Q370" s="68"/>
      <c r="R370" s="68"/>
    </row>
    <row r="371" spans="16:18" x14ac:dyDescent="0.15">
      <c r="P371" s="68"/>
      <c r="Q371" s="68"/>
      <c r="R371" s="68"/>
    </row>
    <row r="372" spans="16:18" x14ac:dyDescent="0.15">
      <c r="P372" s="68"/>
      <c r="Q372" s="68"/>
      <c r="R372" s="68"/>
    </row>
    <row r="373" spans="16:18" x14ac:dyDescent="0.15">
      <c r="P373" s="68"/>
      <c r="Q373" s="68"/>
      <c r="R373" s="68"/>
    </row>
    <row r="374" spans="16:18" x14ac:dyDescent="0.15">
      <c r="P374" s="68"/>
      <c r="Q374" s="68"/>
      <c r="R374" s="68"/>
    </row>
    <row r="375" spans="16:18" x14ac:dyDescent="0.15">
      <c r="P375" s="68"/>
      <c r="Q375" s="68"/>
      <c r="R375" s="68"/>
    </row>
    <row r="376" spans="16:18" x14ac:dyDescent="0.15">
      <c r="P376" s="68"/>
      <c r="Q376" s="68"/>
      <c r="R376" s="68"/>
    </row>
    <row r="377" spans="16:18" x14ac:dyDescent="0.15">
      <c r="P377" s="68"/>
      <c r="Q377" s="68"/>
      <c r="R377" s="68"/>
    </row>
    <row r="378" spans="16:18" x14ac:dyDescent="0.15">
      <c r="P378" s="68"/>
      <c r="Q378" s="68"/>
      <c r="R378" s="68"/>
    </row>
    <row r="379" spans="16:18" x14ac:dyDescent="0.15">
      <c r="P379" s="68"/>
      <c r="Q379" s="68"/>
      <c r="R379" s="68"/>
    </row>
    <row r="380" spans="16:18" x14ac:dyDescent="0.15">
      <c r="P380" s="68"/>
      <c r="Q380" s="68"/>
      <c r="R380" s="68"/>
    </row>
    <row r="381" spans="16:18" x14ac:dyDescent="0.15">
      <c r="P381" s="68"/>
      <c r="Q381" s="68"/>
      <c r="R381" s="68"/>
    </row>
    <row r="382" spans="16:18" x14ac:dyDescent="0.15">
      <c r="P382" s="68"/>
      <c r="Q382" s="68"/>
      <c r="R382" s="68"/>
    </row>
    <row r="383" spans="16:18" x14ac:dyDescent="0.15">
      <c r="P383" s="68"/>
      <c r="Q383" s="68"/>
      <c r="R383" s="68"/>
    </row>
    <row r="384" spans="16:18" x14ac:dyDescent="0.15">
      <c r="P384" s="68"/>
      <c r="Q384" s="68"/>
      <c r="R384" s="68"/>
    </row>
    <row r="385" spans="16:18" x14ac:dyDescent="0.15">
      <c r="P385" s="68"/>
      <c r="Q385" s="68"/>
      <c r="R385" s="68"/>
    </row>
    <row r="386" spans="16:18" x14ac:dyDescent="0.15">
      <c r="P386" s="68"/>
      <c r="Q386" s="68"/>
      <c r="R386" s="68"/>
    </row>
    <row r="387" spans="16:18" x14ac:dyDescent="0.15">
      <c r="P387" s="68"/>
      <c r="Q387" s="68"/>
      <c r="R387" s="68"/>
    </row>
    <row r="388" spans="16:18" x14ac:dyDescent="0.15">
      <c r="P388" s="68"/>
      <c r="Q388" s="68"/>
      <c r="R388" s="68"/>
    </row>
    <row r="389" spans="16:18" x14ac:dyDescent="0.15">
      <c r="P389" s="68"/>
      <c r="Q389" s="68"/>
      <c r="R389" s="68"/>
    </row>
    <row r="390" spans="16:18" x14ac:dyDescent="0.15">
      <c r="P390" s="68"/>
      <c r="Q390" s="68"/>
      <c r="R390" s="68"/>
    </row>
    <row r="391" spans="16:18" x14ac:dyDescent="0.15">
      <c r="P391" s="68"/>
      <c r="Q391" s="68"/>
      <c r="R391" s="68"/>
    </row>
    <row r="392" spans="16:18" x14ac:dyDescent="0.15">
      <c r="P392" s="68"/>
      <c r="Q392" s="68"/>
      <c r="R392" s="68"/>
    </row>
    <row r="393" spans="16:18" x14ac:dyDescent="0.15">
      <c r="P393" s="68"/>
      <c r="Q393" s="68"/>
      <c r="R393" s="68"/>
    </row>
    <row r="394" spans="16:18" x14ac:dyDescent="0.15">
      <c r="P394" s="68"/>
      <c r="Q394" s="68"/>
      <c r="R394" s="68"/>
    </row>
    <row r="395" spans="16:18" x14ac:dyDescent="0.15">
      <c r="P395" s="68"/>
      <c r="Q395" s="68"/>
      <c r="R395" s="68"/>
    </row>
    <row r="396" spans="16:18" x14ac:dyDescent="0.15">
      <c r="P396" s="68"/>
      <c r="Q396" s="68"/>
      <c r="R396" s="68"/>
    </row>
    <row r="397" spans="16:18" x14ac:dyDescent="0.15">
      <c r="P397" s="68"/>
      <c r="Q397" s="68"/>
      <c r="R397" s="68"/>
    </row>
    <row r="398" spans="16:18" x14ac:dyDescent="0.15">
      <c r="P398" s="68"/>
      <c r="Q398" s="68"/>
      <c r="R398" s="68"/>
    </row>
    <row r="399" spans="16:18" x14ac:dyDescent="0.15">
      <c r="P399" s="68"/>
      <c r="Q399" s="68"/>
      <c r="R399" s="68"/>
    </row>
    <row r="400" spans="16:18" x14ac:dyDescent="0.15">
      <c r="P400" s="68"/>
      <c r="Q400" s="68"/>
      <c r="R400" s="68"/>
    </row>
    <row r="401" spans="16:18" x14ac:dyDescent="0.15">
      <c r="P401" s="68"/>
      <c r="Q401" s="68"/>
      <c r="R401" s="68"/>
    </row>
    <row r="402" spans="16:18" x14ac:dyDescent="0.15">
      <c r="P402" s="68"/>
      <c r="Q402" s="68"/>
      <c r="R402" s="68"/>
    </row>
    <row r="403" spans="16:18" x14ac:dyDescent="0.15">
      <c r="P403" s="68"/>
      <c r="Q403" s="68"/>
      <c r="R403" s="68"/>
    </row>
    <row r="404" spans="16:18" x14ac:dyDescent="0.15">
      <c r="P404" s="68"/>
      <c r="Q404" s="68"/>
      <c r="R404" s="68"/>
    </row>
    <row r="405" spans="16:18" x14ac:dyDescent="0.15">
      <c r="P405" s="68"/>
      <c r="Q405" s="68"/>
      <c r="R405" s="68"/>
    </row>
    <row r="406" spans="16:18" x14ac:dyDescent="0.15">
      <c r="P406" s="68"/>
      <c r="Q406" s="68"/>
      <c r="R406" s="68"/>
    </row>
    <row r="407" spans="16:18" x14ac:dyDescent="0.15">
      <c r="P407" s="68"/>
      <c r="Q407" s="68"/>
      <c r="R407" s="68"/>
    </row>
    <row r="408" spans="16:18" x14ac:dyDescent="0.15">
      <c r="P408" s="68"/>
      <c r="Q408" s="68"/>
      <c r="R408" s="68"/>
    </row>
    <row r="409" spans="16:18" x14ac:dyDescent="0.15">
      <c r="P409" s="68"/>
      <c r="Q409" s="68"/>
      <c r="R409" s="68"/>
    </row>
    <row r="410" spans="16:18" x14ac:dyDescent="0.15">
      <c r="P410" s="68"/>
      <c r="Q410" s="68"/>
      <c r="R410" s="68"/>
    </row>
    <row r="411" spans="16:18" x14ac:dyDescent="0.15">
      <c r="P411" s="68"/>
      <c r="Q411" s="68"/>
      <c r="R411" s="68"/>
    </row>
    <row r="412" spans="16:18" x14ac:dyDescent="0.15">
      <c r="P412" s="68"/>
      <c r="Q412" s="68"/>
      <c r="R412" s="68"/>
    </row>
    <row r="413" spans="16:18" x14ac:dyDescent="0.15">
      <c r="P413" s="68"/>
      <c r="Q413" s="68"/>
      <c r="R413" s="68"/>
    </row>
    <row r="414" spans="16:18" x14ac:dyDescent="0.15">
      <c r="P414" s="68"/>
      <c r="Q414" s="68"/>
      <c r="R414" s="68"/>
    </row>
    <row r="415" spans="16:18" x14ac:dyDescent="0.15">
      <c r="P415" s="68"/>
      <c r="Q415" s="68"/>
      <c r="R415" s="68"/>
    </row>
    <row r="416" spans="16:18" x14ac:dyDescent="0.15">
      <c r="P416" s="68"/>
      <c r="Q416" s="68"/>
      <c r="R416" s="68"/>
    </row>
    <row r="417" spans="16:18" x14ac:dyDescent="0.15">
      <c r="P417" s="68"/>
      <c r="Q417" s="68"/>
      <c r="R417" s="68"/>
    </row>
    <row r="418" spans="16:18" x14ac:dyDescent="0.15">
      <c r="P418" s="68"/>
      <c r="Q418" s="68"/>
      <c r="R418" s="68"/>
    </row>
    <row r="419" spans="16:18" x14ac:dyDescent="0.15">
      <c r="P419" s="68"/>
      <c r="Q419" s="68"/>
      <c r="R419" s="68"/>
    </row>
    <row r="420" spans="16:18" x14ac:dyDescent="0.15">
      <c r="P420" s="68"/>
      <c r="Q420" s="68"/>
      <c r="R420" s="68"/>
    </row>
    <row r="421" spans="16:18" x14ac:dyDescent="0.15">
      <c r="P421" s="68"/>
      <c r="Q421" s="68"/>
      <c r="R421" s="68"/>
    </row>
    <row r="422" spans="16:18" x14ac:dyDescent="0.15">
      <c r="P422" s="68"/>
      <c r="Q422" s="68"/>
      <c r="R422" s="68"/>
    </row>
    <row r="423" spans="16:18" x14ac:dyDescent="0.15">
      <c r="P423" s="68"/>
      <c r="Q423" s="68"/>
      <c r="R423" s="68"/>
    </row>
    <row r="424" spans="16:18" x14ac:dyDescent="0.15">
      <c r="P424" s="68"/>
      <c r="Q424" s="68"/>
      <c r="R424" s="68"/>
    </row>
    <row r="425" spans="16:18" x14ac:dyDescent="0.15">
      <c r="P425" s="68"/>
      <c r="Q425" s="68"/>
      <c r="R425" s="68"/>
    </row>
    <row r="426" spans="16:18" x14ac:dyDescent="0.15">
      <c r="P426" s="68"/>
      <c r="Q426" s="68"/>
      <c r="R426" s="68"/>
    </row>
    <row r="427" spans="16:18" x14ac:dyDescent="0.15">
      <c r="P427" s="68"/>
      <c r="Q427" s="68"/>
      <c r="R427" s="68"/>
    </row>
    <row r="428" spans="16:18" x14ac:dyDescent="0.15">
      <c r="P428" s="68"/>
      <c r="Q428" s="68"/>
      <c r="R428" s="68"/>
    </row>
    <row r="429" spans="16:18" x14ac:dyDescent="0.15">
      <c r="P429" s="68"/>
      <c r="Q429" s="68"/>
      <c r="R429" s="68"/>
    </row>
    <row r="430" spans="16:18" x14ac:dyDescent="0.15">
      <c r="P430" s="68"/>
      <c r="Q430" s="68"/>
      <c r="R430" s="68"/>
    </row>
    <row r="431" spans="16:18" x14ac:dyDescent="0.15">
      <c r="P431" s="68"/>
      <c r="Q431" s="68"/>
      <c r="R431" s="68"/>
    </row>
    <row r="432" spans="16:18" x14ac:dyDescent="0.15">
      <c r="P432" s="68"/>
      <c r="Q432" s="68"/>
      <c r="R432" s="68"/>
    </row>
    <row r="433" spans="16:18" x14ac:dyDescent="0.15">
      <c r="P433" s="68"/>
      <c r="Q433" s="68"/>
      <c r="R433" s="68"/>
    </row>
    <row r="434" spans="16:18" x14ac:dyDescent="0.15">
      <c r="P434" s="68"/>
      <c r="Q434" s="68"/>
      <c r="R434" s="68"/>
    </row>
    <row r="435" spans="16:18" x14ac:dyDescent="0.15">
      <c r="P435" s="68"/>
      <c r="Q435" s="68"/>
      <c r="R435" s="68"/>
    </row>
    <row r="436" spans="16:18" x14ac:dyDescent="0.15">
      <c r="P436" s="68"/>
      <c r="Q436" s="68"/>
      <c r="R436" s="68"/>
    </row>
    <row r="437" spans="16:18" x14ac:dyDescent="0.15">
      <c r="P437" s="68"/>
      <c r="Q437" s="68"/>
      <c r="R437" s="68"/>
    </row>
    <row r="438" spans="16:18" x14ac:dyDescent="0.15">
      <c r="P438" s="68"/>
      <c r="Q438" s="68"/>
      <c r="R438" s="68"/>
    </row>
    <row r="439" spans="16:18" x14ac:dyDescent="0.15">
      <c r="P439" s="68"/>
      <c r="Q439" s="68"/>
      <c r="R439" s="68"/>
    </row>
    <row r="440" spans="16:18" x14ac:dyDescent="0.15">
      <c r="P440" s="68"/>
      <c r="Q440" s="68"/>
      <c r="R440" s="68"/>
    </row>
    <row r="441" spans="16:18" x14ac:dyDescent="0.15">
      <c r="P441" s="68"/>
      <c r="Q441" s="68"/>
      <c r="R441" s="68"/>
    </row>
    <row r="442" spans="16:18" x14ac:dyDescent="0.15">
      <c r="P442" s="68"/>
      <c r="Q442" s="68"/>
      <c r="R442" s="68"/>
    </row>
    <row r="443" spans="16:18" x14ac:dyDescent="0.15">
      <c r="P443" s="68"/>
      <c r="Q443" s="68"/>
      <c r="R443" s="68"/>
    </row>
    <row r="444" spans="16:18" x14ac:dyDescent="0.15">
      <c r="P444" s="68"/>
      <c r="Q444" s="68"/>
      <c r="R444" s="68"/>
    </row>
    <row r="445" spans="16:18" x14ac:dyDescent="0.15">
      <c r="P445" s="68"/>
      <c r="Q445" s="68"/>
      <c r="R445" s="68"/>
    </row>
    <row r="446" spans="16:18" x14ac:dyDescent="0.15">
      <c r="P446" s="68"/>
      <c r="Q446" s="68"/>
      <c r="R446" s="68"/>
    </row>
    <row r="447" spans="16:18" x14ac:dyDescent="0.15">
      <c r="P447" s="68"/>
      <c r="Q447" s="68"/>
      <c r="R447" s="68"/>
    </row>
    <row r="448" spans="16:18" x14ac:dyDescent="0.15">
      <c r="P448" s="68"/>
      <c r="Q448" s="68"/>
      <c r="R448" s="68"/>
    </row>
    <row r="449" spans="16:18" x14ac:dyDescent="0.15">
      <c r="P449" s="68"/>
      <c r="Q449" s="68"/>
      <c r="R449" s="68"/>
    </row>
    <row r="450" spans="16:18" x14ac:dyDescent="0.15">
      <c r="P450" s="68"/>
      <c r="Q450" s="68"/>
      <c r="R450" s="68"/>
    </row>
    <row r="451" spans="16:18" x14ac:dyDescent="0.15">
      <c r="P451" s="68"/>
      <c r="Q451" s="68"/>
      <c r="R451" s="68"/>
    </row>
    <row r="452" spans="16:18" x14ac:dyDescent="0.15">
      <c r="P452" s="68"/>
      <c r="Q452" s="68"/>
      <c r="R452" s="68"/>
    </row>
    <row r="453" spans="16:18" x14ac:dyDescent="0.15">
      <c r="P453" s="68"/>
      <c r="Q453" s="68"/>
      <c r="R453" s="68"/>
    </row>
    <row r="454" spans="16:18" x14ac:dyDescent="0.15">
      <c r="P454" s="68"/>
      <c r="Q454" s="68"/>
      <c r="R454" s="68"/>
    </row>
    <row r="455" spans="16:18" x14ac:dyDescent="0.15">
      <c r="P455" s="68"/>
      <c r="Q455" s="68"/>
      <c r="R455" s="68"/>
    </row>
    <row r="456" spans="16:18" x14ac:dyDescent="0.15">
      <c r="P456" s="68"/>
      <c r="Q456" s="68"/>
      <c r="R456" s="68"/>
    </row>
    <row r="457" spans="16:18" x14ac:dyDescent="0.15">
      <c r="P457" s="68"/>
      <c r="Q457" s="68"/>
      <c r="R457" s="68"/>
    </row>
    <row r="458" spans="16:18" x14ac:dyDescent="0.15">
      <c r="P458" s="68"/>
      <c r="Q458" s="68"/>
      <c r="R458" s="68"/>
    </row>
    <row r="459" spans="16:18" x14ac:dyDescent="0.15">
      <c r="P459" s="68"/>
      <c r="Q459" s="68"/>
      <c r="R459" s="68"/>
    </row>
    <row r="460" spans="16:18" x14ac:dyDescent="0.15">
      <c r="P460" s="68"/>
      <c r="Q460" s="68"/>
      <c r="R460" s="68"/>
    </row>
    <row r="461" spans="16:18" x14ac:dyDescent="0.15">
      <c r="P461" s="68"/>
      <c r="Q461" s="68"/>
      <c r="R461" s="68"/>
    </row>
    <row r="462" spans="16:18" x14ac:dyDescent="0.15">
      <c r="P462" s="68"/>
      <c r="Q462" s="68"/>
      <c r="R462" s="68"/>
    </row>
    <row r="463" spans="16:18" x14ac:dyDescent="0.15">
      <c r="P463" s="68"/>
      <c r="Q463" s="68"/>
      <c r="R463" s="68"/>
    </row>
    <row r="464" spans="16:18" x14ac:dyDescent="0.15">
      <c r="P464" s="68"/>
      <c r="Q464" s="68"/>
      <c r="R464" s="68"/>
    </row>
    <row r="465" spans="16:18" x14ac:dyDescent="0.15">
      <c r="P465" s="68"/>
      <c r="Q465" s="68"/>
      <c r="R465" s="68"/>
    </row>
    <row r="466" spans="16:18" x14ac:dyDescent="0.15">
      <c r="P466" s="68"/>
      <c r="Q466" s="68"/>
      <c r="R466" s="68"/>
    </row>
    <row r="467" spans="16:18" x14ac:dyDescent="0.15">
      <c r="P467" s="68"/>
      <c r="Q467" s="68"/>
      <c r="R467" s="68"/>
    </row>
    <row r="468" spans="16:18" x14ac:dyDescent="0.15">
      <c r="P468" s="68"/>
      <c r="Q468" s="68"/>
      <c r="R468" s="68"/>
    </row>
    <row r="469" spans="16:18" x14ac:dyDescent="0.15">
      <c r="P469" s="68"/>
      <c r="Q469" s="68"/>
      <c r="R469" s="68"/>
    </row>
    <row r="470" spans="16:18" x14ac:dyDescent="0.15">
      <c r="P470" s="68"/>
      <c r="Q470" s="68"/>
      <c r="R470" s="68"/>
    </row>
    <row r="471" spans="16:18" x14ac:dyDescent="0.15">
      <c r="P471" s="68"/>
      <c r="Q471" s="68"/>
      <c r="R471" s="68"/>
    </row>
    <row r="472" spans="16:18" x14ac:dyDescent="0.15">
      <c r="P472" s="68"/>
      <c r="Q472" s="68"/>
      <c r="R472" s="68"/>
    </row>
    <row r="473" spans="16:18" x14ac:dyDescent="0.15">
      <c r="P473" s="68"/>
      <c r="Q473" s="68"/>
      <c r="R473" s="68"/>
    </row>
    <row r="474" spans="16:18" x14ac:dyDescent="0.15">
      <c r="P474" s="68"/>
      <c r="Q474" s="68"/>
      <c r="R474" s="68"/>
    </row>
    <row r="475" spans="16:18" x14ac:dyDescent="0.15">
      <c r="P475" s="68"/>
      <c r="Q475" s="68"/>
      <c r="R475" s="68"/>
    </row>
    <row r="476" spans="16:18" x14ac:dyDescent="0.15">
      <c r="P476" s="68"/>
      <c r="Q476" s="68"/>
      <c r="R476" s="68"/>
    </row>
    <row r="477" spans="16:18" x14ac:dyDescent="0.15">
      <c r="P477" s="68"/>
      <c r="Q477" s="68"/>
      <c r="R477" s="68"/>
    </row>
    <row r="478" spans="16:18" x14ac:dyDescent="0.15">
      <c r="P478" s="68"/>
      <c r="Q478" s="68"/>
      <c r="R478" s="68"/>
    </row>
    <row r="479" spans="16:18" x14ac:dyDescent="0.15">
      <c r="P479" s="68"/>
      <c r="Q479" s="68"/>
      <c r="R479" s="68"/>
    </row>
    <row r="480" spans="16:18" x14ac:dyDescent="0.15">
      <c r="P480" s="68"/>
      <c r="Q480" s="68"/>
      <c r="R480" s="68"/>
    </row>
    <row r="481" spans="16:18" x14ac:dyDescent="0.15">
      <c r="P481" s="68"/>
      <c r="Q481" s="68"/>
      <c r="R481" s="68"/>
    </row>
    <row r="482" spans="16:18" x14ac:dyDescent="0.15">
      <c r="P482" s="68"/>
      <c r="Q482" s="68"/>
      <c r="R482" s="68"/>
    </row>
    <row r="483" spans="16:18" x14ac:dyDescent="0.15">
      <c r="P483" s="68"/>
      <c r="Q483" s="68"/>
      <c r="R483" s="68"/>
    </row>
    <row r="484" spans="16:18" x14ac:dyDescent="0.15">
      <c r="P484" s="68"/>
      <c r="Q484" s="68"/>
      <c r="R484" s="68"/>
    </row>
    <row r="485" spans="16:18" x14ac:dyDescent="0.15">
      <c r="P485" s="68"/>
      <c r="Q485" s="68"/>
      <c r="R485" s="68"/>
    </row>
    <row r="486" spans="16:18" x14ac:dyDescent="0.15">
      <c r="P486" s="68"/>
      <c r="Q486" s="68"/>
      <c r="R486" s="68"/>
    </row>
    <row r="487" spans="16:18" x14ac:dyDescent="0.15">
      <c r="P487" s="68"/>
      <c r="Q487" s="68"/>
      <c r="R487" s="68"/>
    </row>
    <row r="488" spans="16:18" x14ac:dyDescent="0.15">
      <c r="P488" s="68"/>
      <c r="Q488" s="68"/>
      <c r="R488" s="68"/>
    </row>
    <row r="489" spans="16:18" x14ac:dyDescent="0.15">
      <c r="P489" s="68"/>
      <c r="Q489" s="68"/>
      <c r="R489" s="68"/>
    </row>
    <row r="490" spans="16:18" x14ac:dyDescent="0.15">
      <c r="P490" s="68"/>
      <c r="Q490" s="68"/>
      <c r="R490" s="68"/>
    </row>
    <row r="491" spans="16:18" x14ac:dyDescent="0.15">
      <c r="P491" s="68"/>
      <c r="Q491" s="68"/>
      <c r="R491" s="68"/>
    </row>
    <row r="492" spans="16:18" x14ac:dyDescent="0.15">
      <c r="P492" s="68"/>
      <c r="Q492" s="68"/>
      <c r="R492" s="68"/>
    </row>
    <row r="493" spans="16:18" x14ac:dyDescent="0.15">
      <c r="P493" s="68"/>
      <c r="Q493" s="68"/>
      <c r="R493" s="68"/>
    </row>
    <row r="494" spans="16:18" x14ac:dyDescent="0.15">
      <c r="P494" s="68"/>
      <c r="Q494" s="68"/>
      <c r="R494" s="68"/>
    </row>
    <row r="495" spans="16:18" x14ac:dyDescent="0.15">
      <c r="P495" s="68"/>
      <c r="Q495" s="68"/>
      <c r="R495" s="68"/>
    </row>
    <row r="496" spans="16:18" x14ac:dyDescent="0.15">
      <c r="P496" s="68"/>
      <c r="Q496" s="68"/>
      <c r="R496" s="68"/>
    </row>
    <row r="497" spans="16:18" x14ac:dyDescent="0.15">
      <c r="P497" s="68"/>
      <c r="Q497" s="68"/>
      <c r="R497" s="68"/>
    </row>
    <row r="498" spans="16:18" x14ac:dyDescent="0.15">
      <c r="P498" s="68"/>
      <c r="Q498" s="68"/>
      <c r="R498" s="68"/>
    </row>
  </sheetData>
  <sortState xmlns:xlrd2="http://schemas.microsoft.com/office/spreadsheetml/2017/richdata2" ref="A4:CQ207">
    <sortCondition ref="B4:B207"/>
  </sortState>
  <mergeCells count="4">
    <mergeCell ref="I2:AR2"/>
    <mergeCell ref="AS2:BI2"/>
    <mergeCell ref="BJ2:BZ2"/>
    <mergeCell ref="CA2:CQ2"/>
  </mergeCells>
  <pageMargins left="0.7" right="0.7" top="0.75" bottom="0.75" header="0.3" footer="0.3"/>
  <pageSetup orientation="portrait" verticalDpi="12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4"/>
  <dimension ref="A1:CQ211"/>
  <sheetViews>
    <sheetView workbookViewId="0">
      <selection activeCell="F4" sqref="F4:F20"/>
    </sheetView>
  </sheetViews>
  <sheetFormatPr baseColWidth="10" defaultColWidth="9.3984375" defaultRowHeight="12" x14ac:dyDescent="0.15"/>
  <cols>
    <col min="1" max="1" width="8.19921875" style="1" bestFit="1" customWidth="1"/>
    <col min="2" max="2" width="47.19921875" style="1" customWidth="1"/>
    <col min="3" max="3" width="9" style="1" bestFit="1" customWidth="1"/>
    <col min="4" max="4" width="16" style="1" bestFit="1" customWidth="1"/>
    <col min="5" max="6" width="20.3984375" style="1" bestFit="1" customWidth="1"/>
    <col min="7" max="8" width="11.3984375" style="1" bestFit="1" customWidth="1"/>
    <col min="9" max="9" width="10.796875" style="1" customWidth="1"/>
    <col min="10" max="10" width="12.3984375" style="1" customWidth="1"/>
    <col min="11" max="11" width="14" style="1" customWidth="1"/>
    <col min="12" max="13" width="13.796875" style="1" customWidth="1"/>
    <col min="14" max="15" width="14.19921875" style="1" customWidth="1"/>
    <col min="16" max="16" width="10.19921875" style="1" customWidth="1"/>
    <col min="17" max="17" width="12" style="1" customWidth="1"/>
    <col min="18" max="18" width="11.796875" style="1" customWidth="1"/>
    <col min="19" max="19" width="10.19921875" style="1" customWidth="1"/>
    <col min="20" max="20" width="11.59765625" style="1" customWidth="1"/>
    <col min="21" max="21" width="13" style="1" customWidth="1"/>
    <col min="22" max="23" width="14.3984375" style="1" customWidth="1"/>
    <col min="24" max="25" width="11.59765625" style="1" customWidth="1"/>
    <col min="26" max="26" width="14.3984375" style="1" customWidth="1"/>
    <col min="27" max="27" width="12.3984375" style="1" customWidth="1"/>
    <col min="28" max="28" width="11.3984375" style="1" customWidth="1"/>
    <col min="29" max="29" width="12.19921875" style="1" customWidth="1"/>
    <col min="30" max="30" width="10.796875" style="1" customWidth="1"/>
    <col min="31" max="31" width="11.59765625" style="1" customWidth="1"/>
    <col min="32" max="34" width="11.3984375" style="1" customWidth="1"/>
    <col min="35" max="35" width="10.3984375" style="1" customWidth="1"/>
    <col min="36" max="36" width="11.796875" style="1" customWidth="1"/>
    <col min="37" max="37" width="12.59765625" style="1" customWidth="1"/>
    <col min="38" max="38" width="12.796875" style="1" customWidth="1"/>
    <col min="39" max="39" width="9.3984375" style="1" customWidth="1"/>
    <col min="40" max="40" width="10.3984375" style="1" customWidth="1"/>
    <col min="41" max="41" width="12.19921875" style="1" customWidth="1"/>
    <col min="42" max="42" width="11.59765625" style="1" customWidth="1"/>
    <col min="43" max="43" width="30" style="1" customWidth="1"/>
    <col min="44" max="44" width="49.59765625" style="1" customWidth="1"/>
    <col min="45" max="45" width="13.59765625" style="1" customWidth="1"/>
    <col min="46" max="47" width="9.3984375" style="1"/>
    <col min="48" max="48" width="13.796875" style="1" customWidth="1"/>
    <col min="49" max="49" width="10.19921875" style="1" customWidth="1"/>
    <col min="50" max="52" width="9.3984375" style="1"/>
    <col min="53" max="53" width="10.796875" style="1" customWidth="1"/>
    <col min="54" max="56" width="9.3984375" style="1"/>
    <col min="57" max="57" width="14.796875" style="1" bestFit="1" customWidth="1"/>
    <col min="58" max="58" width="9.3984375" style="1"/>
    <col min="59" max="59" width="12" style="1" customWidth="1"/>
    <col min="60" max="61" width="48.19921875" style="1" bestFit="1" customWidth="1"/>
    <col min="62" max="62" width="12.796875" style="1" customWidth="1"/>
    <col min="63" max="64" width="9.3984375" style="1"/>
    <col min="65" max="65" width="10.3984375" style="1" customWidth="1"/>
    <col min="66" max="66" width="10.19921875" style="1" customWidth="1"/>
    <col min="67" max="73" width="9.3984375" style="1"/>
    <col min="74" max="74" width="14.796875" style="1" bestFit="1" customWidth="1"/>
    <col min="75" max="75" width="9.3984375" style="1"/>
    <col min="76" max="76" width="13.3984375" style="1" customWidth="1"/>
    <col min="77" max="78" width="48.19921875" style="1" bestFit="1" customWidth="1"/>
    <col min="79" max="79" width="12.3984375" style="1" customWidth="1"/>
    <col min="80" max="81" width="9.3984375" style="1"/>
    <col min="82" max="82" width="18" style="1" bestFit="1" customWidth="1"/>
    <col min="83" max="83" width="10.19921875" style="1" customWidth="1"/>
    <col min="84" max="90" width="9.3984375" style="1"/>
    <col min="91" max="91" width="11.3984375" style="1" bestFit="1" customWidth="1"/>
    <col min="92" max="92" width="12.3984375" style="1" customWidth="1"/>
    <col min="93" max="93" width="13.3984375" style="1" customWidth="1"/>
    <col min="94" max="95" width="48.19921875" style="1" bestFit="1" customWidth="1"/>
    <col min="96" max="16384" width="9.3984375" style="1"/>
  </cols>
  <sheetData>
    <row r="1" spans="1:95" s="138" customFormat="1" x14ac:dyDescent="0.15">
      <c r="A1" s="138">
        <v>1</v>
      </c>
      <c r="B1" s="138">
        <f t="shared" ref="B1" si="0">+A1+1</f>
        <v>2</v>
      </c>
      <c r="C1" s="138">
        <f t="shared" ref="C1" si="1">+B1+1</f>
        <v>3</v>
      </c>
      <c r="D1" s="138">
        <f t="shared" ref="D1" si="2">+C1+1</f>
        <v>4</v>
      </c>
      <c r="E1" s="138">
        <f t="shared" ref="E1" si="3">+D1+1</f>
        <v>5</v>
      </c>
      <c r="F1" s="138">
        <f t="shared" ref="F1" si="4">+E1+1</f>
        <v>6</v>
      </c>
      <c r="G1" s="138">
        <f t="shared" ref="G1" si="5">+F1+1</f>
        <v>7</v>
      </c>
      <c r="H1" s="138">
        <f t="shared" ref="H1" si="6">+G1+1</f>
        <v>8</v>
      </c>
      <c r="I1" s="138">
        <f t="shared" ref="I1" si="7">+H1+1</f>
        <v>9</v>
      </c>
      <c r="J1" s="138">
        <f t="shared" ref="J1" si="8">+I1+1</f>
        <v>10</v>
      </c>
      <c r="K1" s="138">
        <f t="shared" ref="K1" si="9">+J1+1</f>
        <v>11</v>
      </c>
      <c r="L1" s="138">
        <f t="shared" ref="L1" si="10">+K1+1</f>
        <v>12</v>
      </c>
      <c r="M1" s="138">
        <f t="shared" ref="M1" si="11">+L1+1</f>
        <v>13</v>
      </c>
      <c r="N1" s="138">
        <f t="shared" ref="N1" si="12">+M1+1</f>
        <v>14</v>
      </c>
      <c r="O1" s="138">
        <f t="shared" ref="O1" si="13">+N1+1</f>
        <v>15</v>
      </c>
      <c r="P1" s="138">
        <f t="shared" ref="P1" si="14">+O1+1</f>
        <v>16</v>
      </c>
      <c r="Q1" s="138">
        <f t="shared" ref="Q1" si="15">+P1+1</f>
        <v>17</v>
      </c>
      <c r="R1" s="138">
        <f t="shared" ref="R1" si="16">+Q1+1</f>
        <v>18</v>
      </c>
      <c r="S1" s="138">
        <f t="shared" ref="S1" si="17">+R1+1</f>
        <v>19</v>
      </c>
      <c r="T1" s="138">
        <f t="shared" ref="T1" si="18">+S1+1</f>
        <v>20</v>
      </c>
      <c r="U1" s="138">
        <f t="shared" ref="U1" si="19">+T1+1</f>
        <v>21</v>
      </c>
      <c r="V1" s="138">
        <f t="shared" ref="V1" si="20">+U1+1</f>
        <v>22</v>
      </c>
      <c r="W1" s="138">
        <f t="shared" ref="W1" si="21">+V1+1</f>
        <v>23</v>
      </c>
      <c r="X1" s="138">
        <f t="shared" ref="X1" si="22">+W1+1</f>
        <v>24</v>
      </c>
      <c r="Y1" s="138">
        <f t="shared" ref="Y1" si="23">+X1+1</f>
        <v>25</v>
      </c>
      <c r="Z1" s="138">
        <f t="shared" ref="Z1" si="24">+Y1+1</f>
        <v>26</v>
      </c>
      <c r="AA1" s="138">
        <f t="shared" ref="AA1" si="25">+Z1+1</f>
        <v>27</v>
      </c>
      <c r="AB1" s="138">
        <f t="shared" ref="AB1" si="26">+AA1+1</f>
        <v>28</v>
      </c>
      <c r="AC1" s="138">
        <f t="shared" ref="AC1" si="27">+AB1+1</f>
        <v>29</v>
      </c>
      <c r="AD1" s="138">
        <f t="shared" ref="AD1" si="28">+AC1+1</f>
        <v>30</v>
      </c>
      <c r="AE1" s="138">
        <f t="shared" ref="AE1" si="29">+AD1+1</f>
        <v>31</v>
      </c>
      <c r="AF1" s="138">
        <f t="shared" ref="AF1" si="30">+AE1+1</f>
        <v>32</v>
      </c>
      <c r="AG1" s="138">
        <f t="shared" ref="AG1" si="31">+AF1+1</f>
        <v>33</v>
      </c>
      <c r="AH1" s="138">
        <f t="shared" ref="AH1" si="32">+AG1+1</f>
        <v>34</v>
      </c>
      <c r="AI1" s="138">
        <f t="shared" ref="AI1" si="33">+AH1+1</f>
        <v>35</v>
      </c>
      <c r="AJ1" s="138">
        <f t="shared" ref="AJ1" si="34">+AI1+1</f>
        <v>36</v>
      </c>
      <c r="AK1" s="138">
        <f t="shared" ref="AK1" si="35">+AJ1+1</f>
        <v>37</v>
      </c>
      <c r="AL1" s="138">
        <f t="shared" ref="AL1" si="36">+AK1+1</f>
        <v>38</v>
      </c>
      <c r="AM1" s="138">
        <f t="shared" ref="AM1" si="37">+AL1+1</f>
        <v>39</v>
      </c>
      <c r="AN1" s="138">
        <f t="shared" ref="AN1" si="38">+AM1+1</f>
        <v>40</v>
      </c>
      <c r="AO1" s="138">
        <f t="shared" ref="AO1" si="39">+AN1+1</f>
        <v>41</v>
      </c>
      <c r="AP1" s="138">
        <f t="shared" ref="AP1" si="40">+AO1+1</f>
        <v>42</v>
      </c>
      <c r="AQ1" s="138">
        <f t="shared" ref="AQ1" si="41">+AP1+1</f>
        <v>43</v>
      </c>
      <c r="AR1" s="138">
        <f t="shared" ref="AR1" si="42">+AQ1+1</f>
        <v>44</v>
      </c>
      <c r="AS1" s="138">
        <f t="shared" ref="AS1" si="43">+AR1+1</f>
        <v>45</v>
      </c>
      <c r="AT1" s="138">
        <f t="shared" ref="AT1" si="44">+AS1+1</f>
        <v>46</v>
      </c>
      <c r="AU1" s="138">
        <f t="shared" ref="AU1" si="45">+AT1+1</f>
        <v>47</v>
      </c>
      <c r="AV1" s="138">
        <f t="shared" ref="AV1" si="46">+AU1+1</f>
        <v>48</v>
      </c>
      <c r="AW1" s="138">
        <f t="shared" ref="AW1" si="47">+AV1+1</f>
        <v>49</v>
      </c>
      <c r="AX1" s="138">
        <f t="shared" ref="AX1" si="48">+AW1+1</f>
        <v>50</v>
      </c>
      <c r="AY1" s="138">
        <f t="shared" ref="AY1" si="49">+AX1+1</f>
        <v>51</v>
      </c>
      <c r="AZ1" s="138">
        <f t="shared" ref="AZ1" si="50">+AY1+1</f>
        <v>52</v>
      </c>
      <c r="BA1" s="138">
        <f t="shared" ref="BA1" si="51">+AZ1+1</f>
        <v>53</v>
      </c>
      <c r="BB1" s="138">
        <f t="shared" ref="BB1" si="52">+BA1+1</f>
        <v>54</v>
      </c>
      <c r="BC1" s="138">
        <f t="shared" ref="BC1" si="53">+BB1+1</f>
        <v>55</v>
      </c>
      <c r="BD1" s="138">
        <f t="shared" ref="BD1" si="54">+BC1+1</f>
        <v>56</v>
      </c>
      <c r="BE1" s="138">
        <f t="shared" ref="BE1" si="55">+BD1+1</f>
        <v>57</v>
      </c>
      <c r="BF1" s="138">
        <f t="shared" ref="BF1" si="56">+BE1+1</f>
        <v>58</v>
      </c>
      <c r="BG1" s="138">
        <f t="shared" ref="BG1" si="57">+BF1+1</f>
        <v>59</v>
      </c>
      <c r="BH1" s="138">
        <f t="shared" ref="BH1" si="58">+BG1+1</f>
        <v>60</v>
      </c>
      <c r="BI1" s="138">
        <f t="shared" ref="BI1" si="59">+BH1+1</f>
        <v>61</v>
      </c>
      <c r="BJ1" s="138">
        <f t="shared" ref="BJ1" si="60">+BI1+1</f>
        <v>62</v>
      </c>
      <c r="BK1" s="138">
        <f t="shared" ref="BK1" si="61">+BJ1+1</f>
        <v>63</v>
      </c>
      <c r="BL1" s="138">
        <f t="shared" ref="BL1" si="62">+BK1+1</f>
        <v>64</v>
      </c>
      <c r="BM1" s="138">
        <f t="shared" ref="BM1" si="63">+BL1+1</f>
        <v>65</v>
      </c>
      <c r="BN1" s="138">
        <f t="shared" ref="BN1" si="64">+BM1+1</f>
        <v>66</v>
      </c>
      <c r="BO1" s="138">
        <f t="shared" ref="BO1" si="65">+BN1+1</f>
        <v>67</v>
      </c>
      <c r="BP1" s="138">
        <f t="shared" ref="BP1" si="66">+BO1+1</f>
        <v>68</v>
      </c>
      <c r="BQ1" s="138">
        <f t="shared" ref="BQ1" si="67">+BP1+1</f>
        <v>69</v>
      </c>
      <c r="BR1" s="138">
        <f t="shared" ref="BR1" si="68">+BQ1+1</f>
        <v>70</v>
      </c>
      <c r="BS1" s="138">
        <f t="shared" ref="BS1" si="69">+BR1+1</f>
        <v>71</v>
      </c>
      <c r="BT1" s="138">
        <f t="shared" ref="BT1" si="70">+BS1+1</f>
        <v>72</v>
      </c>
      <c r="BU1" s="138">
        <f t="shared" ref="BU1" si="71">+BT1+1</f>
        <v>73</v>
      </c>
      <c r="BV1" s="138">
        <f t="shared" ref="BV1" si="72">+BU1+1</f>
        <v>74</v>
      </c>
      <c r="BW1" s="138">
        <f t="shared" ref="BW1" si="73">+BV1+1</f>
        <v>75</v>
      </c>
      <c r="BX1" s="138">
        <f t="shared" ref="BX1" si="74">+BW1+1</f>
        <v>76</v>
      </c>
      <c r="BY1" s="138">
        <f t="shared" ref="BY1" si="75">+BX1+1</f>
        <v>77</v>
      </c>
      <c r="BZ1" s="138">
        <f t="shared" ref="BZ1" si="76">+BY1+1</f>
        <v>78</v>
      </c>
      <c r="CA1" s="138">
        <f t="shared" ref="CA1" si="77">+BZ1+1</f>
        <v>79</v>
      </c>
      <c r="CB1" s="138">
        <f t="shared" ref="CB1" si="78">+CA1+1</f>
        <v>80</v>
      </c>
      <c r="CC1" s="138">
        <f t="shared" ref="CC1" si="79">+CB1+1</f>
        <v>81</v>
      </c>
      <c r="CD1" s="138">
        <f t="shared" ref="CD1" si="80">+CC1+1</f>
        <v>82</v>
      </c>
      <c r="CE1" s="138">
        <f t="shared" ref="CE1" si="81">+CD1+1</f>
        <v>83</v>
      </c>
      <c r="CF1" s="138">
        <f t="shared" ref="CF1" si="82">+CE1+1</f>
        <v>84</v>
      </c>
      <c r="CG1" s="138">
        <f t="shared" ref="CG1" si="83">+CF1+1</f>
        <v>85</v>
      </c>
      <c r="CH1" s="138">
        <f t="shared" ref="CH1" si="84">+CG1+1</f>
        <v>86</v>
      </c>
      <c r="CI1" s="138">
        <f t="shared" ref="CI1" si="85">+CH1+1</f>
        <v>87</v>
      </c>
      <c r="CJ1" s="138">
        <f t="shared" ref="CJ1" si="86">+CI1+1</f>
        <v>88</v>
      </c>
      <c r="CK1" s="138">
        <f t="shared" ref="CK1" si="87">+CJ1+1</f>
        <v>89</v>
      </c>
      <c r="CL1" s="138">
        <f t="shared" ref="CL1" si="88">+CK1+1</f>
        <v>90</v>
      </c>
      <c r="CM1" s="138">
        <f t="shared" ref="CM1" si="89">+CL1+1</f>
        <v>91</v>
      </c>
      <c r="CN1" s="138">
        <f t="shared" ref="CN1" si="90">+CM1+1</f>
        <v>92</v>
      </c>
      <c r="CO1" s="138">
        <f t="shared" ref="CO1" si="91">+CN1+1</f>
        <v>93</v>
      </c>
      <c r="CP1" s="138">
        <f t="shared" ref="CP1" si="92">+CO1+1</f>
        <v>94</v>
      </c>
      <c r="CQ1" s="138">
        <f t="shared" ref="CQ1" si="93">+CP1+1</f>
        <v>95</v>
      </c>
    </row>
    <row r="2" spans="1:95" s="37" customFormat="1" x14ac:dyDescent="0.15">
      <c r="A2" s="138"/>
      <c r="B2" s="138"/>
      <c r="C2" s="138"/>
      <c r="D2" s="138"/>
      <c r="E2" s="138"/>
      <c r="F2" s="138"/>
      <c r="G2" s="138"/>
      <c r="H2" s="138"/>
      <c r="I2" s="347" t="s">
        <v>847</v>
      </c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48"/>
      <c r="AF2" s="348"/>
      <c r="AG2" s="348"/>
      <c r="AH2" s="348"/>
      <c r="AI2" s="348"/>
      <c r="AJ2" s="348"/>
      <c r="AK2" s="348"/>
      <c r="AL2" s="348"/>
      <c r="AM2" s="348"/>
      <c r="AN2" s="348"/>
      <c r="AO2" s="348"/>
      <c r="AP2" s="348"/>
      <c r="AQ2" s="348"/>
      <c r="AR2" s="348"/>
      <c r="AS2" s="311" t="s">
        <v>848</v>
      </c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12" t="s">
        <v>849</v>
      </c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11" t="s">
        <v>850</v>
      </c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</row>
    <row r="3" spans="1:95" s="37" customFormat="1" ht="104" x14ac:dyDescent="0.15">
      <c r="A3" s="138" t="s">
        <v>145</v>
      </c>
      <c r="B3" s="2" t="s">
        <v>24</v>
      </c>
      <c r="C3" s="2" t="s">
        <v>146</v>
      </c>
      <c r="D3" s="2" t="s">
        <v>104</v>
      </c>
      <c r="E3" s="2" t="s">
        <v>613</v>
      </c>
      <c r="F3" s="2" t="s">
        <v>676</v>
      </c>
      <c r="G3" s="3" t="s">
        <v>25</v>
      </c>
      <c r="H3" s="3" t="s">
        <v>26</v>
      </c>
      <c r="I3" s="2" t="s">
        <v>54</v>
      </c>
      <c r="J3" s="2" t="s">
        <v>942</v>
      </c>
      <c r="K3" s="2" t="s">
        <v>943</v>
      </c>
      <c r="L3" s="2" t="s">
        <v>944</v>
      </c>
      <c r="M3" s="2" t="s">
        <v>642</v>
      </c>
      <c r="N3" s="2" t="s">
        <v>474</v>
      </c>
      <c r="O3" s="2" t="s">
        <v>687</v>
      </c>
      <c r="P3" s="2" t="s">
        <v>138</v>
      </c>
      <c r="Q3" s="2" t="s">
        <v>945</v>
      </c>
      <c r="R3" s="2" t="s">
        <v>946</v>
      </c>
      <c r="S3" s="2" t="s">
        <v>139</v>
      </c>
      <c r="T3" s="2" t="s">
        <v>353</v>
      </c>
      <c r="U3" s="2" t="s">
        <v>163</v>
      </c>
      <c r="V3" s="2" t="s">
        <v>950</v>
      </c>
      <c r="W3" s="2" t="s">
        <v>951</v>
      </c>
      <c r="X3" s="2" t="s">
        <v>952</v>
      </c>
      <c r="Y3" s="2" t="s">
        <v>953</v>
      </c>
      <c r="Z3" s="2" t="s">
        <v>164</v>
      </c>
      <c r="AA3" s="2" t="s">
        <v>329</v>
      </c>
      <c r="AB3" s="2" t="s">
        <v>330</v>
      </c>
      <c r="AC3" s="2" t="s">
        <v>947</v>
      </c>
      <c r="AD3" s="2" t="s">
        <v>296</v>
      </c>
      <c r="AE3" s="2" t="s">
        <v>297</v>
      </c>
      <c r="AF3" s="2" t="s">
        <v>165</v>
      </c>
      <c r="AG3" s="2" t="s">
        <v>949</v>
      </c>
      <c r="AH3" s="2" t="s">
        <v>948</v>
      </c>
      <c r="AI3" s="2" t="s">
        <v>954</v>
      </c>
      <c r="AJ3" s="2" t="s">
        <v>955</v>
      </c>
      <c r="AK3" s="2" t="s">
        <v>244</v>
      </c>
      <c r="AL3" s="2" t="s">
        <v>218</v>
      </c>
      <c r="AM3" s="2" t="s">
        <v>306</v>
      </c>
      <c r="AN3" s="2" t="s">
        <v>308</v>
      </c>
      <c r="AO3" s="2" t="s">
        <v>336</v>
      </c>
      <c r="AP3" s="138" t="s">
        <v>318</v>
      </c>
      <c r="AQ3" s="138" t="s">
        <v>265</v>
      </c>
      <c r="AR3" s="2" t="s">
        <v>302</v>
      </c>
      <c r="AS3" s="2" t="s">
        <v>762</v>
      </c>
      <c r="AT3" s="2" t="s">
        <v>474</v>
      </c>
      <c r="AU3" s="2" t="s">
        <v>475</v>
      </c>
      <c r="AV3" s="2" t="s">
        <v>138</v>
      </c>
      <c r="AW3" s="2" t="s">
        <v>139</v>
      </c>
      <c r="AX3" s="2" t="s">
        <v>487</v>
      </c>
      <c r="AY3" s="2" t="s">
        <v>163</v>
      </c>
      <c r="AZ3" s="2" t="s">
        <v>743</v>
      </c>
      <c r="BA3" s="2" t="s">
        <v>296</v>
      </c>
      <c r="BB3" s="2" t="s">
        <v>297</v>
      </c>
      <c r="BC3" s="2" t="s">
        <v>165</v>
      </c>
      <c r="BD3" s="2" t="s">
        <v>306</v>
      </c>
      <c r="BE3" s="2" t="s">
        <v>308</v>
      </c>
      <c r="BF3" s="2" t="s">
        <v>336</v>
      </c>
      <c r="BG3" s="2" t="s">
        <v>318</v>
      </c>
      <c r="BH3" s="2" t="s">
        <v>265</v>
      </c>
      <c r="BI3" s="2" t="s">
        <v>302</v>
      </c>
      <c r="BJ3" s="2" t="s">
        <v>791</v>
      </c>
      <c r="BK3" s="2" t="s">
        <v>474</v>
      </c>
      <c r="BL3" s="2" t="s">
        <v>475</v>
      </c>
      <c r="BM3" s="2" t="s">
        <v>138</v>
      </c>
      <c r="BN3" s="2" t="s">
        <v>139</v>
      </c>
      <c r="BO3" s="2" t="s">
        <v>487</v>
      </c>
      <c r="BP3" s="2" t="s">
        <v>163</v>
      </c>
      <c r="BQ3" s="2" t="s">
        <v>743</v>
      </c>
      <c r="BR3" s="2" t="s">
        <v>296</v>
      </c>
      <c r="BS3" s="2" t="s">
        <v>297</v>
      </c>
      <c r="BT3" s="2" t="s">
        <v>165</v>
      </c>
      <c r="BU3" s="2" t="s">
        <v>306</v>
      </c>
      <c r="BV3" s="2" t="s">
        <v>308</v>
      </c>
      <c r="BW3" s="2" t="s">
        <v>336</v>
      </c>
      <c r="BX3" s="2" t="s">
        <v>318</v>
      </c>
      <c r="BY3" s="2" t="s">
        <v>265</v>
      </c>
      <c r="BZ3" s="2" t="s">
        <v>302</v>
      </c>
      <c r="CA3" s="2" t="s">
        <v>792</v>
      </c>
      <c r="CB3" s="2" t="s">
        <v>474</v>
      </c>
      <c r="CC3" s="2" t="s">
        <v>475</v>
      </c>
      <c r="CD3" s="2" t="s">
        <v>138</v>
      </c>
      <c r="CE3" s="2" t="s">
        <v>139</v>
      </c>
      <c r="CF3" s="2" t="s">
        <v>487</v>
      </c>
      <c r="CG3" s="2" t="s">
        <v>163</v>
      </c>
      <c r="CH3" s="2" t="s">
        <v>743</v>
      </c>
      <c r="CI3" s="2" t="s">
        <v>296</v>
      </c>
      <c r="CJ3" s="2" t="s">
        <v>297</v>
      </c>
      <c r="CK3" s="2" t="s">
        <v>165</v>
      </c>
      <c r="CL3" s="2" t="s">
        <v>306</v>
      </c>
      <c r="CM3" s="2" t="s">
        <v>308</v>
      </c>
      <c r="CN3" s="2" t="s">
        <v>336</v>
      </c>
      <c r="CO3" s="2" t="s">
        <v>318</v>
      </c>
      <c r="CP3" s="2" t="s">
        <v>265</v>
      </c>
      <c r="CQ3" s="2" t="s">
        <v>302</v>
      </c>
    </row>
    <row r="4" spans="1:95" s="37" customFormat="1" x14ac:dyDescent="0.15">
      <c r="A4" s="138">
        <v>741</v>
      </c>
      <c r="B4" s="1" t="s">
        <v>435</v>
      </c>
      <c r="C4" s="1" t="s">
        <v>148</v>
      </c>
      <c r="D4" s="1" t="s">
        <v>102</v>
      </c>
      <c r="E4" s="1" t="str">
        <f>VLOOKUP(D4,Documentation!$B$4:$D$27,3,FALSE)</f>
        <v>BALTIMORE METRO</v>
      </c>
      <c r="F4" s="1" t="str">
        <f>VLOOKUP(D4,Documentation!$B$4:$C$27,2,FALSE)</f>
        <v>BALTIMORE CITY</v>
      </c>
      <c r="G4" s="82">
        <f>VLOOKUP(A4,'2022 CR and CMI'!$A$3:$D$207,3,FALSE)</f>
        <v>44562</v>
      </c>
      <c r="H4" s="82">
        <f>VLOOKUP(A4,'2022 CR and CMI'!$A$3:$D$207,4,FALSE)</f>
        <v>44926</v>
      </c>
      <c r="I4" s="72">
        <f>VLOOKUP(A4,'2022 CR and CMI'!$A$2:$T$210,19,FALSE)</f>
        <v>2.0203000000000002</v>
      </c>
      <c r="J4" s="139">
        <f>Inflation!$G$24</f>
        <v>1.0309999999999999</v>
      </c>
      <c r="K4" s="194">
        <f>VLOOKUP(E4,Limits!$B$2:$D$5,3,FALSE)</f>
        <v>195.33</v>
      </c>
      <c r="L4" s="192">
        <f>ROUND(K4*J4,2)</f>
        <v>201.39</v>
      </c>
      <c r="M4" s="140">
        <f>VLOOKUP(A4,'CMI Data'!$A$4:$F$208,6,FALSE)</f>
        <v>3.84</v>
      </c>
      <c r="N4" s="68">
        <f t="shared" ref="N4:N21" si="94">IF(I4="NA","NA",ROUND(L4*I4/SW_CR_CMI,2))</f>
        <v>281.92</v>
      </c>
      <c r="O4" s="68">
        <f>IF($I4="NA",ROUND(M4*L4,2),ROUND(N4*(M4/$I4),2))</f>
        <v>535.85</v>
      </c>
      <c r="P4" s="75">
        <f>IF(I4="NA","NA",ROUND(O4*0.95,2))</f>
        <v>509.06</v>
      </c>
      <c r="Q4" s="75">
        <v>261.45</v>
      </c>
      <c r="R4" s="75">
        <f>IF(Q4="NA","NA",ROUND(Q4*J4,2))</f>
        <v>269.55</v>
      </c>
      <c r="S4" s="68">
        <f>IF($I4="NA","NA",ROUND(R4*M4/$I4,2))</f>
        <v>512.34</v>
      </c>
      <c r="T4" s="75">
        <f>IF(S4="NA","NA",MIN(S4-P4,0))</f>
        <v>0</v>
      </c>
      <c r="U4" s="68">
        <f>IF(T4="NA",O4,O4+T4)</f>
        <v>535.85</v>
      </c>
      <c r="V4" s="68">
        <f>VLOOKUP(F4,Limits!$J$2:$L$5,3,FALSE)</f>
        <v>24.89</v>
      </c>
      <c r="W4" s="68">
        <f>ROUND(V4*J4,2)</f>
        <v>25.66</v>
      </c>
      <c r="X4" s="68">
        <f>VLOOKUP(F4,Limits!$R$2:$T$5,3,FALSE)</f>
        <v>114.15</v>
      </c>
      <c r="Y4" s="68">
        <f>ROUND(X4*J4,2)</f>
        <v>117.69</v>
      </c>
      <c r="Z4" s="75">
        <f>VLOOKUP(A4,FRV!$A$4:$U$208,21,FALSE)</f>
        <v>44.06</v>
      </c>
      <c r="AA4" s="141">
        <f>VLOOKUP(A4,'RE Tax'!$A$2:$G$206,3,FALSE)</f>
        <v>45292</v>
      </c>
      <c r="AB4" s="141">
        <f>VLOOKUP(A4,'RE Tax'!$A$2:$G$206,4,FALSE)</f>
        <v>45657</v>
      </c>
      <c r="AC4" s="4">
        <f>VLOOKUP(A4,'RE Tax'!$A$2:$G$206,7,FALSE)</f>
        <v>129076</v>
      </c>
      <c r="AD4" s="4">
        <f>VLOOKUP(A4,'RE Tax'!$A$2:$I$206,9,FALSE)</f>
        <v>36234</v>
      </c>
      <c r="AE4" s="4">
        <f>VLOOKUP(A4,'RE Tax'!$A$2:$I$206,8,FALSE)</f>
        <v>32015</v>
      </c>
      <c r="AF4" s="142">
        <f>IF(ISNA(VLOOKUP(A4&amp;AB4,'Days Exceptions'!$C$3:$I$7,6,FALSE)),ROUND(AC4/MAX(AE4,(AD4*Min_Occ)),2),ROUND(AC4/VLOOKUP(A4&amp;AB4,'Days Exceptions'!$C$3:$I$7,6,FALSE),2))</f>
        <v>4.03</v>
      </c>
      <c r="AG4" s="68">
        <v>0</v>
      </c>
      <c r="AH4" s="68">
        <f>ROUND(AG4*J4,2)</f>
        <v>0</v>
      </c>
      <c r="AI4" s="4">
        <v>26031</v>
      </c>
      <c r="AJ4" s="4">
        <v>31841</v>
      </c>
      <c r="AK4" s="68">
        <f>IF(AI4=0,0,IF(ISNA(MATCH(A4,Documentation!$B$66:$B$71,0)),QA_Tax_reg,QA_Tax_5high))</f>
        <v>32.92</v>
      </c>
      <c r="AL4" s="75">
        <f>IF(AK4=0,0,ROUND((AK4*AI4)/AJ4,2))</f>
        <v>26.91</v>
      </c>
      <c r="AM4" s="68">
        <f>AH4+AF4+Z4+Y4+W4+U4</f>
        <v>727.29</v>
      </c>
      <c r="AN4" s="68">
        <f>AH4+AF4+Z4+Y4+W4+ROUND(U4*0.5,2)</f>
        <v>459.37</v>
      </c>
      <c r="AO4" s="68">
        <f>AH4+AF4+Z4+Y4+W4</f>
        <v>191.44</v>
      </c>
      <c r="AP4" s="1" t="s">
        <v>439</v>
      </c>
      <c r="AQ4" s="1" t="s">
        <v>435</v>
      </c>
      <c r="AR4" s="5" t="s">
        <v>851</v>
      </c>
      <c r="AS4" s="66">
        <f>VLOOKUP(A4,'CMI Data'!$A$3:$K$209,11,FALSE)</f>
        <v>0</v>
      </c>
      <c r="AT4" s="68">
        <f t="shared" ref="AT4:AT21" si="95">IF($I4="NA","NA",ROUND($K4*$I4/SW_CR_CMI,2))</f>
        <v>273.44</v>
      </c>
      <c r="AU4" s="68">
        <f t="shared" ref="AU4:AU21" si="96">IF($I4="NA",ROUND(AS4*K4,2),ROUND(AT4*(AS4/$I4),2))</f>
        <v>0</v>
      </c>
      <c r="AV4" s="75">
        <f t="shared" ref="AV4:AV21" si="97">IF($I4="NA","NA",ROUND(AU4*0.95,2))</f>
        <v>0</v>
      </c>
      <c r="AW4" s="68" t="e">
        <f>IF($I4="NA","NA",ROUND(#REF!*$AS4/$I4,2))</f>
        <v>#REF!</v>
      </c>
      <c r="AX4" s="75" t="e">
        <f t="shared" ref="AX4:AX21" si="98">IF(AW4="NA","NA",MIN(AW4-AV4,0))</f>
        <v>#REF!</v>
      </c>
      <c r="AY4" s="68" t="e">
        <f>IF(AX4="NA",AU4,AU4+AX4)</f>
        <v>#REF!</v>
      </c>
      <c r="AZ4" s="4">
        <f t="shared" ref="AZ4:AZ21" si="99">$AC4</f>
        <v>129076</v>
      </c>
      <c r="BA4" s="4">
        <f t="shared" ref="BA4:BA21" si="100">$AD4</f>
        <v>36234</v>
      </c>
      <c r="BB4" s="4">
        <f t="shared" ref="BB4:BB21" si="101">$AE4</f>
        <v>32015</v>
      </c>
      <c r="BC4" s="142">
        <f>IF(ISNA(VLOOKUP($A4&amp;$AB4,'Days Exceptions'!$C$3:$I$7,6,FALSE)),ROUND(AZ4/MAX(BB4,(BA4*Min_Occ)),2),ROUND(AZ4/VLOOKUP($A4&amp;$AB4,'Days Exceptions'!$C$3:$I$7,6,FALSE),2))</f>
        <v>4.03</v>
      </c>
      <c r="BD4" s="143" t="e">
        <f t="shared" ref="BD4:BD21" si="102">$BC4+$AY4+$AG4+$Z4+$X4+$V4</f>
        <v>#REF!</v>
      </c>
      <c r="BE4" s="143" t="e">
        <f t="shared" ref="BE4:BE21" si="103">$BC4+$AG4+$Z4+$X4+$V4+ROUND($AY4*0.5,2)</f>
        <v>#REF!</v>
      </c>
      <c r="BF4" s="143">
        <f t="shared" ref="BF4:BF21" si="104">$BC4+$AG4+$Z4+$X4+$V4</f>
        <v>187.13</v>
      </c>
      <c r="BG4" s="1" t="s">
        <v>439</v>
      </c>
      <c r="BH4" s="1" t="s">
        <v>435</v>
      </c>
      <c r="BI4" s="5" t="s">
        <v>869</v>
      </c>
      <c r="BJ4" s="66">
        <f>VLOOKUP($A4,'CMI Data'!$A$3:$AK$209,16,FALSE)</f>
        <v>0</v>
      </c>
      <c r="BK4" s="68">
        <f t="shared" ref="BK4:BK21" si="105">IF($I4="NA","NA",ROUND($K4*$I4/SW_CR_CMI,2))</f>
        <v>273.44</v>
      </c>
      <c r="BL4" s="68">
        <f t="shared" ref="BL4:BL21" si="106">IF($I4="NA",ROUND(BJ4*K4,2),ROUND(BK4*(BJ4/$I4),2))</f>
        <v>0</v>
      </c>
      <c r="BM4" s="75">
        <f t="shared" ref="BM4:BM21" si="107">IF($I4="NA","NA",ROUND(BL4*0.95,2))</f>
        <v>0</v>
      </c>
      <c r="BN4" s="68" t="e">
        <f>IF($I4="NA","NA",ROUND(#REF!*$BJ4/$I4,2))</f>
        <v>#REF!</v>
      </c>
      <c r="BO4" s="75" t="e">
        <f t="shared" ref="BO4:BO21" si="108">IF(BN4="NA","NA",MIN(BN4-BM4,0))</f>
        <v>#REF!</v>
      </c>
      <c r="BP4" s="68" t="e">
        <f t="shared" ref="BP4:BP21" si="109">IF(BO4="NA",BL4,BL4+BO4)</f>
        <v>#REF!</v>
      </c>
      <c r="BQ4" s="4">
        <f t="shared" ref="BQ4:BQ21" si="110">$AC4</f>
        <v>129076</v>
      </c>
      <c r="BR4" s="4">
        <f t="shared" ref="BR4:BR21" si="111">$AD4</f>
        <v>36234</v>
      </c>
      <c r="BS4" s="4">
        <f t="shared" ref="BS4:BS21" si="112">$AE4</f>
        <v>32015</v>
      </c>
      <c r="BT4" s="142">
        <f>IF(ISNA(VLOOKUP($A4&amp;$AB4,'Days Exceptions'!$C$3:$I$7,6,FALSE)),ROUND(BQ4/MAX(BS4,(BR4*Min_Occ)),2),ROUND(BQ4/VLOOKUP($A4&amp;$AB4,'Days Exceptions'!$C$3:$I$7,6,FALSE),2))</f>
        <v>4.03</v>
      </c>
      <c r="BU4" s="143" t="e">
        <f t="shared" ref="BU4:BU21" si="113">$BT4+$BP4+$AG4+$Z4+$X4+$V4</f>
        <v>#REF!</v>
      </c>
      <c r="BV4" s="143" t="e">
        <f t="shared" ref="BV4:BV21" si="114">$BT4+$AG4+$Z4+$X4+$V4+ROUND(+$BP4*0.5,2)</f>
        <v>#REF!</v>
      </c>
      <c r="BW4" s="143">
        <f t="shared" ref="BW4:BW21" si="115">$BT4+$AG4+$Z4+$X4+$V4</f>
        <v>187.13</v>
      </c>
      <c r="BX4" s="1" t="s">
        <v>439</v>
      </c>
      <c r="BY4" s="1" t="s">
        <v>435</v>
      </c>
      <c r="BZ4" s="5" t="s">
        <v>887</v>
      </c>
      <c r="CA4" s="66">
        <f>VLOOKUP($A4,'CMI Data'!$A$3:$AK$209,21,FALSE)</f>
        <v>0</v>
      </c>
      <c r="CB4" s="68">
        <f t="shared" ref="CB4:CB21" si="116">IF($I4="NA","NA",ROUND($K4*$I4/SW_CR_CMI,2))</f>
        <v>273.44</v>
      </c>
      <c r="CC4" s="68">
        <f t="shared" ref="CC4:CC21" si="117">IF($I4="NA",ROUND(CA4*K4,2),ROUND(CB4*(CA4/$I4),2))</f>
        <v>0</v>
      </c>
      <c r="CD4" s="75">
        <f t="shared" ref="CD4:CD21" si="118">IF($I4="NA","NA",ROUND(CC4*0.95,2))</f>
        <v>0</v>
      </c>
      <c r="CE4" s="68" t="e">
        <f>IF($I4="NA","NA",ROUND(#REF!*$CA4/$I4,2))</f>
        <v>#REF!</v>
      </c>
      <c r="CF4" s="75" t="e">
        <f t="shared" ref="CF4:CF21" si="119">IF(CE4="NA","NA",MIN(CE4-CD4,0))</f>
        <v>#REF!</v>
      </c>
      <c r="CG4" s="68" t="e">
        <f t="shared" ref="CG4:CG21" si="120">IF(CF4="NA",CC4,CC4+CF4)</f>
        <v>#REF!</v>
      </c>
      <c r="CH4" s="4">
        <f t="shared" ref="CH4:CH21" si="121">$AC4</f>
        <v>129076</v>
      </c>
      <c r="CI4" s="4">
        <f t="shared" ref="CI4:CI21" si="122">$AD4</f>
        <v>36234</v>
      </c>
      <c r="CJ4" s="4">
        <f t="shared" ref="CJ4:CJ21" si="123">$AE4</f>
        <v>32015</v>
      </c>
      <c r="CK4" s="142">
        <f>IF(ISNA(VLOOKUP($A4&amp;$AB4,'Days Exceptions'!$C$3:$I$7,6,FALSE)),ROUND(CH4/MAX(CJ4,(CI4*Min_Occ)),2),ROUND(CH4/VLOOKUP($A4&amp;$AB4,'Days Exceptions'!$C$3:$I$7,6,FALSE),2))</f>
        <v>4.03</v>
      </c>
      <c r="CL4" s="143" t="e">
        <f t="shared" ref="CL4:CL21" si="124">$CK4+$CG4+$AG4+$Z4+$X4+$V4</f>
        <v>#REF!</v>
      </c>
      <c r="CM4" s="143" t="e">
        <f t="shared" ref="CM4:CM21" si="125">$CK4+$AG4+$Z4+$X4+$V4+ROUND(+$CG4*0.5,2)</f>
        <v>#REF!</v>
      </c>
      <c r="CN4" s="143">
        <f t="shared" ref="CN4:CN21" si="126">$CK4+$AG4+$Z4+$X4+$V4</f>
        <v>187.13</v>
      </c>
      <c r="CO4" s="1" t="s">
        <v>439</v>
      </c>
      <c r="CP4" s="1" t="s">
        <v>435</v>
      </c>
      <c r="CQ4" s="5" t="s">
        <v>905</v>
      </c>
    </row>
    <row r="5" spans="1:95" s="37" customFormat="1" x14ac:dyDescent="0.15">
      <c r="A5" s="138">
        <v>58</v>
      </c>
      <c r="B5" s="1" t="s">
        <v>42</v>
      </c>
      <c r="C5" s="1" t="s">
        <v>148</v>
      </c>
      <c r="D5" s="1" t="s">
        <v>127</v>
      </c>
      <c r="E5" s="1" t="str">
        <f>VLOOKUP(D5,Documentation!$B$4:$D$27,3,FALSE)</f>
        <v>EASTERN REGION</v>
      </c>
      <c r="F5" s="1" t="str">
        <f>VLOOKUP(D5,Documentation!$B$4:$C$27,2,FALSE)</f>
        <v>NON METRO</v>
      </c>
      <c r="G5" s="82">
        <f>VLOOKUP(A5,'2022 CR and CMI'!$A$3:$D$207,3,FALSE)</f>
        <v>44562</v>
      </c>
      <c r="H5" s="82">
        <f>VLOOKUP(A5,'2022 CR and CMI'!$A$3:$D$207,4,FALSE)</f>
        <v>44926</v>
      </c>
      <c r="I5" s="72">
        <f>VLOOKUP(A5,'2022 CR and CMI'!$A$2:$T$210,19,FALSE)</f>
        <v>1.6071</v>
      </c>
      <c r="J5" s="139">
        <f>Inflation!$G$24</f>
        <v>1.0309999999999999</v>
      </c>
      <c r="K5" s="194">
        <f>VLOOKUP(E5,Limits!$B$2:$D$5,3,FALSE)</f>
        <v>186.31</v>
      </c>
      <c r="L5" s="192">
        <f t="shared" ref="L5:L21" si="127">ROUND(K5*J5,2)</f>
        <v>192.09</v>
      </c>
      <c r="M5" s="140">
        <f>VLOOKUP(A5,'CMI Data'!$A$4:$F$208,6,FALSE)</f>
        <v>3.84</v>
      </c>
      <c r="N5" s="68">
        <f t="shared" si="94"/>
        <v>213.91</v>
      </c>
      <c r="O5" s="68">
        <f t="shared" ref="O5:O21" si="128">IF($I5="NA",ROUND(M5*L5,2),ROUND(N5*(M5/$I5),2))</f>
        <v>511.12</v>
      </c>
      <c r="P5" s="75">
        <f t="shared" ref="P5:P21" si="129">IF(I5="NA","NA",ROUND(O5*0.95,2))</f>
        <v>485.56</v>
      </c>
      <c r="Q5" s="75">
        <v>150.38</v>
      </c>
      <c r="R5" s="75">
        <f t="shared" ref="R5:R21" si="130">IF(Q5="NA","NA",ROUND(Q5*J5,2))</f>
        <v>155.04</v>
      </c>
      <c r="S5" s="68">
        <f t="shared" ref="S5:S21" si="131">IF($I5="NA","NA",ROUND(R5*M5/$I5,2))</f>
        <v>370.45</v>
      </c>
      <c r="T5" s="75">
        <f t="shared" ref="T5:T21" si="132">IF(S5="NA","NA",MIN(S5-P5,0))</f>
        <v>-115.11</v>
      </c>
      <c r="U5" s="68">
        <f t="shared" ref="U5:U21" si="133">IF(T5="NA",O5,O5+T5)</f>
        <v>396.01</v>
      </c>
      <c r="V5" s="68">
        <f>VLOOKUP(F5,Limits!$J$2:$L$5,3,FALSE)</f>
        <v>20.239999999999998</v>
      </c>
      <c r="W5" s="68">
        <f t="shared" ref="W5:W21" si="134">ROUND(V5*J5,2)</f>
        <v>20.87</v>
      </c>
      <c r="X5" s="68">
        <f>VLOOKUP(F5,Limits!$R$2:$T$5,3,FALSE)</f>
        <v>89.55</v>
      </c>
      <c r="Y5" s="68">
        <f t="shared" ref="Y5:Y21" si="135">ROUND(X5*J5,2)</f>
        <v>92.33</v>
      </c>
      <c r="Z5" s="75">
        <f>VLOOKUP(A5,FRV!$A$4:$U$208,21,FALSE)</f>
        <v>44.29</v>
      </c>
      <c r="AA5" s="141">
        <f>VLOOKUP(A5,'RE Tax'!$A$2:$G$206,3,FALSE)</f>
        <v>45292</v>
      </c>
      <c r="AB5" s="141">
        <f>VLOOKUP(A5,'RE Tax'!$A$2:$G$206,4,FALSE)</f>
        <v>45657</v>
      </c>
      <c r="AC5" s="4">
        <f>VLOOKUP(A5,'RE Tax'!$A$2:$G$206,7,FALSE)</f>
        <v>214114</v>
      </c>
      <c r="AD5" s="4">
        <f>VLOOKUP(A5,'RE Tax'!$A$2:$I$206,9,FALSE)</f>
        <v>57462</v>
      </c>
      <c r="AE5" s="4">
        <f>VLOOKUP(A5,'RE Tax'!$A$2:$I$206,8,FALSE)</f>
        <v>32276</v>
      </c>
      <c r="AF5" s="142">
        <f>IF(ISNA(VLOOKUP(A5&amp;AB5,'Days Exceptions'!$C$3:$I$7,6,FALSE)),ROUND(AC5/MAX(AE5,(AD5*Min_Occ)),2),ROUND(AC5/VLOOKUP(A5&amp;AB5,'Days Exceptions'!$C$3:$I$7,6,FALSE),2))</f>
        <v>4.57</v>
      </c>
      <c r="AG5" s="68">
        <v>0</v>
      </c>
      <c r="AH5" s="68">
        <f t="shared" ref="AH5:AH21" si="136">ROUND(AG5*J5,2)</f>
        <v>0</v>
      </c>
      <c r="AI5" s="4">
        <v>26034</v>
      </c>
      <c r="AJ5" s="4">
        <v>32276</v>
      </c>
      <c r="AK5" s="68">
        <f>IF(AI5=0,0,IF(ISNA(MATCH(A5,Documentation!$B$66:$B$71,0)),QA_Tax_reg,QA_Tax_5high))</f>
        <v>32.92</v>
      </c>
      <c r="AL5" s="75">
        <f t="shared" ref="AL5:AL21" si="137">IF(AK5=0,0,ROUND((AK5*AI5)/AJ5,2))</f>
        <v>26.55</v>
      </c>
      <c r="AM5" s="68">
        <f t="shared" ref="AM5:AM21" si="138">AH5+AF5+Z5+Y5+W5+U5</f>
        <v>558.07000000000005</v>
      </c>
      <c r="AN5" s="68">
        <f t="shared" ref="AN5:AN21" si="139">AH5+AF5+Z5+Y5+W5+ROUND(U5*0.5,2)</f>
        <v>360.07</v>
      </c>
      <c r="AO5" s="68">
        <f t="shared" ref="AO5:AO21" si="140">AH5+AF5+Z5+Y5+W5</f>
        <v>162.06</v>
      </c>
      <c r="AP5" s="1" t="s">
        <v>372</v>
      </c>
      <c r="AQ5" s="1" t="s">
        <v>42</v>
      </c>
      <c r="AR5" s="5" t="s">
        <v>852</v>
      </c>
      <c r="AS5" s="66">
        <f>VLOOKUP(A5,'CMI Data'!$A$3:$K$209,11,FALSE)</f>
        <v>0</v>
      </c>
      <c r="AT5" s="68">
        <f t="shared" si="95"/>
        <v>207.47</v>
      </c>
      <c r="AU5" s="68">
        <f t="shared" si="96"/>
        <v>0</v>
      </c>
      <c r="AV5" s="75">
        <f t="shared" si="97"/>
        <v>0</v>
      </c>
      <c r="AW5" s="68" t="e">
        <f>IF($I5="NA","NA",ROUND(#REF!*$AS5/$I5,2))</f>
        <v>#REF!</v>
      </c>
      <c r="AX5" s="75" t="e">
        <f t="shared" si="98"/>
        <v>#REF!</v>
      </c>
      <c r="AY5" s="68" t="e">
        <f t="shared" ref="AY5:AY21" si="141">IF(AX5="NA",AU5,AU5+AX5)</f>
        <v>#REF!</v>
      </c>
      <c r="AZ5" s="4">
        <f t="shared" si="99"/>
        <v>214114</v>
      </c>
      <c r="BA5" s="4">
        <f t="shared" si="100"/>
        <v>57462</v>
      </c>
      <c r="BB5" s="4">
        <f t="shared" si="101"/>
        <v>32276</v>
      </c>
      <c r="BC5" s="142">
        <f>IF(ISNA(VLOOKUP($A5&amp;$AB5,'Days Exceptions'!$C$3:$I$7,6,FALSE)),ROUND(AZ5/MAX(BB5,(BA5*Min_Occ)),2),ROUND(AZ5/VLOOKUP($A5&amp;$AB5,'Days Exceptions'!$C$3:$I$7,6,FALSE),2))</f>
        <v>4.57</v>
      </c>
      <c r="BD5" s="143" t="e">
        <f t="shared" si="102"/>
        <v>#REF!</v>
      </c>
      <c r="BE5" s="143" t="e">
        <f t="shared" si="103"/>
        <v>#REF!</v>
      </c>
      <c r="BF5" s="143">
        <f t="shared" si="104"/>
        <v>158.65</v>
      </c>
      <c r="BG5" s="1" t="s">
        <v>372</v>
      </c>
      <c r="BH5" s="1" t="s">
        <v>42</v>
      </c>
      <c r="BI5" s="5" t="s">
        <v>870</v>
      </c>
      <c r="BJ5" s="66">
        <f>VLOOKUP($A5,'CMI Data'!$A$3:$AK$209,16,FALSE)</f>
        <v>0</v>
      </c>
      <c r="BK5" s="68">
        <f t="shared" si="105"/>
        <v>207.47</v>
      </c>
      <c r="BL5" s="68">
        <f t="shared" si="106"/>
        <v>0</v>
      </c>
      <c r="BM5" s="75">
        <f t="shared" si="107"/>
        <v>0</v>
      </c>
      <c r="BN5" s="68" t="e">
        <f>IF($I5="NA","NA",ROUND(#REF!*$BJ5/$I5,2))</f>
        <v>#REF!</v>
      </c>
      <c r="BO5" s="75" t="e">
        <f t="shared" si="108"/>
        <v>#REF!</v>
      </c>
      <c r="BP5" s="68" t="e">
        <f t="shared" si="109"/>
        <v>#REF!</v>
      </c>
      <c r="BQ5" s="4">
        <f t="shared" si="110"/>
        <v>214114</v>
      </c>
      <c r="BR5" s="4">
        <f t="shared" si="111"/>
        <v>57462</v>
      </c>
      <c r="BS5" s="4">
        <f t="shared" si="112"/>
        <v>32276</v>
      </c>
      <c r="BT5" s="142">
        <f>IF(ISNA(VLOOKUP($A5&amp;$AB5,'Days Exceptions'!$C$3:$I$7,6,FALSE)),ROUND(BQ5/MAX(BS5,(BR5*Min_Occ)),2),ROUND(BQ5/VLOOKUP($A5&amp;$AB5,'Days Exceptions'!$C$3:$I$7,6,FALSE),2))</f>
        <v>4.57</v>
      </c>
      <c r="BU5" s="143" t="e">
        <f t="shared" si="113"/>
        <v>#REF!</v>
      </c>
      <c r="BV5" s="143" t="e">
        <f t="shared" si="114"/>
        <v>#REF!</v>
      </c>
      <c r="BW5" s="143">
        <f t="shared" si="115"/>
        <v>158.65</v>
      </c>
      <c r="BX5" s="1" t="s">
        <v>372</v>
      </c>
      <c r="BY5" s="1" t="s">
        <v>42</v>
      </c>
      <c r="BZ5" s="5" t="s">
        <v>888</v>
      </c>
      <c r="CA5" s="66">
        <f>VLOOKUP($A5,'CMI Data'!$A$3:$AK$209,21,FALSE)</f>
        <v>0</v>
      </c>
      <c r="CB5" s="68">
        <f t="shared" si="116"/>
        <v>207.47</v>
      </c>
      <c r="CC5" s="68">
        <f t="shared" si="117"/>
        <v>0</v>
      </c>
      <c r="CD5" s="75">
        <f t="shared" si="118"/>
        <v>0</v>
      </c>
      <c r="CE5" s="68" t="e">
        <f>IF($I5="NA","NA",ROUND(#REF!*$CA5/$I5,2))</f>
        <v>#REF!</v>
      </c>
      <c r="CF5" s="75" t="e">
        <f t="shared" si="119"/>
        <v>#REF!</v>
      </c>
      <c r="CG5" s="68" t="e">
        <f>IF(CF5="NA",CC5,CC5+CF5)</f>
        <v>#REF!</v>
      </c>
      <c r="CH5" s="4">
        <f t="shared" si="121"/>
        <v>214114</v>
      </c>
      <c r="CI5" s="4">
        <f t="shared" si="122"/>
        <v>57462</v>
      </c>
      <c r="CJ5" s="4">
        <f t="shared" si="123"/>
        <v>32276</v>
      </c>
      <c r="CK5" s="142">
        <f>IF(ISNA(VLOOKUP($A5&amp;$AB5,'Days Exceptions'!$C$3:$I$7,6,FALSE)),ROUND(CH5/MAX(CJ5,(CI5*Min_Occ)),2),ROUND(CH5/VLOOKUP($A5&amp;$AB5,'Days Exceptions'!$C$3:$I$7,6,FALSE),2))</f>
        <v>4.57</v>
      </c>
      <c r="CL5" s="143" t="e">
        <f t="shared" si="124"/>
        <v>#REF!</v>
      </c>
      <c r="CM5" s="143" t="e">
        <f t="shared" si="125"/>
        <v>#REF!</v>
      </c>
      <c r="CN5" s="143">
        <f t="shared" si="126"/>
        <v>158.65</v>
      </c>
      <c r="CO5" s="1" t="s">
        <v>372</v>
      </c>
      <c r="CP5" s="1" t="s">
        <v>42</v>
      </c>
      <c r="CQ5" s="5" t="s">
        <v>906</v>
      </c>
    </row>
    <row r="6" spans="1:95" s="37" customFormat="1" x14ac:dyDescent="0.15">
      <c r="A6" s="138">
        <v>108</v>
      </c>
      <c r="B6" s="1" t="s">
        <v>364</v>
      </c>
      <c r="C6" s="1" t="s">
        <v>148</v>
      </c>
      <c r="D6" s="1" t="s">
        <v>114</v>
      </c>
      <c r="E6" s="1" t="str">
        <f>VLOOKUP(D6,Documentation!$B$4:$D$27,3,FALSE)</f>
        <v>WASHINGTON METRO</v>
      </c>
      <c r="F6" s="1" t="str">
        <f>VLOOKUP(D6,Documentation!$B$4:$C$27,2,FALSE)</f>
        <v>NON METRO</v>
      </c>
      <c r="G6" s="82">
        <f>VLOOKUP(A6,'2022 CR and CMI'!$A$3:$D$207,3,FALSE)</f>
        <v>44378</v>
      </c>
      <c r="H6" s="82">
        <f>VLOOKUP(A6,'2022 CR and CMI'!$A$3:$D$207,4,FALSE)</f>
        <v>44742</v>
      </c>
      <c r="I6" s="72">
        <f>VLOOKUP(A6,'2022 CR and CMI'!$A$2:$T$210,19,FALSE)</f>
        <v>1.5765</v>
      </c>
      <c r="J6" s="139">
        <f>Inflation!$G$24</f>
        <v>1.0309999999999999</v>
      </c>
      <c r="K6" s="194">
        <f>VLOOKUP(E6,Limits!$B$2:$D$5,3,FALSE)</f>
        <v>176.01</v>
      </c>
      <c r="L6" s="192">
        <f t="shared" si="127"/>
        <v>181.47</v>
      </c>
      <c r="M6" s="140">
        <f>VLOOKUP(A6,'CMI Data'!$A$4:$F$208,6,FALSE)</f>
        <v>3.84</v>
      </c>
      <c r="N6" s="68">
        <f t="shared" si="94"/>
        <v>198.23</v>
      </c>
      <c r="O6" s="68">
        <f t="shared" si="128"/>
        <v>482.84</v>
      </c>
      <c r="P6" s="75">
        <f t="shared" si="129"/>
        <v>458.7</v>
      </c>
      <c r="Q6" s="75">
        <v>226.45</v>
      </c>
      <c r="R6" s="75">
        <f t="shared" si="130"/>
        <v>233.47</v>
      </c>
      <c r="S6" s="68">
        <f t="shared" si="131"/>
        <v>568.67999999999995</v>
      </c>
      <c r="T6" s="75">
        <f t="shared" si="132"/>
        <v>0</v>
      </c>
      <c r="U6" s="68">
        <f t="shared" si="133"/>
        <v>482.84</v>
      </c>
      <c r="V6" s="68">
        <f>VLOOKUP(F6,Limits!$J$2:$L$5,3,FALSE)</f>
        <v>20.239999999999998</v>
      </c>
      <c r="W6" s="68">
        <f t="shared" si="134"/>
        <v>20.87</v>
      </c>
      <c r="X6" s="68">
        <f>VLOOKUP(F6,Limits!$R$2:$T$5,3,FALSE)</f>
        <v>89.55</v>
      </c>
      <c r="Y6" s="68">
        <f t="shared" si="135"/>
        <v>92.33</v>
      </c>
      <c r="Z6" s="75">
        <f>VLOOKUP(A6,FRV!$A$4:$U$208,21,FALSE)</f>
        <v>38.92</v>
      </c>
      <c r="AA6" s="141">
        <f>VLOOKUP(A6,'RE Tax'!$A$2:$G$206,3,FALSE)</f>
        <v>45108</v>
      </c>
      <c r="AB6" s="141">
        <f>VLOOKUP(A6,'RE Tax'!$A$2:$G$206,4,FALSE)</f>
        <v>45473</v>
      </c>
      <c r="AC6" s="4">
        <f>VLOOKUP(A6,'RE Tax'!$A$2:$G$206,7,FALSE)</f>
        <v>0</v>
      </c>
      <c r="AD6" s="4">
        <f>VLOOKUP(A6,'RE Tax'!$A$2:$I$206,9,FALSE)</f>
        <v>62952</v>
      </c>
      <c r="AE6" s="4">
        <f>VLOOKUP(A6,'RE Tax'!$A$2:$I$206,8,FALSE)</f>
        <v>59270</v>
      </c>
      <c r="AF6" s="142">
        <f>IF(ISNA(VLOOKUP(A6&amp;AB6,'Days Exceptions'!$C$3:$I$7,6,FALSE)),ROUND(AC6/MAX(AE6,(AD6*Min_Occ)),2),ROUND(AC6/VLOOKUP(A6&amp;AB6,'Days Exceptions'!$C$3:$I$7,6,FALSE),2))</f>
        <v>0</v>
      </c>
      <c r="AG6" s="68">
        <v>0</v>
      </c>
      <c r="AH6" s="68">
        <f t="shared" si="136"/>
        <v>0</v>
      </c>
      <c r="AI6" s="4">
        <v>47755</v>
      </c>
      <c r="AJ6" s="4">
        <v>58882</v>
      </c>
      <c r="AK6" s="68">
        <f>IF(AI6=0,0,IF(ISNA(MATCH(A6,Documentation!$B$66:$B$71,0)),QA_Tax_reg,QA_Tax_5high))</f>
        <v>32.92</v>
      </c>
      <c r="AL6" s="75">
        <f t="shared" si="137"/>
        <v>26.7</v>
      </c>
      <c r="AM6" s="68">
        <f t="shared" si="138"/>
        <v>634.96</v>
      </c>
      <c r="AN6" s="68">
        <f t="shared" si="139"/>
        <v>393.54</v>
      </c>
      <c r="AO6" s="68">
        <f t="shared" si="140"/>
        <v>152.12</v>
      </c>
      <c r="AP6" s="1" t="s">
        <v>202</v>
      </c>
      <c r="AQ6" s="1" t="s">
        <v>364</v>
      </c>
      <c r="AR6" s="5" t="s">
        <v>853</v>
      </c>
      <c r="AS6" s="66">
        <f>VLOOKUP(A6,'CMI Data'!$A$3:$K$209,11,FALSE)</f>
        <v>0</v>
      </c>
      <c r="AT6" s="68">
        <f t="shared" si="95"/>
        <v>192.27</v>
      </c>
      <c r="AU6" s="68">
        <f t="shared" si="96"/>
        <v>0</v>
      </c>
      <c r="AV6" s="75">
        <f t="shared" si="97"/>
        <v>0</v>
      </c>
      <c r="AW6" s="68" t="e">
        <f>IF($I6="NA","NA",ROUND(#REF!*$AS6/$I6,2))</f>
        <v>#REF!</v>
      </c>
      <c r="AX6" s="75" t="e">
        <f t="shared" si="98"/>
        <v>#REF!</v>
      </c>
      <c r="AY6" s="68" t="e">
        <f t="shared" si="141"/>
        <v>#REF!</v>
      </c>
      <c r="AZ6" s="4">
        <f t="shared" si="99"/>
        <v>0</v>
      </c>
      <c r="BA6" s="4">
        <f t="shared" si="100"/>
        <v>62952</v>
      </c>
      <c r="BB6" s="4">
        <f t="shared" si="101"/>
        <v>59270</v>
      </c>
      <c r="BC6" s="142">
        <f>IF(ISNA(VLOOKUP($A6&amp;$AB6,'Days Exceptions'!$C$3:$I$7,6,FALSE)),ROUND(AZ6/MAX(BB6,(BA6*Min_Occ)),2),ROUND(AZ6/VLOOKUP($A6&amp;$AB6,'Days Exceptions'!$C$3:$I$7,6,FALSE),2))</f>
        <v>0</v>
      </c>
      <c r="BD6" s="143" t="e">
        <f t="shared" si="102"/>
        <v>#REF!</v>
      </c>
      <c r="BE6" s="143" t="e">
        <f t="shared" si="103"/>
        <v>#REF!</v>
      </c>
      <c r="BF6" s="143">
        <f t="shared" si="104"/>
        <v>148.71</v>
      </c>
      <c r="BG6" s="1" t="s">
        <v>202</v>
      </c>
      <c r="BH6" s="1" t="s">
        <v>364</v>
      </c>
      <c r="BI6" s="5" t="s">
        <v>871</v>
      </c>
      <c r="BJ6" s="66">
        <f>VLOOKUP($A6,'CMI Data'!$A$3:$AK$209,16,FALSE)</f>
        <v>0</v>
      </c>
      <c r="BK6" s="68">
        <f t="shared" si="105"/>
        <v>192.27</v>
      </c>
      <c r="BL6" s="68">
        <f t="shared" si="106"/>
        <v>0</v>
      </c>
      <c r="BM6" s="75">
        <f t="shared" si="107"/>
        <v>0</v>
      </c>
      <c r="BN6" s="68" t="e">
        <f>IF($I6="NA","NA",ROUND(#REF!*$BJ6/$I6,2))</f>
        <v>#REF!</v>
      </c>
      <c r="BO6" s="75" t="e">
        <f t="shared" si="108"/>
        <v>#REF!</v>
      </c>
      <c r="BP6" s="68" t="e">
        <f t="shared" si="109"/>
        <v>#REF!</v>
      </c>
      <c r="BQ6" s="4">
        <f t="shared" si="110"/>
        <v>0</v>
      </c>
      <c r="BR6" s="4">
        <f t="shared" si="111"/>
        <v>62952</v>
      </c>
      <c r="BS6" s="4">
        <f t="shared" si="112"/>
        <v>59270</v>
      </c>
      <c r="BT6" s="142">
        <f>IF(ISNA(VLOOKUP($A6&amp;$AB6,'Days Exceptions'!$C$3:$I$7,6,FALSE)),ROUND(BQ6/MAX(BS6,(BR6*Min_Occ)),2),ROUND(BQ6/VLOOKUP($A6&amp;$AB6,'Days Exceptions'!$C$3:$I$7,6,FALSE),2))</f>
        <v>0</v>
      </c>
      <c r="BU6" s="143" t="e">
        <f t="shared" si="113"/>
        <v>#REF!</v>
      </c>
      <c r="BV6" s="143" t="e">
        <f t="shared" si="114"/>
        <v>#REF!</v>
      </c>
      <c r="BW6" s="143">
        <f t="shared" si="115"/>
        <v>148.71</v>
      </c>
      <c r="BX6" s="1" t="s">
        <v>202</v>
      </c>
      <c r="BY6" s="1" t="s">
        <v>364</v>
      </c>
      <c r="BZ6" s="5" t="s">
        <v>889</v>
      </c>
      <c r="CA6" s="66">
        <f>VLOOKUP($A6,'CMI Data'!$A$3:$AK$209,21,FALSE)</f>
        <v>0</v>
      </c>
      <c r="CB6" s="68">
        <f t="shared" si="116"/>
        <v>192.27</v>
      </c>
      <c r="CC6" s="68">
        <f t="shared" si="117"/>
        <v>0</v>
      </c>
      <c r="CD6" s="75">
        <f t="shared" si="118"/>
        <v>0</v>
      </c>
      <c r="CE6" s="68" t="e">
        <f>IF($I6="NA","NA",ROUND(#REF!*$CA6/$I6,2))</f>
        <v>#REF!</v>
      </c>
      <c r="CF6" s="75" t="e">
        <f t="shared" si="119"/>
        <v>#REF!</v>
      </c>
      <c r="CG6" s="68" t="e">
        <f t="shared" si="120"/>
        <v>#REF!</v>
      </c>
      <c r="CH6" s="4">
        <f t="shared" si="121"/>
        <v>0</v>
      </c>
      <c r="CI6" s="4">
        <f t="shared" si="122"/>
        <v>62952</v>
      </c>
      <c r="CJ6" s="4">
        <f t="shared" si="123"/>
        <v>59270</v>
      </c>
      <c r="CK6" s="142">
        <f>IF(ISNA(VLOOKUP($A6&amp;$AB6,'Days Exceptions'!$C$3:$I$7,6,FALSE)),ROUND(CH6/MAX(CJ6,(CI6*Min_Occ)),2),ROUND(CH6/VLOOKUP($A6&amp;$AB6,'Days Exceptions'!$C$3:$I$7,6,FALSE),2))</f>
        <v>0</v>
      </c>
      <c r="CL6" s="143" t="e">
        <f t="shared" si="124"/>
        <v>#REF!</v>
      </c>
      <c r="CM6" s="143" t="e">
        <f t="shared" si="125"/>
        <v>#REF!</v>
      </c>
      <c r="CN6" s="143">
        <f t="shared" si="126"/>
        <v>148.71</v>
      </c>
      <c r="CO6" s="1" t="s">
        <v>202</v>
      </c>
      <c r="CP6" s="1" t="s">
        <v>364</v>
      </c>
      <c r="CQ6" s="5" t="s">
        <v>907</v>
      </c>
    </row>
    <row r="7" spans="1:95" s="37" customFormat="1" x14ac:dyDescent="0.15">
      <c r="A7" s="130">
        <v>118</v>
      </c>
      <c r="B7" s="1" t="s">
        <v>470</v>
      </c>
      <c r="C7" s="1" t="s">
        <v>148</v>
      </c>
      <c r="D7" s="1" t="s">
        <v>119</v>
      </c>
      <c r="E7" s="1" t="str">
        <f>VLOOKUP(D7,Documentation!$B$4:$D$27,3,FALSE)</f>
        <v>WASHINGTON METRO</v>
      </c>
      <c r="F7" s="1" t="str">
        <f>VLOOKUP(D7,Documentation!$B$4:$C$27,2,FALSE)</f>
        <v>WASHINGTON METRO</v>
      </c>
      <c r="G7" s="82">
        <f>VLOOKUP(A7,'2022 CR and CMI'!$A$3:$D$207,3,FALSE)</f>
        <v>44562</v>
      </c>
      <c r="H7" s="82">
        <f>VLOOKUP(A7,'2022 CR and CMI'!$A$3:$D$207,4,FALSE)</f>
        <v>44926</v>
      </c>
      <c r="I7" s="72">
        <f>VLOOKUP(A7,'2022 CR and CMI'!$A$2:$T$210,19,FALSE)</f>
        <v>1.5469999999999999</v>
      </c>
      <c r="J7" s="139">
        <f>Inflation!$G$24</f>
        <v>1.0309999999999999</v>
      </c>
      <c r="K7" s="194">
        <f>VLOOKUP(E7,Limits!$B$2:$D$5,3,FALSE)</f>
        <v>176.01</v>
      </c>
      <c r="L7" s="192">
        <f t="shared" si="127"/>
        <v>181.47</v>
      </c>
      <c r="M7" s="140">
        <f>VLOOKUP(A7,'CMI Data'!$A$4:$F$208,6,FALSE)</f>
        <v>3.84</v>
      </c>
      <c r="N7" s="68">
        <f t="shared" si="94"/>
        <v>194.52</v>
      </c>
      <c r="O7" s="68">
        <f t="shared" si="128"/>
        <v>482.84</v>
      </c>
      <c r="P7" s="75">
        <f t="shared" si="129"/>
        <v>458.7</v>
      </c>
      <c r="Q7" s="75">
        <v>149.41</v>
      </c>
      <c r="R7" s="75">
        <f t="shared" si="130"/>
        <v>154.04</v>
      </c>
      <c r="S7" s="68">
        <f t="shared" si="131"/>
        <v>382.36</v>
      </c>
      <c r="T7" s="75">
        <f t="shared" si="132"/>
        <v>-76.34</v>
      </c>
      <c r="U7" s="68">
        <f t="shared" si="133"/>
        <v>406.5</v>
      </c>
      <c r="V7" s="68">
        <f>VLOOKUP(F7,Limits!$J$2:$L$5,3,FALSE)</f>
        <v>19.23</v>
      </c>
      <c r="W7" s="68">
        <f t="shared" si="134"/>
        <v>19.829999999999998</v>
      </c>
      <c r="X7" s="68">
        <f>VLOOKUP(F7,Limits!$R$2:$T$5,3,FALSE)</f>
        <v>100.61</v>
      </c>
      <c r="Y7" s="68">
        <f t="shared" si="135"/>
        <v>103.73</v>
      </c>
      <c r="Z7" s="75">
        <f>VLOOKUP(A7,FRV!$A$4:$U$208,21,FALSE)</f>
        <v>32.96</v>
      </c>
      <c r="AA7" s="141">
        <f>VLOOKUP(A7,'RE Tax'!$A$2:$G$206,3,FALSE)</f>
        <v>45292</v>
      </c>
      <c r="AB7" s="141">
        <f>VLOOKUP(A7,'RE Tax'!$A$2:$G$206,4,FALSE)</f>
        <v>45657</v>
      </c>
      <c r="AC7" s="4">
        <f>VLOOKUP(A7,'RE Tax'!$A$2:$G$206,7,FALSE)</f>
        <v>212928</v>
      </c>
      <c r="AD7" s="4">
        <f>VLOOKUP(A7,'RE Tax'!$A$2:$I$206,9,FALSE)</f>
        <v>58560</v>
      </c>
      <c r="AE7" s="4">
        <f>VLOOKUP(A7,'RE Tax'!$A$2:$I$206,8,FALSE)</f>
        <v>55568</v>
      </c>
      <c r="AF7" s="142">
        <f>IF(ISNA(VLOOKUP(A7&amp;AB7,'Days Exceptions'!$C$3:$I$7,6,FALSE)),ROUND(AC7/MAX(AE7,(AD7*Min_Occ)),2),ROUND(AC7/VLOOKUP(A7&amp;AB7,'Days Exceptions'!$C$3:$I$7,6,FALSE),2))</f>
        <v>3.83</v>
      </c>
      <c r="AG7" s="68">
        <v>0</v>
      </c>
      <c r="AH7" s="68">
        <f t="shared" si="136"/>
        <v>0</v>
      </c>
      <c r="AI7" s="4">
        <v>42078</v>
      </c>
      <c r="AJ7" s="4">
        <v>55551</v>
      </c>
      <c r="AK7" s="68">
        <f>IF(AI7=0,0,IF(ISNA(MATCH(A7,Documentation!$B$66:$B$71,0)),QA_Tax_reg,QA_Tax_5high))</f>
        <v>32.92</v>
      </c>
      <c r="AL7" s="75">
        <f t="shared" ref="AL7" si="142">IF(AK7=0,0,ROUND((AK7*AI7)/AJ7,2))</f>
        <v>24.94</v>
      </c>
      <c r="AM7" s="68">
        <f t="shared" si="138"/>
        <v>566.85</v>
      </c>
      <c r="AN7" s="68">
        <f t="shared" si="139"/>
        <v>363.6</v>
      </c>
      <c r="AO7" s="68">
        <f t="shared" si="140"/>
        <v>160.35</v>
      </c>
      <c r="AP7" s="1" t="s">
        <v>469</v>
      </c>
      <c r="AQ7" s="1" t="s">
        <v>470</v>
      </c>
      <c r="AR7" s="37" t="s">
        <v>854</v>
      </c>
      <c r="AS7" s="66">
        <f>VLOOKUP(A7,'CMI Data'!$A$3:$K$209,11,FALSE)</f>
        <v>0</v>
      </c>
      <c r="AT7" s="68">
        <f t="shared" si="95"/>
        <v>188.67</v>
      </c>
      <c r="AU7" s="68">
        <f t="shared" si="96"/>
        <v>0</v>
      </c>
      <c r="AV7" s="75">
        <f t="shared" ref="AV7" si="143">IF($I7="NA","NA",ROUND(AU7*0.95,2))</f>
        <v>0</v>
      </c>
      <c r="AW7" s="68" t="e">
        <f>IF($I7="NA","NA",ROUND(#REF!*$AS7/$I7,2))</f>
        <v>#REF!</v>
      </c>
      <c r="AX7" s="75" t="e">
        <f t="shared" ref="AX7" si="144">IF(AW7="NA","NA",MIN(AW7-AV7,0))</f>
        <v>#REF!</v>
      </c>
      <c r="AY7" s="68" t="e">
        <f t="shared" ref="AY7" si="145">IF(AX7="NA",AU7,AU7+AX7)</f>
        <v>#REF!</v>
      </c>
      <c r="AZ7" s="4">
        <f t="shared" si="99"/>
        <v>212928</v>
      </c>
      <c r="BA7" s="4">
        <f t="shared" si="100"/>
        <v>58560</v>
      </c>
      <c r="BB7" s="4">
        <f t="shared" si="101"/>
        <v>55568</v>
      </c>
      <c r="BC7" s="142">
        <f>IF(ISNA(VLOOKUP($A7&amp;$AB7,'Days Exceptions'!$C$3:$I$7,6,FALSE)),ROUND(AZ7/MAX(BB7,(BA7*Min_Occ)),2),ROUND(AZ7/VLOOKUP($A7&amp;$AB7,'Days Exceptions'!$C$3:$I$7,6,FALSE),2))</f>
        <v>3.83</v>
      </c>
      <c r="BD7" s="143" t="e">
        <f t="shared" si="102"/>
        <v>#REF!</v>
      </c>
      <c r="BE7" s="143" t="e">
        <f t="shared" si="103"/>
        <v>#REF!</v>
      </c>
      <c r="BF7" s="143">
        <f t="shared" si="104"/>
        <v>156.63</v>
      </c>
      <c r="BG7" s="1" t="s">
        <v>469</v>
      </c>
      <c r="BH7" s="1" t="s">
        <v>470</v>
      </c>
      <c r="BI7" s="37" t="s">
        <v>872</v>
      </c>
      <c r="BJ7" s="66">
        <f>VLOOKUP($A7,'CMI Data'!$A$3:$AK$209,16,FALSE)</f>
        <v>0</v>
      </c>
      <c r="BK7" s="68">
        <f t="shared" si="105"/>
        <v>188.67</v>
      </c>
      <c r="BL7" s="68">
        <f t="shared" si="106"/>
        <v>0</v>
      </c>
      <c r="BM7" s="75">
        <f t="shared" ref="BM7" si="146">IF($I7="NA","NA",ROUND(BL7*0.95,2))</f>
        <v>0</v>
      </c>
      <c r="BN7" s="68" t="e">
        <f>IF($I7="NA","NA",ROUND(#REF!*$BJ7/$I7,2))</f>
        <v>#REF!</v>
      </c>
      <c r="BO7" s="75" t="e">
        <f t="shared" ref="BO7" si="147">IF(BN7="NA","NA",MIN(BN7-BM7,0))</f>
        <v>#REF!</v>
      </c>
      <c r="BP7" s="68" t="e">
        <f t="shared" ref="BP7" si="148">IF(BO7="NA",BL7,BL7+BO7)</f>
        <v>#REF!</v>
      </c>
      <c r="BQ7" s="4">
        <f t="shared" si="110"/>
        <v>212928</v>
      </c>
      <c r="BR7" s="4">
        <f t="shared" si="111"/>
        <v>58560</v>
      </c>
      <c r="BS7" s="4">
        <f t="shared" si="112"/>
        <v>55568</v>
      </c>
      <c r="BT7" s="142">
        <f>IF(ISNA(VLOOKUP($A7&amp;$AB7,'Days Exceptions'!$C$3:$I$7,6,FALSE)),ROUND(BQ7/MAX(BS7,(BR7*Min_Occ)),2),ROUND(BQ7/VLOOKUP($A7&amp;$AB7,'Days Exceptions'!$C$3:$I$7,6,FALSE),2))</f>
        <v>3.83</v>
      </c>
      <c r="BU7" s="143" t="e">
        <f t="shared" si="113"/>
        <v>#REF!</v>
      </c>
      <c r="BV7" s="143" t="e">
        <f t="shared" si="114"/>
        <v>#REF!</v>
      </c>
      <c r="BW7" s="143">
        <f t="shared" si="115"/>
        <v>156.63</v>
      </c>
      <c r="BX7" s="1" t="s">
        <v>469</v>
      </c>
      <c r="BY7" s="1" t="s">
        <v>470</v>
      </c>
      <c r="BZ7" s="37" t="s">
        <v>890</v>
      </c>
      <c r="CA7" s="66">
        <f>VLOOKUP($A7,'CMI Data'!$A$3:$AK$209,21,FALSE)</f>
        <v>0</v>
      </c>
      <c r="CB7" s="68">
        <f t="shared" si="116"/>
        <v>188.67</v>
      </c>
      <c r="CC7" s="68">
        <f t="shared" si="117"/>
        <v>0</v>
      </c>
      <c r="CD7" s="75">
        <f t="shared" ref="CD7" si="149">IF($I7="NA","NA",ROUND(CC7*0.95,2))</f>
        <v>0</v>
      </c>
      <c r="CE7" s="68" t="e">
        <f>IF($I7="NA","NA",ROUND(#REF!*$CA7/$I7,2))</f>
        <v>#REF!</v>
      </c>
      <c r="CF7" s="75" t="e">
        <f t="shared" ref="CF7" si="150">IF(CE7="NA","NA",MIN(CE7-CD7,0))</f>
        <v>#REF!</v>
      </c>
      <c r="CG7" s="68" t="e">
        <f t="shared" ref="CG7" si="151">IF(CF7="NA",CC7,CC7+CF7)</f>
        <v>#REF!</v>
      </c>
      <c r="CH7" s="4">
        <f t="shared" si="121"/>
        <v>212928</v>
      </c>
      <c r="CI7" s="4">
        <f t="shared" si="122"/>
        <v>58560</v>
      </c>
      <c r="CJ7" s="4">
        <f t="shared" si="123"/>
        <v>55568</v>
      </c>
      <c r="CK7" s="142">
        <f>IF(ISNA(VLOOKUP($A7&amp;$AB7,'Days Exceptions'!$C$3:$I$7,6,FALSE)),ROUND(CH7/MAX(CJ7,(CI7*Min_Occ)),2),ROUND(CH7/VLOOKUP($A7&amp;$AB7,'Days Exceptions'!$C$3:$I$7,6,FALSE),2))</f>
        <v>3.83</v>
      </c>
      <c r="CL7" s="143" t="e">
        <f t="shared" si="124"/>
        <v>#REF!</v>
      </c>
      <c r="CM7" s="143" t="e">
        <f t="shared" si="125"/>
        <v>#REF!</v>
      </c>
      <c r="CN7" s="143">
        <f t="shared" si="126"/>
        <v>156.63</v>
      </c>
      <c r="CO7" s="1" t="s">
        <v>469</v>
      </c>
      <c r="CP7" s="1" t="s">
        <v>470</v>
      </c>
      <c r="CQ7" s="37" t="s">
        <v>908</v>
      </c>
    </row>
    <row r="8" spans="1:95" s="37" customFormat="1" x14ac:dyDescent="0.15">
      <c r="A8" s="138">
        <v>665</v>
      </c>
      <c r="B8" s="1" t="s">
        <v>645</v>
      </c>
      <c r="C8" s="1" t="s">
        <v>148</v>
      </c>
      <c r="D8" s="1" t="s">
        <v>106</v>
      </c>
      <c r="E8" s="1" t="str">
        <f>VLOOKUP(D8,Documentation!$B$4:$D$27,3,FALSE)</f>
        <v>BALTIMORE METRO</v>
      </c>
      <c r="F8" s="1" t="str">
        <f>VLOOKUP(D8,Documentation!$B$4:$C$27,2,FALSE)</f>
        <v>BALTIMORE METRO</v>
      </c>
      <c r="G8" s="82">
        <f>VLOOKUP(A8,'2022 CR and CMI'!$A$3:$D$207,3,FALSE)</f>
        <v>44562</v>
      </c>
      <c r="H8" s="82">
        <f>VLOOKUP(A8,'2022 CR and CMI'!$A$3:$D$207,4,FALSE)</f>
        <v>44957</v>
      </c>
      <c r="I8" s="72">
        <f>VLOOKUP(A8,'2022 CR and CMI'!$A$2:$T$210,19,FALSE)</f>
        <v>1.5754999999999999</v>
      </c>
      <c r="J8" s="139">
        <f>Inflation!$G$24</f>
        <v>1.0309999999999999</v>
      </c>
      <c r="K8" s="194">
        <f>VLOOKUP(E8,Limits!$B$2:$D$5,3,FALSE)</f>
        <v>195.33</v>
      </c>
      <c r="L8" s="192">
        <f t="shared" si="127"/>
        <v>201.39</v>
      </c>
      <c r="M8" s="140">
        <f>VLOOKUP(A8,'CMI Data'!$A$4:$F$208,6,FALSE)</f>
        <v>3.84</v>
      </c>
      <c r="N8" s="68">
        <f t="shared" si="94"/>
        <v>219.85</v>
      </c>
      <c r="O8" s="68">
        <f t="shared" si="128"/>
        <v>535.85</v>
      </c>
      <c r="P8" s="75">
        <f t="shared" si="129"/>
        <v>509.06</v>
      </c>
      <c r="Q8" s="75">
        <v>233.63</v>
      </c>
      <c r="R8" s="75">
        <f t="shared" si="130"/>
        <v>240.87</v>
      </c>
      <c r="S8" s="68">
        <f t="shared" si="131"/>
        <v>587.08000000000004</v>
      </c>
      <c r="T8" s="75">
        <f t="shared" si="132"/>
        <v>0</v>
      </c>
      <c r="U8" s="68">
        <f t="shared" si="133"/>
        <v>535.85</v>
      </c>
      <c r="V8" s="68">
        <f>VLOOKUP(F8,Limits!$J$2:$L$5,3,FALSE)</f>
        <v>20.85</v>
      </c>
      <c r="W8" s="68">
        <f t="shared" si="134"/>
        <v>21.5</v>
      </c>
      <c r="X8" s="68">
        <f>VLOOKUP(F8,Limits!$R$2:$T$5,3,FALSE)</f>
        <v>102.02</v>
      </c>
      <c r="Y8" s="68">
        <f t="shared" si="135"/>
        <v>105.18</v>
      </c>
      <c r="Z8" s="75">
        <f>VLOOKUP(A8,FRV!$A$4:$U$208,21,FALSE)</f>
        <v>35.32</v>
      </c>
      <c r="AA8" s="141">
        <f>VLOOKUP(A8,'RE Tax'!$A$2:$G$206,3,FALSE)</f>
        <v>45292</v>
      </c>
      <c r="AB8" s="141">
        <f>VLOOKUP(A8,'RE Tax'!$A$2:$G$206,4,FALSE)</f>
        <v>45657</v>
      </c>
      <c r="AC8" s="4">
        <f>VLOOKUP(A8,'RE Tax'!$A$2:$G$206,7,FALSE)</f>
        <v>101060</v>
      </c>
      <c r="AD8" s="4">
        <f>VLOOKUP(A8,'RE Tax'!$A$2:$I$206,9,FALSE)</f>
        <v>35502</v>
      </c>
      <c r="AE8" s="4">
        <f>VLOOKUP(A8,'RE Tax'!$A$2:$I$206,8,FALSE)</f>
        <v>28667</v>
      </c>
      <c r="AF8" s="142">
        <f>IF(ISNA(VLOOKUP(A8&amp;AB8,'Days Exceptions'!$C$3:$I$7,6,FALSE)),ROUND(AC8/MAX(AE8,(AD8*Min_Occ)),2),ROUND(AC8/VLOOKUP(A8&amp;AB8,'Days Exceptions'!$C$3:$I$7,6,FALSE),2))</f>
        <v>3.49</v>
      </c>
      <c r="AG8" s="68">
        <v>0</v>
      </c>
      <c r="AH8" s="68">
        <f t="shared" si="136"/>
        <v>0</v>
      </c>
      <c r="AI8" s="4">
        <v>23887</v>
      </c>
      <c r="AJ8" s="4">
        <v>28664</v>
      </c>
      <c r="AK8" s="68">
        <f>IF(AI8=0,0,IF(ISNA(MATCH(A8,Documentation!$B$66:$B$71,0)),QA_Tax_reg,QA_Tax_5high))</f>
        <v>32.92</v>
      </c>
      <c r="AL8" s="75">
        <f t="shared" si="137"/>
        <v>27.43</v>
      </c>
      <c r="AM8" s="68">
        <f t="shared" si="138"/>
        <v>701.34</v>
      </c>
      <c r="AN8" s="68">
        <f t="shared" si="139"/>
        <v>433.42</v>
      </c>
      <c r="AO8" s="68">
        <f t="shared" si="140"/>
        <v>165.49</v>
      </c>
      <c r="AP8" s="1" t="s">
        <v>644</v>
      </c>
      <c r="AQ8" s="1" t="s">
        <v>645</v>
      </c>
      <c r="AR8" s="5" t="s">
        <v>855</v>
      </c>
      <c r="AS8" s="66">
        <f>VLOOKUP(A8,'CMI Data'!$A$3:$K$209,11,FALSE)</f>
        <v>0</v>
      </c>
      <c r="AT8" s="68">
        <f t="shared" si="95"/>
        <v>213.24</v>
      </c>
      <c r="AU8" s="68">
        <f t="shared" si="96"/>
        <v>0</v>
      </c>
      <c r="AV8" s="75">
        <f t="shared" si="97"/>
        <v>0</v>
      </c>
      <c r="AW8" s="68" t="e">
        <f>IF($I8="NA","NA",ROUND(#REF!*$AS8/$I8,2))</f>
        <v>#REF!</v>
      </c>
      <c r="AX8" s="75" t="e">
        <f t="shared" si="98"/>
        <v>#REF!</v>
      </c>
      <c r="AY8" s="68" t="e">
        <f t="shared" si="141"/>
        <v>#REF!</v>
      </c>
      <c r="AZ8" s="4">
        <f t="shared" si="99"/>
        <v>101060</v>
      </c>
      <c r="BA8" s="4">
        <f t="shared" si="100"/>
        <v>35502</v>
      </c>
      <c r="BB8" s="4">
        <f t="shared" si="101"/>
        <v>28667</v>
      </c>
      <c r="BC8" s="142">
        <f>IF(ISNA(VLOOKUP($A8&amp;$AB8,'Days Exceptions'!$C$3:$I$7,6,FALSE)),ROUND(AZ8/MAX(BB8,(BA8*Min_Occ)),2),ROUND(AZ8/VLOOKUP($A8&amp;$AB8,'Days Exceptions'!$C$3:$I$7,6,FALSE),2))</f>
        <v>3.49</v>
      </c>
      <c r="BD8" s="143" t="e">
        <f t="shared" si="102"/>
        <v>#REF!</v>
      </c>
      <c r="BE8" s="143" t="e">
        <f t="shared" si="103"/>
        <v>#REF!</v>
      </c>
      <c r="BF8" s="143">
        <f t="shared" si="104"/>
        <v>161.68</v>
      </c>
      <c r="BG8" s="1" t="s">
        <v>644</v>
      </c>
      <c r="BH8" s="1" t="s">
        <v>645</v>
      </c>
      <c r="BI8" s="5" t="s">
        <v>873</v>
      </c>
      <c r="BJ8" s="66">
        <f>VLOOKUP($A8,'CMI Data'!$A$3:$AK$209,16,FALSE)</f>
        <v>0</v>
      </c>
      <c r="BK8" s="68">
        <f t="shared" si="105"/>
        <v>213.24</v>
      </c>
      <c r="BL8" s="68">
        <f t="shared" si="106"/>
        <v>0</v>
      </c>
      <c r="BM8" s="75">
        <f t="shared" si="107"/>
        <v>0</v>
      </c>
      <c r="BN8" s="68" t="e">
        <f>IF($I8="NA","NA",ROUND(#REF!*$BJ8/$I8,2))</f>
        <v>#REF!</v>
      </c>
      <c r="BO8" s="75" t="e">
        <f t="shared" si="108"/>
        <v>#REF!</v>
      </c>
      <c r="BP8" s="68" t="e">
        <f t="shared" si="109"/>
        <v>#REF!</v>
      </c>
      <c r="BQ8" s="4">
        <f t="shared" si="110"/>
        <v>101060</v>
      </c>
      <c r="BR8" s="4">
        <f t="shared" si="111"/>
        <v>35502</v>
      </c>
      <c r="BS8" s="4">
        <f t="shared" si="112"/>
        <v>28667</v>
      </c>
      <c r="BT8" s="142">
        <f>IF(ISNA(VLOOKUP($A8&amp;$AB8,'Days Exceptions'!$C$3:$I$7,6,FALSE)),ROUND(BQ8/MAX(BS8,(BR8*Min_Occ)),2),ROUND(BQ8/VLOOKUP($A8&amp;$AB8,'Days Exceptions'!$C$3:$I$7,6,FALSE),2))</f>
        <v>3.49</v>
      </c>
      <c r="BU8" s="143" t="e">
        <f t="shared" si="113"/>
        <v>#REF!</v>
      </c>
      <c r="BV8" s="143" t="e">
        <f t="shared" si="114"/>
        <v>#REF!</v>
      </c>
      <c r="BW8" s="143">
        <f t="shared" si="115"/>
        <v>161.68</v>
      </c>
      <c r="BX8" s="1" t="s">
        <v>644</v>
      </c>
      <c r="BY8" s="1" t="s">
        <v>645</v>
      </c>
      <c r="BZ8" s="5" t="s">
        <v>891</v>
      </c>
      <c r="CA8" s="66">
        <f>VLOOKUP($A8,'CMI Data'!$A$3:$AK$209,21,FALSE)</f>
        <v>0</v>
      </c>
      <c r="CB8" s="68">
        <f t="shared" si="116"/>
        <v>213.24</v>
      </c>
      <c r="CC8" s="68">
        <f t="shared" si="117"/>
        <v>0</v>
      </c>
      <c r="CD8" s="75">
        <f t="shared" si="118"/>
        <v>0</v>
      </c>
      <c r="CE8" s="68" t="e">
        <f>IF($I8="NA","NA",ROUND(#REF!*$CA8/$I8,2))</f>
        <v>#REF!</v>
      </c>
      <c r="CF8" s="75" t="e">
        <f t="shared" si="119"/>
        <v>#REF!</v>
      </c>
      <c r="CG8" s="68" t="e">
        <f t="shared" si="120"/>
        <v>#REF!</v>
      </c>
      <c r="CH8" s="4">
        <f t="shared" si="121"/>
        <v>101060</v>
      </c>
      <c r="CI8" s="4">
        <f t="shared" si="122"/>
        <v>35502</v>
      </c>
      <c r="CJ8" s="4">
        <f t="shared" si="123"/>
        <v>28667</v>
      </c>
      <c r="CK8" s="142">
        <f>IF(ISNA(VLOOKUP($A8&amp;$AB8,'Days Exceptions'!$C$3:$I$7,6,FALSE)),ROUND(CH8/MAX(CJ8,(CI8*Min_Occ)),2),ROUND(CH8/VLOOKUP($A8&amp;$AB8,'Days Exceptions'!$C$3:$I$7,6,FALSE),2))</f>
        <v>3.49</v>
      </c>
      <c r="CL8" s="143" t="e">
        <f t="shared" si="124"/>
        <v>#REF!</v>
      </c>
      <c r="CM8" s="143" t="e">
        <f t="shared" si="125"/>
        <v>#REF!</v>
      </c>
      <c r="CN8" s="143">
        <f t="shared" si="126"/>
        <v>161.68</v>
      </c>
      <c r="CO8" s="1" t="s">
        <v>644</v>
      </c>
      <c r="CP8" s="1" t="s">
        <v>645</v>
      </c>
      <c r="CQ8" s="5" t="s">
        <v>909</v>
      </c>
    </row>
    <row r="9" spans="1:95" s="37" customFormat="1" x14ac:dyDescent="0.15">
      <c r="A9" s="138">
        <v>48</v>
      </c>
      <c r="B9" s="1" t="s">
        <v>647</v>
      </c>
      <c r="C9" s="1" t="s">
        <v>148</v>
      </c>
      <c r="D9" s="1" t="s">
        <v>125</v>
      </c>
      <c r="E9" s="1" t="str">
        <f>VLOOKUP(D9,Documentation!$B$4:$D$27,3,FALSE)</f>
        <v>WESTERN REGION</v>
      </c>
      <c r="F9" s="1" t="str">
        <f>VLOOKUP(D9,Documentation!$B$4:$C$27,2,FALSE)</f>
        <v>NON METRO</v>
      </c>
      <c r="G9" s="82">
        <f>VLOOKUP(A9,'2022 CR and CMI'!$A$3:$D$207,3,FALSE)</f>
        <v>44562</v>
      </c>
      <c r="H9" s="82">
        <f>VLOOKUP(A9,'2022 CR and CMI'!$A$3:$D$207,4,FALSE)</f>
        <v>44957</v>
      </c>
      <c r="I9" s="72">
        <f>VLOOKUP(A9,'2022 CR and CMI'!$A$2:$T$210,19,FALSE)</f>
        <v>1.6893</v>
      </c>
      <c r="J9" s="139">
        <f>Inflation!$G$24</f>
        <v>1.0309999999999999</v>
      </c>
      <c r="K9" s="194">
        <f>VLOOKUP(E9,Limits!$B$2:$D$5,3,FALSE)</f>
        <v>166.26</v>
      </c>
      <c r="L9" s="192">
        <f t="shared" si="127"/>
        <v>171.41</v>
      </c>
      <c r="M9" s="140">
        <f>VLOOKUP(A9,'CMI Data'!$A$4:$F$208,6,FALSE)</f>
        <v>3.84</v>
      </c>
      <c r="N9" s="68">
        <f t="shared" si="94"/>
        <v>200.64</v>
      </c>
      <c r="O9" s="68">
        <f t="shared" si="128"/>
        <v>456.08</v>
      </c>
      <c r="P9" s="75">
        <f t="shared" si="129"/>
        <v>433.28</v>
      </c>
      <c r="Q9" s="75">
        <v>191.83</v>
      </c>
      <c r="R9" s="75">
        <f t="shared" si="130"/>
        <v>197.78</v>
      </c>
      <c r="S9" s="68">
        <f t="shared" si="131"/>
        <v>449.58</v>
      </c>
      <c r="T9" s="75">
        <f t="shared" si="132"/>
        <v>0</v>
      </c>
      <c r="U9" s="68">
        <f t="shared" si="133"/>
        <v>456.08</v>
      </c>
      <c r="V9" s="68">
        <f>VLOOKUP(F9,Limits!$J$2:$L$5,3,FALSE)</f>
        <v>20.239999999999998</v>
      </c>
      <c r="W9" s="68">
        <f t="shared" si="134"/>
        <v>20.87</v>
      </c>
      <c r="X9" s="68">
        <f>VLOOKUP(F9,Limits!$R$2:$T$5,3,FALSE)</f>
        <v>89.55</v>
      </c>
      <c r="Y9" s="68">
        <f t="shared" si="135"/>
        <v>92.33</v>
      </c>
      <c r="Z9" s="75">
        <f>VLOOKUP(A9,FRV!$A$4:$U$208,21,FALSE)</f>
        <v>43.64</v>
      </c>
      <c r="AA9" s="141">
        <f>VLOOKUP(A9,'RE Tax'!$A$2:$G$206,3,FALSE)</f>
        <v>45292</v>
      </c>
      <c r="AB9" s="141">
        <f>VLOOKUP(A9,'RE Tax'!$A$2:$G$206,4,FALSE)</f>
        <v>45657</v>
      </c>
      <c r="AC9" s="4">
        <f>VLOOKUP(A9,'RE Tax'!$A$2:$G$206,7,FALSE)</f>
        <v>91423</v>
      </c>
      <c r="AD9" s="4">
        <f>VLOOKUP(A9,'RE Tax'!$A$2:$I$206,9,FALSE)</f>
        <v>62952</v>
      </c>
      <c r="AE9" s="4">
        <f>VLOOKUP(A9,'RE Tax'!$A$2:$I$206,8,FALSE)</f>
        <v>30548</v>
      </c>
      <c r="AF9" s="142">
        <f>IF(ISNA(VLOOKUP(A9&amp;AB9,'Days Exceptions'!$C$3:$I$7,6,FALSE)),ROUND(AC9/MAX(AE9,(AD9*Min_Occ)),2),ROUND(AC9/VLOOKUP(A9&amp;AB9,'Days Exceptions'!$C$3:$I$7,6,FALSE),2))</f>
        <v>1.78</v>
      </c>
      <c r="AG9" s="68">
        <v>0</v>
      </c>
      <c r="AH9" s="68">
        <f t="shared" si="136"/>
        <v>0</v>
      </c>
      <c r="AI9" s="4">
        <v>22255</v>
      </c>
      <c r="AJ9" s="4">
        <v>30548</v>
      </c>
      <c r="AK9" s="68">
        <f>IF(AI9=0,0,IF(ISNA(MATCH(A9,Documentation!$B$66:$B$71,0)),QA_Tax_reg,QA_Tax_5high))</f>
        <v>32.92</v>
      </c>
      <c r="AL9" s="75">
        <f t="shared" si="137"/>
        <v>23.98</v>
      </c>
      <c r="AM9" s="68">
        <f t="shared" si="138"/>
        <v>614.70000000000005</v>
      </c>
      <c r="AN9" s="68">
        <f t="shared" si="139"/>
        <v>386.66</v>
      </c>
      <c r="AO9" s="68">
        <f t="shared" si="140"/>
        <v>158.62</v>
      </c>
      <c r="AP9" s="1" t="s">
        <v>646</v>
      </c>
      <c r="AQ9" s="1" t="s">
        <v>647</v>
      </c>
      <c r="AR9" s="5" t="s">
        <v>856</v>
      </c>
      <c r="AS9" s="66">
        <f>VLOOKUP(A9,'CMI Data'!$A$3:$K$209,11,FALSE)</f>
        <v>0</v>
      </c>
      <c r="AT9" s="68">
        <f t="shared" si="95"/>
        <v>194.61</v>
      </c>
      <c r="AU9" s="68">
        <f t="shared" si="96"/>
        <v>0</v>
      </c>
      <c r="AV9" s="75">
        <f t="shared" si="97"/>
        <v>0</v>
      </c>
      <c r="AW9" s="68" t="e">
        <f>IF($I9="NA","NA",ROUND(#REF!*$AS9/$I9,2))</f>
        <v>#REF!</v>
      </c>
      <c r="AX9" s="75" t="e">
        <f t="shared" si="98"/>
        <v>#REF!</v>
      </c>
      <c r="AY9" s="68" t="e">
        <f t="shared" si="141"/>
        <v>#REF!</v>
      </c>
      <c r="AZ9" s="4">
        <f t="shared" si="99"/>
        <v>91423</v>
      </c>
      <c r="BA9" s="4">
        <f t="shared" si="100"/>
        <v>62952</v>
      </c>
      <c r="BB9" s="4">
        <f t="shared" si="101"/>
        <v>30548</v>
      </c>
      <c r="BC9" s="142">
        <f>IF(ISNA(VLOOKUP($A9&amp;$AB9,'Days Exceptions'!$C$3:$I$7,6,FALSE)),ROUND(AZ9/MAX(BB9,(BA9*Min_Occ)),2),ROUND(AZ9/VLOOKUP($A9&amp;$AB9,'Days Exceptions'!$C$3:$I$7,6,FALSE),2))</f>
        <v>1.78</v>
      </c>
      <c r="BD9" s="143" t="e">
        <f t="shared" si="102"/>
        <v>#REF!</v>
      </c>
      <c r="BE9" s="143" t="e">
        <f t="shared" si="103"/>
        <v>#REF!</v>
      </c>
      <c r="BF9" s="143">
        <f t="shared" si="104"/>
        <v>155.21</v>
      </c>
      <c r="BG9" s="1" t="s">
        <v>646</v>
      </c>
      <c r="BH9" s="1" t="s">
        <v>647</v>
      </c>
      <c r="BI9" s="5" t="s">
        <v>874</v>
      </c>
      <c r="BJ9" s="66">
        <f>VLOOKUP($A9,'CMI Data'!$A$3:$AK$209,16,FALSE)</f>
        <v>0</v>
      </c>
      <c r="BK9" s="68">
        <f t="shared" si="105"/>
        <v>194.61</v>
      </c>
      <c r="BL9" s="68">
        <f t="shared" si="106"/>
        <v>0</v>
      </c>
      <c r="BM9" s="75">
        <f t="shared" si="107"/>
        <v>0</v>
      </c>
      <c r="BN9" s="68" t="e">
        <f>IF($I9="NA","NA",ROUND(#REF!*$BJ9/$I9,2))</f>
        <v>#REF!</v>
      </c>
      <c r="BO9" s="75" t="e">
        <f t="shared" si="108"/>
        <v>#REF!</v>
      </c>
      <c r="BP9" s="68" t="e">
        <f t="shared" si="109"/>
        <v>#REF!</v>
      </c>
      <c r="BQ9" s="4">
        <f t="shared" si="110"/>
        <v>91423</v>
      </c>
      <c r="BR9" s="4">
        <f t="shared" si="111"/>
        <v>62952</v>
      </c>
      <c r="BS9" s="4">
        <f t="shared" si="112"/>
        <v>30548</v>
      </c>
      <c r="BT9" s="142">
        <f>IF(ISNA(VLOOKUP($A9&amp;$AB9,'Days Exceptions'!$C$3:$I$7,6,FALSE)),ROUND(BQ9/MAX(BS9,(BR9*Min_Occ)),2),ROUND(BQ9/VLOOKUP($A9&amp;$AB9,'Days Exceptions'!$C$3:$I$7,6,FALSE),2))</f>
        <v>1.78</v>
      </c>
      <c r="BU9" s="143" t="e">
        <f t="shared" si="113"/>
        <v>#REF!</v>
      </c>
      <c r="BV9" s="143" t="e">
        <f t="shared" si="114"/>
        <v>#REF!</v>
      </c>
      <c r="BW9" s="143">
        <f t="shared" si="115"/>
        <v>155.21</v>
      </c>
      <c r="BX9" s="1" t="s">
        <v>646</v>
      </c>
      <c r="BY9" s="1" t="s">
        <v>647</v>
      </c>
      <c r="BZ9" s="5" t="s">
        <v>892</v>
      </c>
      <c r="CA9" s="66">
        <f>VLOOKUP($A9,'CMI Data'!$A$3:$AK$209,21,FALSE)</f>
        <v>0</v>
      </c>
      <c r="CB9" s="68">
        <f t="shared" si="116"/>
        <v>194.61</v>
      </c>
      <c r="CC9" s="68">
        <f t="shared" si="117"/>
        <v>0</v>
      </c>
      <c r="CD9" s="75">
        <f t="shared" si="118"/>
        <v>0</v>
      </c>
      <c r="CE9" s="68" t="e">
        <f>IF($I9="NA","NA",ROUND(#REF!*$CA9/$I9,2))</f>
        <v>#REF!</v>
      </c>
      <c r="CF9" s="75" t="e">
        <f t="shared" si="119"/>
        <v>#REF!</v>
      </c>
      <c r="CG9" s="68" t="e">
        <f t="shared" si="120"/>
        <v>#REF!</v>
      </c>
      <c r="CH9" s="4">
        <f t="shared" si="121"/>
        <v>91423</v>
      </c>
      <c r="CI9" s="4">
        <f t="shared" si="122"/>
        <v>62952</v>
      </c>
      <c r="CJ9" s="4">
        <f t="shared" si="123"/>
        <v>30548</v>
      </c>
      <c r="CK9" s="142">
        <f>IF(ISNA(VLOOKUP($A9&amp;$AB9,'Days Exceptions'!$C$3:$I$7,6,FALSE)),ROUND(CH9/MAX(CJ9,(CI9*Min_Occ)),2),ROUND(CH9/VLOOKUP($A9&amp;$AB9,'Days Exceptions'!$C$3:$I$7,6,FALSE),2))</f>
        <v>1.78</v>
      </c>
      <c r="CL9" s="143" t="e">
        <f t="shared" si="124"/>
        <v>#REF!</v>
      </c>
      <c r="CM9" s="143" t="e">
        <f t="shared" si="125"/>
        <v>#REF!</v>
      </c>
      <c r="CN9" s="143">
        <f t="shared" si="126"/>
        <v>155.21</v>
      </c>
      <c r="CO9" s="1" t="s">
        <v>646</v>
      </c>
      <c r="CP9" s="1" t="s">
        <v>647</v>
      </c>
      <c r="CQ9" s="5" t="s">
        <v>910</v>
      </c>
    </row>
    <row r="10" spans="1:95" s="37" customFormat="1" x14ac:dyDescent="0.15">
      <c r="A10" s="138">
        <v>735</v>
      </c>
      <c r="B10" s="1" t="s">
        <v>649</v>
      </c>
      <c r="C10" s="1" t="s">
        <v>148</v>
      </c>
      <c r="D10" s="1" t="s">
        <v>120</v>
      </c>
      <c r="E10" s="1" t="str">
        <f>VLOOKUP(D10,Documentation!$B$4:$D$27,3,FALSE)</f>
        <v>WASHINGTON METRO</v>
      </c>
      <c r="F10" s="1" t="str">
        <f>VLOOKUP(D10,Documentation!$B$4:$C$27,2,FALSE)</f>
        <v>WASHINGTON METRO</v>
      </c>
      <c r="G10" s="82">
        <f>VLOOKUP(A10,'2022 CR and CMI'!$A$3:$D$207,3,FALSE)</f>
        <v>44562</v>
      </c>
      <c r="H10" s="82">
        <f>VLOOKUP(A10,'2022 CR and CMI'!$A$3:$D$207,4,FALSE)</f>
        <v>44957</v>
      </c>
      <c r="I10" s="72">
        <f>VLOOKUP(A10,'2022 CR and CMI'!$A$2:$T$210,19,FALSE)</f>
        <v>1.7478</v>
      </c>
      <c r="J10" s="139">
        <f>Inflation!$G$24</f>
        <v>1.0309999999999999</v>
      </c>
      <c r="K10" s="194">
        <f>VLOOKUP(E10,Limits!$B$2:$D$5,3,FALSE)</f>
        <v>176.01</v>
      </c>
      <c r="L10" s="192">
        <f t="shared" si="127"/>
        <v>181.47</v>
      </c>
      <c r="M10" s="140">
        <f>VLOOKUP(A10,'CMI Data'!$A$4:$F$208,6,FALSE)</f>
        <v>3.84</v>
      </c>
      <c r="N10" s="68">
        <f t="shared" si="94"/>
        <v>219.77</v>
      </c>
      <c r="O10" s="68">
        <f t="shared" si="128"/>
        <v>482.85</v>
      </c>
      <c r="P10" s="75">
        <f t="shared" si="129"/>
        <v>458.71</v>
      </c>
      <c r="Q10" s="75">
        <v>191.91</v>
      </c>
      <c r="R10" s="75">
        <f t="shared" si="130"/>
        <v>197.86</v>
      </c>
      <c r="S10" s="68">
        <f t="shared" si="131"/>
        <v>434.71</v>
      </c>
      <c r="T10" s="75">
        <f t="shared" si="132"/>
        <v>-24</v>
      </c>
      <c r="U10" s="68">
        <f t="shared" si="133"/>
        <v>458.85</v>
      </c>
      <c r="V10" s="68">
        <f>VLOOKUP(F10,Limits!$J$2:$L$5,3,FALSE)</f>
        <v>19.23</v>
      </c>
      <c r="W10" s="68">
        <f t="shared" si="134"/>
        <v>19.829999999999998</v>
      </c>
      <c r="X10" s="68">
        <f>VLOOKUP(F10,Limits!$R$2:$T$5,3,FALSE)</f>
        <v>100.61</v>
      </c>
      <c r="Y10" s="68">
        <f t="shared" si="135"/>
        <v>103.73</v>
      </c>
      <c r="Z10" s="75">
        <f>VLOOKUP(A10,FRV!$A$4:$U$208,21,FALSE)</f>
        <v>34.049999999999997</v>
      </c>
      <c r="AA10" s="141">
        <f>VLOOKUP(A10,'RE Tax'!$A$2:$G$206,3,FALSE)</f>
        <v>45292</v>
      </c>
      <c r="AB10" s="141">
        <f>VLOOKUP(A10,'RE Tax'!$A$2:$G$206,4,FALSE)</f>
        <v>45657</v>
      </c>
      <c r="AC10" s="4">
        <f>VLOOKUP(A10,'RE Tax'!$A$2:$G$206,7,FALSE)</f>
        <v>409948</v>
      </c>
      <c r="AD10" s="4">
        <f>VLOOKUP(A10,'RE Tax'!$A$2:$I$206,9,FALSE)</f>
        <v>102480</v>
      </c>
      <c r="AE10" s="4">
        <f>VLOOKUP(A10,'RE Tax'!$A$2:$I$206,8,FALSE)</f>
        <v>97188</v>
      </c>
      <c r="AF10" s="142">
        <f>IF(ISNA(VLOOKUP(A10&amp;AB10,'Days Exceptions'!$C$3:$I$7,6,FALSE)),ROUND(AC10/MAX(AE10,(AD10*Min_Occ)),2),ROUND(AC10/VLOOKUP(A10&amp;AB10,'Days Exceptions'!$C$3:$I$7,6,FALSE),2))</f>
        <v>4.22</v>
      </c>
      <c r="AG10" s="68">
        <v>0</v>
      </c>
      <c r="AH10" s="68">
        <f t="shared" si="136"/>
        <v>0</v>
      </c>
      <c r="AI10" s="4">
        <v>82314</v>
      </c>
      <c r="AJ10" s="4">
        <v>97192</v>
      </c>
      <c r="AK10" s="68">
        <f>IF(AI10=0,0,IF(ISNA(MATCH(A10,Documentation!$B$66:$B$71,0)),QA_Tax_reg,QA_Tax_5high))</f>
        <v>32.92</v>
      </c>
      <c r="AL10" s="75">
        <f t="shared" si="137"/>
        <v>27.88</v>
      </c>
      <c r="AM10" s="68">
        <f t="shared" si="138"/>
        <v>620.67999999999995</v>
      </c>
      <c r="AN10" s="68">
        <f t="shared" si="139"/>
        <v>391.26</v>
      </c>
      <c r="AO10" s="68">
        <f t="shared" si="140"/>
        <v>161.83000000000001</v>
      </c>
      <c r="AP10" s="1" t="s">
        <v>648</v>
      </c>
      <c r="AQ10" s="1" t="s">
        <v>649</v>
      </c>
      <c r="AR10" s="5" t="s">
        <v>857</v>
      </c>
      <c r="AS10" s="66">
        <f>VLOOKUP(A10,'CMI Data'!$A$3:$K$209,11,FALSE)</f>
        <v>0</v>
      </c>
      <c r="AT10" s="68">
        <f t="shared" si="95"/>
        <v>213.16</v>
      </c>
      <c r="AU10" s="68">
        <f t="shared" si="96"/>
        <v>0</v>
      </c>
      <c r="AV10" s="75">
        <f t="shared" si="97"/>
        <v>0</v>
      </c>
      <c r="AW10" s="68" t="e">
        <f>IF($I10="NA","NA",ROUND(#REF!*$AS10/$I10,2))</f>
        <v>#REF!</v>
      </c>
      <c r="AX10" s="75" t="e">
        <f t="shared" si="98"/>
        <v>#REF!</v>
      </c>
      <c r="AY10" s="68" t="e">
        <f t="shared" si="141"/>
        <v>#REF!</v>
      </c>
      <c r="AZ10" s="4">
        <f t="shared" si="99"/>
        <v>409948</v>
      </c>
      <c r="BA10" s="4">
        <f t="shared" si="100"/>
        <v>102480</v>
      </c>
      <c r="BB10" s="4">
        <f t="shared" si="101"/>
        <v>97188</v>
      </c>
      <c r="BC10" s="142">
        <f>IF(ISNA(VLOOKUP($A10&amp;$AB10,'Days Exceptions'!$C$3:$I$7,6,FALSE)),ROUND(AZ10/MAX(BB10,(BA10*Min_Occ)),2),ROUND(AZ10/VLOOKUP($A10&amp;$AB10,'Days Exceptions'!$C$3:$I$7,6,FALSE),2))</f>
        <v>4.22</v>
      </c>
      <c r="BD10" s="143" t="e">
        <f t="shared" si="102"/>
        <v>#REF!</v>
      </c>
      <c r="BE10" s="143" t="e">
        <f t="shared" si="103"/>
        <v>#REF!</v>
      </c>
      <c r="BF10" s="143">
        <f t="shared" si="104"/>
        <v>158.11000000000001</v>
      </c>
      <c r="BG10" s="1" t="s">
        <v>648</v>
      </c>
      <c r="BH10" s="1" t="s">
        <v>649</v>
      </c>
      <c r="BI10" s="5" t="s">
        <v>875</v>
      </c>
      <c r="BJ10" s="66">
        <f>VLOOKUP($A10,'CMI Data'!$A$3:$AK$209,16,FALSE)</f>
        <v>0</v>
      </c>
      <c r="BK10" s="68">
        <f t="shared" si="105"/>
        <v>213.16</v>
      </c>
      <c r="BL10" s="68">
        <f t="shared" si="106"/>
        <v>0</v>
      </c>
      <c r="BM10" s="75">
        <f t="shared" si="107"/>
        <v>0</v>
      </c>
      <c r="BN10" s="68" t="e">
        <f>IF($I10="NA","NA",ROUND(#REF!*$BJ10/$I10,2))</f>
        <v>#REF!</v>
      </c>
      <c r="BO10" s="75" t="e">
        <f t="shared" si="108"/>
        <v>#REF!</v>
      </c>
      <c r="BP10" s="68" t="e">
        <f t="shared" si="109"/>
        <v>#REF!</v>
      </c>
      <c r="BQ10" s="4">
        <f t="shared" si="110"/>
        <v>409948</v>
      </c>
      <c r="BR10" s="4">
        <f t="shared" si="111"/>
        <v>102480</v>
      </c>
      <c r="BS10" s="4">
        <f t="shared" si="112"/>
        <v>97188</v>
      </c>
      <c r="BT10" s="142">
        <f>IF(ISNA(VLOOKUP($A10&amp;$AB10,'Days Exceptions'!$C$3:$I$7,6,FALSE)),ROUND(BQ10/MAX(BS10,(BR10*Min_Occ)),2),ROUND(BQ10/VLOOKUP($A10&amp;$AB10,'Days Exceptions'!$C$3:$I$7,6,FALSE),2))</f>
        <v>4.22</v>
      </c>
      <c r="BU10" s="143" t="e">
        <f t="shared" si="113"/>
        <v>#REF!</v>
      </c>
      <c r="BV10" s="143" t="e">
        <f t="shared" si="114"/>
        <v>#REF!</v>
      </c>
      <c r="BW10" s="143">
        <f t="shared" si="115"/>
        <v>158.11000000000001</v>
      </c>
      <c r="BX10" s="1" t="s">
        <v>648</v>
      </c>
      <c r="BY10" s="1" t="s">
        <v>649</v>
      </c>
      <c r="BZ10" s="5" t="s">
        <v>893</v>
      </c>
      <c r="CA10" s="66">
        <f>VLOOKUP($A10,'CMI Data'!$A$3:$AK$209,21,FALSE)</f>
        <v>0</v>
      </c>
      <c r="CB10" s="68">
        <f t="shared" si="116"/>
        <v>213.16</v>
      </c>
      <c r="CC10" s="68">
        <f t="shared" si="117"/>
        <v>0</v>
      </c>
      <c r="CD10" s="75">
        <f t="shared" si="118"/>
        <v>0</v>
      </c>
      <c r="CE10" s="68" t="e">
        <f>IF($I10="NA","NA",ROUND(#REF!*$CA10/$I10,2))</f>
        <v>#REF!</v>
      </c>
      <c r="CF10" s="75" t="e">
        <f t="shared" si="119"/>
        <v>#REF!</v>
      </c>
      <c r="CG10" s="68" t="e">
        <f t="shared" si="120"/>
        <v>#REF!</v>
      </c>
      <c r="CH10" s="4">
        <f t="shared" si="121"/>
        <v>409948</v>
      </c>
      <c r="CI10" s="4">
        <f t="shared" si="122"/>
        <v>102480</v>
      </c>
      <c r="CJ10" s="4">
        <f t="shared" si="123"/>
        <v>97188</v>
      </c>
      <c r="CK10" s="142">
        <f>IF(ISNA(VLOOKUP($A10&amp;$AB10,'Days Exceptions'!$C$3:$I$7,6,FALSE)),ROUND(CH10/MAX(CJ10,(CI10*Min_Occ)),2),ROUND(CH10/VLOOKUP($A10&amp;$AB10,'Days Exceptions'!$C$3:$I$7,6,FALSE),2))</f>
        <v>4.22</v>
      </c>
      <c r="CL10" s="143" t="e">
        <f t="shared" si="124"/>
        <v>#REF!</v>
      </c>
      <c r="CM10" s="143" t="e">
        <f t="shared" si="125"/>
        <v>#REF!</v>
      </c>
      <c r="CN10" s="143">
        <f t="shared" si="126"/>
        <v>158.11000000000001</v>
      </c>
      <c r="CO10" s="1" t="s">
        <v>648</v>
      </c>
      <c r="CP10" s="1" t="s">
        <v>649</v>
      </c>
      <c r="CQ10" s="5" t="s">
        <v>911</v>
      </c>
    </row>
    <row r="11" spans="1:95" s="37" customFormat="1" x14ac:dyDescent="0.15">
      <c r="A11" s="138">
        <v>342</v>
      </c>
      <c r="B11" s="1" t="s">
        <v>602</v>
      </c>
      <c r="C11" s="1" t="s">
        <v>148</v>
      </c>
      <c r="D11" s="1" t="s">
        <v>107</v>
      </c>
      <c r="E11" s="1" t="str">
        <f>VLOOKUP(D11,Documentation!$B$4:$D$27,3,FALSE)</f>
        <v>BALTIMORE METRO</v>
      </c>
      <c r="F11" s="1" t="str">
        <f>VLOOKUP(D11,Documentation!$B$4:$C$27,2,FALSE)</f>
        <v>BALTIMORE METRO</v>
      </c>
      <c r="G11" s="82">
        <f>VLOOKUP(A11,'2022 CR and CMI'!$A$3:$D$207,3,FALSE)</f>
        <v>44562</v>
      </c>
      <c r="H11" s="82">
        <f>VLOOKUP(A11,'2022 CR and CMI'!$A$3:$D$207,4,FALSE)</f>
        <v>44926</v>
      </c>
      <c r="I11" s="72">
        <f>VLOOKUP(A11,'2022 CR and CMI'!$A$2:$T$210,19,FALSE)</f>
        <v>1.7596000000000001</v>
      </c>
      <c r="J11" s="139">
        <f>Inflation!$G$24</f>
        <v>1.0309999999999999</v>
      </c>
      <c r="K11" s="194">
        <f>VLOOKUP(E11,Limits!$B$2:$D$5,3,FALSE)</f>
        <v>195.33</v>
      </c>
      <c r="L11" s="192">
        <f t="shared" si="127"/>
        <v>201.39</v>
      </c>
      <c r="M11" s="140">
        <f>VLOOKUP(A11,'CMI Data'!$A$4:$F$208,6,FALSE)</f>
        <v>3.84</v>
      </c>
      <c r="N11" s="68">
        <f t="shared" si="94"/>
        <v>245.54</v>
      </c>
      <c r="O11" s="68">
        <f t="shared" si="128"/>
        <v>535.85</v>
      </c>
      <c r="P11" s="75">
        <f t="shared" si="129"/>
        <v>509.06</v>
      </c>
      <c r="Q11" s="75">
        <v>233.45</v>
      </c>
      <c r="R11" s="75">
        <f t="shared" si="130"/>
        <v>240.69</v>
      </c>
      <c r="S11" s="68">
        <f t="shared" si="131"/>
        <v>525.26</v>
      </c>
      <c r="T11" s="75">
        <f t="shared" si="132"/>
        <v>0</v>
      </c>
      <c r="U11" s="68">
        <f t="shared" si="133"/>
        <v>535.85</v>
      </c>
      <c r="V11" s="68">
        <f>VLOOKUP(F11,Limits!$J$2:$L$5,3,FALSE)</f>
        <v>20.85</v>
      </c>
      <c r="W11" s="68">
        <f t="shared" si="134"/>
        <v>21.5</v>
      </c>
      <c r="X11" s="68">
        <f>VLOOKUP(F11,Limits!$R$2:$T$5,3,FALSE)</f>
        <v>102.02</v>
      </c>
      <c r="Y11" s="68">
        <f t="shared" si="135"/>
        <v>105.18</v>
      </c>
      <c r="Z11" s="75">
        <f>VLOOKUP(A11,FRV!$A$4:$U$208,21,FALSE)</f>
        <v>30.97</v>
      </c>
      <c r="AA11" s="141">
        <f>VLOOKUP(A11,'RE Tax'!$A$2:$G$206,3,FALSE)</f>
        <v>45292</v>
      </c>
      <c r="AB11" s="141">
        <f>VLOOKUP(A11,'RE Tax'!$A$2:$G$206,4,FALSE)</f>
        <v>45657</v>
      </c>
      <c r="AC11" s="4">
        <f>VLOOKUP(A11,'RE Tax'!$A$2:$G$206,7,FALSE)</f>
        <v>69654</v>
      </c>
      <c r="AD11" s="4">
        <f>VLOOKUP(A11,'RE Tax'!$A$2:$I$206,9,FALSE)</f>
        <v>43188</v>
      </c>
      <c r="AE11" s="4">
        <f>VLOOKUP(A11,'RE Tax'!$A$2:$I$206,8,FALSE)</f>
        <v>40104</v>
      </c>
      <c r="AF11" s="142">
        <f>IF(ISNA(VLOOKUP(A11&amp;AB11,'Days Exceptions'!$C$3:$I$7,6,FALSE)),ROUND(AC11/MAX(AE11,(AD11*Min_Occ)),2),ROUND(AC11/VLOOKUP(A11&amp;AB11,'Days Exceptions'!$C$3:$I$7,6,FALSE),2))</f>
        <v>1.74</v>
      </c>
      <c r="AG11" s="68">
        <v>0</v>
      </c>
      <c r="AH11" s="68">
        <f t="shared" si="136"/>
        <v>0</v>
      </c>
      <c r="AI11" s="4">
        <v>23965</v>
      </c>
      <c r="AJ11" s="4">
        <v>40104</v>
      </c>
      <c r="AK11" s="68">
        <f>IF(AI11=0,0,IF(ISNA(MATCH(A11,Documentation!$B$66:$B$71,0)),QA_Tax_reg,QA_Tax_5high))</f>
        <v>32.92</v>
      </c>
      <c r="AL11" s="75">
        <f t="shared" si="137"/>
        <v>19.670000000000002</v>
      </c>
      <c r="AM11" s="68">
        <f t="shared" si="138"/>
        <v>695.24</v>
      </c>
      <c r="AN11" s="68">
        <f t="shared" si="139"/>
        <v>427.32</v>
      </c>
      <c r="AO11" s="68">
        <f t="shared" si="140"/>
        <v>159.38999999999999</v>
      </c>
      <c r="AP11" s="1" t="s">
        <v>584</v>
      </c>
      <c r="AQ11" s="1" t="s">
        <v>602</v>
      </c>
      <c r="AR11" s="5" t="s">
        <v>858</v>
      </c>
      <c r="AS11" s="66">
        <f>VLOOKUP(A11,'CMI Data'!$A$3:$K$209,11,FALSE)</f>
        <v>0</v>
      </c>
      <c r="AT11" s="68">
        <f t="shared" si="95"/>
        <v>238.15</v>
      </c>
      <c r="AU11" s="68">
        <f t="shared" si="96"/>
        <v>0</v>
      </c>
      <c r="AV11" s="75">
        <f t="shared" si="97"/>
        <v>0</v>
      </c>
      <c r="AW11" s="68" t="e">
        <f>IF($I11="NA","NA",ROUND(#REF!*$AS11/$I11,2))</f>
        <v>#REF!</v>
      </c>
      <c r="AX11" s="75" t="e">
        <f t="shared" si="98"/>
        <v>#REF!</v>
      </c>
      <c r="AY11" s="68" t="e">
        <f t="shared" si="141"/>
        <v>#REF!</v>
      </c>
      <c r="AZ11" s="4">
        <f t="shared" si="99"/>
        <v>69654</v>
      </c>
      <c r="BA11" s="4">
        <f t="shared" si="100"/>
        <v>43188</v>
      </c>
      <c r="BB11" s="4">
        <f t="shared" si="101"/>
        <v>40104</v>
      </c>
      <c r="BC11" s="142">
        <f>IF(ISNA(VLOOKUP($A11&amp;$AB11,'Days Exceptions'!$C$3:$I$7,6,FALSE)),ROUND(AZ11/MAX(BB11,(BA11*Min_Occ)),2),ROUND(AZ11/VLOOKUP($A11&amp;$AB11,'Days Exceptions'!$C$3:$I$7,6,FALSE),2))</f>
        <v>1.74</v>
      </c>
      <c r="BD11" s="143" t="e">
        <f t="shared" si="102"/>
        <v>#REF!</v>
      </c>
      <c r="BE11" s="143" t="e">
        <f t="shared" si="103"/>
        <v>#REF!</v>
      </c>
      <c r="BF11" s="143">
        <f t="shared" si="104"/>
        <v>155.58000000000001</v>
      </c>
      <c r="BG11" s="1" t="s">
        <v>584</v>
      </c>
      <c r="BH11" s="1" t="s">
        <v>602</v>
      </c>
      <c r="BI11" s="5" t="s">
        <v>876</v>
      </c>
      <c r="BJ11" s="66">
        <f>VLOOKUP($A11,'CMI Data'!$A$3:$AK$209,16,FALSE)</f>
        <v>0</v>
      </c>
      <c r="BK11" s="68">
        <f t="shared" si="105"/>
        <v>238.15</v>
      </c>
      <c r="BL11" s="68">
        <f t="shared" si="106"/>
        <v>0</v>
      </c>
      <c r="BM11" s="75">
        <f t="shared" si="107"/>
        <v>0</v>
      </c>
      <c r="BN11" s="68" t="e">
        <f>IF($I11="NA","NA",ROUND(#REF!*$BJ11/$I11,2))</f>
        <v>#REF!</v>
      </c>
      <c r="BO11" s="75" t="e">
        <f t="shared" si="108"/>
        <v>#REF!</v>
      </c>
      <c r="BP11" s="68" t="e">
        <f t="shared" si="109"/>
        <v>#REF!</v>
      </c>
      <c r="BQ11" s="4">
        <f t="shared" si="110"/>
        <v>69654</v>
      </c>
      <c r="BR11" s="4">
        <f t="shared" si="111"/>
        <v>43188</v>
      </c>
      <c r="BS11" s="4">
        <f t="shared" si="112"/>
        <v>40104</v>
      </c>
      <c r="BT11" s="142">
        <f>IF(ISNA(VLOOKUP($A11&amp;$AB11,'Days Exceptions'!$C$3:$I$7,6,FALSE)),ROUND(BQ11/MAX(BS11,(BR11*Min_Occ)),2),ROUND(BQ11/VLOOKUP($A11&amp;$AB11,'Days Exceptions'!$C$3:$I$7,6,FALSE),2))</f>
        <v>1.74</v>
      </c>
      <c r="BU11" s="143" t="e">
        <f t="shared" si="113"/>
        <v>#REF!</v>
      </c>
      <c r="BV11" s="143" t="e">
        <f t="shared" si="114"/>
        <v>#REF!</v>
      </c>
      <c r="BW11" s="143">
        <f t="shared" si="115"/>
        <v>155.58000000000001</v>
      </c>
      <c r="BX11" s="1" t="s">
        <v>584</v>
      </c>
      <c r="BY11" s="1" t="s">
        <v>602</v>
      </c>
      <c r="BZ11" s="5" t="s">
        <v>894</v>
      </c>
      <c r="CA11" s="66">
        <f>VLOOKUP($A11,'CMI Data'!$A$3:$AK$209,21,FALSE)</f>
        <v>0</v>
      </c>
      <c r="CB11" s="68">
        <f t="shared" si="116"/>
        <v>238.15</v>
      </c>
      <c r="CC11" s="68">
        <f t="shared" si="117"/>
        <v>0</v>
      </c>
      <c r="CD11" s="75">
        <f t="shared" si="118"/>
        <v>0</v>
      </c>
      <c r="CE11" s="68" t="e">
        <f>IF($I11="NA","NA",ROUND(#REF!*$CA11/$I11,2))</f>
        <v>#REF!</v>
      </c>
      <c r="CF11" s="75" t="e">
        <f t="shared" si="119"/>
        <v>#REF!</v>
      </c>
      <c r="CG11" s="68" t="e">
        <f t="shared" si="120"/>
        <v>#REF!</v>
      </c>
      <c r="CH11" s="4">
        <f t="shared" si="121"/>
        <v>69654</v>
      </c>
      <c r="CI11" s="4">
        <f t="shared" si="122"/>
        <v>43188</v>
      </c>
      <c r="CJ11" s="4">
        <f t="shared" si="123"/>
        <v>40104</v>
      </c>
      <c r="CK11" s="142">
        <f>IF(ISNA(VLOOKUP($A11&amp;$AB11,'Days Exceptions'!$C$3:$I$7,6,FALSE)),ROUND(CH11/MAX(CJ11,(CI11*Min_Occ)),2),ROUND(CH11/VLOOKUP($A11&amp;$AB11,'Days Exceptions'!$C$3:$I$7,6,FALSE),2))</f>
        <v>1.74</v>
      </c>
      <c r="CL11" s="143" t="e">
        <f t="shared" si="124"/>
        <v>#REF!</v>
      </c>
      <c r="CM11" s="143" t="e">
        <f t="shared" si="125"/>
        <v>#REF!</v>
      </c>
      <c r="CN11" s="143">
        <f t="shared" si="126"/>
        <v>155.58000000000001</v>
      </c>
      <c r="CO11" s="1" t="s">
        <v>584</v>
      </c>
      <c r="CP11" s="1" t="s">
        <v>602</v>
      </c>
      <c r="CQ11" s="5" t="s">
        <v>912</v>
      </c>
    </row>
    <row r="12" spans="1:95" s="37" customFormat="1" x14ac:dyDescent="0.15">
      <c r="A12" s="138">
        <v>26</v>
      </c>
      <c r="B12" s="1" t="s">
        <v>199</v>
      </c>
      <c r="C12" s="1" t="s">
        <v>148</v>
      </c>
      <c r="D12" s="1" t="s">
        <v>119</v>
      </c>
      <c r="E12" s="1" t="str">
        <f>VLOOKUP(D12,Documentation!$B$4:$D$27,3,FALSE)</f>
        <v>WASHINGTON METRO</v>
      </c>
      <c r="F12" s="1" t="str">
        <f>VLOOKUP(D12,Documentation!$B$4:$C$27,2,FALSE)</f>
        <v>WASHINGTON METRO</v>
      </c>
      <c r="G12" s="82">
        <f>VLOOKUP(A12,'2022 CR and CMI'!$A$3:$D$207,3,FALSE)</f>
        <v>44562</v>
      </c>
      <c r="H12" s="82">
        <f>VLOOKUP(A12,'2022 CR and CMI'!$A$3:$D$207,4,FALSE)</f>
        <v>44926</v>
      </c>
      <c r="I12" s="72">
        <f>VLOOKUP(A12,'2022 CR and CMI'!$A$2:$T$210,19,FALSE)</f>
        <v>1.9835</v>
      </c>
      <c r="J12" s="139">
        <f>Inflation!$G$24</f>
        <v>1.0309999999999999</v>
      </c>
      <c r="K12" s="194">
        <f>VLOOKUP(E12,Limits!$B$2:$D$5,3,FALSE)</f>
        <v>176.01</v>
      </c>
      <c r="L12" s="192">
        <f t="shared" si="127"/>
        <v>181.47</v>
      </c>
      <c r="M12" s="140">
        <f>VLOOKUP(A12,'CMI Data'!$A$4:$F$208,6,FALSE)</f>
        <v>3.84</v>
      </c>
      <c r="N12" s="68">
        <f t="shared" si="94"/>
        <v>249.41</v>
      </c>
      <c r="O12" s="68">
        <f t="shared" si="128"/>
        <v>482.85</v>
      </c>
      <c r="P12" s="75">
        <f t="shared" si="129"/>
        <v>458.71</v>
      </c>
      <c r="Q12" s="75">
        <v>256.24</v>
      </c>
      <c r="R12" s="75">
        <f t="shared" si="130"/>
        <v>264.18</v>
      </c>
      <c r="S12" s="68">
        <f t="shared" si="131"/>
        <v>511.45</v>
      </c>
      <c r="T12" s="75">
        <f t="shared" si="132"/>
        <v>0</v>
      </c>
      <c r="U12" s="68">
        <f t="shared" si="133"/>
        <v>482.85</v>
      </c>
      <c r="V12" s="68">
        <f>VLOOKUP(F12,Limits!$J$2:$L$5,3,FALSE)</f>
        <v>19.23</v>
      </c>
      <c r="W12" s="68">
        <f t="shared" si="134"/>
        <v>19.829999999999998</v>
      </c>
      <c r="X12" s="68">
        <f>VLOOKUP(F12,Limits!$R$2:$T$5,3,FALSE)</f>
        <v>100.61</v>
      </c>
      <c r="Y12" s="68">
        <f t="shared" si="135"/>
        <v>103.73</v>
      </c>
      <c r="Z12" s="75">
        <f>VLOOKUP(A12,FRV!$A$4:$U$208,21,FALSE)</f>
        <v>30.95</v>
      </c>
      <c r="AA12" s="141">
        <f>VLOOKUP(A12,'RE Tax'!$A$2:$G$206,3,FALSE)</f>
        <v>45292</v>
      </c>
      <c r="AB12" s="141">
        <f>VLOOKUP(A12,'RE Tax'!$A$2:$G$206,4,FALSE)</f>
        <v>45657</v>
      </c>
      <c r="AC12" s="4">
        <f>VLOOKUP(A12,'RE Tax'!$A$2:$G$206,7,FALSE)</f>
        <v>102106</v>
      </c>
      <c r="AD12" s="4">
        <f>VLOOKUP(A12,'RE Tax'!$A$2:$I$206,9,FALSE)</f>
        <v>33672</v>
      </c>
      <c r="AE12" s="4">
        <f>VLOOKUP(A12,'RE Tax'!$A$2:$I$206,8,FALSE)</f>
        <v>30581</v>
      </c>
      <c r="AF12" s="142">
        <f>IF(ISNA(VLOOKUP(A12&amp;AB12,'Days Exceptions'!$C$3:$I$7,6,FALSE)),ROUND(AC12/MAX(AE12,(AD12*Min_Occ)),2),ROUND(AC12/VLOOKUP(A12&amp;AB12,'Days Exceptions'!$C$3:$I$7,6,FALSE),2))</f>
        <v>3.34</v>
      </c>
      <c r="AG12" s="68">
        <v>0</v>
      </c>
      <c r="AH12" s="68">
        <f t="shared" si="136"/>
        <v>0</v>
      </c>
      <c r="AI12" s="4">
        <v>26860</v>
      </c>
      <c r="AJ12" s="4">
        <v>30574</v>
      </c>
      <c r="AK12" s="68">
        <f>IF(AI12=0,0,IF(ISNA(MATCH(A12,Documentation!$B$66:$B$71,0)),QA_Tax_reg,QA_Tax_5high))</f>
        <v>32.92</v>
      </c>
      <c r="AL12" s="75">
        <f t="shared" si="137"/>
        <v>28.92</v>
      </c>
      <c r="AM12" s="68">
        <f t="shared" si="138"/>
        <v>640.70000000000005</v>
      </c>
      <c r="AN12" s="68">
        <f t="shared" si="139"/>
        <v>399.28</v>
      </c>
      <c r="AO12" s="68">
        <f t="shared" si="140"/>
        <v>157.85</v>
      </c>
      <c r="AP12" s="1" t="s">
        <v>167</v>
      </c>
      <c r="AQ12" s="1" t="s">
        <v>199</v>
      </c>
      <c r="AR12" s="5" t="s">
        <v>859</v>
      </c>
      <c r="AS12" s="66">
        <f>VLOOKUP(A12,'CMI Data'!$A$3:$K$209,11,FALSE)</f>
        <v>0</v>
      </c>
      <c r="AT12" s="68">
        <f t="shared" si="95"/>
        <v>241.9</v>
      </c>
      <c r="AU12" s="68">
        <f t="shared" si="96"/>
        <v>0</v>
      </c>
      <c r="AV12" s="75">
        <f t="shared" si="97"/>
        <v>0</v>
      </c>
      <c r="AW12" s="68" t="e">
        <f>IF($I12="NA","NA",ROUND(#REF!*$AS12/$I12,2))</f>
        <v>#REF!</v>
      </c>
      <c r="AX12" s="75" t="e">
        <f t="shared" si="98"/>
        <v>#REF!</v>
      </c>
      <c r="AY12" s="68" t="e">
        <f t="shared" si="141"/>
        <v>#REF!</v>
      </c>
      <c r="AZ12" s="4">
        <f t="shared" si="99"/>
        <v>102106</v>
      </c>
      <c r="BA12" s="4">
        <f t="shared" si="100"/>
        <v>33672</v>
      </c>
      <c r="BB12" s="4">
        <f t="shared" si="101"/>
        <v>30581</v>
      </c>
      <c r="BC12" s="142">
        <f>IF(ISNA(VLOOKUP($A12&amp;$AB12,'Days Exceptions'!$C$3:$I$7,6,FALSE)),ROUND(AZ12/MAX(BB12,(BA12*Min_Occ)),2),ROUND(AZ12/VLOOKUP($A12&amp;$AB12,'Days Exceptions'!$C$3:$I$7,6,FALSE),2))</f>
        <v>3.34</v>
      </c>
      <c r="BD12" s="143" t="e">
        <f t="shared" si="102"/>
        <v>#REF!</v>
      </c>
      <c r="BE12" s="143" t="e">
        <f t="shared" si="103"/>
        <v>#REF!</v>
      </c>
      <c r="BF12" s="143">
        <f t="shared" si="104"/>
        <v>154.13</v>
      </c>
      <c r="BG12" s="1" t="s">
        <v>167</v>
      </c>
      <c r="BH12" s="1" t="s">
        <v>199</v>
      </c>
      <c r="BI12" s="5" t="s">
        <v>877</v>
      </c>
      <c r="BJ12" s="66">
        <f>VLOOKUP($A12,'CMI Data'!$A$3:$AK$209,16,FALSE)</f>
        <v>0</v>
      </c>
      <c r="BK12" s="68">
        <f t="shared" si="105"/>
        <v>241.9</v>
      </c>
      <c r="BL12" s="68">
        <f t="shared" si="106"/>
        <v>0</v>
      </c>
      <c r="BM12" s="75">
        <f t="shared" si="107"/>
        <v>0</v>
      </c>
      <c r="BN12" s="68" t="e">
        <f>IF($I12="NA","NA",ROUND(#REF!*$BJ12/$I12,2))</f>
        <v>#REF!</v>
      </c>
      <c r="BO12" s="75" t="e">
        <f t="shared" si="108"/>
        <v>#REF!</v>
      </c>
      <c r="BP12" s="68" t="e">
        <f t="shared" si="109"/>
        <v>#REF!</v>
      </c>
      <c r="BQ12" s="4">
        <f t="shared" si="110"/>
        <v>102106</v>
      </c>
      <c r="BR12" s="4">
        <f t="shared" si="111"/>
        <v>33672</v>
      </c>
      <c r="BS12" s="4">
        <f t="shared" si="112"/>
        <v>30581</v>
      </c>
      <c r="BT12" s="142">
        <f>IF(ISNA(VLOOKUP($A12&amp;$AB12,'Days Exceptions'!$C$3:$I$7,6,FALSE)),ROUND(BQ12/MAX(BS12,(BR12*Min_Occ)),2),ROUND(BQ12/VLOOKUP($A12&amp;$AB12,'Days Exceptions'!$C$3:$I$7,6,FALSE),2))</f>
        <v>3.34</v>
      </c>
      <c r="BU12" s="143" t="e">
        <f t="shared" si="113"/>
        <v>#REF!</v>
      </c>
      <c r="BV12" s="143" t="e">
        <f t="shared" si="114"/>
        <v>#REF!</v>
      </c>
      <c r="BW12" s="143">
        <f t="shared" si="115"/>
        <v>154.13</v>
      </c>
      <c r="BX12" s="1" t="s">
        <v>167</v>
      </c>
      <c r="BY12" s="1" t="s">
        <v>199</v>
      </c>
      <c r="BZ12" s="5" t="s">
        <v>895</v>
      </c>
      <c r="CA12" s="66">
        <f>VLOOKUP($A12,'CMI Data'!$A$3:$AK$209,21,FALSE)</f>
        <v>0</v>
      </c>
      <c r="CB12" s="68">
        <f t="shared" si="116"/>
        <v>241.9</v>
      </c>
      <c r="CC12" s="68">
        <f t="shared" si="117"/>
        <v>0</v>
      </c>
      <c r="CD12" s="75">
        <f t="shared" si="118"/>
        <v>0</v>
      </c>
      <c r="CE12" s="68" t="e">
        <f>IF($I12="NA","NA",ROUND(#REF!*$CA12/$I12,2))</f>
        <v>#REF!</v>
      </c>
      <c r="CF12" s="75" t="e">
        <f t="shared" si="119"/>
        <v>#REF!</v>
      </c>
      <c r="CG12" s="68" t="e">
        <f t="shared" si="120"/>
        <v>#REF!</v>
      </c>
      <c r="CH12" s="4">
        <f t="shared" si="121"/>
        <v>102106</v>
      </c>
      <c r="CI12" s="4">
        <f t="shared" si="122"/>
        <v>33672</v>
      </c>
      <c r="CJ12" s="4">
        <f t="shared" si="123"/>
        <v>30581</v>
      </c>
      <c r="CK12" s="142">
        <f>IF(ISNA(VLOOKUP($A12&amp;$AB12,'Days Exceptions'!$C$3:$I$7,6,FALSE)),ROUND(CH12/MAX(CJ12,(CI12*Min_Occ)),2),ROUND(CH12/VLOOKUP($A12&amp;$AB12,'Days Exceptions'!$C$3:$I$7,6,FALSE),2))</f>
        <v>3.34</v>
      </c>
      <c r="CL12" s="143" t="e">
        <f t="shared" si="124"/>
        <v>#REF!</v>
      </c>
      <c r="CM12" s="143" t="e">
        <f t="shared" si="125"/>
        <v>#REF!</v>
      </c>
      <c r="CN12" s="143">
        <f t="shared" si="126"/>
        <v>154.13</v>
      </c>
      <c r="CO12" s="1" t="s">
        <v>167</v>
      </c>
      <c r="CP12" s="1" t="s">
        <v>199</v>
      </c>
      <c r="CQ12" s="5" t="s">
        <v>913</v>
      </c>
    </row>
    <row r="13" spans="1:95" s="37" customFormat="1" x14ac:dyDescent="0.15">
      <c r="A13" s="138">
        <v>1366</v>
      </c>
      <c r="B13" s="1" t="s">
        <v>438</v>
      </c>
      <c r="C13" s="1" t="s">
        <v>148</v>
      </c>
      <c r="D13" s="1" t="s">
        <v>120</v>
      </c>
      <c r="E13" s="1" t="str">
        <f>VLOOKUP(D13,Documentation!$B$4:$D$27,3,FALSE)</f>
        <v>WASHINGTON METRO</v>
      </c>
      <c r="F13" s="1" t="str">
        <f>VLOOKUP(D13,Documentation!$B$4:$C$27,2,FALSE)</f>
        <v>WASHINGTON METRO</v>
      </c>
      <c r="G13" s="82">
        <f>VLOOKUP(A13,'2022 CR and CMI'!$A$3:$D$207,3,FALSE)</f>
        <v>44562</v>
      </c>
      <c r="H13" s="82">
        <f>VLOOKUP(A13,'2022 CR and CMI'!$A$3:$D$207,4,FALSE)</f>
        <v>44926</v>
      </c>
      <c r="I13" s="72">
        <f>VLOOKUP(A13,'2022 CR and CMI'!$A$2:$T$210,19,FALSE)</f>
        <v>1.9762999999999999</v>
      </c>
      <c r="J13" s="139">
        <f>Inflation!$G$24</f>
        <v>1.0309999999999999</v>
      </c>
      <c r="K13" s="194">
        <f>VLOOKUP(E13,Limits!$B$2:$D$5,3,FALSE)</f>
        <v>176.01</v>
      </c>
      <c r="L13" s="192">
        <f t="shared" si="127"/>
        <v>181.47</v>
      </c>
      <c r="M13" s="140">
        <f>VLOOKUP(A13,'CMI Data'!$A$4:$F$208,6,FALSE)</f>
        <v>3.84</v>
      </c>
      <c r="N13" s="68">
        <f t="shared" si="94"/>
        <v>248.5</v>
      </c>
      <c r="O13" s="68">
        <f t="shared" si="128"/>
        <v>482.84</v>
      </c>
      <c r="P13" s="75">
        <f t="shared" si="129"/>
        <v>458.7</v>
      </c>
      <c r="Q13" s="75">
        <v>283.92</v>
      </c>
      <c r="R13" s="75">
        <f t="shared" si="130"/>
        <v>292.72000000000003</v>
      </c>
      <c r="S13" s="68">
        <f t="shared" si="131"/>
        <v>568.76</v>
      </c>
      <c r="T13" s="75">
        <f t="shared" si="132"/>
        <v>0</v>
      </c>
      <c r="U13" s="68">
        <f t="shared" si="133"/>
        <v>482.84</v>
      </c>
      <c r="V13" s="68">
        <f>VLOOKUP(F13,Limits!$J$2:$L$5,3,FALSE)</f>
        <v>19.23</v>
      </c>
      <c r="W13" s="68">
        <f t="shared" si="134"/>
        <v>19.829999999999998</v>
      </c>
      <c r="X13" s="68">
        <f>VLOOKUP(F13,Limits!$R$2:$T$5,3,FALSE)</f>
        <v>100.61</v>
      </c>
      <c r="Y13" s="68">
        <f t="shared" si="135"/>
        <v>103.73</v>
      </c>
      <c r="Z13" s="75">
        <f>VLOOKUP(A13,FRV!$A$4:$U$208,21,FALSE)</f>
        <v>38.64</v>
      </c>
      <c r="AA13" s="141">
        <f>VLOOKUP(A13,'RE Tax'!$A$2:$G$206,3,FALSE)</f>
        <v>45292</v>
      </c>
      <c r="AB13" s="141">
        <f>VLOOKUP(A13,'RE Tax'!$A$2:$G$206,4,FALSE)</f>
        <v>45657</v>
      </c>
      <c r="AC13" s="4">
        <f>VLOOKUP(A13,'RE Tax'!$A$2:$G$206,7,FALSE)</f>
        <v>291027</v>
      </c>
      <c r="AD13" s="4">
        <f>VLOOKUP(A13,'RE Tax'!$A$2:$I$206,9,FALSE)</f>
        <v>54900</v>
      </c>
      <c r="AE13" s="4">
        <f>VLOOKUP(A13,'RE Tax'!$A$2:$I$206,8,FALSE)</f>
        <v>51757</v>
      </c>
      <c r="AF13" s="142">
        <f>IF(ISNA(VLOOKUP(A13&amp;AB13,'Days Exceptions'!$C$3:$I$7,6,FALSE)),ROUND(AC13/MAX(AE13,(AD13*Min_Occ)),2),ROUND(AC13/VLOOKUP(A13&amp;AB13,'Days Exceptions'!$C$3:$I$7,6,FALSE),2))</f>
        <v>5.62</v>
      </c>
      <c r="AG13" s="68">
        <v>0</v>
      </c>
      <c r="AH13" s="68">
        <f t="shared" si="136"/>
        <v>0</v>
      </c>
      <c r="AI13" s="4">
        <v>27327</v>
      </c>
      <c r="AJ13" s="4">
        <v>51757</v>
      </c>
      <c r="AK13" s="68">
        <f>IF(AI13=0,0,IF(ISNA(MATCH(A13,Documentation!$B$66:$B$71,0)),QA_Tax_reg,QA_Tax_5high))</f>
        <v>32.92</v>
      </c>
      <c r="AL13" s="75">
        <f t="shared" si="137"/>
        <v>17.38</v>
      </c>
      <c r="AM13" s="68">
        <f t="shared" si="138"/>
        <v>650.66</v>
      </c>
      <c r="AN13" s="68">
        <f t="shared" si="139"/>
        <v>409.24</v>
      </c>
      <c r="AO13" s="68">
        <f t="shared" si="140"/>
        <v>167.82</v>
      </c>
      <c r="AP13" s="1" t="s">
        <v>441</v>
      </c>
      <c r="AQ13" s="1" t="s">
        <v>438</v>
      </c>
      <c r="AR13" s="5" t="s">
        <v>860</v>
      </c>
      <c r="AS13" s="66">
        <f>VLOOKUP(A13,'CMI Data'!$A$3:$K$209,11,FALSE)</f>
        <v>0</v>
      </c>
      <c r="AT13" s="68">
        <f t="shared" si="95"/>
        <v>241.03</v>
      </c>
      <c r="AU13" s="68">
        <f t="shared" si="96"/>
        <v>0</v>
      </c>
      <c r="AV13" s="75">
        <f t="shared" si="97"/>
        <v>0</v>
      </c>
      <c r="AW13" s="68" t="e">
        <f>IF($I13="NA","NA",ROUND(#REF!*$AS13/$I13,2))</f>
        <v>#REF!</v>
      </c>
      <c r="AX13" s="75" t="e">
        <f t="shared" si="98"/>
        <v>#REF!</v>
      </c>
      <c r="AY13" s="68" t="e">
        <f t="shared" si="141"/>
        <v>#REF!</v>
      </c>
      <c r="AZ13" s="4">
        <f t="shared" si="99"/>
        <v>291027</v>
      </c>
      <c r="BA13" s="4">
        <f t="shared" si="100"/>
        <v>54900</v>
      </c>
      <c r="BB13" s="4">
        <f t="shared" si="101"/>
        <v>51757</v>
      </c>
      <c r="BC13" s="142">
        <f>IF(ISNA(VLOOKUP($A13&amp;$AB13,'Days Exceptions'!$C$3:$I$7,6,FALSE)),ROUND(AZ13/MAX(BB13,(BA13*Min_Occ)),2),ROUND(AZ13/VLOOKUP($A13&amp;$AB13,'Days Exceptions'!$C$3:$I$7,6,FALSE),2))</f>
        <v>5.62</v>
      </c>
      <c r="BD13" s="143" t="e">
        <f t="shared" si="102"/>
        <v>#REF!</v>
      </c>
      <c r="BE13" s="143" t="e">
        <f t="shared" si="103"/>
        <v>#REF!</v>
      </c>
      <c r="BF13" s="143">
        <f t="shared" si="104"/>
        <v>164.1</v>
      </c>
      <c r="BG13" s="1" t="s">
        <v>441</v>
      </c>
      <c r="BH13" s="1" t="s">
        <v>438</v>
      </c>
      <c r="BI13" s="5" t="s">
        <v>878</v>
      </c>
      <c r="BJ13" s="66">
        <f>VLOOKUP($A13,'CMI Data'!$A$3:$AK$209,16,FALSE)</f>
        <v>0</v>
      </c>
      <c r="BK13" s="68">
        <f t="shared" si="105"/>
        <v>241.03</v>
      </c>
      <c r="BL13" s="68">
        <f t="shared" si="106"/>
        <v>0</v>
      </c>
      <c r="BM13" s="75">
        <f t="shared" si="107"/>
        <v>0</v>
      </c>
      <c r="BN13" s="68" t="e">
        <f>IF($I13="NA","NA",ROUND(#REF!*$BJ13/$I13,2))</f>
        <v>#REF!</v>
      </c>
      <c r="BO13" s="75" t="e">
        <f t="shared" si="108"/>
        <v>#REF!</v>
      </c>
      <c r="BP13" s="68" t="e">
        <f t="shared" si="109"/>
        <v>#REF!</v>
      </c>
      <c r="BQ13" s="4">
        <f t="shared" si="110"/>
        <v>291027</v>
      </c>
      <c r="BR13" s="4">
        <f t="shared" si="111"/>
        <v>54900</v>
      </c>
      <c r="BS13" s="4">
        <f t="shared" si="112"/>
        <v>51757</v>
      </c>
      <c r="BT13" s="142">
        <f>IF(ISNA(VLOOKUP($A13&amp;$AB13,'Days Exceptions'!$C$3:$I$7,6,FALSE)),ROUND(BQ13/MAX(BS13,(BR13*Min_Occ)),2),ROUND(BQ13/VLOOKUP($A13&amp;$AB13,'Days Exceptions'!$C$3:$I$7,6,FALSE),2))</f>
        <v>5.62</v>
      </c>
      <c r="BU13" s="143" t="e">
        <f t="shared" si="113"/>
        <v>#REF!</v>
      </c>
      <c r="BV13" s="143" t="e">
        <f t="shared" si="114"/>
        <v>#REF!</v>
      </c>
      <c r="BW13" s="143">
        <f t="shared" si="115"/>
        <v>164.1</v>
      </c>
      <c r="BX13" s="1" t="s">
        <v>441</v>
      </c>
      <c r="BY13" s="1" t="s">
        <v>438</v>
      </c>
      <c r="BZ13" s="5" t="s">
        <v>896</v>
      </c>
      <c r="CA13" s="66">
        <f>VLOOKUP($A13,'CMI Data'!$A$3:$AK$209,21,FALSE)</f>
        <v>0</v>
      </c>
      <c r="CB13" s="68">
        <f t="shared" si="116"/>
        <v>241.03</v>
      </c>
      <c r="CC13" s="68">
        <f t="shared" si="117"/>
        <v>0</v>
      </c>
      <c r="CD13" s="75">
        <f t="shared" si="118"/>
        <v>0</v>
      </c>
      <c r="CE13" s="68" t="e">
        <f>IF($I13="NA","NA",ROUND(#REF!*$CA13/$I13,2))</f>
        <v>#REF!</v>
      </c>
      <c r="CF13" s="75" t="e">
        <f t="shared" si="119"/>
        <v>#REF!</v>
      </c>
      <c r="CG13" s="68" t="e">
        <f t="shared" si="120"/>
        <v>#REF!</v>
      </c>
      <c r="CH13" s="4">
        <f t="shared" si="121"/>
        <v>291027</v>
      </c>
      <c r="CI13" s="4">
        <f t="shared" si="122"/>
        <v>54900</v>
      </c>
      <c r="CJ13" s="4">
        <f t="shared" si="123"/>
        <v>51757</v>
      </c>
      <c r="CK13" s="142">
        <f>IF(ISNA(VLOOKUP($A13&amp;$AB13,'Days Exceptions'!$C$3:$I$7,6,FALSE)),ROUND(CH13/MAX(CJ13,(CI13*Min_Occ)),2),ROUND(CH13/VLOOKUP($A13&amp;$AB13,'Days Exceptions'!$C$3:$I$7,6,FALSE),2))</f>
        <v>5.62</v>
      </c>
      <c r="CL13" s="143" t="e">
        <f t="shared" si="124"/>
        <v>#REF!</v>
      </c>
      <c r="CM13" s="143" t="e">
        <f t="shared" si="125"/>
        <v>#REF!</v>
      </c>
      <c r="CN13" s="143">
        <f t="shared" si="126"/>
        <v>164.1</v>
      </c>
      <c r="CO13" s="1" t="s">
        <v>441</v>
      </c>
      <c r="CP13" s="1" t="s">
        <v>438</v>
      </c>
      <c r="CQ13" s="5" t="s">
        <v>914</v>
      </c>
    </row>
    <row r="14" spans="1:95" s="37" customFormat="1" x14ac:dyDescent="0.15">
      <c r="A14" s="138">
        <v>186</v>
      </c>
      <c r="B14" s="1" t="s">
        <v>44</v>
      </c>
      <c r="C14" s="1" t="s">
        <v>148</v>
      </c>
      <c r="D14" s="1" t="s">
        <v>102</v>
      </c>
      <c r="E14" s="1" t="str">
        <f>VLOOKUP(D14,Documentation!$B$4:$D$27,3,FALSE)</f>
        <v>BALTIMORE METRO</v>
      </c>
      <c r="F14" s="1" t="str">
        <f>VLOOKUP(D14,Documentation!$B$4:$C$27,2,FALSE)</f>
        <v>BALTIMORE CITY</v>
      </c>
      <c r="G14" s="82">
        <f>VLOOKUP(A14,'2022 CR and CMI'!$A$3:$D$207,3,FALSE)</f>
        <v>44562</v>
      </c>
      <c r="H14" s="82">
        <f>VLOOKUP(A14,'2022 CR and CMI'!$A$3:$D$207,4,FALSE)</f>
        <v>44926</v>
      </c>
      <c r="I14" s="72">
        <f>VLOOKUP(A14,'2022 CR and CMI'!$A$2:$T$210,19,FALSE)</f>
        <v>1.9034</v>
      </c>
      <c r="J14" s="139">
        <f>Inflation!$G$24</f>
        <v>1.0309999999999999</v>
      </c>
      <c r="K14" s="194">
        <f>VLOOKUP(E14,Limits!$B$2:$D$5,3,FALSE)</f>
        <v>195.33</v>
      </c>
      <c r="L14" s="192">
        <f t="shared" si="127"/>
        <v>201.39</v>
      </c>
      <c r="M14" s="140">
        <f>VLOOKUP(A14,'CMI Data'!$A$4:$F$208,6,FALSE)</f>
        <v>3.6741000000000001</v>
      </c>
      <c r="N14" s="68">
        <f t="shared" si="94"/>
        <v>265.61</v>
      </c>
      <c r="O14" s="68">
        <f t="shared" si="128"/>
        <v>512.70000000000005</v>
      </c>
      <c r="P14" s="75">
        <f t="shared" si="129"/>
        <v>487.07</v>
      </c>
      <c r="Q14" s="75">
        <v>287.73</v>
      </c>
      <c r="R14" s="75">
        <f t="shared" si="130"/>
        <v>296.64999999999998</v>
      </c>
      <c r="S14" s="68">
        <f t="shared" si="131"/>
        <v>572.62</v>
      </c>
      <c r="T14" s="75">
        <f t="shared" si="132"/>
        <v>0</v>
      </c>
      <c r="U14" s="68">
        <f t="shared" si="133"/>
        <v>512.70000000000005</v>
      </c>
      <c r="V14" s="68">
        <f>VLOOKUP(F14,Limits!$J$2:$L$5,3,FALSE)</f>
        <v>24.89</v>
      </c>
      <c r="W14" s="68">
        <f t="shared" si="134"/>
        <v>25.66</v>
      </c>
      <c r="X14" s="68">
        <f>VLOOKUP(F14,Limits!$R$2:$T$5,3,FALSE)</f>
        <v>114.15</v>
      </c>
      <c r="Y14" s="68">
        <f t="shared" si="135"/>
        <v>117.69</v>
      </c>
      <c r="Z14" s="75">
        <f>VLOOKUP(A14,FRV!$A$4:$U$208,21,FALSE)</f>
        <v>54.03</v>
      </c>
      <c r="AA14" s="141">
        <f>VLOOKUP(A14,'RE Tax'!$A$2:$G$206,3,FALSE)</f>
        <v>45292</v>
      </c>
      <c r="AB14" s="141">
        <f>VLOOKUP(A14,'RE Tax'!$A$2:$G$206,4,FALSE)</f>
        <v>45657</v>
      </c>
      <c r="AC14" s="4">
        <f>VLOOKUP(A14,'RE Tax'!$A$2:$G$206,7,FALSE)</f>
        <v>149998</v>
      </c>
      <c r="AD14" s="4">
        <f>VLOOKUP(A14,'RE Tax'!$A$2:$I$206,9,FALSE)</f>
        <v>54168</v>
      </c>
      <c r="AE14" s="4">
        <f>VLOOKUP(A14,'RE Tax'!$A$2:$I$206,8,FALSE)</f>
        <v>48223</v>
      </c>
      <c r="AF14" s="142">
        <f>IF(ISNA(VLOOKUP(A14&amp;AB14,'Days Exceptions'!$C$3:$I$7,6,FALSE)),ROUND(AC14/MAX(AE14,(AD14*Min_Occ)),2),ROUND(AC14/VLOOKUP(A14&amp;AB14,'Days Exceptions'!$C$3:$I$7,6,FALSE),2))</f>
        <v>3.11</v>
      </c>
      <c r="AG14" s="68">
        <v>0</v>
      </c>
      <c r="AH14" s="68">
        <f t="shared" si="136"/>
        <v>0</v>
      </c>
      <c r="AI14" s="4">
        <v>38478</v>
      </c>
      <c r="AJ14" s="4">
        <v>48228</v>
      </c>
      <c r="AK14" s="68">
        <f>IF(AI14=0,0,IF(ISNA(MATCH(A14,Documentation!$B$66:$B$71,0)),QA_Tax_reg,QA_Tax_5high))</f>
        <v>32.92</v>
      </c>
      <c r="AL14" s="75">
        <f t="shared" si="137"/>
        <v>26.26</v>
      </c>
      <c r="AM14" s="68">
        <f t="shared" si="138"/>
        <v>713.19</v>
      </c>
      <c r="AN14" s="68">
        <f t="shared" si="139"/>
        <v>456.84</v>
      </c>
      <c r="AO14" s="68">
        <f t="shared" si="140"/>
        <v>200.49</v>
      </c>
      <c r="AP14" s="1" t="s">
        <v>20</v>
      </c>
      <c r="AQ14" s="1" t="s">
        <v>44</v>
      </c>
      <c r="AR14" s="5" t="s">
        <v>861</v>
      </c>
      <c r="AS14" s="66">
        <f>VLOOKUP(A14,'CMI Data'!$A$3:$K$209,11,FALSE)</f>
        <v>0</v>
      </c>
      <c r="AT14" s="68">
        <f t="shared" si="95"/>
        <v>257.62</v>
      </c>
      <c r="AU14" s="68">
        <f t="shared" si="96"/>
        <v>0</v>
      </c>
      <c r="AV14" s="75">
        <f t="shared" si="97"/>
        <v>0</v>
      </c>
      <c r="AW14" s="68" t="e">
        <f>IF($I14="NA","NA",ROUND(#REF!*$AS14/$I14,2))</f>
        <v>#REF!</v>
      </c>
      <c r="AX14" s="75" t="e">
        <f t="shared" si="98"/>
        <v>#REF!</v>
      </c>
      <c r="AY14" s="68" t="e">
        <f t="shared" si="141"/>
        <v>#REF!</v>
      </c>
      <c r="AZ14" s="4">
        <f t="shared" si="99"/>
        <v>149998</v>
      </c>
      <c r="BA14" s="4">
        <f t="shared" si="100"/>
        <v>54168</v>
      </c>
      <c r="BB14" s="4">
        <f t="shared" si="101"/>
        <v>48223</v>
      </c>
      <c r="BC14" s="142">
        <f>IF(ISNA(VLOOKUP($A14&amp;$AB14,'Days Exceptions'!$C$3:$I$7,6,FALSE)),ROUND(AZ14/MAX(BB14,(BA14*Min_Occ)),2),ROUND(AZ14/VLOOKUP($A14&amp;$AB14,'Days Exceptions'!$C$3:$I$7,6,FALSE),2))</f>
        <v>3.11</v>
      </c>
      <c r="BD14" s="143" t="e">
        <f t="shared" si="102"/>
        <v>#REF!</v>
      </c>
      <c r="BE14" s="143" t="e">
        <f t="shared" si="103"/>
        <v>#REF!</v>
      </c>
      <c r="BF14" s="143">
        <f t="shared" si="104"/>
        <v>196.18</v>
      </c>
      <c r="BG14" s="1" t="s">
        <v>20</v>
      </c>
      <c r="BH14" s="1" t="s">
        <v>44</v>
      </c>
      <c r="BI14" s="5" t="s">
        <v>879</v>
      </c>
      <c r="BJ14" s="66">
        <f>VLOOKUP($A14,'CMI Data'!$A$3:$AK$209,16,FALSE)</f>
        <v>0</v>
      </c>
      <c r="BK14" s="68">
        <f t="shared" si="105"/>
        <v>257.62</v>
      </c>
      <c r="BL14" s="68">
        <f t="shared" si="106"/>
        <v>0</v>
      </c>
      <c r="BM14" s="75">
        <f t="shared" si="107"/>
        <v>0</v>
      </c>
      <c r="BN14" s="68" t="e">
        <f>IF($I14="NA","NA",ROUND(#REF!*$BJ14/$I14,2))</f>
        <v>#REF!</v>
      </c>
      <c r="BO14" s="75" t="e">
        <f t="shared" si="108"/>
        <v>#REF!</v>
      </c>
      <c r="BP14" s="68" t="e">
        <f t="shared" si="109"/>
        <v>#REF!</v>
      </c>
      <c r="BQ14" s="4">
        <f t="shared" si="110"/>
        <v>149998</v>
      </c>
      <c r="BR14" s="4">
        <f t="shared" si="111"/>
        <v>54168</v>
      </c>
      <c r="BS14" s="4">
        <f t="shared" si="112"/>
        <v>48223</v>
      </c>
      <c r="BT14" s="142">
        <f>IF(ISNA(VLOOKUP($A14&amp;$AB14,'Days Exceptions'!$C$3:$I$7,6,FALSE)),ROUND(BQ14/MAX(BS14,(BR14*Min_Occ)),2),ROUND(BQ14/VLOOKUP($A14&amp;$AB14,'Days Exceptions'!$C$3:$I$7,6,FALSE),2))</f>
        <v>3.11</v>
      </c>
      <c r="BU14" s="143" t="e">
        <f t="shared" si="113"/>
        <v>#REF!</v>
      </c>
      <c r="BV14" s="143" t="e">
        <f t="shared" si="114"/>
        <v>#REF!</v>
      </c>
      <c r="BW14" s="143">
        <f t="shared" si="115"/>
        <v>196.18</v>
      </c>
      <c r="BX14" s="1" t="s">
        <v>20</v>
      </c>
      <c r="BY14" s="1" t="s">
        <v>44</v>
      </c>
      <c r="BZ14" s="5" t="s">
        <v>897</v>
      </c>
      <c r="CA14" s="66">
        <f>VLOOKUP($A14,'CMI Data'!$A$3:$AK$209,21,FALSE)</f>
        <v>0</v>
      </c>
      <c r="CB14" s="68">
        <f t="shared" si="116"/>
        <v>257.62</v>
      </c>
      <c r="CC14" s="68">
        <f t="shared" si="117"/>
        <v>0</v>
      </c>
      <c r="CD14" s="75">
        <f t="shared" si="118"/>
        <v>0</v>
      </c>
      <c r="CE14" s="68" t="e">
        <f>IF($I14="NA","NA",ROUND(#REF!*$CA14/$I14,2))</f>
        <v>#REF!</v>
      </c>
      <c r="CF14" s="75" t="e">
        <f t="shared" si="119"/>
        <v>#REF!</v>
      </c>
      <c r="CG14" s="68" t="e">
        <f t="shared" si="120"/>
        <v>#REF!</v>
      </c>
      <c r="CH14" s="4">
        <f t="shared" si="121"/>
        <v>149998</v>
      </c>
      <c r="CI14" s="4">
        <f t="shared" si="122"/>
        <v>54168</v>
      </c>
      <c r="CJ14" s="4">
        <f t="shared" si="123"/>
        <v>48223</v>
      </c>
      <c r="CK14" s="142">
        <f>IF(ISNA(VLOOKUP($A14&amp;$AB14,'Days Exceptions'!$C$3:$I$7,6,FALSE)),ROUND(CH14/MAX(CJ14,(CI14*Min_Occ)),2),ROUND(CH14/VLOOKUP($A14&amp;$AB14,'Days Exceptions'!$C$3:$I$7,6,FALSE),2))</f>
        <v>3.11</v>
      </c>
      <c r="CL14" s="143" t="e">
        <f t="shared" si="124"/>
        <v>#REF!</v>
      </c>
      <c r="CM14" s="143" t="e">
        <f t="shared" si="125"/>
        <v>#REF!</v>
      </c>
      <c r="CN14" s="143">
        <f t="shared" si="126"/>
        <v>196.18</v>
      </c>
      <c r="CO14" s="1" t="s">
        <v>20</v>
      </c>
      <c r="CP14" s="1" t="s">
        <v>44</v>
      </c>
      <c r="CQ14" s="5" t="s">
        <v>915</v>
      </c>
    </row>
    <row r="15" spans="1:95" s="37" customFormat="1" x14ac:dyDescent="0.15">
      <c r="A15" s="138">
        <v>713</v>
      </c>
      <c r="B15" s="1" t="s">
        <v>41</v>
      </c>
      <c r="C15" s="1" t="s">
        <v>148</v>
      </c>
      <c r="D15" s="1" t="s">
        <v>102</v>
      </c>
      <c r="E15" s="1" t="str">
        <f>VLOOKUP(D15,Documentation!$B$4:$D$27,3,FALSE)</f>
        <v>BALTIMORE METRO</v>
      </c>
      <c r="F15" s="1" t="str">
        <f>VLOOKUP(D15,Documentation!$B$4:$C$27,2,FALSE)</f>
        <v>BALTIMORE CITY</v>
      </c>
      <c r="G15" s="82">
        <f>VLOOKUP(A15,'2022 CR and CMI'!$A$3:$D$207,3,FALSE)</f>
        <v>44562</v>
      </c>
      <c r="H15" s="82">
        <f>VLOOKUP(A15,'2022 CR and CMI'!$A$3:$D$207,4,FALSE)</f>
        <v>44926</v>
      </c>
      <c r="I15" s="72">
        <f>VLOOKUP(A15,'2022 CR and CMI'!$A$2:$T$210,19,FALSE)</f>
        <v>1.968</v>
      </c>
      <c r="J15" s="139">
        <f>Inflation!$G$24</f>
        <v>1.0309999999999999</v>
      </c>
      <c r="K15" s="194">
        <f>VLOOKUP(E15,Limits!$B$2:$D$5,3,FALSE)</f>
        <v>195.33</v>
      </c>
      <c r="L15" s="192">
        <f t="shared" si="127"/>
        <v>201.39</v>
      </c>
      <c r="M15" s="140">
        <f>VLOOKUP(A15,'CMI Data'!$A$4:$F$208,6,FALSE)</f>
        <v>3.84</v>
      </c>
      <c r="N15" s="68">
        <f t="shared" si="94"/>
        <v>274.62</v>
      </c>
      <c r="O15" s="68">
        <f t="shared" si="128"/>
        <v>535.84</v>
      </c>
      <c r="P15" s="75">
        <f t="shared" si="129"/>
        <v>509.05</v>
      </c>
      <c r="Q15" s="75">
        <v>246.03</v>
      </c>
      <c r="R15" s="75">
        <f t="shared" si="130"/>
        <v>253.66</v>
      </c>
      <c r="S15" s="68">
        <f t="shared" si="131"/>
        <v>494.95</v>
      </c>
      <c r="T15" s="75">
        <f t="shared" si="132"/>
        <v>-14.1</v>
      </c>
      <c r="U15" s="68">
        <f t="shared" si="133"/>
        <v>521.74</v>
      </c>
      <c r="V15" s="68">
        <f>VLOOKUP(F15,Limits!$J$2:$L$5,3,FALSE)</f>
        <v>24.89</v>
      </c>
      <c r="W15" s="68">
        <f t="shared" si="134"/>
        <v>25.66</v>
      </c>
      <c r="X15" s="68">
        <f>VLOOKUP(F15,Limits!$R$2:$T$5,3,FALSE)</f>
        <v>114.15</v>
      </c>
      <c r="Y15" s="68">
        <f t="shared" si="135"/>
        <v>117.69</v>
      </c>
      <c r="Z15" s="75">
        <f>VLOOKUP(A15,FRV!$A$4:$U$208,21,FALSE)</f>
        <v>50.12</v>
      </c>
      <c r="AA15" s="141">
        <f>VLOOKUP(A15,'RE Tax'!$A$2:$G$206,3,FALSE)</f>
        <v>45292</v>
      </c>
      <c r="AB15" s="141">
        <f>VLOOKUP(A15,'RE Tax'!$A$2:$G$206,4,FALSE)</f>
        <v>45657</v>
      </c>
      <c r="AC15" s="4">
        <f>VLOOKUP(A15,'RE Tax'!$A$2:$G$206,7,FALSE)</f>
        <v>72127</v>
      </c>
      <c r="AD15" s="4">
        <f>VLOOKUP(A15,'RE Tax'!$A$2:$I$206,9,FALSE)</f>
        <v>73200</v>
      </c>
      <c r="AE15" s="4">
        <f>VLOOKUP(A15,'RE Tax'!$A$2:$I$206,8,FALSE)</f>
        <v>64744</v>
      </c>
      <c r="AF15" s="142">
        <f>IF(ISNA(VLOOKUP(A15&amp;AB15,'Days Exceptions'!$C$3:$I$7,6,FALSE)),ROUND(AC15/MAX(AE15,(AD15*Min_Occ)),2),ROUND(AC15/VLOOKUP(A15&amp;AB15,'Days Exceptions'!$C$3:$I$7,6,FALSE),2))</f>
        <v>1.1100000000000001</v>
      </c>
      <c r="AG15" s="68">
        <v>0</v>
      </c>
      <c r="AH15" s="68">
        <f t="shared" si="136"/>
        <v>0</v>
      </c>
      <c r="AI15" s="4">
        <v>56395</v>
      </c>
      <c r="AJ15" s="4">
        <v>64744</v>
      </c>
      <c r="AK15" s="68">
        <f>IF(AI15=0,0,IF(ISNA(MATCH(A15,Documentation!$B$66:$B$71,0)),QA_Tax_reg,QA_Tax_5high))</f>
        <v>32.92</v>
      </c>
      <c r="AL15" s="75">
        <f t="shared" si="137"/>
        <v>28.67</v>
      </c>
      <c r="AM15" s="68">
        <f t="shared" si="138"/>
        <v>716.32</v>
      </c>
      <c r="AN15" s="68">
        <f t="shared" si="139"/>
        <v>455.45</v>
      </c>
      <c r="AO15" s="68">
        <f t="shared" si="140"/>
        <v>194.58</v>
      </c>
      <c r="AP15" s="1" t="s">
        <v>98</v>
      </c>
      <c r="AQ15" s="1" t="s">
        <v>41</v>
      </c>
      <c r="AR15" s="5" t="s">
        <v>862</v>
      </c>
      <c r="AS15" s="66">
        <f>VLOOKUP(A15,'CMI Data'!$A$3:$K$209,11,FALSE)</f>
        <v>0</v>
      </c>
      <c r="AT15" s="68">
        <f t="shared" si="95"/>
        <v>266.36</v>
      </c>
      <c r="AU15" s="68">
        <f t="shared" si="96"/>
        <v>0</v>
      </c>
      <c r="AV15" s="75">
        <f t="shared" si="97"/>
        <v>0</v>
      </c>
      <c r="AW15" s="68" t="e">
        <f>IF($I15="NA","NA",ROUND(#REF!*$AS15/$I15,2))</f>
        <v>#REF!</v>
      </c>
      <c r="AX15" s="75" t="e">
        <f t="shared" si="98"/>
        <v>#REF!</v>
      </c>
      <c r="AY15" s="68" t="e">
        <f t="shared" si="141"/>
        <v>#REF!</v>
      </c>
      <c r="AZ15" s="4">
        <f t="shared" si="99"/>
        <v>72127</v>
      </c>
      <c r="BA15" s="4">
        <f t="shared" si="100"/>
        <v>73200</v>
      </c>
      <c r="BB15" s="4">
        <f t="shared" si="101"/>
        <v>64744</v>
      </c>
      <c r="BC15" s="142">
        <f>IF(ISNA(VLOOKUP($A15&amp;$AB15,'Days Exceptions'!$C$3:$I$7,6,FALSE)),ROUND(AZ15/MAX(BB15,(BA15*Min_Occ)),2),ROUND(AZ15/VLOOKUP($A15&amp;$AB15,'Days Exceptions'!$C$3:$I$7,6,FALSE),2))</f>
        <v>1.1100000000000001</v>
      </c>
      <c r="BD15" s="143" t="e">
        <f t="shared" si="102"/>
        <v>#REF!</v>
      </c>
      <c r="BE15" s="143" t="e">
        <f t="shared" si="103"/>
        <v>#REF!</v>
      </c>
      <c r="BF15" s="143">
        <f t="shared" si="104"/>
        <v>190.27</v>
      </c>
      <c r="BG15" s="1" t="s">
        <v>98</v>
      </c>
      <c r="BH15" s="1" t="s">
        <v>41</v>
      </c>
      <c r="BI15" s="5" t="s">
        <v>880</v>
      </c>
      <c r="BJ15" s="66">
        <f>VLOOKUP($A15,'CMI Data'!$A$3:$AK$209,16,FALSE)</f>
        <v>0</v>
      </c>
      <c r="BK15" s="68">
        <f t="shared" si="105"/>
        <v>266.36</v>
      </c>
      <c r="BL15" s="68">
        <f t="shared" si="106"/>
        <v>0</v>
      </c>
      <c r="BM15" s="75">
        <f t="shared" si="107"/>
        <v>0</v>
      </c>
      <c r="BN15" s="68" t="e">
        <f>IF($I15="NA","NA",ROUND(#REF!*$BJ15/$I15,2))</f>
        <v>#REF!</v>
      </c>
      <c r="BO15" s="75" t="e">
        <f t="shared" si="108"/>
        <v>#REF!</v>
      </c>
      <c r="BP15" s="68" t="e">
        <f t="shared" si="109"/>
        <v>#REF!</v>
      </c>
      <c r="BQ15" s="4">
        <f t="shared" si="110"/>
        <v>72127</v>
      </c>
      <c r="BR15" s="4">
        <f t="shared" si="111"/>
        <v>73200</v>
      </c>
      <c r="BS15" s="4">
        <f t="shared" si="112"/>
        <v>64744</v>
      </c>
      <c r="BT15" s="142">
        <f>IF(ISNA(VLOOKUP($A15&amp;$AB15,'Days Exceptions'!$C$3:$I$7,6,FALSE)),ROUND(BQ15/MAX(BS15,(BR15*Min_Occ)),2),ROUND(BQ15/VLOOKUP($A15&amp;$AB15,'Days Exceptions'!$C$3:$I$7,6,FALSE),2))</f>
        <v>1.1100000000000001</v>
      </c>
      <c r="BU15" s="143" t="e">
        <f t="shared" si="113"/>
        <v>#REF!</v>
      </c>
      <c r="BV15" s="143" t="e">
        <f t="shared" si="114"/>
        <v>#REF!</v>
      </c>
      <c r="BW15" s="143">
        <f t="shared" si="115"/>
        <v>190.27</v>
      </c>
      <c r="BX15" s="1" t="s">
        <v>98</v>
      </c>
      <c r="BY15" s="1" t="s">
        <v>41</v>
      </c>
      <c r="BZ15" s="5" t="s">
        <v>898</v>
      </c>
      <c r="CA15" s="66">
        <f>VLOOKUP($A15,'CMI Data'!$A$3:$AK$209,21,FALSE)</f>
        <v>0</v>
      </c>
      <c r="CB15" s="68">
        <f t="shared" si="116"/>
        <v>266.36</v>
      </c>
      <c r="CC15" s="68">
        <f t="shared" si="117"/>
        <v>0</v>
      </c>
      <c r="CD15" s="75">
        <f t="shared" si="118"/>
        <v>0</v>
      </c>
      <c r="CE15" s="68" t="e">
        <f>IF($I15="NA","NA",ROUND(#REF!*$CA15/$I15,2))</f>
        <v>#REF!</v>
      </c>
      <c r="CF15" s="75" t="e">
        <f t="shared" si="119"/>
        <v>#REF!</v>
      </c>
      <c r="CG15" s="68" t="e">
        <f t="shared" si="120"/>
        <v>#REF!</v>
      </c>
      <c r="CH15" s="4">
        <f t="shared" si="121"/>
        <v>72127</v>
      </c>
      <c r="CI15" s="4">
        <f t="shared" si="122"/>
        <v>73200</v>
      </c>
      <c r="CJ15" s="4">
        <f t="shared" si="123"/>
        <v>64744</v>
      </c>
      <c r="CK15" s="142">
        <f>IF(ISNA(VLOOKUP($A15&amp;$AB15,'Days Exceptions'!$C$3:$I$7,6,FALSE)),ROUND(CH15/MAX(CJ15,(CI15*Min_Occ)),2),ROUND(CH15/VLOOKUP($A15&amp;$AB15,'Days Exceptions'!$C$3:$I$7,6,FALSE),2))</f>
        <v>1.1100000000000001</v>
      </c>
      <c r="CL15" s="143" t="e">
        <f t="shared" si="124"/>
        <v>#REF!</v>
      </c>
      <c r="CM15" s="143" t="e">
        <f t="shared" si="125"/>
        <v>#REF!</v>
      </c>
      <c r="CN15" s="143">
        <f t="shared" si="126"/>
        <v>190.27</v>
      </c>
      <c r="CO15" s="1" t="s">
        <v>98</v>
      </c>
      <c r="CP15" s="1" t="s">
        <v>41</v>
      </c>
      <c r="CQ15" s="5" t="s">
        <v>916</v>
      </c>
    </row>
    <row r="16" spans="1:95" s="37" customFormat="1" x14ac:dyDescent="0.15">
      <c r="A16" s="138">
        <v>192</v>
      </c>
      <c r="B16" s="1" t="s">
        <v>39</v>
      </c>
      <c r="C16" s="1" t="s">
        <v>148</v>
      </c>
      <c r="D16" s="1" t="s">
        <v>120</v>
      </c>
      <c r="E16" s="1" t="str">
        <f>VLOOKUP(D16,Documentation!$B$4:$D$27,3,FALSE)</f>
        <v>WASHINGTON METRO</v>
      </c>
      <c r="F16" s="1" t="str">
        <f>VLOOKUP(D16,Documentation!$B$4:$C$27,2,FALSE)</f>
        <v>WASHINGTON METRO</v>
      </c>
      <c r="G16" s="82">
        <f>VLOOKUP(A16,'2022 CR and CMI'!$A$3:$D$207,3,FALSE)</f>
        <v>44562</v>
      </c>
      <c r="H16" s="82">
        <f>VLOOKUP(A16,'2022 CR and CMI'!$A$3:$D$207,4,FALSE)</f>
        <v>44926</v>
      </c>
      <c r="I16" s="72">
        <f>VLOOKUP(A16,'2022 CR and CMI'!$A$2:$T$210,19,FALSE)</f>
        <v>1.9691000000000001</v>
      </c>
      <c r="J16" s="139">
        <f>Inflation!$G$24</f>
        <v>1.0309999999999999</v>
      </c>
      <c r="K16" s="194">
        <f>VLOOKUP(E16,Limits!$B$2:$D$5,3,FALSE)</f>
        <v>176.01</v>
      </c>
      <c r="L16" s="192">
        <f t="shared" si="127"/>
        <v>181.47</v>
      </c>
      <c r="M16" s="140">
        <f>VLOOKUP(A16,'CMI Data'!$A$4:$F$208,6,FALSE)</f>
        <v>3.7583000000000002</v>
      </c>
      <c r="N16" s="68">
        <f t="shared" si="94"/>
        <v>247.6</v>
      </c>
      <c r="O16" s="68">
        <f t="shared" si="128"/>
        <v>472.58</v>
      </c>
      <c r="P16" s="75">
        <f t="shared" si="129"/>
        <v>448.95</v>
      </c>
      <c r="Q16" s="75">
        <v>260.92</v>
      </c>
      <c r="R16" s="75">
        <f t="shared" si="130"/>
        <v>269.01</v>
      </c>
      <c r="S16" s="68">
        <f t="shared" si="131"/>
        <v>513.44000000000005</v>
      </c>
      <c r="T16" s="75">
        <f t="shared" si="132"/>
        <v>0</v>
      </c>
      <c r="U16" s="68">
        <f t="shared" si="133"/>
        <v>472.58</v>
      </c>
      <c r="V16" s="68">
        <f>VLOOKUP(F16,Limits!$J$2:$L$5,3,FALSE)</f>
        <v>19.23</v>
      </c>
      <c r="W16" s="68">
        <f t="shared" si="134"/>
        <v>19.829999999999998</v>
      </c>
      <c r="X16" s="68">
        <f>VLOOKUP(F16,Limits!$R$2:$T$5,3,FALSE)</f>
        <v>100.61</v>
      </c>
      <c r="Y16" s="68">
        <f t="shared" si="135"/>
        <v>103.73</v>
      </c>
      <c r="Z16" s="75">
        <f>VLOOKUP(A16,FRV!$A$4:$U$208,21,FALSE)</f>
        <v>33.28</v>
      </c>
      <c r="AA16" s="141">
        <f>VLOOKUP(A16,'RE Tax'!$A$2:$G$206,3,FALSE)</f>
        <v>45292</v>
      </c>
      <c r="AB16" s="141">
        <f>VLOOKUP(A16,'RE Tax'!$A$2:$G$206,4,FALSE)</f>
        <v>45657</v>
      </c>
      <c r="AC16" s="4">
        <f>VLOOKUP(A16,'RE Tax'!$A$2:$G$206,7,FALSE)</f>
        <v>235454</v>
      </c>
      <c r="AD16" s="4">
        <f>VLOOKUP(A16,'RE Tax'!$A$2:$I$206,9,FALSE)</f>
        <v>65880</v>
      </c>
      <c r="AE16" s="4">
        <f>VLOOKUP(A16,'RE Tax'!$A$2:$I$206,8,FALSE)</f>
        <v>61713</v>
      </c>
      <c r="AF16" s="142">
        <f>IF(ISNA(VLOOKUP(A16&amp;AB16,'Days Exceptions'!$C$3:$I$7,6,FALSE)),ROUND(AC16/MAX(AE16,(AD16*Min_Occ)),2),ROUND(AC16/VLOOKUP(A16&amp;AB16,'Days Exceptions'!$C$3:$I$7,6,FALSE),2))</f>
        <v>3.82</v>
      </c>
      <c r="AG16" s="68">
        <v>0</v>
      </c>
      <c r="AH16" s="68">
        <f t="shared" si="136"/>
        <v>0</v>
      </c>
      <c r="AI16" s="4">
        <v>50894</v>
      </c>
      <c r="AJ16" s="4">
        <v>61713</v>
      </c>
      <c r="AK16" s="68">
        <f>IF(AI16=0,0,IF(ISNA(MATCH(A16,Documentation!$B$66:$B$71,0)),QA_Tax_reg,QA_Tax_5high))</f>
        <v>32.92</v>
      </c>
      <c r="AL16" s="75">
        <f t="shared" si="137"/>
        <v>27.15</v>
      </c>
      <c r="AM16" s="68">
        <f t="shared" si="138"/>
        <v>633.24</v>
      </c>
      <c r="AN16" s="68">
        <f t="shared" si="139"/>
        <v>396.95</v>
      </c>
      <c r="AO16" s="68">
        <f t="shared" si="140"/>
        <v>160.66</v>
      </c>
      <c r="AP16" s="1" t="s">
        <v>85</v>
      </c>
      <c r="AQ16" s="1" t="s">
        <v>39</v>
      </c>
      <c r="AR16" s="5" t="s">
        <v>863</v>
      </c>
      <c r="AS16" s="66">
        <f>VLOOKUP(A16,'CMI Data'!$A$3:$K$209,11,FALSE)</f>
        <v>0</v>
      </c>
      <c r="AT16" s="68">
        <f t="shared" si="95"/>
        <v>240.15</v>
      </c>
      <c r="AU16" s="68">
        <f t="shared" si="96"/>
        <v>0</v>
      </c>
      <c r="AV16" s="75">
        <f t="shared" si="97"/>
        <v>0</v>
      </c>
      <c r="AW16" s="68" t="e">
        <f>IF($I16="NA","NA",ROUND(#REF!*$AS16/$I16,2))</f>
        <v>#REF!</v>
      </c>
      <c r="AX16" s="75" t="e">
        <f t="shared" si="98"/>
        <v>#REF!</v>
      </c>
      <c r="AY16" s="68" t="e">
        <f t="shared" si="141"/>
        <v>#REF!</v>
      </c>
      <c r="AZ16" s="4">
        <f t="shared" si="99"/>
        <v>235454</v>
      </c>
      <c r="BA16" s="4">
        <f t="shared" si="100"/>
        <v>65880</v>
      </c>
      <c r="BB16" s="4">
        <f t="shared" si="101"/>
        <v>61713</v>
      </c>
      <c r="BC16" s="142">
        <f>IF(ISNA(VLOOKUP($A16&amp;$AB16,'Days Exceptions'!$C$3:$I$7,6,FALSE)),ROUND(AZ16/MAX(BB16,(BA16*Min_Occ)),2),ROUND(AZ16/VLOOKUP($A16&amp;$AB16,'Days Exceptions'!$C$3:$I$7,6,FALSE),2))</f>
        <v>3.82</v>
      </c>
      <c r="BD16" s="143" t="e">
        <f t="shared" si="102"/>
        <v>#REF!</v>
      </c>
      <c r="BE16" s="143" t="e">
        <f t="shared" si="103"/>
        <v>#REF!</v>
      </c>
      <c r="BF16" s="143">
        <f t="shared" si="104"/>
        <v>156.94</v>
      </c>
      <c r="BG16" s="1" t="s">
        <v>85</v>
      </c>
      <c r="BH16" s="1" t="s">
        <v>39</v>
      </c>
      <c r="BI16" s="5" t="s">
        <v>881</v>
      </c>
      <c r="BJ16" s="66">
        <f>VLOOKUP($A16,'CMI Data'!$A$3:$AK$209,16,FALSE)</f>
        <v>0</v>
      </c>
      <c r="BK16" s="68">
        <f t="shared" si="105"/>
        <v>240.15</v>
      </c>
      <c r="BL16" s="68">
        <f t="shared" si="106"/>
        <v>0</v>
      </c>
      <c r="BM16" s="75">
        <f t="shared" si="107"/>
        <v>0</v>
      </c>
      <c r="BN16" s="68" t="e">
        <f>IF($I16="NA","NA",ROUND(#REF!*$BJ16/$I16,2))</f>
        <v>#REF!</v>
      </c>
      <c r="BO16" s="75" t="e">
        <f t="shared" si="108"/>
        <v>#REF!</v>
      </c>
      <c r="BP16" s="68" t="e">
        <f t="shared" si="109"/>
        <v>#REF!</v>
      </c>
      <c r="BQ16" s="4">
        <f t="shared" si="110"/>
        <v>235454</v>
      </c>
      <c r="BR16" s="4">
        <f t="shared" si="111"/>
        <v>65880</v>
      </c>
      <c r="BS16" s="4">
        <f t="shared" si="112"/>
        <v>61713</v>
      </c>
      <c r="BT16" s="142">
        <f>IF(ISNA(VLOOKUP($A16&amp;$AB16,'Days Exceptions'!$C$3:$I$7,6,FALSE)),ROUND(BQ16/MAX(BS16,(BR16*Min_Occ)),2),ROUND(BQ16/VLOOKUP($A16&amp;$AB16,'Days Exceptions'!$C$3:$I$7,6,FALSE),2))</f>
        <v>3.82</v>
      </c>
      <c r="BU16" s="143" t="e">
        <f t="shared" si="113"/>
        <v>#REF!</v>
      </c>
      <c r="BV16" s="143" t="e">
        <f t="shared" si="114"/>
        <v>#REF!</v>
      </c>
      <c r="BW16" s="143">
        <f t="shared" si="115"/>
        <v>156.94</v>
      </c>
      <c r="BX16" s="1" t="s">
        <v>85</v>
      </c>
      <c r="BY16" s="1" t="s">
        <v>39</v>
      </c>
      <c r="BZ16" s="5" t="s">
        <v>899</v>
      </c>
      <c r="CA16" s="66">
        <f>VLOOKUP($A16,'CMI Data'!$A$3:$AK$209,21,FALSE)</f>
        <v>0</v>
      </c>
      <c r="CB16" s="68">
        <f t="shared" si="116"/>
        <v>240.15</v>
      </c>
      <c r="CC16" s="68">
        <f t="shared" si="117"/>
        <v>0</v>
      </c>
      <c r="CD16" s="75">
        <f t="shared" si="118"/>
        <v>0</v>
      </c>
      <c r="CE16" s="68" t="e">
        <f>IF($I16="NA","NA",ROUND(#REF!*$CA16/$I16,2))</f>
        <v>#REF!</v>
      </c>
      <c r="CF16" s="75" t="e">
        <f t="shared" si="119"/>
        <v>#REF!</v>
      </c>
      <c r="CG16" s="68" t="e">
        <f t="shared" si="120"/>
        <v>#REF!</v>
      </c>
      <c r="CH16" s="4">
        <f t="shared" si="121"/>
        <v>235454</v>
      </c>
      <c r="CI16" s="4">
        <f t="shared" si="122"/>
        <v>65880</v>
      </c>
      <c r="CJ16" s="4">
        <f t="shared" si="123"/>
        <v>61713</v>
      </c>
      <c r="CK16" s="142">
        <f>IF(ISNA(VLOOKUP($A16&amp;$AB16,'Days Exceptions'!$C$3:$I$7,6,FALSE)),ROUND(CH16/MAX(CJ16,(CI16*Min_Occ)),2),ROUND(CH16/VLOOKUP($A16&amp;$AB16,'Days Exceptions'!$C$3:$I$7,6,FALSE),2))</f>
        <v>3.82</v>
      </c>
      <c r="CL16" s="143" t="e">
        <f t="shared" si="124"/>
        <v>#REF!</v>
      </c>
      <c r="CM16" s="143" t="e">
        <f t="shared" si="125"/>
        <v>#REF!</v>
      </c>
      <c r="CN16" s="143">
        <f t="shared" si="126"/>
        <v>156.94</v>
      </c>
      <c r="CO16" s="1" t="s">
        <v>85</v>
      </c>
      <c r="CP16" s="1" t="s">
        <v>39</v>
      </c>
      <c r="CQ16" s="5" t="s">
        <v>917</v>
      </c>
    </row>
    <row r="17" spans="1:95" s="37" customFormat="1" x14ac:dyDescent="0.15">
      <c r="A17" s="138">
        <v>270</v>
      </c>
      <c r="B17" s="1" t="s">
        <v>38</v>
      </c>
      <c r="C17" s="1" t="s">
        <v>148</v>
      </c>
      <c r="D17" s="1" t="s">
        <v>102</v>
      </c>
      <c r="E17" s="1" t="str">
        <f>VLOOKUP(D17,Documentation!$B$4:$D$27,3,FALSE)</f>
        <v>BALTIMORE METRO</v>
      </c>
      <c r="F17" s="1" t="str">
        <f>VLOOKUP(D17,Documentation!$B$4:$C$27,2,FALSE)</f>
        <v>BALTIMORE CITY</v>
      </c>
      <c r="G17" s="82">
        <f>VLOOKUP(A17,'2022 CR and CMI'!$A$3:$D$207,3,FALSE)</f>
        <v>44378</v>
      </c>
      <c r="H17" s="82">
        <f>VLOOKUP(A17,'2022 CR and CMI'!$A$3:$D$207,4,FALSE)</f>
        <v>44742</v>
      </c>
      <c r="I17" s="72">
        <f>VLOOKUP(A17,'2022 CR and CMI'!$A$2:$T$210,19,FALSE)</f>
        <v>1.6125</v>
      </c>
      <c r="J17" s="139">
        <f>Inflation!$G$24</f>
        <v>1.0309999999999999</v>
      </c>
      <c r="K17" s="194">
        <f>VLOOKUP(E17,Limits!$B$2:$D$5,3,FALSE)</f>
        <v>195.33</v>
      </c>
      <c r="L17" s="192">
        <f t="shared" si="127"/>
        <v>201.39</v>
      </c>
      <c r="M17" s="140">
        <f>VLOOKUP(A17,'CMI Data'!$A$4:$F$208,6,FALSE)</f>
        <v>3.5327000000000002</v>
      </c>
      <c r="N17" s="68">
        <f t="shared" si="94"/>
        <v>225.01</v>
      </c>
      <c r="O17" s="68">
        <f t="shared" si="128"/>
        <v>492.96</v>
      </c>
      <c r="P17" s="75">
        <f t="shared" si="129"/>
        <v>468.31</v>
      </c>
      <c r="Q17" s="75">
        <v>326.95999999999998</v>
      </c>
      <c r="R17" s="75">
        <f t="shared" si="130"/>
        <v>337.1</v>
      </c>
      <c r="S17" s="68">
        <f t="shared" si="131"/>
        <v>738.53</v>
      </c>
      <c r="T17" s="75">
        <f t="shared" si="132"/>
        <v>0</v>
      </c>
      <c r="U17" s="68">
        <f t="shared" si="133"/>
        <v>492.96</v>
      </c>
      <c r="V17" s="68">
        <f>VLOOKUP(F17,Limits!$J$2:$L$5,3,FALSE)</f>
        <v>24.89</v>
      </c>
      <c r="W17" s="68">
        <f t="shared" si="134"/>
        <v>25.66</v>
      </c>
      <c r="X17" s="68">
        <f>VLOOKUP(F17,Limits!$R$2:$T$5,3,FALSE)</f>
        <v>114.15</v>
      </c>
      <c r="Y17" s="68">
        <f t="shared" si="135"/>
        <v>117.69</v>
      </c>
      <c r="Z17" s="75">
        <f>VLOOKUP(A17,FRV!$A$4:$U$208,21,FALSE)</f>
        <v>51.75</v>
      </c>
      <c r="AA17" s="141">
        <f>VLOOKUP(A17,'RE Tax'!$A$2:$G$206,3,FALSE)</f>
        <v>45108</v>
      </c>
      <c r="AB17" s="141">
        <f>VLOOKUP(A17,'RE Tax'!$A$2:$G$206,4,FALSE)</f>
        <v>45473</v>
      </c>
      <c r="AC17" s="4">
        <f>VLOOKUP(A17,'RE Tax'!$A$2:$G$206,7,FALSE)</f>
        <v>0</v>
      </c>
      <c r="AD17" s="4">
        <f>VLOOKUP(A17,'RE Tax'!$A$2:$I$206,9,FALSE)</f>
        <v>76860</v>
      </c>
      <c r="AE17" s="4">
        <f>VLOOKUP(A17,'RE Tax'!$A$2:$I$206,8,FALSE)</f>
        <v>66850</v>
      </c>
      <c r="AF17" s="142">
        <f>IF(ISNA(VLOOKUP(A17&amp;AB17,'Days Exceptions'!$C$3:$I$7,6,FALSE)),ROUND(AC17/MAX(AE17,(AD17*Min_Occ)),2),ROUND(AC17/VLOOKUP(A17&amp;AB17,'Days Exceptions'!$C$3:$I$7,6,FALSE),2))</f>
        <v>0</v>
      </c>
      <c r="AG17" s="68">
        <v>4.03</v>
      </c>
      <c r="AH17" s="68">
        <f t="shared" si="136"/>
        <v>4.1500000000000004</v>
      </c>
      <c r="AI17" s="4">
        <v>56205</v>
      </c>
      <c r="AJ17" s="4">
        <v>68794</v>
      </c>
      <c r="AK17" s="68">
        <f>IF(AI17=0,0,IF(ISNA(MATCH(A17,Documentation!$B$66:$B$71,0)),QA_Tax_reg,QA_Tax_5high))</f>
        <v>32.92</v>
      </c>
      <c r="AL17" s="75">
        <f t="shared" si="137"/>
        <v>26.9</v>
      </c>
      <c r="AM17" s="68">
        <f t="shared" si="138"/>
        <v>692.21</v>
      </c>
      <c r="AN17" s="68">
        <f t="shared" si="139"/>
        <v>445.73</v>
      </c>
      <c r="AO17" s="68">
        <f t="shared" si="140"/>
        <v>199.25</v>
      </c>
      <c r="AP17" s="1" t="s">
        <v>79</v>
      </c>
      <c r="AQ17" s="1" t="s">
        <v>38</v>
      </c>
      <c r="AR17" s="5" t="s">
        <v>864</v>
      </c>
      <c r="AS17" s="66">
        <f>VLOOKUP(A17,'CMI Data'!$A$3:$K$209,11,FALSE)</f>
        <v>0</v>
      </c>
      <c r="AT17" s="68">
        <f t="shared" si="95"/>
        <v>218.24</v>
      </c>
      <c r="AU17" s="68">
        <f t="shared" si="96"/>
        <v>0</v>
      </c>
      <c r="AV17" s="75">
        <f t="shared" si="97"/>
        <v>0</v>
      </c>
      <c r="AW17" s="68" t="e">
        <f>IF($I17="NA","NA",ROUND(#REF!*$AS17/$I17,2))</f>
        <v>#REF!</v>
      </c>
      <c r="AX17" s="75" t="e">
        <f t="shared" si="98"/>
        <v>#REF!</v>
      </c>
      <c r="AY17" s="68" t="e">
        <f t="shared" si="141"/>
        <v>#REF!</v>
      </c>
      <c r="AZ17" s="4">
        <f t="shared" si="99"/>
        <v>0</v>
      </c>
      <c r="BA17" s="4">
        <f t="shared" si="100"/>
        <v>76860</v>
      </c>
      <c r="BB17" s="4">
        <f t="shared" si="101"/>
        <v>66850</v>
      </c>
      <c r="BC17" s="142">
        <f>IF(ISNA(VLOOKUP($A17&amp;$AB17,'Days Exceptions'!$C$3:$I$7,6,FALSE)),ROUND(AZ17/MAX(BB17,(BA17*Min_Occ)),2),ROUND(AZ17/VLOOKUP($A17&amp;$AB17,'Days Exceptions'!$C$3:$I$7,6,FALSE),2))</f>
        <v>0</v>
      </c>
      <c r="BD17" s="143" t="e">
        <f t="shared" si="102"/>
        <v>#REF!</v>
      </c>
      <c r="BE17" s="143" t="e">
        <f t="shared" si="103"/>
        <v>#REF!</v>
      </c>
      <c r="BF17" s="143">
        <f t="shared" si="104"/>
        <v>194.82</v>
      </c>
      <c r="BG17" s="1" t="s">
        <v>79</v>
      </c>
      <c r="BH17" s="1" t="s">
        <v>38</v>
      </c>
      <c r="BI17" s="5" t="s">
        <v>882</v>
      </c>
      <c r="BJ17" s="66">
        <f>VLOOKUP($A17,'CMI Data'!$A$3:$AK$209,16,FALSE)</f>
        <v>0</v>
      </c>
      <c r="BK17" s="68">
        <f t="shared" si="105"/>
        <v>218.24</v>
      </c>
      <c r="BL17" s="68">
        <f t="shared" si="106"/>
        <v>0</v>
      </c>
      <c r="BM17" s="75">
        <f t="shared" si="107"/>
        <v>0</v>
      </c>
      <c r="BN17" s="68" t="e">
        <f>IF($I17="NA","NA",ROUND(#REF!*$BJ17/$I17,2))</f>
        <v>#REF!</v>
      </c>
      <c r="BO17" s="75" t="e">
        <f t="shared" si="108"/>
        <v>#REF!</v>
      </c>
      <c r="BP17" s="68" t="e">
        <f t="shared" si="109"/>
        <v>#REF!</v>
      </c>
      <c r="BQ17" s="4">
        <f t="shared" si="110"/>
        <v>0</v>
      </c>
      <c r="BR17" s="4">
        <f t="shared" si="111"/>
        <v>76860</v>
      </c>
      <c r="BS17" s="4">
        <f t="shared" si="112"/>
        <v>66850</v>
      </c>
      <c r="BT17" s="142">
        <f>IF(ISNA(VLOOKUP($A17&amp;$AB17,'Days Exceptions'!$C$3:$I$7,6,FALSE)),ROUND(BQ17/MAX(BS17,(BR17*Min_Occ)),2),ROUND(BQ17/VLOOKUP($A17&amp;$AB17,'Days Exceptions'!$C$3:$I$7,6,FALSE),2))</f>
        <v>0</v>
      </c>
      <c r="BU17" s="143" t="e">
        <f t="shared" si="113"/>
        <v>#REF!</v>
      </c>
      <c r="BV17" s="143" t="e">
        <f t="shared" si="114"/>
        <v>#REF!</v>
      </c>
      <c r="BW17" s="143">
        <f t="shared" si="115"/>
        <v>194.82</v>
      </c>
      <c r="BX17" s="1" t="s">
        <v>79</v>
      </c>
      <c r="BY17" s="1" t="s">
        <v>38</v>
      </c>
      <c r="BZ17" s="5" t="s">
        <v>900</v>
      </c>
      <c r="CA17" s="66">
        <f>VLOOKUP($A17,'CMI Data'!$A$3:$AK$209,21,FALSE)</f>
        <v>0</v>
      </c>
      <c r="CB17" s="68">
        <f t="shared" si="116"/>
        <v>218.24</v>
      </c>
      <c r="CC17" s="68">
        <f t="shared" si="117"/>
        <v>0</v>
      </c>
      <c r="CD17" s="75">
        <f t="shared" si="118"/>
        <v>0</v>
      </c>
      <c r="CE17" s="68" t="e">
        <f>IF($I17="NA","NA",ROUND(#REF!*$CA17/$I17,2))</f>
        <v>#REF!</v>
      </c>
      <c r="CF17" s="75" t="e">
        <f t="shared" si="119"/>
        <v>#REF!</v>
      </c>
      <c r="CG17" s="68" t="e">
        <f t="shared" si="120"/>
        <v>#REF!</v>
      </c>
      <c r="CH17" s="4">
        <f t="shared" si="121"/>
        <v>0</v>
      </c>
      <c r="CI17" s="4">
        <f t="shared" si="122"/>
        <v>76860</v>
      </c>
      <c r="CJ17" s="4">
        <f t="shared" si="123"/>
        <v>66850</v>
      </c>
      <c r="CK17" s="142">
        <f>IF(ISNA(VLOOKUP($A17&amp;$AB17,'Days Exceptions'!$C$3:$I$7,6,FALSE)),ROUND(CH17/MAX(CJ17,(CI17*Min_Occ)),2),ROUND(CH17/VLOOKUP($A17&amp;$AB17,'Days Exceptions'!$C$3:$I$7,6,FALSE),2))</f>
        <v>0</v>
      </c>
      <c r="CL17" s="143" t="e">
        <f t="shared" si="124"/>
        <v>#REF!</v>
      </c>
      <c r="CM17" s="143" t="e">
        <f t="shared" si="125"/>
        <v>#REF!</v>
      </c>
      <c r="CN17" s="143">
        <f t="shared" si="126"/>
        <v>194.82</v>
      </c>
      <c r="CO17" s="1" t="s">
        <v>79</v>
      </c>
      <c r="CP17" s="1" t="s">
        <v>38</v>
      </c>
      <c r="CQ17" s="5" t="s">
        <v>918</v>
      </c>
    </row>
    <row r="18" spans="1:95" s="37" customFormat="1" x14ac:dyDescent="0.15">
      <c r="A18" s="130">
        <v>1232</v>
      </c>
      <c r="B18" s="1" t="s">
        <v>255</v>
      </c>
      <c r="C18" s="1" t="s">
        <v>148</v>
      </c>
      <c r="D18" s="1" t="s">
        <v>116</v>
      </c>
      <c r="E18" s="1" t="str">
        <f>VLOOKUP(D18,Documentation!$B$4:$D$27,3,FALSE)</f>
        <v>BALTIMORE METRO</v>
      </c>
      <c r="F18" s="1" t="str">
        <f>VLOOKUP(D18,Documentation!$B$4:$C$27,2,FALSE)</f>
        <v>BALTIMORE METRO</v>
      </c>
      <c r="G18" s="82">
        <f>VLOOKUP(A18,'2022 CR and CMI'!$A$3:$D$207,3,FALSE)</f>
        <v>44562</v>
      </c>
      <c r="H18" s="82">
        <f>VLOOKUP(A18,'2022 CR and CMI'!$A$3:$D$207,4,FALSE)</f>
        <v>44926</v>
      </c>
      <c r="I18" s="72">
        <f>VLOOKUP(A18,'2022 CR and CMI'!$A$2:$T$210,19,FALSE)</f>
        <v>1.5646</v>
      </c>
      <c r="J18" s="139">
        <f>Inflation!$G$24</f>
        <v>1.0309999999999999</v>
      </c>
      <c r="K18" s="194">
        <f>VLOOKUP(E18,Limits!$B$2:$D$5,3,FALSE)</f>
        <v>195.33</v>
      </c>
      <c r="L18" s="192">
        <f t="shared" si="127"/>
        <v>201.39</v>
      </c>
      <c r="M18" s="140">
        <f>VLOOKUP(A18,'CMI Data'!$A$4:$F$208,6,FALSE)</f>
        <v>3.84</v>
      </c>
      <c r="N18" s="68">
        <f t="shared" si="94"/>
        <v>218.33</v>
      </c>
      <c r="O18" s="68">
        <f t="shared" si="128"/>
        <v>535.85</v>
      </c>
      <c r="P18" s="75">
        <f t="shared" si="129"/>
        <v>509.06</v>
      </c>
      <c r="Q18" s="75">
        <v>215.49</v>
      </c>
      <c r="R18" s="75">
        <f t="shared" si="130"/>
        <v>222.17</v>
      </c>
      <c r="S18" s="68">
        <f t="shared" si="131"/>
        <v>545.27</v>
      </c>
      <c r="T18" s="75">
        <f t="shared" si="132"/>
        <v>0</v>
      </c>
      <c r="U18" s="68">
        <f t="shared" si="133"/>
        <v>535.85</v>
      </c>
      <c r="V18" s="68">
        <f>VLOOKUP(F18,Limits!$J$2:$L$5,3,FALSE)</f>
        <v>20.85</v>
      </c>
      <c r="W18" s="68">
        <f t="shared" si="134"/>
        <v>21.5</v>
      </c>
      <c r="X18" s="68">
        <f>VLOOKUP(F18,Limits!$R$2:$T$5,3,FALSE)</f>
        <v>102.02</v>
      </c>
      <c r="Y18" s="68">
        <f t="shared" si="135"/>
        <v>105.18</v>
      </c>
      <c r="Z18" s="75">
        <f>VLOOKUP(A18,FRV!$A$4:$U$208,21,FALSE)</f>
        <v>44.29</v>
      </c>
      <c r="AA18" s="141">
        <f>VLOOKUP(A18,'RE Tax'!$A$2:$G$206,3,FALSE)</f>
        <v>45292</v>
      </c>
      <c r="AB18" s="141">
        <f>VLOOKUP(A18,'RE Tax'!$A$2:$G$206,4,FALSE)</f>
        <v>45657</v>
      </c>
      <c r="AC18" s="4">
        <f>VLOOKUP(A18,'RE Tax'!$A$2:$G$206,7,FALSE)</f>
        <v>93385</v>
      </c>
      <c r="AD18" s="4">
        <f>VLOOKUP(A18,'RE Tax'!$A$2:$I$206,9,FALSE)</f>
        <v>28548</v>
      </c>
      <c r="AE18" s="4">
        <f>VLOOKUP(A18,'RE Tax'!$A$2:$I$206,8,FALSE)</f>
        <v>27536</v>
      </c>
      <c r="AF18" s="142">
        <f>IF(ISNA(VLOOKUP(A18&amp;AB18,'Days Exceptions'!$C$3:$I$7,6,FALSE)),ROUND(AC18/MAX(AE18,(AD18*Min_Occ)),2),ROUND(AC18/VLOOKUP(A18&amp;AB18,'Days Exceptions'!$C$3:$I$7,6,FALSE),2))</f>
        <v>3.39</v>
      </c>
      <c r="AG18" s="68">
        <v>0</v>
      </c>
      <c r="AH18" s="68">
        <f t="shared" si="136"/>
        <v>0</v>
      </c>
      <c r="AI18" s="4">
        <v>20134</v>
      </c>
      <c r="AJ18" s="4">
        <v>27536</v>
      </c>
      <c r="AK18" s="68">
        <f>IF(AI18=0,0,IF(ISNA(MATCH(A18,Documentation!$B$66:$B$71,0)),QA_Tax_reg,QA_Tax_5high))</f>
        <v>32.92</v>
      </c>
      <c r="AL18" s="75">
        <f t="shared" si="137"/>
        <v>24.07</v>
      </c>
      <c r="AM18" s="68">
        <f t="shared" si="138"/>
        <v>710.21</v>
      </c>
      <c r="AN18" s="68">
        <f t="shared" si="139"/>
        <v>442.29</v>
      </c>
      <c r="AO18" s="68">
        <f t="shared" si="140"/>
        <v>174.36</v>
      </c>
      <c r="AP18" s="1" t="s">
        <v>256</v>
      </c>
      <c r="AQ18" s="1" t="s">
        <v>255</v>
      </c>
      <c r="AR18" s="5" t="s">
        <v>865</v>
      </c>
      <c r="AS18" s="66">
        <f>VLOOKUP(A18,'CMI Data'!$A$3:$K$209,11,FALSE)</f>
        <v>0</v>
      </c>
      <c r="AT18" s="68">
        <f t="shared" si="95"/>
        <v>211.76</v>
      </c>
      <c r="AU18" s="68">
        <f t="shared" si="96"/>
        <v>0</v>
      </c>
      <c r="AV18" s="75">
        <f t="shared" si="97"/>
        <v>0</v>
      </c>
      <c r="AW18" s="68" t="e">
        <f>IF($I18="NA","NA",ROUND(#REF!*$AS18/$I18,2))</f>
        <v>#REF!</v>
      </c>
      <c r="AX18" s="75" t="e">
        <f t="shared" si="98"/>
        <v>#REF!</v>
      </c>
      <c r="AY18" s="68" t="e">
        <f t="shared" si="141"/>
        <v>#REF!</v>
      </c>
      <c r="AZ18" s="4">
        <f t="shared" si="99"/>
        <v>93385</v>
      </c>
      <c r="BA18" s="4">
        <f t="shared" si="100"/>
        <v>28548</v>
      </c>
      <c r="BB18" s="4">
        <f t="shared" si="101"/>
        <v>27536</v>
      </c>
      <c r="BC18" s="142">
        <f>IF(ISNA(VLOOKUP($A18&amp;$AB18,'Days Exceptions'!$C$3:$I$7,6,FALSE)),ROUND(AZ18/MAX(BB18,(BA18*Min_Occ)),2),ROUND(AZ18/VLOOKUP($A18&amp;$AB18,'Days Exceptions'!$C$3:$I$7,6,FALSE),2))</f>
        <v>3.39</v>
      </c>
      <c r="BD18" s="143" t="e">
        <f t="shared" si="102"/>
        <v>#REF!</v>
      </c>
      <c r="BE18" s="143" t="e">
        <f t="shared" si="103"/>
        <v>#REF!</v>
      </c>
      <c r="BF18" s="143">
        <f t="shared" si="104"/>
        <v>170.55</v>
      </c>
      <c r="BG18" s="1" t="s">
        <v>256</v>
      </c>
      <c r="BH18" s="1" t="s">
        <v>255</v>
      </c>
      <c r="BI18" s="5" t="s">
        <v>883</v>
      </c>
      <c r="BJ18" s="66">
        <f>VLOOKUP($A18,'CMI Data'!$A$3:$AK$209,16,FALSE)</f>
        <v>0</v>
      </c>
      <c r="BK18" s="68">
        <f t="shared" si="105"/>
        <v>211.76</v>
      </c>
      <c r="BL18" s="68">
        <f t="shared" si="106"/>
        <v>0</v>
      </c>
      <c r="BM18" s="75">
        <f t="shared" si="107"/>
        <v>0</v>
      </c>
      <c r="BN18" s="68" t="e">
        <f>IF($I18="NA","NA",ROUND(#REF!*$BJ18/$I18,2))</f>
        <v>#REF!</v>
      </c>
      <c r="BO18" s="75" t="e">
        <f t="shared" si="108"/>
        <v>#REF!</v>
      </c>
      <c r="BP18" s="68" t="e">
        <f t="shared" si="109"/>
        <v>#REF!</v>
      </c>
      <c r="BQ18" s="4">
        <f t="shared" si="110"/>
        <v>93385</v>
      </c>
      <c r="BR18" s="4">
        <f t="shared" si="111"/>
        <v>28548</v>
      </c>
      <c r="BS18" s="4">
        <f t="shared" si="112"/>
        <v>27536</v>
      </c>
      <c r="BT18" s="142">
        <f>IF(ISNA(VLOOKUP($A18&amp;$AB18,'Days Exceptions'!$C$3:$I$7,6,FALSE)),ROUND(BQ18/MAX(BS18,(BR18*Min_Occ)),2),ROUND(BQ18/VLOOKUP($A18&amp;$AB18,'Days Exceptions'!$C$3:$I$7,6,FALSE),2))</f>
        <v>3.39</v>
      </c>
      <c r="BU18" s="143" t="e">
        <f t="shared" si="113"/>
        <v>#REF!</v>
      </c>
      <c r="BV18" s="143" t="e">
        <f t="shared" si="114"/>
        <v>#REF!</v>
      </c>
      <c r="BW18" s="143">
        <f t="shared" si="115"/>
        <v>170.55</v>
      </c>
      <c r="BX18" s="1" t="s">
        <v>256</v>
      </c>
      <c r="BY18" s="1" t="s">
        <v>255</v>
      </c>
      <c r="BZ18" s="5" t="s">
        <v>901</v>
      </c>
      <c r="CA18" s="66">
        <f>VLOOKUP($A18,'CMI Data'!$A$3:$AK$209,21,FALSE)</f>
        <v>0</v>
      </c>
      <c r="CB18" s="68">
        <f t="shared" si="116"/>
        <v>211.76</v>
      </c>
      <c r="CC18" s="68">
        <f t="shared" si="117"/>
        <v>0</v>
      </c>
      <c r="CD18" s="75">
        <f t="shared" si="118"/>
        <v>0</v>
      </c>
      <c r="CE18" s="68" t="e">
        <f>IF($I18="NA","NA",ROUND(#REF!*$CA18/$I18,2))</f>
        <v>#REF!</v>
      </c>
      <c r="CF18" s="75" t="e">
        <f t="shared" si="119"/>
        <v>#REF!</v>
      </c>
      <c r="CG18" s="68" t="e">
        <f t="shared" si="120"/>
        <v>#REF!</v>
      </c>
      <c r="CH18" s="4">
        <f t="shared" si="121"/>
        <v>93385</v>
      </c>
      <c r="CI18" s="4">
        <f t="shared" si="122"/>
        <v>28548</v>
      </c>
      <c r="CJ18" s="4">
        <f t="shared" si="123"/>
        <v>27536</v>
      </c>
      <c r="CK18" s="142">
        <f>IF(ISNA(VLOOKUP($A18&amp;$AB18,'Days Exceptions'!$C$3:$I$7,6,FALSE)),ROUND(CH18/MAX(CJ18,(CI18*Min_Occ)),2),ROUND(CH18/VLOOKUP($A18&amp;$AB18,'Days Exceptions'!$C$3:$I$7,6,FALSE),2))</f>
        <v>3.39</v>
      </c>
      <c r="CL18" s="143" t="e">
        <f t="shared" si="124"/>
        <v>#REF!</v>
      </c>
      <c r="CM18" s="143" t="e">
        <f t="shared" si="125"/>
        <v>#REF!</v>
      </c>
      <c r="CN18" s="143">
        <f t="shared" si="126"/>
        <v>170.55</v>
      </c>
      <c r="CO18" s="1" t="s">
        <v>256</v>
      </c>
      <c r="CP18" s="1" t="s">
        <v>255</v>
      </c>
      <c r="CQ18" s="5" t="s">
        <v>919</v>
      </c>
    </row>
    <row r="19" spans="1:95" s="37" customFormat="1" x14ac:dyDescent="0.15">
      <c r="A19" s="138">
        <v>290</v>
      </c>
      <c r="B19" s="1" t="s">
        <v>40</v>
      </c>
      <c r="C19" s="1" t="s">
        <v>148</v>
      </c>
      <c r="D19" s="1" t="s">
        <v>110</v>
      </c>
      <c r="E19" s="1" t="str">
        <f>VLOOKUP(D19,Documentation!$B$4:$D$27,3,FALSE)</f>
        <v>BALTIMORE METRO</v>
      </c>
      <c r="F19" s="1" t="str">
        <f>VLOOKUP(D19,Documentation!$B$4:$C$27,2,FALSE)</f>
        <v>BALTIMORE METRO</v>
      </c>
      <c r="G19" s="82">
        <f>VLOOKUP(A19,'2022 CR and CMI'!$A$3:$D$207,3,FALSE)</f>
        <v>44562</v>
      </c>
      <c r="H19" s="82">
        <f>VLOOKUP(A19,'2022 CR and CMI'!$A$3:$D$207,4,FALSE)</f>
        <v>44926</v>
      </c>
      <c r="I19" s="72">
        <f>VLOOKUP(A19,'2022 CR and CMI'!$A$2:$T$210,19,FALSE)</f>
        <v>1.8016000000000001</v>
      </c>
      <c r="J19" s="139">
        <f>Inflation!$G$24</f>
        <v>1.0309999999999999</v>
      </c>
      <c r="K19" s="194">
        <f>VLOOKUP(E19,Limits!$B$2:$D$5,3,FALSE)</f>
        <v>195.33</v>
      </c>
      <c r="L19" s="192">
        <f t="shared" si="127"/>
        <v>201.39</v>
      </c>
      <c r="M19" s="140">
        <f>VLOOKUP(A19,'CMI Data'!$A$4:$F$208,6,FALSE)</f>
        <v>3.84</v>
      </c>
      <c r="N19" s="68">
        <f t="shared" si="94"/>
        <v>251.4</v>
      </c>
      <c r="O19" s="68">
        <f t="shared" si="128"/>
        <v>535.84</v>
      </c>
      <c r="P19" s="75">
        <f t="shared" si="129"/>
        <v>509.05</v>
      </c>
      <c r="Q19" s="75">
        <v>289.17</v>
      </c>
      <c r="R19" s="75">
        <f t="shared" si="130"/>
        <v>298.13</v>
      </c>
      <c r="S19" s="68">
        <f t="shared" si="131"/>
        <v>635.45000000000005</v>
      </c>
      <c r="T19" s="75">
        <f t="shared" si="132"/>
        <v>0</v>
      </c>
      <c r="U19" s="68">
        <f t="shared" si="133"/>
        <v>535.84</v>
      </c>
      <c r="V19" s="68">
        <f>VLOOKUP(F19,Limits!$J$2:$L$5,3,FALSE)</f>
        <v>20.85</v>
      </c>
      <c r="W19" s="68">
        <f t="shared" si="134"/>
        <v>21.5</v>
      </c>
      <c r="X19" s="68">
        <f>VLOOKUP(F19,Limits!$R$2:$T$5,3,FALSE)</f>
        <v>102.02</v>
      </c>
      <c r="Y19" s="68">
        <f t="shared" si="135"/>
        <v>105.18</v>
      </c>
      <c r="Z19" s="75">
        <f>VLOOKUP(A19,FRV!$A$4:$U$208,21,FALSE)</f>
        <v>41.57</v>
      </c>
      <c r="AA19" s="141">
        <f>VLOOKUP(A19,'RE Tax'!$A$2:$G$206,3,FALSE)</f>
        <v>45292</v>
      </c>
      <c r="AB19" s="141">
        <f>VLOOKUP(A19,'RE Tax'!$A$2:$G$206,4,FALSE)</f>
        <v>45657</v>
      </c>
      <c r="AC19" s="4">
        <f>VLOOKUP(A19,'RE Tax'!$A$2:$G$206,7,FALSE)</f>
        <v>38936</v>
      </c>
      <c r="AD19" s="4">
        <f>VLOOKUP(A19,'RE Tax'!$A$2:$I$206,9,FALSE)</f>
        <v>22692</v>
      </c>
      <c r="AE19" s="4">
        <f>VLOOKUP(A19,'RE Tax'!$A$2:$I$206,8,FALSE)</f>
        <v>21143</v>
      </c>
      <c r="AF19" s="142">
        <f>IF(ISNA(VLOOKUP(A19&amp;AB19,'Days Exceptions'!$C$3:$I$7,6,FALSE)),ROUND(AC19/MAX(AE19,(AD19*Min_Occ)),2),ROUND(AC19/VLOOKUP(A19&amp;AB19,'Days Exceptions'!$C$3:$I$7,6,FALSE),2))</f>
        <v>1.84</v>
      </c>
      <c r="AG19" s="68">
        <v>0</v>
      </c>
      <c r="AH19" s="68">
        <f t="shared" si="136"/>
        <v>0</v>
      </c>
      <c r="AI19" s="4">
        <v>15393</v>
      </c>
      <c r="AJ19" s="4">
        <v>21113</v>
      </c>
      <c r="AK19" s="68">
        <f>IF(AI19=0,0,IF(ISNA(MATCH(A19,Documentation!$B$66:$B$71,0)),QA_Tax_reg,QA_Tax_5high))</f>
        <v>32.92</v>
      </c>
      <c r="AL19" s="75">
        <f t="shared" si="137"/>
        <v>24</v>
      </c>
      <c r="AM19" s="68">
        <f t="shared" si="138"/>
        <v>705.93</v>
      </c>
      <c r="AN19" s="68">
        <f t="shared" si="139"/>
        <v>438.01</v>
      </c>
      <c r="AO19" s="68">
        <f t="shared" si="140"/>
        <v>170.09</v>
      </c>
      <c r="AP19" s="1" t="s">
        <v>90</v>
      </c>
      <c r="AQ19" s="1" t="s">
        <v>40</v>
      </c>
      <c r="AR19" s="5" t="s">
        <v>866</v>
      </c>
      <c r="AS19" s="66">
        <f>VLOOKUP(A19,'CMI Data'!$A$3:$K$209,11,FALSE)</f>
        <v>0</v>
      </c>
      <c r="AT19" s="68">
        <f t="shared" si="95"/>
        <v>243.84</v>
      </c>
      <c r="AU19" s="68">
        <f t="shared" si="96"/>
        <v>0</v>
      </c>
      <c r="AV19" s="75">
        <f t="shared" si="97"/>
        <v>0</v>
      </c>
      <c r="AW19" s="68" t="e">
        <f>IF($I19="NA","NA",ROUND(#REF!*$AS19/$I19,2))</f>
        <v>#REF!</v>
      </c>
      <c r="AX19" s="75" t="e">
        <f t="shared" si="98"/>
        <v>#REF!</v>
      </c>
      <c r="AY19" s="68" t="e">
        <f t="shared" si="141"/>
        <v>#REF!</v>
      </c>
      <c r="AZ19" s="4">
        <f t="shared" si="99"/>
        <v>38936</v>
      </c>
      <c r="BA19" s="4">
        <f t="shared" si="100"/>
        <v>22692</v>
      </c>
      <c r="BB19" s="4">
        <f t="shared" si="101"/>
        <v>21143</v>
      </c>
      <c r="BC19" s="142">
        <f>IF(ISNA(VLOOKUP($A19&amp;$AB19,'Days Exceptions'!$C$3:$I$7,6,FALSE)),ROUND(AZ19/MAX(BB19,(BA19*Min_Occ)),2),ROUND(AZ19/VLOOKUP($A19&amp;$AB19,'Days Exceptions'!$C$3:$I$7,6,FALSE),2))</f>
        <v>1.84</v>
      </c>
      <c r="BD19" s="143" t="e">
        <f t="shared" si="102"/>
        <v>#REF!</v>
      </c>
      <c r="BE19" s="143" t="e">
        <f t="shared" si="103"/>
        <v>#REF!</v>
      </c>
      <c r="BF19" s="143">
        <f t="shared" si="104"/>
        <v>166.28</v>
      </c>
      <c r="BG19" s="1" t="s">
        <v>90</v>
      </c>
      <c r="BH19" s="1" t="s">
        <v>40</v>
      </c>
      <c r="BI19" s="5" t="s">
        <v>884</v>
      </c>
      <c r="BJ19" s="66">
        <f>VLOOKUP($A19,'CMI Data'!$A$3:$AK$209,16,FALSE)</f>
        <v>0</v>
      </c>
      <c r="BK19" s="68">
        <f t="shared" si="105"/>
        <v>243.84</v>
      </c>
      <c r="BL19" s="68">
        <f t="shared" si="106"/>
        <v>0</v>
      </c>
      <c r="BM19" s="75">
        <f t="shared" si="107"/>
        <v>0</v>
      </c>
      <c r="BN19" s="68" t="e">
        <f>IF($I19="NA","NA",ROUND(#REF!*$BJ19/$I19,2))</f>
        <v>#REF!</v>
      </c>
      <c r="BO19" s="75" t="e">
        <f t="shared" si="108"/>
        <v>#REF!</v>
      </c>
      <c r="BP19" s="68" t="e">
        <f t="shared" si="109"/>
        <v>#REF!</v>
      </c>
      <c r="BQ19" s="4">
        <f t="shared" si="110"/>
        <v>38936</v>
      </c>
      <c r="BR19" s="4">
        <f t="shared" si="111"/>
        <v>22692</v>
      </c>
      <c r="BS19" s="4">
        <f t="shared" si="112"/>
        <v>21143</v>
      </c>
      <c r="BT19" s="142">
        <f>IF(ISNA(VLOOKUP($A19&amp;$AB19,'Days Exceptions'!$C$3:$I$7,6,FALSE)),ROUND(BQ19/MAX(BS19,(BR19*Min_Occ)),2),ROUND(BQ19/VLOOKUP($A19&amp;$AB19,'Days Exceptions'!$C$3:$I$7,6,FALSE),2))</f>
        <v>1.84</v>
      </c>
      <c r="BU19" s="143" t="e">
        <f t="shared" si="113"/>
        <v>#REF!</v>
      </c>
      <c r="BV19" s="143" t="e">
        <f t="shared" si="114"/>
        <v>#REF!</v>
      </c>
      <c r="BW19" s="143">
        <f t="shared" si="115"/>
        <v>166.28</v>
      </c>
      <c r="BX19" s="1" t="s">
        <v>90</v>
      </c>
      <c r="BY19" s="1" t="s">
        <v>40</v>
      </c>
      <c r="BZ19" s="5" t="s">
        <v>902</v>
      </c>
      <c r="CA19" s="66">
        <f>VLOOKUP($A19,'CMI Data'!$A$3:$AK$209,21,FALSE)</f>
        <v>0</v>
      </c>
      <c r="CB19" s="68">
        <f t="shared" si="116"/>
        <v>243.84</v>
      </c>
      <c r="CC19" s="68">
        <f t="shared" si="117"/>
        <v>0</v>
      </c>
      <c r="CD19" s="75">
        <f t="shared" si="118"/>
        <v>0</v>
      </c>
      <c r="CE19" s="68" t="e">
        <f>IF($I19="NA","NA",ROUND(#REF!*$CA19/$I19,2))</f>
        <v>#REF!</v>
      </c>
      <c r="CF19" s="75" t="e">
        <f t="shared" si="119"/>
        <v>#REF!</v>
      </c>
      <c r="CG19" s="68" t="e">
        <f t="shared" si="120"/>
        <v>#REF!</v>
      </c>
      <c r="CH19" s="4">
        <f t="shared" si="121"/>
        <v>38936</v>
      </c>
      <c r="CI19" s="4">
        <f t="shared" si="122"/>
        <v>22692</v>
      </c>
      <c r="CJ19" s="4">
        <f t="shared" si="123"/>
        <v>21143</v>
      </c>
      <c r="CK19" s="142">
        <f>IF(ISNA(VLOOKUP($A19&amp;$AB19,'Days Exceptions'!$C$3:$I$7,6,FALSE)),ROUND(CH19/MAX(CJ19,(CI19*Min_Occ)),2),ROUND(CH19/VLOOKUP($A19&amp;$AB19,'Days Exceptions'!$C$3:$I$7,6,FALSE),2))</f>
        <v>1.84</v>
      </c>
      <c r="CL19" s="143" t="e">
        <f t="shared" si="124"/>
        <v>#REF!</v>
      </c>
      <c r="CM19" s="143" t="e">
        <f t="shared" si="125"/>
        <v>#REF!</v>
      </c>
      <c r="CN19" s="143">
        <f t="shared" si="126"/>
        <v>166.28</v>
      </c>
      <c r="CO19" s="1" t="s">
        <v>90</v>
      </c>
      <c r="CP19" s="1" t="s">
        <v>40</v>
      </c>
      <c r="CQ19" s="5" t="s">
        <v>920</v>
      </c>
    </row>
    <row r="20" spans="1:95" s="37" customFormat="1" x14ac:dyDescent="0.15">
      <c r="A20" s="138">
        <v>286</v>
      </c>
      <c r="B20" s="1" t="s">
        <v>37</v>
      </c>
      <c r="C20" s="1" t="s">
        <v>148</v>
      </c>
      <c r="D20" s="1" t="s">
        <v>117</v>
      </c>
      <c r="E20" s="1" t="str">
        <f>VLOOKUP(D20,Documentation!$B$4:$D$27,3,FALSE)</f>
        <v>BALTIMORE METRO</v>
      </c>
      <c r="F20" s="1" t="str">
        <f>VLOOKUP(D20,Documentation!$B$4:$C$27,2,FALSE)</f>
        <v>BALTIMORE METRO</v>
      </c>
      <c r="G20" s="82">
        <f>VLOOKUP(A20,'2022 CR and CMI'!$A$3:$D$207,3,FALSE)</f>
        <v>44378</v>
      </c>
      <c r="H20" s="82">
        <f>VLOOKUP(A20,'2022 CR and CMI'!$A$3:$D$207,4,FALSE)</f>
        <v>44742</v>
      </c>
      <c r="I20" s="72">
        <f>VLOOKUP(A20,'2022 CR and CMI'!$A$2:$T$210,19,FALSE)</f>
        <v>1.6445000000000001</v>
      </c>
      <c r="J20" s="139">
        <f>Inflation!$G$24</f>
        <v>1.0309999999999999</v>
      </c>
      <c r="K20" s="194">
        <f>VLOOKUP(E20,Limits!$B$2:$D$5,3,FALSE)</f>
        <v>195.33</v>
      </c>
      <c r="L20" s="192">
        <f t="shared" si="127"/>
        <v>201.39</v>
      </c>
      <c r="M20" s="140">
        <f>VLOOKUP(A20,'CMI Data'!$A$4:$F$208,6,FALSE)</f>
        <v>3.84</v>
      </c>
      <c r="N20" s="68">
        <f t="shared" si="94"/>
        <v>229.48</v>
      </c>
      <c r="O20" s="68">
        <f t="shared" si="128"/>
        <v>535.85</v>
      </c>
      <c r="P20" s="75">
        <f t="shared" si="129"/>
        <v>509.06</v>
      </c>
      <c r="Q20" s="75">
        <v>222.01</v>
      </c>
      <c r="R20" s="75">
        <f t="shared" si="130"/>
        <v>228.89</v>
      </c>
      <c r="S20" s="68">
        <f t="shared" si="131"/>
        <v>534.47</v>
      </c>
      <c r="T20" s="75">
        <f t="shared" si="132"/>
        <v>0</v>
      </c>
      <c r="U20" s="68">
        <f t="shared" si="133"/>
        <v>535.85</v>
      </c>
      <c r="V20" s="68">
        <f>VLOOKUP(F20,Limits!$J$2:$L$5,3,FALSE)</f>
        <v>20.85</v>
      </c>
      <c r="W20" s="68">
        <f t="shared" si="134"/>
        <v>21.5</v>
      </c>
      <c r="X20" s="68">
        <f>VLOOKUP(F20,Limits!$R$2:$T$5,3,FALSE)</f>
        <v>102.02</v>
      </c>
      <c r="Y20" s="68">
        <f t="shared" si="135"/>
        <v>105.18</v>
      </c>
      <c r="Z20" s="75">
        <f>VLOOKUP(A20,FRV!$A$4:$U$208,21,FALSE)</f>
        <v>44.29</v>
      </c>
      <c r="AA20" s="141">
        <f>VLOOKUP(A20,'RE Tax'!$A$2:$G$206,3,FALSE)</f>
        <v>45108</v>
      </c>
      <c r="AB20" s="141">
        <f>VLOOKUP(A20,'RE Tax'!$A$2:$G$206,4,FALSE)</f>
        <v>45473</v>
      </c>
      <c r="AC20" s="4">
        <f>VLOOKUP(A20,'RE Tax'!$A$2:$G$206,7,FALSE)</f>
        <v>95217</v>
      </c>
      <c r="AD20" s="4">
        <f>VLOOKUP(A20,'RE Tax'!$A$2:$I$206,9,FALSE)</f>
        <v>76050</v>
      </c>
      <c r="AE20" s="4">
        <f>VLOOKUP(A20,'RE Tax'!$A$2:$I$206,8,FALSE)</f>
        <v>68008</v>
      </c>
      <c r="AF20" s="142">
        <f>IF(ISNA(VLOOKUP(A20&amp;AB20,'Days Exceptions'!$C$3:$I$7,6,FALSE)),ROUND(AC20/MAX(AE20,(AD20*Min_Occ)),2),ROUND(AC20/VLOOKUP(A20&amp;AB20,'Days Exceptions'!$C$3:$I$7,6,FALSE),2))</f>
        <v>1.4</v>
      </c>
      <c r="AG20" s="68">
        <v>0</v>
      </c>
      <c r="AH20" s="68">
        <f t="shared" si="136"/>
        <v>0</v>
      </c>
      <c r="AI20" s="4">
        <v>51077</v>
      </c>
      <c r="AJ20" s="4">
        <v>68956</v>
      </c>
      <c r="AK20" s="68">
        <f>IF(AI20=0,0,IF(ISNA(MATCH(A20,Documentation!$B$66:$B$71,0)),QA_Tax_reg,QA_Tax_5high))</f>
        <v>32.92</v>
      </c>
      <c r="AL20" s="75">
        <f t="shared" si="137"/>
        <v>24.38</v>
      </c>
      <c r="AM20" s="68">
        <f t="shared" si="138"/>
        <v>708.22</v>
      </c>
      <c r="AN20" s="68">
        <f t="shared" si="139"/>
        <v>440.3</v>
      </c>
      <c r="AO20" s="68">
        <f t="shared" si="140"/>
        <v>172.37</v>
      </c>
      <c r="AP20" s="1" t="s">
        <v>77</v>
      </c>
      <c r="AQ20" s="1" t="s">
        <v>37</v>
      </c>
      <c r="AR20" s="5" t="s">
        <v>867</v>
      </c>
      <c r="AS20" s="66">
        <f>VLOOKUP(A20,'CMI Data'!$A$3:$K$209,11,FALSE)</f>
        <v>0</v>
      </c>
      <c r="AT20" s="68">
        <f t="shared" si="95"/>
        <v>222.57</v>
      </c>
      <c r="AU20" s="68">
        <f t="shared" si="96"/>
        <v>0</v>
      </c>
      <c r="AV20" s="75">
        <f t="shared" si="97"/>
        <v>0</v>
      </c>
      <c r="AW20" s="68" t="e">
        <f>IF($I20="NA","NA",ROUND(#REF!*$AS20/$I20,2))</f>
        <v>#REF!</v>
      </c>
      <c r="AX20" s="75" t="e">
        <f t="shared" si="98"/>
        <v>#REF!</v>
      </c>
      <c r="AY20" s="68" t="e">
        <f t="shared" si="141"/>
        <v>#REF!</v>
      </c>
      <c r="AZ20" s="4">
        <f t="shared" si="99"/>
        <v>95217</v>
      </c>
      <c r="BA20" s="4">
        <f t="shared" si="100"/>
        <v>76050</v>
      </c>
      <c r="BB20" s="4">
        <f t="shared" si="101"/>
        <v>68008</v>
      </c>
      <c r="BC20" s="142">
        <f>IF(ISNA(VLOOKUP($A20&amp;$AB20,'Days Exceptions'!$C$3:$I$7,6,FALSE)),ROUND(AZ20/MAX(BB20,(BA20*Min_Occ)),2),ROUND(AZ20/VLOOKUP($A20&amp;$AB20,'Days Exceptions'!$C$3:$I$7,6,FALSE),2))</f>
        <v>1.4</v>
      </c>
      <c r="BD20" s="143" t="e">
        <f t="shared" si="102"/>
        <v>#REF!</v>
      </c>
      <c r="BE20" s="143" t="e">
        <f t="shared" si="103"/>
        <v>#REF!</v>
      </c>
      <c r="BF20" s="143">
        <f t="shared" si="104"/>
        <v>168.56</v>
      </c>
      <c r="BG20" s="1" t="s">
        <v>77</v>
      </c>
      <c r="BH20" s="1" t="s">
        <v>37</v>
      </c>
      <c r="BI20" s="5" t="s">
        <v>885</v>
      </c>
      <c r="BJ20" s="66">
        <f>VLOOKUP($A20,'CMI Data'!$A$3:$AK$209,16,FALSE)</f>
        <v>0</v>
      </c>
      <c r="BK20" s="68">
        <f t="shared" si="105"/>
        <v>222.57</v>
      </c>
      <c r="BL20" s="68">
        <f t="shared" si="106"/>
        <v>0</v>
      </c>
      <c r="BM20" s="75">
        <f t="shared" si="107"/>
        <v>0</v>
      </c>
      <c r="BN20" s="68" t="e">
        <f>IF($I20="NA","NA",ROUND(#REF!*$BJ20/$I20,2))</f>
        <v>#REF!</v>
      </c>
      <c r="BO20" s="75" t="e">
        <f t="shared" si="108"/>
        <v>#REF!</v>
      </c>
      <c r="BP20" s="68" t="e">
        <f t="shared" si="109"/>
        <v>#REF!</v>
      </c>
      <c r="BQ20" s="4">
        <f t="shared" si="110"/>
        <v>95217</v>
      </c>
      <c r="BR20" s="4">
        <f t="shared" si="111"/>
        <v>76050</v>
      </c>
      <c r="BS20" s="4">
        <f t="shared" si="112"/>
        <v>68008</v>
      </c>
      <c r="BT20" s="142">
        <f>IF(ISNA(VLOOKUP($A20&amp;$AB20,'Days Exceptions'!$C$3:$I$7,6,FALSE)),ROUND(BQ20/MAX(BS20,(BR20*Min_Occ)),2),ROUND(BQ20/VLOOKUP($A20&amp;$AB20,'Days Exceptions'!$C$3:$I$7,6,FALSE),2))</f>
        <v>1.4</v>
      </c>
      <c r="BU20" s="143" t="e">
        <f t="shared" si="113"/>
        <v>#REF!</v>
      </c>
      <c r="BV20" s="143" t="e">
        <f t="shared" si="114"/>
        <v>#REF!</v>
      </c>
      <c r="BW20" s="143">
        <f t="shared" si="115"/>
        <v>168.56</v>
      </c>
      <c r="BX20" s="1" t="s">
        <v>77</v>
      </c>
      <c r="BY20" s="1" t="s">
        <v>37</v>
      </c>
      <c r="BZ20" s="5" t="s">
        <v>903</v>
      </c>
      <c r="CA20" s="66">
        <f>VLOOKUP($A20,'CMI Data'!$A$3:$AK$209,21,FALSE)</f>
        <v>0</v>
      </c>
      <c r="CB20" s="68">
        <f t="shared" si="116"/>
        <v>222.57</v>
      </c>
      <c r="CC20" s="68">
        <f t="shared" si="117"/>
        <v>0</v>
      </c>
      <c r="CD20" s="75">
        <f t="shared" si="118"/>
        <v>0</v>
      </c>
      <c r="CE20" s="68" t="e">
        <f>IF($I20="NA","NA",ROUND(#REF!*$CA20/$I20,2))</f>
        <v>#REF!</v>
      </c>
      <c r="CF20" s="75" t="e">
        <f t="shared" si="119"/>
        <v>#REF!</v>
      </c>
      <c r="CG20" s="68" t="e">
        <f t="shared" si="120"/>
        <v>#REF!</v>
      </c>
      <c r="CH20" s="4">
        <f t="shared" si="121"/>
        <v>95217</v>
      </c>
      <c r="CI20" s="4">
        <f t="shared" si="122"/>
        <v>76050</v>
      </c>
      <c r="CJ20" s="4">
        <f t="shared" si="123"/>
        <v>68008</v>
      </c>
      <c r="CK20" s="142">
        <f>IF(ISNA(VLOOKUP($A20&amp;$AB20,'Days Exceptions'!$C$3:$I$7,6,FALSE)),ROUND(CH20/MAX(CJ20,(CI20*Min_Occ)),2),ROUND(CH20/VLOOKUP($A20&amp;$AB20,'Days Exceptions'!$C$3:$I$7,6,FALSE),2))</f>
        <v>1.4</v>
      </c>
      <c r="CL20" s="143" t="e">
        <f t="shared" si="124"/>
        <v>#REF!</v>
      </c>
      <c r="CM20" s="143" t="e">
        <f t="shared" si="125"/>
        <v>#REF!</v>
      </c>
      <c r="CN20" s="143">
        <f t="shared" si="126"/>
        <v>168.56</v>
      </c>
      <c r="CO20" s="1" t="s">
        <v>77</v>
      </c>
      <c r="CP20" s="1" t="s">
        <v>37</v>
      </c>
      <c r="CQ20" s="5" t="s">
        <v>921</v>
      </c>
    </row>
    <row r="21" spans="1:95" x14ac:dyDescent="0.15">
      <c r="A21" s="138">
        <v>294</v>
      </c>
      <c r="B21" s="1" t="s">
        <v>468</v>
      </c>
      <c r="C21" s="1" t="s">
        <v>148</v>
      </c>
      <c r="D21" s="1" t="s">
        <v>102</v>
      </c>
      <c r="E21" s="1" t="str">
        <f>VLOOKUP(D21,Documentation!$B$4:$D$27,3,FALSE)</f>
        <v>BALTIMORE METRO</v>
      </c>
      <c r="F21" s="1" t="str">
        <f>VLOOKUP(D21,Documentation!$B$4:$C$27,2,FALSE)</f>
        <v>BALTIMORE CITY</v>
      </c>
      <c r="G21" s="82">
        <f>VLOOKUP(A21,'2022 CR and CMI'!$A$3:$D$207,3,FALSE)</f>
        <v>44562</v>
      </c>
      <c r="H21" s="82">
        <f>VLOOKUP(A21,'2022 CR and CMI'!$A$3:$D$207,4,FALSE)</f>
        <v>44926</v>
      </c>
      <c r="I21" s="72">
        <f>VLOOKUP(A21,'2022 CR and CMI'!$A$2:$T$210,19,FALSE)</f>
        <v>1.7730999999999999</v>
      </c>
      <c r="J21" s="139">
        <f>Inflation!$G$24</f>
        <v>1.0309999999999999</v>
      </c>
      <c r="K21" s="194">
        <f>VLOOKUP(E21,Limits!$B$2:$D$5,3,FALSE)</f>
        <v>195.33</v>
      </c>
      <c r="L21" s="192">
        <f t="shared" si="127"/>
        <v>201.39</v>
      </c>
      <c r="M21" s="140">
        <f>VLOOKUP(A21,'CMI Data'!$A$4:$F$208,6,FALSE)</f>
        <v>3.4558</v>
      </c>
      <c r="N21" s="68">
        <f t="shared" si="94"/>
        <v>247.43</v>
      </c>
      <c r="O21" s="68">
        <f t="shared" si="128"/>
        <v>482.24</v>
      </c>
      <c r="P21" s="75">
        <f t="shared" si="129"/>
        <v>458.13</v>
      </c>
      <c r="Q21" s="75">
        <v>209.26</v>
      </c>
      <c r="R21" s="75">
        <f t="shared" si="130"/>
        <v>215.75</v>
      </c>
      <c r="S21" s="68">
        <f t="shared" si="131"/>
        <v>420.5</v>
      </c>
      <c r="T21" s="75">
        <f t="shared" si="132"/>
        <v>-37.630000000000003</v>
      </c>
      <c r="U21" s="68">
        <f t="shared" si="133"/>
        <v>444.61</v>
      </c>
      <c r="V21" s="68">
        <f>VLOOKUP(F21,Limits!$J$2:$L$5,3,FALSE)</f>
        <v>24.89</v>
      </c>
      <c r="W21" s="68">
        <f t="shared" si="134"/>
        <v>25.66</v>
      </c>
      <c r="X21" s="68">
        <f>VLOOKUP(F21,Limits!$R$2:$T$5,3,FALSE)</f>
        <v>114.15</v>
      </c>
      <c r="Y21" s="68">
        <f t="shared" si="135"/>
        <v>117.69</v>
      </c>
      <c r="Z21" s="75">
        <f>VLOOKUP(A21,FRV!$A$4:$U$208,21,FALSE)</f>
        <v>39.71</v>
      </c>
      <c r="AA21" s="141">
        <f>VLOOKUP(A21,'RE Tax'!$A$2:$G$206,3,FALSE)</f>
        <v>45292</v>
      </c>
      <c r="AB21" s="141">
        <f>VLOOKUP(A21,'RE Tax'!$A$2:$G$206,4,FALSE)</f>
        <v>45657</v>
      </c>
      <c r="AC21" s="4">
        <f>VLOOKUP(A21,'RE Tax'!$A$2:$G$206,7,FALSE)</f>
        <v>464203</v>
      </c>
      <c r="AD21" s="4">
        <f>VLOOKUP(A21,'RE Tax'!$A$2:$I$206,9,FALSE)</f>
        <v>82350</v>
      </c>
      <c r="AE21" s="4">
        <f>VLOOKUP(A21,'RE Tax'!$A$2:$I$206,8,FALSE)</f>
        <v>74714</v>
      </c>
      <c r="AF21" s="142">
        <f>IF(ISNA(VLOOKUP(A21&amp;AB21,'Days Exceptions'!$C$3:$I$7,6,FALSE)),ROUND(AC21/MAX(AE21,(AD21*Min_Occ)),2),ROUND(AC21/VLOOKUP(A21&amp;AB21,'Days Exceptions'!$C$3:$I$7,6,FALSE),2))</f>
        <v>6.21</v>
      </c>
      <c r="AG21" s="68">
        <v>0</v>
      </c>
      <c r="AH21" s="68">
        <f t="shared" si="136"/>
        <v>0</v>
      </c>
      <c r="AI21" s="4">
        <v>59133</v>
      </c>
      <c r="AJ21" s="4">
        <v>74058</v>
      </c>
      <c r="AK21" s="68">
        <f>IF(AI21=0,0,IF(ISNA(MATCH(A21,Documentation!$B$66:$B$71,0)),QA_Tax_reg,QA_Tax_5high))</f>
        <v>3.04</v>
      </c>
      <c r="AL21" s="75">
        <f t="shared" si="137"/>
        <v>2.4300000000000002</v>
      </c>
      <c r="AM21" s="68">
        <f t="shared" si="138"/>
        <v>633.88</v>
      </c>
      <c r="AN21" s="68">
        <f t="shared" si="139"/>
        <v>411.58</v>
      </c>
      <c r="AO21" s="68">
        <f t="shared" si="140"/>
        <v>189.27</v>
      </c>
      <c r="AP21" s="1" t="s">
        <v>467</v>
      </c>
      <c r="AQ21" s="1" t="s">
        <v>468</v>
      </c>
      <c r="AR21" s="5" t="s">
        <v>868</v>
      </c>
      <c r="AS21" s="66">
        <f>VLOOKUP(A21,'CMI Data'!$A$3:$K$209,11,FALSE)</f>
        <v>0</v>
      </c>
      <c r="AT21" s="68">
        <f t="shared" si="95"/>
        <v>239.98</v>
      </c>
      <c r="AU21" s="68">
        <f t="shared" si="96"/>
        <v>0</v>
      </c>
      <c r="AV21" s="75">
        <f t="shared" si="97"/>
        <v>0</v>
      </c>
      <c r="AW21" s="68" t="e">
        <f>IF($I21="NA","NA",ROUND(#REF!*$AS21/$I21,2))</f>
        <v>#REF!</v>
      </c>
      <c r="AX21" s="75" t="e">
        <f t="shared" si="98"/>
        <v>#REF!</v>
      </c>
      <c r="AY21" s="68" t="e">
        <f t="shared" si="141"/>
        <v>#REF!</v>
      </c>
      <c r="AZ21" s="4">
        <f t="shared" si="99"/>
        <v>464203</v>
      </c>
      <c r="BA21" s="4">
        <f t="shared" si="100"/>
        <v>82350</v>
      </c>
      <c r="BB21" s="4">
        <f t="shared" si="101"/>
        <v>74714</v>
      </c>
      <c r="BC21" s="142">
        <f>IF(ISNA(VLOOKUP($A21&amp;$AB21,'Days Exceptions'!$C$3:$I$7,6,FALSE)),ROUND(AZ21/MAX(BB21,(BA21*Min_Occ)),2),ROUND(AZ21/VLOOKUP($A21&amp;$AB21,'Days Exceptions'!$C$3:$I$7,6,FALSE),2))</f>
        <v>6.21</v>
      </c>
      <c r="BD21" s="143" t="e">
        <f t="shared" si="102"/>
        <v>#REF!</v>
      </c>
      <c r="BE21" s="143" t="e">
        <f t="shared" si="103"/>
        <v>#REF!</v>
      </c>
      <c r="BF21" s="143">
        <f t="shared" si="104"/>
        <v>184.96</v>
      </c>
      <c r="BG21" s="1" t="s">
        <v>467</v>
      </c>
      <c r="BH21" s="1" t="s">
        <v>468</v>
      </c>
      <c r="BI21" s="5" t="s">
        <v>886</v>
      </c>
      <c r="BJ21" s="66">
        <f>VLOOKUP($A21,'CMI Data'!$A$3:$AK$209,16,FALSE)</f>
        <v>0</v>
      </c>
      <c r="BK21" s="68">
        <f t="shared" si="105"/>
        <v>239.98</v>
      </c>
      <c r="BL21" s="68">
        <f t="shared" si="106"/>
        <v>0</v>
      </c>
      <c r="BM21" s="75">
        <f t="shared" si="107"/>
        <v>0</v>
      </c>
      <c r="BN21" s="68" t="e">
        <f>IF($I21="NA","NA",ROUND(#REF!*$BJ21/$I21,2))</f>
        <v>#REF!</v>
      </c>
      <c r="BO21" s="75" t="e">
        <f t="shared" si="108"/>
        <v>#REF!</v>
      </c>
      <c r="BP21" s="68" t="e">
        <f t="shared" si="109"/>
        <v>#REF!</v>
      </c>
      <c r="BQ21" s="4">
        <f t="shared" si="110"/>
        <v>464203</v>
      </c>
      <c r="BR21" s="4">
        <f t="shared" si="111"/>
        <v>82350</v>
      </c>
      <c r="BS21" s="4">
        <f t="shared" si="112"/>
        <v>74714</v>
      </c>
      <c r="BT21" s="142">
        <f>IF(ISNA(VLOOKUP($A21&amp;$AB21,'Days Exceptions'!$C$3:$I$7,6,FALSE)),ROUND(BQ21/MAX(BS21,(BR21*Min_Occ)),2),ROUND(BQ21/VLOOKUP($A21&amp;$AB21,'Days Exceptions'!$C$3:$I$7,6,FALSE),2))</f>
        <v>6.21</v>
      </c>
      <c r="BU21" s="143" t="e">
        <f t="shared" si="113"/>
        <v>#REF!</v>
      </c>
      <c r="BV21" s="143" t="e">
        <f t="shared" si="114"/>
        <v>#REF!</v>
      </c>
      <c r="BW21" s="143">
        <f t="shared" si="115"/>
        <v>184.96</v>
      </c>
      <c r="BX21" s="1" t="s">
        <v>467</v>
      </c>
      <c r="BY21" s="1" t="s">
        <v>468</v>
      </c>
      <c r="BZ21" s="5" t="s">
        <v>904</v>
      </c>
      <c r="CA21" s="66">
        <f>VLOOKUP($A21,'CMI Data'!$A$3:$AK$209,21,FALSE)</f>
        <v>0</v>
      </c>
      <c r="CB21" s="68">
        <f t="shared" si="116"/>
        <v>239.98</v>
      </c>
      <c r="CC21" s="68">
        <f t="shared" si="117"/>
        <v>0</v>
      </c>
      <c r="CD21" s="75">
        <f t="shared" si="118"/>
        <v>0</v>
      </c>
      <c r="CE21" s="68" t="e">
        <f>IF($I21="NA","NA",ROUND(#REF!*$CA21/$I21,2))</f>
        <v>#REF!</v>
      </c>
      <c r="CF21" s="75" t="e">
        <f t="shared" si="119"/>
        <v>#REF!</v>
      </c>
      <c r="CG21" s="68" t="e">
        <f t="shared" si="120"/>
        <v>#REF!</v>
      </c>
      <c r="CH21" s="4">
        <f t="shared" si="121"/>
        <v>464203</v>
      </c>
      <c r="CI21" s="4">
        <f t="shared" si="122"/>
        <v>82350</v>
      </c>
      <c r="CJ21" s="4">
        <f t="shared" si="123"/>
        <v>74714</v>
      </c>
      <c r="CK21" s="142">
        <f>IF(ISNA(VLOOKUP($A21&amp;$AB21,'Days Exceptions'!$C$3:$I$7,6,FALSE)),ROUND(CH21/MAX(CJ21,(CI21*Min_Occ)),2),ROUND(CH21/VLOOKUP($A21&amp;$AB21,'Days Exceptions'!$C$3:$I$7,6,FALSE),2))</f>
        <v>6.21</v>
      </c>
      <c r="CL21" s="143" t="e">
        <f t="shared" si="124"/>
        <v>#REF!</v>
      </c>
      <c r="CM21" s="143" t="e">
        <f t="shared" si="125"/>
        <v>#REF!</v>
      </c>
      <c r="CN21" s="143">
        <f t="shared" si="126"/>
        <v>184.96</v>
      </c>
      <c r="CO21" s="1" t="s">
        <v>467</v>
      </c>
      <c r="CP21" s="1" t="s">
        <v>468</v>
      </c>
      <c r="CQ21" s="5" t="s">
        <v>922</v>
      </c>
    </row>
    <row r="22" spans="1:95" x14ac:dyDescent="0.15">
      <c r="G22" s="5"/>
      <c r="H22" s="5"/>
      <c r="AS22" s="66"/>
      <c r="AT22" s="68"/>
      <c r="AU22" s="68"/>
      <c r="AV22" s="75"/>
      <c r="AW22" s="68"/>
      <c r="AX22" s="75"/>
      <c r="AY22" s="68"/>
      <c r="AZ22" s="4"/>
      <c r="BA22" s="4"/>
      <c r="BB22" s="4"/>
      <c r="BC22" s="142"/>
      <c r="BD22" s="143"/>
      <c r="BE22" s="68"/>
      <c r="BF22" s="68"/>
      <c r="BI22" s="37"/>
      <c r="BJ22" s="66"/>
      <c r="BK22" s="68"/>
      <c r="BL22" s="68"/>
      <c r="BM22" s="75"/>
      <c r="BN22" s="68"/>
      <c r="BO22" s="75"/>
      <c r="BP22" s="68"/>
      <c r="BQ22" s="4"/>
      <c r="BR22" s="4"/>
      <c r="BS22" s="4"/>
      <c r="BT22" s="142"/>
      <c r="BU22" s="143"/>
      <c r="BV22" s="68"/>
      <c r="BW22" s="68"/>
      <c r="BZ22" s="37"/>
      <c r="CA22" s="66"/>
      <c r="CB22" s="68"/>
      <c r="CC22" s="68"/>
      <c r="CD22" s="75"/>
      <c r="CE22" s="68"/>
      <c r="CF22" s="75"/>
      <c r="CG22" s="68"/>
      <c r="CH22" s="4"/>
      <c r="CI22" s="4"/>
      <c r="CJ22" s="4"/>
      <c r="CK22" s="142"/>
      <c r="CL22" s="143"/>
      <c r="CM22" s="68"/>
      <c r="CN22" s="68"/>
      <c r="CQ22" s="37"/>
    </row>
    <row r="23" spans="1:95" x14ac:dyDescent="0.15">
      <c r="A23" s="3"/>
      <c r="B23" s="3"/>
      <c r="C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177"/>
      <c r="AH23" s="177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66"/>
      <c r="AT23" s="68"/>
      <c r="AU23" s="68"/>
      <c r="AV23" s="75"/>
      <c r="AW23" s="68"/>
      <c r="AX23" s="75"/>
      <c r="AY23" s="68"/>
      <c r="AZ23" s="4"/>
      <c r="BA23" s="4"/>
      <c r="BB23" s="4"/>
      <c r="BC23" s="142"/>
      <c r="BD23" s="143"/>
      <c r="BE23" s="68"/>
      <c r="BF23" s="68"/>
      <c r="BI23" s="37"/>
      <c r="BJ23" s="66"/>
      <c r="BK23" s="68"/>
      <c r="BL23" s="68"/>
      <c r="BM23" s="75"/>
      <c r="BN23" s="68"/>
      <c r="BO23" s="75"/>
      <c r="BP23" s="68"/>
      <c r="BQ23" s="4"/>
      <c r="BR23" s="4"/>
      <c r="BS23" s="4"/>
      <c r="BT23" s="142"/>
      <c r="BU23" s="143"/>
      <c r="BV23" s="68"/>
      <c r="BW23" s="68"/>
      <c r="BZ23" s="37"/>
      <c r="CA23" s="66"/>
      <c r="CB23" s="68"/>
      <c r="CC23" s="68"/>
      <c r="CD23" s="75"/>
      <c r="CE23" s="68"/>
      <c r="CF23" s="75"/>
      <c r="CG23" s="68"/>
      <c r="CH23" s="4"/>
      <c r="CI23" s="4"/>
      <c r="CJ23" s="4"/>
      <c r="CK23" s="142"/>
      <c r="CL23" s="143"/>
      <c r="CM23" s="68"/>
      <c r="CN23" s="68"/>
      <c r="CQ23" s="37"/>
    </row>
    <row r="24" spans="1:95" x14ac:dyDescent="0.15">
      <c r="A24" s="5"/>
      <c r="B24" s="5"/>
      <c r="C24" s="75"/>
      <c r="I24" s="72"/>
      <c r="J24" s="139"/>
      <c r="K24" s="4"/>
      <c r="L24" s="4"/>
      <c r="M24" s="4"/>
      <c r="N24" s="178"/>
      <c r="O24" s="17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4"/>
      <c r="AB24" s="4"/>
      <c r="AC24" s="75"/>
      <c r="AD24" s="75"/>
      <c r="AE24" s="75"/>
      <c r="AG24" s="4"/>
      <c r="AH24" s="4"/>
      <c r="AI24" s="75"/>
      <c r="AJ24" s="75"/>
      <c r="AK24" s="141"/>
      <c r="AL24" s="141"/>
      <c r="AM24" s="4"/>
      <c r="AN24" s="4"/>
      <c r="AO24" s="4"/>
      <c r="AP24" s="142"/>
      <c r="AQ24" s="68"/>
      <c r="AR24" s="4"/>
      <c r="AS24" s="66"/>
      <c r="AT24" s="68"/>
      <c r="AU24" s="68"/>
      <c r="AV24" s="75"/>
      <c r="AW24" s="68"/>
      <c r="AX24" s="75"/>
      <c r="AY24" s="68"/>
      <c r="AZ24" s="4"/>
      <c r="BA24" s="4"/>
      <c r="BB24" s="4"/>
      <c r="BC24" s="142"/>
      <c r="BD24" s="143"/>
      <c r="BE24" s="68"/>
      <c r="BF24" s="68"/>
      <c r="BI24" s="37"/>
      <c r="BJ24" s="66"/>
      <c r="BK24" s="68"/>
      <c r="BL24" s="68"/>
      <c r="BM24" s="75"/>
      <c r="BN24" s="68"/>
      <c r="BO24" s="75"/>
      <c r="BP24" s="68"/>
      <c r="BQ24" s="4"/>
      <c r="BR24" s="4"/>
      <c r="BS24" s="4"/>
      <c r="BT24" s="142"/>
      <c r="BU24" s="143"/>
      <c r="BV24" s="68"/>
      <c r="BW24" s="68"/>
      <c r="BZ24" s="37"/>
      <c r="CA24" s="66"/>
      <c r="CB24" s="68"/>
      <c r="CC24" s="68"/>
      <c r="CD24" s="75"/>
      <c r="CE24" s="68"/>
      <c r="CF24" s="75"/>
      <c r="CG24" s="68"/>
      <c r="CH24" s="4"/>
      <c r="CI24" s="4"/>
      <c r="CJ24" s="4"/>
      <c r="CK24" s="142"/>
      <c r="CL24" s="143"/>
      <c r="CM24" s="68"/>
      <c r="CN24" s="68"/>
      <c r="CQ24" s="37"/>
    </row>
    <row r="25" spans="1:95" x14ac:dyDescent="0.15">
      <c r="A25" s="5"/>
      <c r="B25" s="5"/>
      <c r="C25" s="75"/>
      <c r="I25" s="72"/>
      <c r="J25" s="139"/>
      <c r="K25" s="4"/>
      <c r="L25" s="4"/>
      <c r="M25" s="4"/>
      <c r="N25" s="178"/>
      <c r="O25" s="17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4"/>
      <c r="AB25" s="4"/>
      <c r="AC25" s="75"/>
      <c r="AD25" s="75"/>
      <c r="AE25" s="75"/>
      <c r="AG25" s="4"/>
      <c r="AH25" s="4"/>
      <c r="AI25" s="75"/>
      <c r="AJ25" s="75"/>
      <c r="AK25" s="141"/>
      <c r="AL25" s="141"/>
      <c r="AM25" s="4"/>
      <c r="AN25" s="4"/>
      <c r="AO25" s="4"/>
      <c r="AP25" s="142"/>
      <c r="AQ25" s="68"/>
      <c r="AR25" s="4"/>
      <c r="AS25" s="66"/>
      <c r="AT25" s="68"/>
      <c r="AU25" s="68"/>
      <c r="AV25" s="75"/>
      <c r="AW25" s="68"/>
      <c r="AX25" s="75"/>
      <c r="AY25" s="68"/>
      <c r="AZ25" s="4"/>
      <c r="BA25" s="4"/>
      <c r="BB25" s="4"/>
      <c r="BC25" s="142"/>
      <c r="BD25" s="143"/>
      <c r="BE25" s="68"/>
      <c r="BF25" s="68"/>
      <c r="BI25" s="37"/>
      <c r="BJ25" s="66"/>
      <c r="BK25" s="68"/>
      <c r="BL25" s="68"/>
      <c r="BM25" s="75"/>
      <c r="BN25" s="68"/>
      <c r="BO25" s="75"/>
      <c r="BP25" s="68"/>
      <c r="BQ25" s="4"/>
      <c r="BR25" s="4"/>
      <c r="BS25" s="4"/>
      <c r="BT25" s="142"/>
      <c r="BU25" s="143"/>
      <c r="BV25" s="68"/>
      <c r="BW25" s="68"/>
      <c r="BZ25" s="37"/>
      <c r="CA25" s="66"/>
      <c r="CB25" s="68"/>
      <c r="CC25" s="68"/>
      <c r="CD25" s="75"/>
      <c r="CE25" s="68"/>
      <c r="CF25" s="75"/>
      <c r="CG25" s="68"/>
      <c r="CH25" s="4"/>
      <c r="CI25" s="4"/>
      <c r="CJ25" s="4"/>
      <c r="CK25" s="142"/>
      <c r="CL25" s="143"/>
      <c r="CM25" s="68"/>
      <c r="CN25" s="68"/>
      <c r="CQ25" s="37"/>
    </row>
    <row r="26" spans="1:95" x14ac:dyDescent="0.15">
      <c r="G26" s="5"/>
      <c r="H26" s="5"/>
      <c r="I26" s="4"/>
      <c r="J26" s="4"/>
      <c r="K26" s="72"/>
      <c r="L26" s="72"/>
      <c r="M26" s="72"/>
      <c r="N26" s="4"/>
      <c r="O26" s="4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4"/>
      <c r="AB26" s="4"/>
      <c r="AC26" s="75"/>
      <c r="AD26" s="75"/>
      <c r="AE26" s="75"/>
      <c r="AF26" s="4"/>
      <c r="AG26" s="4"/>
      <c r="AH26" s="4"/>
      <c r="AI26" s="75"/>
      <c r="AJ26" s="75"/>
      <c r="AK26" s="75"/>
      <c r="AS26" s="66"/>
      <c r="AT26" s="68"/>
      <c r="AU26" s="68"/>
      <c r="AV26" s="75"/>
      <c r="AW26" s="68"/>
      <c r="AX26" s="75"/>
      <c r="AY26" s="68"/>
      <c r="AZ26" s="4"/>
      <c r="BA26" s="4"/>
      <c r="BB26" s="4"/>
      <c r="BC26" s="142"/>
      <c r="BD26" s="143"/>
      <c r="BE26" s="68"/>
      <c r="BF26" s="68"/>
      <c r="BI26" s="37"/>
      <c r="BJ26" s="66"/>
      <c r="BK26" s="68"/>
      <c r="BL26" s="68"/>
      <c r="BM26" s="75"/>
      <c r="BN26" s="68"/>
      <c r="BO26" s="75"/>
      <c r="BP26" s="68"/>
      <c r="BQ26" s="4"/>
      <c r="BR26" s="4"/>
      <c r="BS26" s="4"/>
      <c r="BT26" s="142"/>
      <c r="BU26" s="143"/>
      <c r="BV26" s="68"/>
      <c r="BW26" s="68"/>
      <c r="BZ26" s="37"/>
      <c r="CA26" s="66"/>
      <c r="CB26" s="68"/>
      <c r="CC26" s="68"/>
      <c r="CD26" s="75"/>
      <c r="CE26" s="68"/>
      <c r="CF26" s="75"/>
      <c r="CG26" s="68"/>
      <c r="CH26" s="4"/>
      <c r="CI26" s="4"/>
      <c r="CJ26" s="4"/>
      <c r="CK26" s="142"/>
      <c r="CL26" s="143"/>
      <c r="CM26" s="68"/>
      <c r="CN26" s="68"/>
      <c r="CQ26" s="37"/>
    </row>
    <row r="27" spans="1:95" x14ac:dyDescent="0.15">
      <c r="G27" s="5"/>
      <c r="H27" s="5"/>
      <c r="V27" s="75"/>
      <c r="W27" s="75"/>
      <c r="X27" s="75"/>
      <c r="Y27" s="75"/>
      <c r="Z27" s="75"/>
      <c r="AS27" s="66"/>
      <c r="AT27" s="68"/>
      <c r="AU27" s="68"/>
      <c r="AV27" s="75"/>
      <c r="AW27" s="68"/>
      <c r="AX27" s="75"/>
      <c r="AY27" s="68"/>
      <c r="AZ27" s="4"/>
      <c r="BA27" s="4"/>
      <c r="BB27" s="4"/>
      <c r="BC27" s="142"/>
      <c r="BD27" s="143"/>
      <c r="BE27" s="68"/>
      <c r="BF27" s="68"/>
      <c r="BI27" s="37"/>
      <c r="BJ27" s="66"/>
      <c r="BK27" s="68"/>
      <c r="BL27" s="68"/>
      <c r="BM27" s="75"/>
      <c r="BN27" s="68"/>
      <c r="BO27" s="75"/>
      <c r="BP27" s="68"/>
      <c r="BQ27" s="4"/>
      <c r="BR27" s="4"/>
      <c r="BS27" s="4"/>
      <c r="BT27" s="142"/>
      <c r="BU27" s="143"/>
      <c r="BV27" s="68"/>
      <c r="BW27" s="68"/>
      <c r="BZ27" s="37"/>
      <c r="CA27" s="66"/>
      <c r="CB27" s="68"/>
      <c r="CC27" s="68"/>
      <c r="CD27" s="75"/>
      <c r="CE27" s="68"/>
      <c r="CF27" s="75"/>
      <c r="CG27" s="68"/>
      <c r="CH27" s="4"/>
      <c r="CI27" s="4"/>
      <c r="CJ27" s="4"/>
      <c r="CK27" s="142"/>
      <c r="CL27" s="143"/>
      <c r="CM27" s="68"/>
      <c r="CN27" s="68"/>
      <c r="CQ27" s="37"/>
    </row>
    <row r="28" spans="1:95" x14ac:dyDescent="0.15">
      <c r="G28" s="5"/>
      <c r="H28" s="5"/>
      <c r="V28" s="75"/>
      <c r="W28" s="75"/>
      <c r="X28" s="75"/>
      <c r="Y28" s="75"/>
      <c r="Z28" s="75"/>
      <c r="AS28" s="66"/>
      <c r="AT28" s="68"/>
      <c r="AU28" s="68"/>
      <c r="AV28" s="75"/>
      <c r="AW28" s="68"/>
      <c r="AX28" s="75"/>
      <c r="AY28" s="68"/>
      <c r="AZ28" s="4"/>
      <c r="BA28" s="4"/>
      <c r="BB28" s="4"/>
      <c r="BC28" s="142"/>
      <c r="BD28" s="143"/>
      <c r="BE28" s="68"/>
      <c r="BF28" s="68"/>
      <c r="BI28" s="37"/>
      <c r="BJ28" s="66"/>
      <c r="BK28" s="68"/>
      <c r="BL28" s="68"/>
      <c r="BM28" s="75"/>
      <c r="BN28" s="68"/>
      <c r="BO28" s="75"/>
      <c r="BP28" s="68"/>
      <c r="BQ28" s="4"/>
      <c r="BR28" s="4"/>
      <c r="BS28" s="4"/>
      <c r="BT28" s="142"/>
      <c r="BU28" s="143"/>
      <c r="BV28" s="68"/>
      <c r="BW28" s="68"/>
      <c r="BZ28" s="37"/>
      <c r="CA28" s="66"/>
      <c r="CB28" s="68"/>
      <c r="CC28" s="68"/>
      <c r="CD28" s="75"/>
      <c r="CE28" s="68"/>
      <c r="CF28" s="75"/>
      <c r="CG28" s="68"/>
      <c r="CH28" s="4"/>
      <c r="CI28" s="4"/>
      <c r="CJ28" s="4"/>
      <c r="CK28" s="142"/>
      <c r="CL28" s="143"/>
      <c r="CM28" s="68"/>
      <c r="CN28" s="68"/>
      <c r="CQ28" s="37"/>
    </row>
    <row r="29" spans="1:95" x14ac:dyDescent="0.15">
      <c r="G29" s="5"/>
      <c r="H29" s="5"/>
      <c r="V29" s="75"/>
      <c r="W29" s="75"/>
      <c r="X29" s="75"/>
      <c r="Y29" s="75"/>
      <c r="Z29" s="75"/>
      <c r="AS29" s="66"/>
      <c r="AT29" s="68"/>
      <c r="AU29" s="68"/>
      <c r="AV29" s="75"/>
      <c r="AW29" s="68"/>
      <c r="AX29" s="75"/>
      <c r="AY29" s="68"/>
      <c r="AZ29" s="4"/>
      <c r="BA29" s="4"/>
      <c r="BB29" s="4"/>
      <c r="BC29" s="142"/>
      <c r="BD29" s="143"/>
      <c r="BE29" s="68"/>
      <c r="BF29" s="68"/>
      <c r="BI29" s="37"/>
      <c r="BJ29" s="66"/>
      <c r="BK29" s="68"/>
      <c r="BL29" s="68"/>
      <c r="BM29" s="75"/>
      <c r="BN29" s="68"/>
      <c r="BO29" s="75"/>
      <c r="BP29" s="68"/>
      <c r="BQ29" s="4"/>
      <c r="BR29" s="4"/>
      <c r="BS29" s="4"/>
      <c r="BT29" s="142"/>
      <c r="BU29" s="143"/>
      <c r="BV29" s="68"/>
      <c r="BW29" s="68"/>
      <c r="BZ29" s="37"/>
      <c r="CA29" s="66"/>
      <c r="CB29" s="68"/>
      <c r="CC29" s="68"/>
      <c r="CD29" s="75"/>
      <c r="CE29" s="68"/>
      <c r="CF29" s="75"/>
      <c r="CG29" s="68"/>
      <c r="CH29" s="4"/>
      <c r="CI29" s="4"/>
      <c r="CJ29" s="4"/>
      <c r="CK29" s="142"/>
      <c r="CL29" s="143"/>
      <c r="CM29" s="68"/>
      <c r="CN29" s="68"/>
      <c r="CQ29" s="37"/>
    </row>
    <row r="30" spans="1:95" x14ac:dyDescent="0.15">
      <c r="G30" s="5"/>
      <c r="H30" s="5"/>
      <c r="V30" s="75"/>
      <c r="W30" s="75"/>
      <c r="X30" s="75"/>
      <c r="Y30" s="75"/>
      <c r="Z30" s="75"/>
      <c r="AS30" s="66"/>
      <c r="AT30" s="68"/>
      <c r="AU30" s="68"/>
      <c r="AV30" s="75"/>
      <c r="AW30" s="68"/>
      <c r="AX30" s="75"/>
      <c r="AY30" s="68"/>
      <c r="AZ30" s="4"/>
      <c r="BA30" s="4"/>
      <c r="BB30" s="4"/>
      <c r="BC30" s="142"/>
      <c r="BD30" s="143"/>
      <c r="BE30" s="68"/>
      <c r="BF30" s="68"/>
      <c r="BI30" s="37"/>
      <c r="BJ30" s="66"/>
      <c r="BK30" s="68"/>
      <c r="BL30" s="68"/>
      <c r="BM30" s="75"/>
      <c r="BN30" s="68"/>
      <c r="BO30" s="75"/>
      <c r="BP30" s="68"/>
      <c r="BQ30" s="4"/>
      <c r="BR30" s="4"/>
      <c r="BS30" s="4"/>
      <c r="BT30" s="142"/>
      <c r="BU30" s="143"/>
      <c r="BV30" s="68"/>
      <c r="BW30" s="68"/>
      <c r="BZ30" s="37"/>
      <c r="CA30" s="66"/>
      <c r="CB30" s="68"/>
      <c r="CC30" s="68"/>
      <c r="CD30" s="75"/>
      <c r="CE30" s="68"/>
      <c r="CF30" s="75"/>
      <c r="CG30" s="68"/>
      <c r="CH30" s="4"/>
      <c r="CI30" s="4"/>
      <c r="CJ30" s="4"/>
      <c r="CK30" s="142"/>
      <c r="CL30" s="143"/>
      <c r="CM30" s="68"/>
      <c r="CN30" s="68"/>
      <c r="CQ30" s="37"/>
    </row>
    <row r="31" spans="1:95" x14ac:dyDescent="0.15">
      <c r="A31" s="37"/>
      <c r="G31" s="5"/>
      <c r="H31" s="5"/>
      <c r="V31" s="75"/>
      <c r="W31" s="75"/>
      <c r="X31" s="75"/>
      <c r="Y31" s="75"/>
      <c r="Z31" s="75"/>
      <c r="AS31" s="66"/>
      <c r="AT31" s="68"/>
      <c r="AU31" s="68"/>
      <c r="AV31" s="75"/>
      <c r="AW31" s="68"/>
      <c r="AX31" s="75"/>
      <c r="AY31" s="68"/>
      <c r="AZ31" s="4"/>
      <c r="BA31" s="4"/>
      <c r="BB31" s="4"/>
      <c r="BC31" s="142"/>
      <c r="BD31" s="143"/>
      <c r="BE31" s="68"/>
      <c r="BF31" s="68"/>
      <c r="BI31" s="37"/>
      <c r="BJ31" s="66"/>
      <c r="BK31" s="68"/>
      <c r="BL31" s="68"/>
      <c r="BM31" s="75"/>
      <c r="BN31" s="68"/>
      <c r="BO31" s="75"/>
      <c r="BP31" s="68"/>
      <c r="BQ31" s="4"/>
      <c r="BR31" s="4"/>
      <c r="BS31" s="4"/>
      <c r="BT31" s="142"/>
      <c r="BU31" s="143"/>
      <c r="BV31" s="68"/>
      <c r="BW31" s="68"/>
      <c r="BZ31" s="37"/>
      <c r="CA31" s="66"/>
      <c r="CB31" s="68"/>
      <c r="CC31" s="68"/>
      <c r="CD31" s="75"/>
      <c r="CE31" s="68"/>
      <c r="CF31" s="75"/>
      <c r="CG31" s="68"/>
      <c r="CH31" s="4"/>
      <c r="CI31" s="4"/>
      <c r="CJ31" s="4"/>
      <c r="CK31" s="142"/>
      <c r="CL31" s="143"/>
      <c r="CM31" s="68"/>
      <c r="CN31" s="68"/>
      <c r="CQ31" s="37"/>
    </row>
    <row r="32" spans="1:95" x14ac:dyDescent="0.15">
      <c r="G32" s="5"/>
      <c r="H32" s="5"/>
      <c r="V32" s="75"/>
      <c r="W32" s="75"/>
      <c r="X32" s="75"/>
      <c r="Y32" s="75"/>
      <c r="Z32" s="75"/>
      <c r="AS32" s="66"/>
      <c r="AT32" s="68"/>
      <c r="AU32" s="68"/>
      <c r="AV32" s="75"/>
      <c r="AW32" s="68"/>
      <c r="AX32" s="75"/>
      <c r="AY32" s="68"/>
      <c r="AZ32" s="4"/>
      <c r="BA32" s="4"/>
      <c r="BB32" s="4"/>
      <c r="BC32" s="142"/>
      <c r="BD32" s="143"/>
      <c r="BE32" s="68"/>
      <c r="BF32" s="68"/>
      <c r="BI32" s="37"/>
      <c r="BJ32" s="66"/>
      <c r="BK32" s="68"/>
      <c r="BL32" s="68"/>
      <c r="BM32" s="75"/>
      <c r="BN32" s="68"/>
      <c r="BO32" s="75"/>
      <c r="BP32" s="68"/>
      <c r="BQ32" s="4"/>
      <c r="BR32" s="4"/>
      <c r="BS32" s="4"/>
      <c r="BT32" s="142"/>
      <c r="BU32" s="143"/>
      <c r="BV32" s="68"/>
      <c r="BW32" s="68"/>
      <c r="BZ32" s="37"/>
      <c r="CA32" s="66"/>
      <c r="CB32" s="68"/>
      <c r="CC32" s="68"/>
      <c r="CD32" s="75"/>
      <c r="CE32" s="68"/>
      <c r="CF32" s="75"/>
      <c r="CG32" s="68"/>
      <c r="CH32" s="4"/>
      <c r="CI32" s="4"/>
      <c r="CJ32" s="4"/>
      <c r="CK32" s="142"/>
      <c r="CL32" s="143"/>
      <c r="CM32" s="68"/>
      <c r="CN32" s="68"/>
      <c r="CQ32" s="37"/>
    </row>
    <row r="33" spans="22:95" x14ac:dyDescent="0.15">
      <c r="V33" s="75"/>
      <c r="W33" s="75"/>
      <c r="X33" s="75"/>
      <c r="Y33" s="75"/>
      <c r="Z33" s="75"/>
      <c r="AS33" s="66"/>
      <c r="AT33" s="68"/>
      <c r="AU33" s="68"/>
      <c r="AV33" s="75"/>
      <c r="AW33" s="68"/>
      <c r="AX33" s="75"/>
      <c r="AY33" s="68"/>
      <c r="AZ33" s="4"/>
      <c r="BA33" s="4"/>
      <c r="BB33" s="4"/>
      <c r="BC33" s="142"/>
      <c r="BD33" s="143"/>
      <c r="BE33" s="68"/>
      <c r="BF33" s="68"/>
      <c r="BI33" s="37"/>
      <c r="BJ33" s="66"/>
      <c r="BK33" s="68"/>
      <c r="BL33" s="68"/>
      <c r="BM33" s="75"/>
      <c r="BN33" s="68"/>
      <c r="BO33" s="75"/>
      <c r="BP33" s="68"/>
      <c r="BQ33" s="4"/>
      <c r="BR33" s="4"/>
      <c r="BS33" s="4"/>
      <c r="BT33" s="142"/>
      <c r="BU33" s="143"/>
      <c r="BV33" s="68"/>
      <c r="BW33" s="68"/>
      <c r="BZ33" s="37"/>
      <c r="CA33" s="66"/>
      <c r="CB33" s="68"/>
      <c r="CC33" s="68"/>
      <c r="CD33" s="75"/>
      <c r="CE33" s="68"/>
      <c r="CF33" s="75"/>
      <c r="CG33" s="68"/>
      <c r="CH33" s="4"/>
      <c r="CI33" s="4"/>
      <c r="CJ33" s="4"/>
      <c r="CK33" s="142"/>
      <c r="CL33" s="143"/>
      <c r="CM33" s="68"/>
      <c r="CN33" s="68"/>
      <c r="CQ33" s="37"/>
    </row>
    <row r="34" spans="22:95" x14ac:dyDescent="0.15">
      <c r="AS34" s="66"/>
      <c r="AT34" s="68"/>
      <c r="AU34" s="68"/>
      <c r="AV34" s="75"/>
      <c r="AW34" s="68"/>
      <c r="AX34" s="75"/>
      <c r="AY34" s="68"/>
      <c r="AZ34" s="4"/>
      <c r="BA34" s="4"/>
      <c r="BB34" s="4"/>
      <c r="BC34" s="142"/>
      <c r="BD34" s="143"/>
      <c r="BE34" s="68"/>
      <c r="BF34" s="68"/>
      <c r="BI34" s="37"/>
      <c r="BJ34" s="66"/>
      <c r="BK34" s="68"/>
      <c r="BL34" s="68"/>
      <c r="BM34" s="75"/>
      <c r="BN34" s="68"/>
      <c r="BO34" s="75"/>
      <c r="BP34" s="68"/>
      <c r="BQ34" s="4"/>
      <c r="BR34" s="4"/>
      <c r="BS34" s="4"/>
      <c r="BT34" s="142"/>
      <c r="BU34" s="143"/>
      <c r="BV34" s="68"/>
      <c r="BW34" s="68"/>
      <c r="BZ34" s="37"/>
      <c r="CA34" s="66"/>
      <c r="CB34" s="68"/>
      <c r="CC34" s="68"/>
      <c r="CD34" s="75"/>
      <c r="CE34" s="68"/>
      <c r="CF34" s="75"/>
      <c r="CG34" s="68"/>
      <c r="CH34" s="4"/>
      <c r="CI34" s="4"/>
      <c r="CJ34" s="4"/>
      <c r="CK34" s="142"/>
      <c r="CL34" s="143"/>
      <c r="CM34" s="68"/>
      <c r="CN34" s="68"/>
      <c r="CQ34" s="37"/>
    </row>
    <row r="35" spans="22:95" x14ac:dyDescent="0.15">
      <c r="AS35" s="66"/>
      <c r="AT35" s="68"/>
      <c r="AU35" s="68"/>
      <c r="AV35" s="75"/>
      <c r="AW35" s="68"/>
      <c r="AX35" s="75"/>
      <c r="AY35" s="68"/>
      <c r="AZ35" s="4"/>
      <c r="BA35" s="4"/>
      <c r="BB35" s="4"/>
      <c r="BC35" s="142"/>
      <c r="BD35" s="143"/>
      <c r="BE35" s="68"/>
      <c r="BF35" s="68"/>
      <c r="BI35" s="37"/>
      <c r="BJ35" s="66"/>
      <c r="BK35" s="68"/>
      <c r="BL35" s="68"/>
      <c r="BM35" s="75"/>
      <c r="BN35" s="68"/>
      <c r="BO35" s="75"/>
      <c r="BP35" s="68"/>
      <c r="BQ35" s="4"/>
      <c r="BR35" s="4"/>
      <c r="BS35" s="4"/>
      <c r="BT35" s="142"/>
      <c r="BU35" s="143"/>
      <c r="BV35" s="68"/>
      <c r="BW35" s="68"/>
      <c r="BZ35" s="37"/>
      <c r="CA35" s="66"/>
      <c r="CB35" s="68"/>
      <c r="CC35" s="68"/>
      <c r="CD35" s="75"/>
      <c r="CE35" s="68"/>
      <c r="CF35" s="75"/>
      <c r="CG35" s="68"/>
      <c r="CH35" s="4"/>
      <c r="CI35" s="4"/>
      <c r="CJ35" s="4"/>
      <c r="CK35" s="142"/>
      <c r="CL35" s="143"/>
      <c r="CM35" s="68"/>
      <c r="CN35" s="68"/>
      <c r="CQ35" s="37"/>
    </row>
    <row r="36" spans="22:95" x14ac:dyDescent="0.15">
      <c r="AS36" s="66"/>
      <c r="AT36" s="68"/>
      <c r="AU36" s="68"/>
      <c r="AV36" s="75"/>
      <c r="AW36" s="68"/>
      <c r="AX36" s="75"/>
      <c r="AY36" s="68"/>
      <c r="AZ36" s="4"/>
      <c r="BA36" s="4"/>
      <c r="BB36" s="4"/>
      <c r="BC36" s="142"/>
      <c r="BD36" s="143"/>
      <c r="BE36" s="68"/>
      <c r="BF36" s="68"/>
      <c r="BI36" s="37"/>
      <c r="BJ36" s="66"/>
      <c r="BK36" s="68"/>
      <c r="BL36" s="68"/>
      <c r="BM36" s="75"/>
      <c r="BN36" s="68"/>
      <c r="BO36" s="75"/>
      <c r="BP36" s="68"/>
      <c r="BQ36" s="4"/>
      <c r="BR36" s="4"/>
      <c r="BS36" s="4"/>
      <c r="BT36" s="142"/>
      <c r="BU36" s="143"/>
      <c r="BV36" s="68"/>
      <c r="BW36" s="68"/>
      <c r="BZ36" s="37"/>
      <c r="CA36" s="66"/>
      <c r="CB36" s="68"/>
      <c r="CC36" s="68"/>
      <c r="CD36" s="75"/>
      <c r="CE36" s="68"/>
      <c r="CF36" s="75"/>
      <c r="CG36" s="68"/>
      <c r="CH36" s="4"/>
      <c r="CI36" s="4"/>
      <c r="CJ36" s="4"/>
      <c r="CK36" s="142"/>
      <c r="CL36" s="143"/>
      <c r="CM36" s="68"/>
      <c r="CN36" s="68"/>
      <c r="CQ36" s="37"/>
    </row>
    <row r="37" spans="22:95" x14ac:dyDescent="0.15">
      <c r="AS37" s="66"/>
      <c r="AT37" s="68"/>
      <c r="AU37" s="68"/>
      <c r="AV37" s="75"/>
      <c r="AW37" s="68"/>
      <c r="AX37" s="75"/>
      <c r="AY37" s="68"/>
      <c r="AZ37" s="4"/>
      <c r="BA37" s="4"/>
      <c r="BB37" s="4"/>
      <c r="BC37" s="142"/>
      <c r="BD37" s="143"/>
      <c r="BE37" s="68"/>
      <c r="BF37" s="68"/>
      <c r="BI37" s="37"/>
      <c r="BJ37" s="66"/>
      <c r="BK37" s="68"/>
      <c r="BL37" s="68"/>
      <c r="BM37" s="75"/>
      <c r="BN37" s="68"/>
      <c r="BO37" s="75"/>
      <c r="BP37" s="68"/>
      <c r="BQ37" s="4"/>
      <c r="BR37" s="4"/>
      <c r="BS37" s="4"/>
      <c r="BT37" s="142"/>
      <c r="BU37" s="143"/>
      <c r="BV37" s="68"/>
      <c r="BW37" s="68"/>
      <c r="BZ37" s="37"/>
      <c r="CA37" s="66"/>
      <c r="CB37" s="68"/>
      <c r="CC37" s="68"/>
      <c r="CD37" s="75"/>
      <c r="CE37" s="68"/>
      <c r="CF37" s="75"/>
      <c r="CG37" s="68"/>
      <c r="CH37" s="4"/>
      <c r="CI37" s="4"/>
      <c r="CJ37" s="4"/>
      <c r="CK37" s="142"/>
      <c r="CL37" s="143"/>
      <c r="CM37" s="68"/>
      <c r="CN37" s="68"/>
      <c r="CQ37" s="37"/>
    </row>
    <row r="38" spans="22:95" x14ac:dyDescent="0.15">
      <c r="AS38" s="66"/>
      <c r="AT38" s="68"/>
      <c r="AU38" s="68"/>
      <c r="AV38" s="75"/>
      <c r="AW38" s="68"/>
      <c r="AX38" s="75"/>
      <c r="AY38" s="68"/>
      <c r="AZ38" s="4"/>
      <c r="BA38" s="4"/>
      <c r="BB38" s="4"/>
      <c r="BC38" s="142"/>
      <c r="BD38" s="143"/>
      <c r="BE38" s="68"/>
      <c r="BF38" s="68"/>
      <c r="BI38" s="37"/>
      <c r="BJ38" s="66"/>
      <c r="BK38" s="68"/>
      <c r="BL38" s="68"/>
      <c r="BM38" s="75"/>
      <c r="BN38" s="68"/>
      <c r="BO38" s="75"/>
      <c r="BP38" s="68"/>
      <c r="BQ38" s="4"/>
      <c r="BR38" s="4"/>
      <c r="BS38" s="4"/>
      <c r="BT38" s="142"/>
      <c r="BU38" s="143"/>
      <c r="BV38" s="68"/>
      <c r="BW38" s="68"/>
      <c r="BZ38" s="37"/>
      <c r="CA38" s="66"/>
      <c r="CB38" s="68"/>
      <c r="CC38" s="68"/>
      <c r="CD38" s="75"/>
      <c r="CE38" s="68"/>
      <c r="CF38" s="75"/>
      <c r="CG38" s="68"/>
      <c r="CH38" s="4"/>
      <c r="CI38" s="4"/>
      <c r="CJ38" s="4"/>
      <c r="CK38" s="142"/>
      <c r="CL38" s="143"/>
      <c r="CM38" s="68"/>
      <c r="CN38" s="68"/>
      <c r="CQ38" s="37"/>
    </row>
    <row r="39" spans="22:95" x14ac:dyDescent="0.15">
      <c r="AS39" s="66"/>
      <c r="AT39" s="68"/>
      <c r="AU39" s="68"/>
      <c r="AV39" s="75"/>
      <c r="AW39" s="68"/>
      <c r="AX39" s="75"/>
      <c r="AY39" s="68"/>
      <c r="AZ39" s="4"/>
      <c r="BA39" s="4"/>
      <c r="BB39" s="4"/>
      <c r="BC39" s="142"/>
      <c r="BD39" s="143"/>
      <c r="BE39" s="68"/>
      <c r="BF39" s="68"/>
      <c r="BI39" s="37"/>
      <c r="BJ39" s="66"/>
      <c r="BK39" s="68"/>
      <c r="BL39" s="68"/>
      <c r="BM39" s="75"/>
      <c r="BN39" s="68"/>
      <c r="BO39" s="75"/>
      <c r="BP39" s="68"/>
      <c r="BQ39" s="4"/>
      <c r="BR39" s="4"/>
      <c r="BS39" s="4"/>
      <c r="BT39" s="142"/>
      <c r="BU39" s="143"/>
      <c r="BV39" s="68"/>
      <c r="BW39" s="68"/>
      <c r="BZ39" s="37"/>
      <c r="CA39" s="66"/>
      <c r="CB39" s="68"/>
      <c r="CC39" s="68"/>
      <c r="CD39" s="75"/>
      <c r="CE39" s="68"/>
      <c r="CF39" s="75"/>
      <c r="CG39" s="68"/>
      <c r="CH39" s="4"/>
      <c r="CI39" s="4"/>
      <c r="CJ39" s="4"/>
      <c r="CK39" s="142"/>
      <c r="CL39" s="143"/>
      <c r="CM39" s="68"/>
      <c r="CN39" s="68"/>
      <c r="CQ39" s="37"/>
    </row>
    <row r="40" spans="22:95" x14ac:dyDescent="0.15">
      <c r="AS40" s="66"/>
      <c r="AT40" s="68"/>
      <c r="AU40" s="68"/>
      <c r="AV40" s="75"/>
      <c r="AW40" s="68"/>
      <c r="AX40" s="75"/>
      <c r="AY40" s="68"/>
      <c r="AZ40" s="4"/>
      <c r="BA40" s="4"/>
      <c r="BB40" s="4"/>
      <c r="BC40" s="142"/>
      <c r="BD40" s="143"/>
      <c r="BE40" s="68"/>
      <c r="BF40" s="68"/>
      <c r="BI40" s="37"/>
      <c r="BJ40" s="66"/>
      <c r="BK40" s="68"/>
      <c r="BL40" s="68"/>
      <c r="BM40" s="75"/>
      <c r="BN40" s="68"/>
      <c r="BO40" s="75"/>
      <c r="BP40" s="68"/>
      <c r="BQ40" s="4"/>
      <c r="BR40" s="4"/>
      <c r="BS40" s="4"/>
      <c r="BT40" s="142"/>
      <c r="BU40" s="143"/>
      <c r="BV40" s="68"/>
      <c r="BW40" s="68"/>
      <c r="BZ40" s="37"/>
      <c r="CA40" s="66"/>
      <c r="CB40" s="68"/>
      <c r="CC40" s="68"/>
      <c r="CD40" s="75"/>
      <c r="CE40" s="68"/>
      <c r="CF40" s="75"/>
      <c r="CG40" s="68"/>
      <c r="CH40" s="4"/>
      <c r="CI40" s="4"/>
      <c r="CJ40" s="4"/>
      <c r="CK40" s="142"/>
      <c r="CL40" s="143"/>
      <c r="CM40" s="68"/>
      <c r="CN40" s="68"/>
      <c r="CQ40" s="37"/>
    </row>
    <row r="41" spans="22:95" x14ac:dyDescent="0.15">
      <c r="AS41" s="66"/>
      <c r="AT41" s="68"/>
      <c r="AU41" s="68"/>
      <c r="AV41" s="75"/>
      <c r="AW41" s="68"/>
      <c r="AX41" s="75"/>
      <c r="AY41" s="68"/>
      <c r="AZ41" s="4"/>
      <c r="BA41" s="4"/>
      <c r="BB41" s="4"/>
      <c r="BC41" s="142"/>
      <c r="BD41" s="143"/>
      <c r="BE41" s="68"/>
      <c r="BF41" s="68"/>
      <c r="BI41" s="37"/>
      <c r="BJ41" s="66"/>
      <c r="BK41" s="68"/>
      <c r="BL41" s="68"/>
      <c r="BM41" s="75"/>
      <c r="BN41" s="68"/>
      <c r="BO41" s="75"/>
      <c r="BP41" s="68"/>
      <c r="BQ41" s="4"/>
      <c r="BR41" s="4"/>
      <c r="BS41" s="4"/>
      <c r="BT41" s="142"/>
      <c r="BU41" s="143"/>
      <c r="BV41" s="68"/>
      <c r="BW41" s="68"/>
      <c r="BZ41" s="37"/>
      <c r="CA41" s="66"/>
      <c r="CB41" s="68"/>
      <c r="CC41" s="68"/>
      <c r="CD41" s="75"/>
      <c r="CE41" s="68"/>
      <c r="CF41" s="75"/>
      <c r="CG41" s="68"/>
      <c r="CH41" s="4"/>
      <c r="CI41" s="4"/>
      <c r="CJ41" s="4"/>
      <c r="CK41" s="142"/>
      <c r="CL41" s="143"/>
      <c r="CM41" s="68"/>
      <c r="CN41" s="68"/>
      <c r="CQ41" s="37"/>
    </row>
    <row r="42" spans="22:95" x14ac:dyDescent="0.15">
      <c r="AS42" s="66"/>
      <c r="AT42" s="68"/>
      <c r="AU42" s="68"/>
      <c r="AV42" s="75"/>
      <c r="AW42" s="68"/>
      <c r="AX42" s="75"/>
      <c r="AY42" s="68"/>
      <c r="AZ42" s="4"/>
      <c r="BA42" s="4"/>
      <c r="BB42" s="4"/>
      <c r="BC42" s="142"/>
      <c r="BD42" s="143"/>
      <c r="BE42" s="68"/>
      <c r="BF42" s="68"/>
      <c r="BI42" s="37"/>
      <c r="BJ42" s="66"/>
      <c r="BK42" s="68"/>
      <c r="BL42" s="68"/>
      <c r="BM42" s="75"/>
      <c r="BN42" s="68"/>
      <c r="BO42" s="75"/>
      <c r="BP42" s="68"/>
      <c r="BQ42" s="4"/>
      <c r="BR42" s="4"/>
      <c r="BS42" s="4"/>
      <c r="BT42" s="142"/>
      <c r="BU42" s="143"/>
      <c r="BV42" s="68"/>
      <c r="BW42" s="68"/>
      <c r="BZ42" s="37"/>
      <c r="CA42" s="66"/>
      <c r="CB42" s="68"/>
      <c r="CC42" s="68"/>
      <c r="CD42" s="75"/>
      <c r="CE42" s="68"/>
      <c r="CF42" s="75"/>
      <c r="CG42" s="68"/>
      <c r="CH42" s="4"/>
      <c r="CI42" s="4"/>
      <c r="CJ42" s="4"/>
      <c r="CK42" s="142"/>
      <c r="CL42" s="143"/>
      <c r="CM42" s="68"/>
      <c r="CN42" s="68"/>
      <c r="CQ42" s="37"/>
    </row>
    <row r="43" spans="22:95" x14ac:dyDescent="0.15">
      <c r="AS43" s="66"/>
      <c r="AT43" s="68"/>
      <c r="AU43" s="68"/>
      <c r="AV43" s="75"/>
      <c r="AW43" s="68"/>
      <c r="AX43" s="75"/>
      <c r="AY43" s="68"/>
      <c r="AZ43" s="4"/>
      <c r="BA43" s="4"/>
      <c r="BB43" s="4"/>
      <c r="BC43" s="142"/>
      <c r="BD43" s="143"/>
      <c r="BE43" s="68"/>
      <c r="BF43" s="68"/>
      <c r="BI43" s="37"/>
      <c r="BJ43" s="66"/>
      <c r="BK43" s="68"/>
      <c r="BL43" s="68"/>
      <c r="BM43" s="75"/>
      <c r="BN43" s="68"/>
      <c r="BO43" s="75"/>
      <c r="BP43" s="68"/>
      <c r="BQ43" s="4"/>
      <c r="BR43" s="4"/>
      <c r="BS43" s="4"/>
      <c r="BT43" s="142"/>
      <c r="BU43" s="143"/>
      <c r="BV43" s="68"/>
      <c r="BW43" s="68"/>
      <c r="BZ43" s="37"/>
      <c r="CA43" s="66"/>
      <c r="CB43" s="68"/>
      <c r="CC43" s="68"/>
      <c r="CD43" s="75"/>
      <c r="CE43" s="68"/>
      <c r="CF43" s="75"/>
      <c r="CG43" s="68"/>
      <c r="CH43" s="4"/>
      <c r="CI43" s="4"/>
      <c r="CJ43" s="4"/>
      <c r="CK43" s="142"/>
      <c r="CL43" s="143"/>
      <c r="CM43" s="68"/>
      <c r="CN43" s="68"/>
      <c r="CQ43" s="37"/>
    </row>
    <row r="44" spans="22:95" x14ac:dyDescent="0.15">
      <c r="AS44" s="66"/>
      <c r="AT44" s="68"/>
      <c r="AU44" s="68"/>
      <c r="AV44" s="75"/>
      <c r="AW44" s="68"/>
      <c r="AX44" s="75"/>
      <c r="AY44" s="68"/>
      <c r="AZ44" s="4"/>
      <c r="BA44" s="4"/>
      <c r="BB44" s="4"/>
      <c r="BC44" s="142"/>
      <c r="BD44" s="143"/>
      <c r="BE44" s="68"/>
      <c r="BF44" s="68"/>
      <c r="BI44" s="37"/>
      <c r="BJ44" s="66"/>
      <c r="BK44" s="68"/>
      <c r="BL44" s="68"/>
      <c r="BM44" s="75"/>
      <c r="BN44" s="68"/>
      <c r="BO44" s="75"/>
      <c r="BP44" s="68"/>
      <c r="BQ44" s="4"/>
      <c r="BR44" s="4"/>
      <c r="BS44" s="4"/>
      <c r="BT44" s="142"/>
      <c r="BU44" s="143"/>
      <c r="BV44" s="68"/>
      <c r="BW44" s="68"/>
      <c r="BZ44" s="37"/>
      <c r="CA44" s="66"/>
      <c r="CB44" s="68"/>
      <c r="CC44" s="68"/>
      <c r="CD44" s="75"/>
      <c r="CE44" s="68"/>
      <c r="CF44" s="75"/>
      <c r="CG44" s="68"/>
      <c r="CH44" s="4"/>
      <c r="CI44" s="4"/>
      <c r="CJ44" s="4"/>
      <c r="CK44" s="142"/>
      <c r="CL44" s="143"/>
      <c r="CM44" s="68"/>
      <c r="CN44" s="68"/>
      <c r="CQ44" s="37"/>
    </row>
    <row r="45" spans="22:95" x14ac:dyDescent="0.15">
      <c r="AS45" s="66"/>
      <c r="AT45" s="68"/>
      <c r="AU45" s="68"/>
      <c r="AV45" s="75"/>
      <c r="AW45" s="68"/>
      <c r="AX45" s="75"/>
      <c r="AY45" s="68"/>
      <c r="AZ45" s="4"/>
      <c r="BA45" s="4"/>
      <c r="BB45" s="4"/>
      <c r="BC45" s="142"/>
      <c r="BD45" s="143"/>
      <c r="BE45" s="68"/>
      <c r="BF45" s="68"/>
      <c r="BI45" s="37"/>
      <c r="BJ45" s="66"/>
      <c r="BK45" s="68"/>
      <c r="BL45" s="68"/>
      <c r="BM45" s="75"/>
      <c r="BN45" s="68"/>
      <c r="BO45" s="75"/>
      <c r="BP45" s="68"/>
      <c r="BQ45" s="4"/>
      <c r="BR45" s="4"/>
      <c r="BS45" s="4"/>
      <c r="BT45" s="142"/>
      <c r="BU45" s="143"/>
      <c r="BV45" s="68"/>
      <c r="BW45" s="68"/>
      <c r="BZ45" s="37"/>
      <c r="CA45" s="66"/>
      <c r="CB45" s="68"/>
      <c r="CC45" s="68"/>
      <c r="CD45" s="75"/>
      <c r="CE45" s="68"/>
      <c r="CF45" s="75"/>
      <c r="CG45" s="68"/>
      <c r="CH45" s="4"/>
      <c r="CI45" s="4"/>
      <c r="CJ45" s="4"/>
      <c r="CK45" s="142"/>
      <c r="CL45" s="143"/>
      <c r="CM45" s="68"/>
      <c r="CN45" s="68"/>
      <c r="CQ45" s="37"/>
    </row>
    <row r="46" spans="22:95" x14ac:dyDescent="0.15">
      <c r="AS46" s="66"/>
      <c r="AT46" s="68"/>
      <c r="AU46" s="68"/>
      <c r="AV46" s="75"/>
      <c r="AW46" s="68"/>
      <c r="AX46" s="75"/>
      <c r="AY46" s="68"/>
      <c r="AZ46" s="4"/>
      <c r="BA46" s="4"/>
      <c r="BB46" s="4"/>
      <c r="BC46" s="142"/>
      <c r="BD46" s="143"/>
      <c r="BE46" s="68"/>
      <c r="BF46" s="68"/>
      <c r="BI46" s="37"/>
      <c r="BJ46" s="66"/>
      <c r="BK46" s="68"/>
      <c r="BL46" s="68"/>
      <c r="BM46" s="75"/>
      <c r="BN46" s="68"/>
      <c r="BO46" s="75"/>
      <c r="BP46" s="68"/>
      <c r="BQ46" s="4"/>
      <c r="BR46" s="4"/>
      <c r="BS46" s="4"/>
      <c r="BT46" s="142"/>
      <c r="BU46" s="143"/>
      <c r="BV46" s="68"/>
      <c r="BW46" s="68"/>
      <c r="BZ46" s="37"/>
      <c r="CA46" s="66"/>
      <c r="CB46" s="68"/>
      <c r="CC46" s="68"/>
      <c r="CD46" s="75"/>
      <c r="CE46" s="68"/>
      <c r="CF46" s="75"/>
      <c r="CG46" s="68"/>
      <c r="CH46" s="4"/>
      <c r="CI46" s="4"/>
      <c r="CJ46" s="4"/>
      <c r="CK46" s="142"/>
      <c r="CL46" s="143"/>
      <c r="CM46" s="68"/>
      <c r="CN46" s="68"/>
      <c r="CQ46" s="37"/>
    </row>
    <row r="47" spans="22:95" x14ac:dyDescent="0.15">
      <c r="AS47" s="66"/>
      <c r="AT47" s="68"/>
      <c r="AU47" s="68"/>
      <c r="AV47" s="75"/>
      <c r="AW47" s="68"/>
      <c r="AX47" s="75"/>
      <c r="AY47" s="68"/>
      <c r="AZ47" s="4"/>
      <c r="BA47" s="4"/>
      <c r="BB47" s="4"/>
      <c r="BC47" s="142"/>
      <c r="BD47" s="143"/>
      <c r="BE47" s="68"/>
      <c r="BF47" s="68"/>
      <c r="BI47" s="37"/>
      <c r="BJ47" s="66"/>
      <c r="BK47" s="68"/>
      <c r="BL47" s="68"/>
      <c r="BM47" s="75"/>
      <c r="BN47" s="68"/>
      <c r="BO47" s="75"/>
      <c r="BP47" s="68"/>
      <c r="BQ47" s="4"/>
      <c r="BR47" s="4"/>
      <c r="BS47" s="4"/>
      <c r="BT47" s="142"/>
      <c r="BU47" s="143"/>
      <c r="BV47" s="68"/>
      <c r="BW47" s="68"/>
      <c r="BZ47" s="37"/>
      <c r="CA47" s="66"/>
      <c r="CB47" s="68"/>
      <c r="CC47" s="68"/>
      <c r="CD47" s="75"/>
      <c r="CE47" s="68"/>
      <c r="CF47" s="75"/>
      <c r="CG47" s="68"/>
      <c r="CH47" s="4"/>
      <c r="CI47" s="4"/>
      <c r="CJ47" s="4"/>
      <c r="CK47" s="142"/>
      <c r="CL47" s="143"/>
      <c r="CM47" s="68"/>
      <c r="CN47" s="68"/>
      <c r="CQ47" s="37"/>
    </row>
    <row r="48" spans="22:95" x14ac:dyDescent="0.15">
      <c r="AS48" s="66"/>
      <c r="AT48" s="68"/>
      <c r="AU48" s="68"/>
      <c r="AV48" s="75"/>
      <c r="AW48" s="68"/>
      <c r="AX48" s="75"/>
      <c r="AY48" s="68"/>
      <c r="AZ48" s="4"/>
      <c r="BA48" s="4"/>
      <c r="BB48" s="4"/>
      <c r="BC48" s="142"/>
      <c r="BD48" s="143"/>
      <c r="BE48" s="68"/>
      <c r="BF48" s="68"/>
      <c r="BI48" s="37"/>
      <c r="BJ48" s="66"/>
      <c r="BK48" s="68"/>
      <c r="BL48" s="68"/>
      <c r="BM48" s="75"/>
      <c r="BN48" s="68"/>
      <c r="BO48" s="75"/>
      <c r="BP48" s="68"/>
      <c r="BQ48" s="4"/>
      <c r="BR48" s="4"/>
      <c r="BS48" s="4"/>
      <c r="BT48" s="142"/>
      <c r="BU48" s="143"/>
      <c r="BV48" s="68"/>
      <c r="BW48" s="68"/>
      <c r="BZ48" s="37"/>
      <c r="CA48" s="66"/>
      <c r="CB48" s="68"/>
      <c r="CC48" s="68"/>
      <c r="CD48" s="75"/>
      <c r="CE48" s="68"/>
      <c r="CF48" s="75"/>
      <c r="CG48" s="68"/>
      <c r="CH48" s="4"/>
      <c r="CI48" s="4"/>
      <c r="CJ48" s="4"/>
      <c r="CK48" s="142"/>
      <c r="CL48" s="143"/>
      <c r="CM48" s="68"/>
      <c r="CN48" s="68"/>
      <c r="CQ48" s="37"/>
    </row>
    <row r="49" spans="45:95" x14ac:dyDescent="0.15">
      <c r="AS49" s="66"/>
      <c r="AT49" s="68"/>
      <c r="AU49" s="68"/>
      <c r="AV49" s="75"/>
      <c r="AW49" s="68"/>
      <c r="AX49" s="75"/>
      <c r="AY49" s="68"/>
      <c r="AZ49" s="4"/>
      <c r="BA49" s="4"/>
      <c r="BB49" s="4"/>
      <c r="BC49" s="142"/>
      <c r="BD49" s="143"/>
      <c r="BE49" s="68"/>
      <c r="BF49" s="68"/>
      <c r="BI49" s="37"/>
      <c r="BJ49" s="66"/>
      <c r="BK49" s="68"/>
      <c r="BL49" s="68"/>
      <c r="BM49" s="75"/>
      <c r="BN49" s="68"/>
      <c r="BO49" s="75"/>
      <c r="BP49" s="68"/>
      <c r="BQ49" s="4"/>
      <c r="BR49" s="4"/>
      <c r="BS49" s="4"/>
      <c r="BT49" s="142"/>
      <c r="BU49" s="143"/>
      <c r="BV49" s="68"/>
      <c r="BW49" s="68"/>
      <c r="BZ49" s="37"/>
      <c r="CA49" s="66"/>
      <c r="CB49" s="68"/>
      <c r="CC49" s="68"/>
      <c r="CD49" s="75"/>
      <c r="CE49" s="68"/>
      <c r="CF49" s="75"/>
      <c r="CG49" s="68"/>
      <c r="CH49" s="4"/>
      <c r="CI49" s="4"/>
      <c r="CJ49" s="4"/>
      <c r="CK49" s="142"/>
      <c r="CL49" s="143"/>
      <c r="CM49" s="68"/>
      <c r="CN49" s="68"/>
      <c r="CQ49" s="37"/>
    </row>
    <row r="50" spans="45:95" x14ac:dyDescent="0.15">
      <c r="AS50" s="66"/>
      <c r="AT50" s="68"/>
      <c r="AU50" s="68"/>
      <c r="AV50" s="75"/>
      <c r="AW50" s="68"/>
      <c r="AX50" s="75"/>
      <c r="AY50" s="68"/>
      <c r="AZ50" s="4"/>
      <c r="BA50" s="4"/>
      <c r="BB50" s="4"/>
      <c r="BC50" s="142"/>
      <c r="BD50" s="143"/>
      <c r="BE50" s="68"/>
      <c r="BF50" s="68"/>
      <c r="BI50" s="37"/>
      <c r="BJ50" s="66"/>
      <c r="BK50" s="68"/>
      <c r="BL50" s="68"/>
      <c r="BM50" s="75"/>
      <c r="BN50" s="68"/>
      <c r="BO50" s="75"/>
      <c r="BP50" s="68"/>
      <c r="BQ50" s="4"/>
      <c r="BR50" s="4"/>
      <c r="BS50" s="4"/>
      <c r="BT50" s="142"/>
      <c r="BU50" s="143"/>
      <c r="BV50" s="68"/>
      <c r="BW50" s="68"/>
      <c r="BZ50" s="37"/>
      <c r="CA50" s="66"/>
      <c r="CB50" s="68"/>
      <c r="CC50" s="68"/>
      <c r="CD50" s="75"/>
      <c r="CE50" s="68"/>
      <c r="CF50" s="75"/>
      <c r="CG50" s="68"/>
      <c r="CH50" s="4"/>
      <c r="CI50" s="4"/>
      <c r="CJ50" s="4"/>
      <c r="CK50" s="142"/>
      <c r="CL50" s="143"/>
      <c r="CM50" s="68"/>
      <c r="CN50" s="68"/>
      <c r="CQ50" s="37"/>
    </row>
    <row r="51" spans="45:95" x14ac:dyDescent="0.15">
      <c r="AS51" s="66"/>
      <c r="AT51" s="68"/>
      <c r="AU51" s="68"/>
      <c r="AV51" s="75"/>
      <c r="AW51" s="68"/>
      <c r="AX51" s="75"/>
      <c r="AY51" s="68"/>
      <c r="AZ51" s="4"/>
      <c r="BA51" s="4"/>
      <c r="BB51" s="4"/>
      <c r="BC51" s="142"/>
      <c r="BD51" s="143"/>
      <c r="BE51" s="68"/>
      <c r="BF51" s="68"/>
      <c r="BI51" s="37"/>
      <c r="BJ51" s="66"/>
      <c r="BK51" s="68"/>
      <c r="BL51" s="68"/>
      <c r="BM51" s="75"/>
      <c r="BN51" s="68"/>
      <c r="BO51" s="75"/>
      <c r="BP51" s="68"/>
      <c r="BQ51" s="4"/>
      <c r="BR51" s="4"/>
      <c r="BS51" s="4"/>
      <c r="BT51" s="142"/>
      <c r="BU51" s="143"/>
      <c r="BV51" s="68"/>
      <c r="BW51" s="68"/>
      <c r="BZ51" s="37"/>
      <c r="CA51" s="66"/>
      <c r="CB51" s="68"/>
      <c r="CC51" s="68"/>
      <c r="CD51" s="75"/>
      <c r="CE51" s="68"/>
      <c r="CF51" s="75"/>
      <c r="CG51" s="68"/>
      <c r="CH51" s="4"/>
      <c r="CI51" s="4"/>
      <c r="CJ51" s="4"/>
      <c r="CK51" s="142"/>
      <c r="CL51" s="143"/>
      <c r="CM51" s="68"/>
      <c r="CN51" s="68"/>
      <c r="CQ51" s="37"/>
    </row>
    <row r="52" spans="45:95" x14ac:dyDescent="0.15">
      <c r="AS52" s="66"/>
      <c r="AT52" s="68"/>
      <c r="AU52" s="68"/>
      <c r="AV52" s="75"/>
      <c r="AW52" s="68"/>
      <c r="AX52" s="75"/>
      <c r="AY52" s="68"/>
      <c r="AZ52" s="4"/>
      <c r="BA52" s="4"/>
      <c r="BB52" s="4"/>
      <c r="BC52" s="142"/>
      <c r="BD52" s="143"/>
      <c r="BE52" s="68"/>
      <c r="BF52" s="68"/>
      <c r="BI52" s="37"/>
      <c r="BJ52" s="66"/>
      <c r="BK52" s="68"/>
      <c r="BL52" s="68"/>
      <c r="BM52" s="75"/>
      <c r="BN52" s="68"/>
      <c r="BO52" s="75"/>
      <c r="BP52" s="68"/>
      <c r="BQ52" s="4"/>
      <c r="BR52" s="4"/>
      <c r="BS52" s="4"/>
      <c r="BT52" s="142"/>
      <c r="BU52" s="143"/>
      <c r="BV52" s="68"/>
      <c r="BW52" s="68"/>
      <c r="BZ52" s="37"/>
      <c r="CA52" s="66"/>
      <c r="CB52" s="68"/>
      <c r="CC52" s="68"/>
      <c r="CD52" s="75"/>
      <c r="CE52" s="68"/>
      <c r="CF52" s="75"/>
      <c r="CG52" s="68"/>
      <c r="CH52" s="4"/>
      <c r="CI52" s="4"/>
      <c r="CJ52" s="4"/>
      <c r="CK52" s="142"/>
      <c r="CL52" s="143"/>
      <c r="CM52" s="68"/>
      <c r="CN52" s="68"/>
      <c r="CQ52" s="37"/>
    </row>
    <row r="53" spans="45:95" x14ac:dyDescent="0.15">
      <c r="AS53" s="66"/>
      <c r="AT53" s="68"/>
      <c r="AU53" s="68"/>
      <c r="AV53" s="75"/>
      <c r="AW53" s="68"/>
      <c r="AX53" s="75"/>
      <c r="AY53" s="68"/>
      <c r="AZ53" s="4"/>
      <c r="BA53" s="4"/>
      <c r="BB53" s="4"/>
      <c r="BC53" s="142"/>
      <c r="BD53" s="143"/>
      <c r="BE53" s="68"/>
      <c r="BF53" s="68"/>
      <c r="BI53" s="37"/>
      <c r="BJ53" s="66"/>
      <c r="BK53" s="68"/>
      <c r="BL53" s="68"/>
      <c r="BM53" s="75"/>
      <c r="BN53" s="68"/>
      <c r="BO53" s="75"/>
      <c r="BP53" s="68"/>
      <c r="BQ53" s="4"/>
      <c r="BR53" s="4"/>
      <c r="BS53" s="4"/>
      <c r="BT53" s="142"/>
      <c r="BU53" s="143"/>
      <c r="BV53" s="68"/>
      <c r="BW53" s="68"/>
      <c r="BZ53" s="37"/>
      <c r="CA53" s="66"/>
      <c r="CB53" s="68"/>
      <c r="CC53" s="68"/>
      <c r="CD53" s="75"/>
      <c r="CE53" s="68"/>
      <c r="CF53" s="75"/>
      <c r="CG53" s="68"/>
      <c r="CH53" s="4"/>
      <c r="CI53" s="4"/>
      <c r="CJ53" s="4"/>
      <c r="CK53" s="142"/>
      <c r="CL53" s="143"/>
      <c r="CM53" s="68"/>
      <c r="CN53" s="68"/>
      <c r="CQ53" s="37"/>
    </row>
    <row r="54" spans="45:95" x14ac:dyDescent="0.15">
      <c r="AS54" s="66"/>
      <c r="AT54" s="68"/>
      <c r="AU54" s="68"/>
      <c r="AV54" s="75"/>
      <c r="AW54" s="68"/>
      <c r="AX54" s="75"/>
      <c r="AY54" s="68"/>
      <c r="AZ54" s="4"/>
      <c r="BA54" s="4"/>
      <c r="BB54" s="4"/>
      <c r="BC54" s="142"/>
      <c r="BD54" s="143"/>
      <c r="BE54" s="68"/>
      <c r="BF54" s="68"/>
      <c r="BI54" s="37"/>
      <c r="BJ54" s="66"/>
      <c r="BK54" s="68"/>
      <c r="BL54" s="68"/>
      <c r="BM54" s="75"/>
      <c r="BN54" s="68"/>
      <c r="BO54" s="75"/>
      <c r="BP54" s="68"/>
      <c r="BQ54" s="4"/>
      <c r="BR54" s="4"/>
      <c r="BS54" s="4"/>
      <c r="BT54" s="142"/>
      <c r="BU54" s="143"/>
      <c r="BV54" s="68"/>
      <c r="BW54" s="68"/>
      <c r="BZ54" s="37"/>
      <c r="CA54" s="66"/>
      <c r="CB54" s="68"/>
      <c r="CC54" s="68"/>
      <c r="CD54" s="75"/>
      <c r="CE54" s="68"/>
      <c r="CF54" s="75"/>
      <c r="CG54" s="68"/>
      <c r="CH54" s="4"/>
      <c r="CI54" s="4"/>
      <c r="CJ54" s="4"/>
      <c r="CK54" s="142"/>
      <c r="CL54" s="143"/>
      <c r="CM54" s="68"/>
      <c r="CN54" s="68"/>
      <c r="CQ54" s="37"/>
    </row>
    <row r="55" spans="45:95" x14ac:dyDescent="0.15">
      <c r="AS55" s="66"/>
      <c r="AT55" s="68"/>
      <c r="AU55" s="68"/>
      <c r="AV55" s="75"/>
      <c r="AW55" s="68"/>
      <c r="AX55" s="75"/>
      <c r="AY55" s="68"/>
      <c r="AZ55" s="4"/>
      <c r="BA55" s="4"/>
      <c r="BB55" s="4"/>
      <c r="BC55" s="142"/>
      <c r="BD55" s="143"/>
      <c r="BE55" s="68"/>
      <c r="BF55" s="68"/>
      <c r="BI55" s="37"/>
      <c r="BJ55" s="66"/>
      <c r="BK55" s="68"/>
      <c r="BL55" s="68"/>
      <c r="BM55" s="75"/>
      <c r="BN55" s="68"/>
      <c r="BO55" s="75"/>
      <c r="BP55" s="68"/>
      <c r="BQ55" s="4"/>
      <c r="BR55" s="4"/>
      <c r="BS55" s="4"/>
      <c r="BT55" s="142"/>
      <c r="BU55" s="143"/>
      <c r="BV55" s="68"/>
      <c r="BW55" s="68"/>
      <c r="BZ55" s="37"/>
      <c r="CA55" s="66"/>
      <c r="CB55" s="68"/>
      <c r="CC55" s="68"/>
      <c r="CD55" s="75"/>
      <c r="CE55" s="68"/>
      <c r="CF55" s="75"/>
      <c r="CG55" s="68"/>
      <c r="CH55" s="4"/>
      <c r="CI55" s="4"/>
      <c r="CJ55" s="4"/>
      <c r="CK55" s="142"/>
      <c r="CL55" s="143"/>
      <c r="CM55" s="68"/>
      <c r="CN55" s="68"/>
      <c r="CQ55" s="37"/>
    </row>
    <row r="56" spans="45:95" x14ac:dyDescent="0.15">
      <c r="AS56" s="66"/>
      <c r="AT56" s="68"/>
      <c r="AU56" s="68"/>
      <c r="AV56" s="75"/>
      <c r="AW56" s="68"/>
      <c r="AX56" s="75"/>
      <c r="AY56" s="68"/>
      <c r="AZ56" s="4"/>
      <c r="BA56" s="4"/>
      <c r="BB56" s="4"/>
      <c r="BC56" s="142"/>
      <c r="BD56" s="143"/>
      <c r="BE56" s="68"/>
      <c r="BF56" s="68"/>
      <c r="BI56" s="37"/>
      <c r="BJ56" s="66"/>
      <c r="BK56" s="68"/>
      <c r="BL56" s="68"/>
      <c r="BM56" s="75"/>
      <c r="BN56" s="68"/>
      <c r="BO56" s="75"/>
      <c r="BP56" s="68"/>
      <c r="BQ56" s="4"/>
      <c r="BR56" s="4"/>
      <c r="BS56" s="4"/>
      <c r="BT56" s="142"/>
      <c r="BU56" s="143"/>
      <c r="BV56" s="68"/>
      <c r="BW56" s="68"/>
      <c r="BZ56" s="37"/>
      <c r="CA56" s="66"/>
      <c r="CB56" s="68"/>
      <c r="CC56" s="68"/>
      <c r="CD56" s="75"/>
      <c r="CE56" s="68"/>
      <c r="CF56" s="75"/>
      <c r="CG56" s="68"/>
      <c r="CH56" s="4"/>
      <c r="CI56" s="4"/>
      <c r="CJ56" s="4"/>
      <c r="CK56" s="142"/>
      <c r="CL56" s="143"/>
      <c r="CM56" s="68"/>
      <c r="CN56" s="68"/>
      <c r="CQ56" s="37"/>
    </row>
    <row r="57" spans="45:95" x14ac:dyDescent="0.15">
      <c r="AS57" s="66"/>
      <c r="AT57" s="68"/>
      <c r="AU57" s="68"/>
      <c r="AV57" s="75"/>
      <c r="AW57" s="68"/>
      <c r="AX57" s="75"/>
      <c r="AY57" s="68"/>
      <c r="AZ57" s="4"/>
      <c r="BA57" s="4"/>
      <c r="BB57" s="4"/>
      <c r="BC57" s="142"/>
      <c r="BD57" s="143"/>
      <c r="BE57" s="68"/>
      <c r="BF57" s="68"/>
      <c r="BI57" s="37"/>
      <c r="BJ57" s="66"/>
      <c r="BK57" s="68"/>
      <c r="BL57" s="68"/>
      <c r="BM57" s="75"/>
      <c r="BN57" s="68"/>
      <c r="BO57" s="75"/>
      <c r="BP57" s="68"/>
      <c r="BQ57" s="4"/>
      <c r="BR57" s="4"/>
      <c r="BS57" s="4"/>
      <c r="BT57" s="142"/>
      <c r="BU57" s="143"/>
      <c r="BV57" s="68"/>
      <c r="BW57" s="68"/>
      <c r="BZ57" s="37"/>
      <c r="CA57" s="66"/>
      <c r="CB57" s="68"/>
      <c r="CC57" s="68"/>
      <c r="CD57" s="75"/>
      <c r="CE57" s="68"/>
      <c r="CF57" s="75"/>
      <c r="CG57" s="68"/>
      <c r="CH57" s="4"/>
      <c r="CI57" s="4"/>
      <c r="CJ57" s="4"/>
      <c r="CK57" s="142"/>
      <c r="CL57" s="143"/>
      <c r="CM57" s="68"/>
      <c r="CN57" s="68"/>
      <c r="CQ57" s="37"/>
    </row>
    <row r="58" spans="45:95" x14ac:dyDescent="0.15">
      <c r="AS58" s="66"/>
      <c r="AT58" s="68"/>
      <c r="AU58" s="68"/>
      <c r="AV58" s="75"/>
      <c r="AW58" s="68"/>
      <c r="AX58" s="75"/>
      <c r="AY58" s="68"/>
      <c r="AZ58" s="4"/>
      <c r="BA58" s="4"/>
      <c r="BB58" s="4"/>
      <c r="BC58" s="142"/>
      <c r="BD58" s="143"/>
      <c r="BE58" s="68"/>
      <c r="BF58" s="68"/>
      <c r="BI58" s="37"/>
      <c r="BJ58" s="66"/>
      <c r="BK58" s="68"/>
      <c r="BL58" s="68"/>
      <c r="BM58" s="75"/>
      <c r="BN58" s="68"/>
      <c r="BO58" s="75"/>
      <c r="BP58" s="68"/>
      <c r="BQ58" s="4"/>
      <c r="BR58" s="4"/>
      <c r="BS58" s="4"/>
      <c r="BT58" s="142"/>
      <c r="BU58" s="143"/>
      <c r="BV58" s="68"/>
      <c r="BW58" s="68"/>
      <c r="BZ58" s="37"/>
      <c r="CA58" s="66"/>
      <c r="CB58" s="68"/>
      <c r="CC58" s="68"/>
      <c r="CD58" s="75"/>
      <c r="CE58" s="68"/>
      <c r="CF58" s="75"/>
      <c r="CG58" s="68"/>
      <c r="CH58" s="4"/>
      <c r="CI58" s="4"/>
      <c r="CJ58" s="4"/>
      <c r="CK58" s="142"/>
      <c r="CL58" s="143"/>
      <c r="CM58" s="68"/>
      <c r="CN58" s="68"/>
      <c r="CQ58" s="37"/>
    </row>
    <row r="59" spans="45:95" x14ac:dyDescent="0.15">
      <c r="AS59" s="66"/>
      <c r="AT59" s="68"/>
      <c r="AU59" s="68"/>
      <c r="AV59" s="75"/>
      <c r="AW59" s="68"/>
      <c r="AX59" s="75"/>
      <c r="AY59" s="68"/>
      <c r="AZ59" s="4"/>
      <c r="BA59" s="4"/>
      <c r="BB59" s="4"/>
      <c r="BC59" s="142"/>
      <c r="BD59" s="143"/>
      <c r="BE59" s="68"/>
      <c r="BF59" s="68"/>
      <c r="BI59" s="37"/>
      <c r="BJ59" s="66"/>
      <c r="BK59" s="68"/>
      <c r="BL59" s="68"/>
      <c r="BM59" s="75"/>
      <c r="BN59" s="68"/>
      <c r="BO59" s="75"/>
      <c r="BP59" s="68"/>
      <c r="BQ59" s="4"/>
      <c r="BR59" s="4"/>
      <c r="BS59" s="4"/>
      <c r="BT59" s="142"/>
      <c r="BU59" s="143"/>
      <c r="BV59" s="68"/>
      <c r="BW59" s="68"/>
      <c r="BZ59" s="37"/>
      <c r="CA59" s="66"/>
      <c r="CB59" s="68"/>
      <c r="CC59" s="68"/>
      <c r="CD59" s="75"/>
      <c r="CE59" s="68"/>
      <c r="CF59" s="75"/>
      <c r="CG59" s="68"/>
      <c r="CH59" s="4"/>
      <c r="CI59" s="4"/>
      <c r="CJ59" s="4"/>
      <c r="CK59" s="142"/>
      <c r="CL59" s="143"/>
      <c r="CM59" s="68"/>
      <c r="CN59" s="68"/>
      <c r="CQ59" s="37"/>
    </row>
    <row r="60" spans="45:95" x14ac:dyDescent="0.15">
      <c r="AS60" s="66"/>
      <c r="AT60" s="68"/>
      <c r="AU60" s="68"/>
      <c r="AV60" s="75"/>
      <c r="AW60" s="68"/>
      <c r="AX60" s="75"/>
      <c r="AY60" s="68"/>
      <c r="AZ60" s="4"/>
      <c r="BA60" s="4"/>
      <c r="BB60" s="4"/>
      <c r="BC60" s="142"/>
      <c r="BD60" s="143"/>
      <c r="BE60" s="68"/>
      <c r="BF60" s="68"/>
      <c r="BI60" s="37"/>
      <c r="BJ60" s="66"/>
      <c r="BK60" s="68"/>
      <c r="BL60" s="68"/>
      <c r="BM60" s="75"/>
      <c r="BN60" s="68"/>
      <c r="BO60" s="75"/>
      <c r="BP60" s="68"/>
      <c r="BQ60" s="4"/>
      <c r="BR60" s="4"/>
      <c r="BS60" s="4"/>
      <c r="BT60" s="142"/>
      <c r="BU60" s="143"/>
      <c r="BV60" s="68"/>
      <c r="BW60" s="68"/>
      <c r="BZ60" s="37"/>
      <c r="CA60" s="66"/>
      <c r="CB60" s="68"/>
      <c r="CC60" s="68"/>
      <c r="CD60" s="75"/>
      <c r="CE60" s="68"/>
      <c r="CF60" s="75"/>
      <c r="CG60" s="68"/>
      <c r="CH60" s="4"/>
      <c r="CI60" s="4"/>
      <c r="CJ60" s="4"/>
      <c r="CK60" s="142"/>
      <c r="CL60" s="143"/>
      <c r="CM60" s="68"/>
      <c r="CN60" s="68"/>
      <c r="CQ60" s="37"/>
    </row>
    <row r="61" spans="45:95" x14ac:dyDescent="0.15">
      <c r="AS61" s="66"/>
      <c r="AT61" s="68"/>
      <c r="AU61" s="68"/>
      <c r="AV61" s="75"/>
      <c r="AW61" s="68"/>
      <c r="AX61" s="75"/>
      <c r="AY61" s="68"/>
      <c r="AZ61" s="4"/>
      <c r="BA61" s="4"/>
      <c r="BB61" s="4"/>
      <c r="BC61" s="142"/>
      <c r="BD61" s="143"/>
      <c r="BE61" s="68"/>
      <c r="BF61" s="68"/>
      <c r="BI61" s="37"/>
      <c r="BJ61" s="66"/>
      <c r="BK61" s="68"/>
      <c r="BL61" s="68"/>
      <c r="BM61" s="75"/>
      <c r="BN61" s="68"/>
      <c r="BO61" s="75"/>
      <c r="BP61" s="68"/>
      <c r="BQ61" s="4"/>
      <c r="BR61" s="4"/>
      <c r="BS61" s="4"/>
      <c r="BT61" s="142"/>
      <c r="BU61" s="143"/>
      <c r="BV61" s="68"/>
      <c r="BW61" s="68"/>
      <c r="BZ61" s="37"/>
      <c r="CA61" s="66"/>
      <c r="CB61" s="68"/>
      <c r="CC61" s="68"/>
      <c r="CD61" s="75"/>
      <c r="CE61" s="68"/>
      <c r="CF61" s="75"/>
      <c r="CG61" s="68"/>
      <c r="CH61" s="4"/>
      <c r="CI61" s="4"/>
      <c r="CJ61" s="4"/>
      <c r="CK61" s="142"/>
      <c r="CL61" s="143"/>
      <c r="CM61" s="68"/>
      <c r="CN61" s="68"/>
      <c r="CQ61" s="37"/>
    </row>
    <row r="62" spans="45:95" x14ac:dyDescent="0.15">
      <c r="AS62" s="66"/>
      <c r="AT62" s="68"/>
      <c r="AU62" s="68"/>
      <c r="AV62" s="75"/>
      <c r="AW62" s="68"/>
      <c r="AX62" s="75"/>
      <c r="AY62" s="68"/>
      <c r="AZ62" s="4"/>
      <c r="BA62" s="4"/>
      <c r="BB62" s="4"/>
      <c r="BC62" s="142"/>
      <c r="BD62" s="143"/>
      <c r="BE62" s="68"/>
      <c r="BF62" s="68"/>
      <c r="BI62" s="37"/>
      <c r="BJ62" s="66"/>
      <c r="BK62" s="68"/>
      <c r="BL62" s="68"/>
      <c r="BM62" s="75"/>
      <c r="BN62" s="68"/>
      <c r="BO62" s="75"/>
      <c r="BP62" s="68"/>
      <c r="BQ62" s="4"/>
      <c r="BR62" s="4"/>
      <c r="BS62" s="4"/>
      <c r="BT62" s="142"/>
      <c r="BU62" s="143"/>
      <c r="BV62" s="68"/>
      <c r="BW62" s="68"/>
      <c r="BZ62" s="37"/>
      <c r="CA62" s="66"/>
      <c r="CB62" s="68"/>
      <c r="CC62" s="68"/>
      <c r="CD62" s="75"/>
      <c r="CE62" s="68"/>
      <c r="CF62" s="75"/>
      <c r="CG62" s="68"/>
      <c r="CH62" s="4"/>
      <c r="CI62" s="4"/>
      <c r="CJ62" s="4"/>
      <c r="CK62" s="142"/>
      <c r="CL62" s="143"/>
      <c r="CM62" s="68"/>
      <c r="CN62" s="68"/>
      <c r="CQ62" s="37"/>
    </row>
    <row r="63" spans="45:95" x14ac:dyDescent="0.15">
      <c r="AS63" s="66"/>
      <c r="AT63" s="68"/>
      <c r="AU63" s="68"/>
      <c r="AV63" s="75"/>
      <c r="AW63" s="68"/>
      <c r="AX63" s="75"/>
      <c r="AY63" s="68"/>
      <c r="AZ63" s="4"/>
      <c r="BA63" s="4"/>
      <c r="BB63" s="4"/>
      <c r="BC63" s="142"/>
      <c r="BD63" s="143"/>
      <c r="BE63" s="68"/>
      <c r="BF63" s="68"/>
      <c r="BI63" s="37"/>
      <c r="BJ63" s="66"/>
      <c r="BK63" s="68"/>
      <c r="BL63" s="68"/>
      <c r="BM63" s="75"/>
      <c r="BN63" s="68"/>
      <c r="BO63" s="75"/>
      <c r="BP63" s="68"/>
      <c r="BQ63" s="4"/>
      <c r="BR63" s="4"/>
      <c r="BS63" s="4"/>
      <c r="BT63" s="142"/>
      <c r="BU63" s="143"/>
      <c r="BV63" s="68"/>
      <c r="BW63" s="68"/>
      <c r="BZ63" s="37"/>
      <c r="CA63" s="66"/>
      <c r="CB63" s="68"/>
      <c r="CC63" s="68"/>
      <c r="CD63" s="75"/>
      <c r="CE63" s="68"/>
      <c r="CF63" s="75"/>
      <c r="CG63" s="68"/>
      <c r="CH63" s="4"/>
      <c r="CI63" s="4"/>
      <c r="CJ63" s="4"/>
      <c r="CK63" s="142"/>
      <c r="CL63" s="143"/>
      <c r="CM63" s="68"/>
      <c r="CN63" s="68"/>
      <c r="CQ63" s="37"/>
    </row>
    <row r="64" spans="45:95" x14ac:dyDescent="0.15">
      <c r="AS64" s="66"/>
      <c r="AT64" s="68"/>
      <c r="AU64" s="68"/>
      <c r="AV64" s="75"/>
      <c r="AW64" s="68"/>
      <c r="AX64" s="75"/>
      <c r="AY64" s="68"/>
      <c r="AZ64" s="4"/>
      <c r="BA64" s="4"/>
      <c r="BB64" s="4"/>
      <c r="BC64" s="142"/>
      <c r="BD64" s="143"/>
      <c r="BE64" s="68"/>
      <c r="BF64" s="68"/>
      <c r="BI64" s="37"/>
      <c r="BJ64" s="66"/>
      <c r="BK64" s="68"/>
      <c r="BL64" s="68"/>
      <c r="BM64" s="75"/>
      <c r="BN64" s="68"/>
      <c r="BO64" s="75"/>
      <c r="BP64" s="68"/>
      <c r="BQ64" s="4"/>
      <c r="BR64" s="4"/>
      <c r="BS64" s="4"/>
      <c r="BT64" s="142"/>
      <c r="BU64" s="143"/>
      <c r="BV64" s="68"/>
      <c r="BW64" s="68"/>
      <c r="BZ64" s="37"/>
      <c r="CA64" s="66"/>
      <c r="CB64" s="68"/>
      <c r="CC64" s="68"/>
      <c r="CD64" s="75"/>
      <c r="CE64" s="68"/>
      <c r="CF64" s="75"/>
      <c r="CG64" s="68"/>
      <c r="CH64" s="4"/>
      <c r="CI64" s="4"/>
      <c r="CJ64" s="4"/>
      <c r="CK64" s="142"/>
      <c r="CL64" s="143"/>
      <c r="CM64" s="68"/>
      <c r="CN64" s="68"/>
      <c r="CQ64" s="37"/>
    </row>
    <row r="65" spans="45:95" x14ac:dyDescent="0.15">
      <c r="AS65" s="66"/>
      <c r="AT65" s="68"/>
      <c r="AU65" s="68"/>
      <c r="AV65" s="75"/>
      <c r="AW65" s="68"/>
      <c r="AX65" s="75"/>
      <c r="AY65" s="68"/>
      <c r="AZ65" s="4"/>
      <c r="BA65" s="4"/>
      <c r="BB65" s="4"/>
      <c r="BC65" s="142"/>
      <c r="BD65" s="143"/>
      <c r="BE65" s="68"/>
      <c r="BF65" s="68"/>
      <c r="BI65" s="37"/>
      <c r="BJ65" s="66"/>
      <c r="BK65" s="68"/>
      <c r="BL65" s="68"/>
      <c r="BM65" s="75"/>
      <c r="BN65" s="68"/>
      <c r="BO65" s="75"/>
      <c r="BP65" s="68"/>
      <c r="BQ65" s="4"/>
      <c r="BR65" s="4"/>
      <c r="BS65" s="4"/>
      <c r="BT65" s="142"/>
      <c r="BU65" s="143"/>
      <c r="BV65" s="68"/>
      <c r="BW65" s="68"/>
      <c r="BZ65" s="37"/>
      <c r="CA65" s="66"/>
      <c r="CB65" s="68"/>
      <c r="CC65" s="68"/>
      <c r="CD65" s="75"/>
      <c r="CE65" s="68"/>
      <c r="CF65" s="75"/>
      <c r="CG65" s="68"/>
      <c r="CH65" s="4"/>
      <c r="CI65" s="4"/>
      <c r="CJ65" s="4"/>
      <c r="CK65" s="142"/>
      <c r="CL65" s="143"/>
      <c r="CM65" s="68"/>
      <c r="CN65" s="68"/>
      <c r="CQ65" s="37"/>
    </row>
    <row r="66" spans="45:95" x14ac:dyDescent="0.15">
      <c r="AS66" s="66"/>
      <c r="AT66" s="68"/>
      <c r="AU66" s="68"/>
      <c r="AV66" s="75"/>
      <c r="AW66" s="68"/>
      <c r="AX66" s="75"/>
      <c r="AY66" s="68"/>
      <c r="AZ66" s="4"/>
      <c r="BA66" s="4"/>
      <c r="BB66" s="4"/>
      <c r="BC66" s="142"/>
      <c r="BD66" s="143"/>
      <c r="BE66" s="68"/>
      <c r="BF66" s="68"/>
      <c r="BI66" s="37"/>
      <c r="BJ66" s="66"/>
      <c r="BK66" s="68"/>
      <c r="BL66" s="68"/>
      <c r="BM66" s="75"/>
      <c r="BN66" s="68"/>
      <c r="BO66" s="75"/>
      <c r="BP66" s="68"/>
      <c r="BQ66" s="4"/>
      <c r="BR66" s="4"/>
      <c r="BS66" s="4"/>
      <c r="BT66" s="142"/>
      <c r="BU66" s="143"/>
      <c r="BV66" s="68"/>
      <c r="BW66" s="68"/>
      <c r="BZ66" s="37"/>
      <c r="CA66" s="66"/>
      <c r="CB66" s="68"/>
      <c r="CC66" s="68"/>
      <c r="CD66" s="75"/>
      <c r="CE66" s="68"/>
      <c r="CF66" s="75"/>
      <c r="CG66" s="68"/>
      <c r="CH66" s="4"/>
      <c r="CI66" s="4"/>
      <c r="CJ66" s="4"/>
      <c r="CK66" s="142"/>
      <c r="CL66" s="143"/>
      <c r="CM66" s="68"/>
      <c r="CN66" s="68"/>
      <c r="CQ66" s="37"/>
    </row>
    <row r="67" spans="45:95" x14ac:dyDescent="0.15">
      <c r="AS67" s="66"/>
      <c r="AT67" s="68"/>
      <c r="AU67" s="68"/>
      <c r="AV67" s="75"/>
      <c r="AW67" s="68"/>
      <c r="AX67" s="75"/>
      <c r="AY67" s="68"/>
      <c r="AZ67" s="4"/>
      <c r="BA67" s="4"/>
      <c r="BB67" s="4"/>
      <c r="BC67" s="142"/>
      <c r="BD67" s="143"/>
      <c r="BE67" s="68"/>
      <c r="BF67" s="68"/>
      <c r="BI67" s="37"/>
      <c r="BJ67" s="66"/>
      <c r="BK67" s="68"/>
      <c r="BL67" s="68"/>
      <c r="BM67" s="75"/>
      <c r="BN67" s="68"/>
      <c r="BO67" s="75"/>
      <c r="BP67" s="68"/>
      <c r="BQ67" s="4"/>
      <c r="BR67" s="4"/>
      <c r="BS67" s="4"/>
      <c r="BT67" s="142"/>
      <c r="BU67" s="143"/>
      <c r="BV67" s="68"/>
      <c r="BW67" s="68"/>
      <c r="BZ67" s="37"/>
      <c r="CA67" s="66"/>
      <c r="CB67" s="68"/>
      <c r="CC67" s="68"/>
      <c r="CD67" s="75"/>
      <c r="CE67" s="68"/>
      <c r="CF67" s="75"/>
      <c r="CG67" s="68"/>
      <c r="CH67" s="4"/>
      <c r="CI67" s="4"/>
      <c r="CJ67" s="4"/>
      <c r="CK67" s="142"/>
      <c r="CL67" s="143"/>
      <c r="CM67" s="68"/>
      <c r="CN67" s="68"/>
      <c r="CQ67" s="37"/>
    </row>
    <row r="68" spans="45:95" x14ac:dyDescent="0.15">
      <c r="AS68" s="66"/>
      <c r="AT68" s="68"/>
      <c r="AU68" s="68"/>
      <c r="AV68" s="75"/>
      <c r="AW68" s="68"/>
      <c r="AX68" s="75"/>
      <c r="AY68" s="68"/>
      <c r="AZ68" s="4"/>
      <c r="BA68" s="4"/>
      <c r="BB68" s="4"/>
      <c r="BC68" s="142"/>
      <c r="BD68" s="143"/>
      <c r="BE68" s="68"/>
      <c r="BF68" s="68"/>
      <c r="BI68" s="37"/>
      <c r="BJ68" s="66"/>
      <c r="BK68" s="68"/>
      <c r="BL68" s="68"/>
      <c r="BM68" s="75"/>
      <c r="BN68" s="68"/>
      <c r="BO68" s="75"/>
      <c r="BP68" s="68"/>
      <c r="BQ68" s="4"/>
      <c r="BR68" s="4"/>
      <c r="BS68" s="4"/>
      <c r="BT68" s="142"/>
      <c r="BU68" s="143"/>
      <c r="BV68" s="68"/>
      <c r="BW68" s="68"/>
      <c r="BZ68" s="37"/>
      <c r="CA68" s="66"/>
      <c r="CB68" s="68"/>
      <c r="CC68" s="68"/>
      <c r="CD68" s="75"/>
      <c r="CE68" s="68"/>
      <c r="CF68" s="75"/>
      <c r="CG68" s="68"/>
      <c r="CH68" s="4"/>
      <c r="CI68" s="4"/>
      <c r="CJ68" s="4"/>
      <c r="CK68" s="142"/>
      <c r="CL68" s="143"/>
      <c r="CM68" s="68"/>
      <c r="CN68" s="68"/>
      <c r="CQ68" s="37"/>
    </row>
    <row r="69" spans="45:95" x14ac:dyDescent="0.15">
      <c r="AS69" s="66"/>
      <c r="AT69" s="68"/>
      <c r="AU69" s="68"/>
      <c r="AV69" s="75"/>
      <c r="AW69" s="68"/>
      <c r="AX69" s="75"/>
      <c r="AY69" s="68"/>
      <c r="AZ69" s="4"/>
      <c r="BA69" s="4"/>
      <c r="BB69" s="4"/>
      <c r="BC69" s="142"/>
      <c r="BD69" s="143"/>
      <c r="BE69" s="68"/>
      <c r="BF69" s="68"/>
      <c r="BI69" s="37"/>
      <c r="BJ69" s="66"/>
      <c r="BK69" s="68"/>
      <c r="BL69" s="68"/>
      <c r="BM69" s="75"/>
      <c r="BN69" s="68"/>
      <c r="BO69" s="75"/>
      <c r="BP69" s="68"/>
      <c r="BQ69" s="4"/>
      <c r="BR69" s="4"/>
      <c r="BS69" s="4"/>
      <c r="BT69" s="142"/>
      <c r="BU69" s="143"/>
      <c r="BV69" s="68"/>
      <c r="BW69" s="68"/>
      <c r="BZ69" s="37"/>
      <c r="CA69" s="66"/>
      <c r="CB69" s="68"/>
      <c r="CC69" s="68"/>
      <c r="CD69" s="75"/>
      <c r="CE69" s="68"/>
      <c r="CF69" s="75"/>
      <c r="CG69" s="68"/>
      <c r="CH69" s="4"/>
      <c r="CI69" s="4"/>
      <c r="CJ69" s="4"/>
      <c r="CK69" s="142"/>
      <c r="CL69" s="143"/>
      <c r="CM69" s="68"/>
      <c r="CN69" s="68"/>
      <c r="CQ69" s="37"/>
    </row>
    <row r="70" spans="45:95" x14ac:dyDescent="0.15">
      <c r="AS70" s="66"/>
      <c r="AT70" s="68"/>
      <c r="AU70" s="68"/>
      <c r="AV70" s="75"/>
      <c r="AW70" s="68"/>
      <c r="AX70" s="75"/>
      <c r="AY70" s="68"/>
      <c r="AZ70" s="4"/>
      <c r="BA70" s="4"/>
      <c r="BB70" s="4"/>
      <c r="BC70" s="142"/>
      <c r="BD70" s="143"/>
      <c r="BE70" s="68"/>
      <c r="BF70" s="68"/>
      <c r="BI70" s="37"/>
      <c r="BJ70" s="66"/>
      <c r="BK70" s="68"/>
      <c r="BL70" s="68"/>
      <c r="BM70" s="75"/>
      <c r="BN70" s="68"/>
      <c r="BO70" s="75"/>
      <c r="BP70" s="68"/>
      <c r="BQ70" s="4"/>
      <c r="BR70" s="4"/>
      <c r="BS70" s="4"/>
      <c r="BT70" s="142"/>
      <c r="BU70" s="143"/>
      <c r="BV70" s="68"/>
      <c r="BW70" s="68"/>
      <c r="BZ70" s="37"/>
      <c r="CA70" s="66"/>
      <c r="CB70" s="68"/>
      <c r="CC70" s="68"/>
      <c r="CD70" s="75"/>
      <c r="CE70" s="68"/>
      <c r="CF70" s="75"/>
      <c r="CG70" s="68"/>
      <c r="CH70" s="4"/>
      <c r="CI70" s="4"/>
      <c r="CJ70" s="4"/>
      <c r="CK70" s="142"/>
      <c r="CL70" s="143"/>
      <c r="CM70" s="68"/>
      <c r="CN70" s="68"/>
      <c r="CQ70" s="37"/>
    </row>
    <row r="71" spans="45:95" x14ac:dyDescent="0.15">
      <c r="AS71" s="66"/>
      <c r="AT71" s="68"/>
      <c r="AU71" s="68"/>
      <c r="AV71" s="75"/>
      <c r="AW71" s="68"/>
      <c r="AX71" s="75"/>
      <c r="AY71" s="68"/>
      <c r="AZ71" s="4"/>
      <c r="BA71" s="4"/>
      <c r="BB71" s="4"/>
      <c r="BC71" s="142"/>
      <c r="BD71" s="143"/>
      <c r="BE71" s="68"/>
      <c r="BF71" s="68"/>
      <c r="BI71" s="37"/>
      <c r="BJ71" s="66"/>
      <c r="BK71" s="68"/>
      <c r="BL71" s="68"/>
      <c r="BM71" s="75"/>
      <c r="BN71" s="68"/>
      <c r="BO71" s="75"/>
      <c r="BP71" s="68"/>
      <c r="BQ71" s="4"/>
      <c r="BR71" s="4"/>
      <c r="BS71" s="4"/>
      <c r="BT71" s="142"/>
      <c r="BU71" s="143"/>
      <c r="BV71" s="68"/>
      <c r="BW71" s="68"/>
      <c r="BZ71" s="37"/>
      <c r="CA71" s="66"/>
      <c r="CB71" s="68"/>
      <c r="CC71" s="68"/>
      <c r="CD71" s="75"/>
      <c r="CE71" s="68"/>
      <c r="CF71" s="75"/>
      <c r="CG71" s="68"/>
      <c r="CH71" s="4"/>
      <c r="CI71" s="4"/>
      <c r="CJ71" s="4"/>
      <c r="CK71" s="142"/>
      <c r="CL71" s="143"/>
      <c r="CM71" s="68"/>
      <c r="CN71" s="68"/>
      <c r="CQ71" s="37"/>
    </row>
    <row r="72" spans="45:95" x14ac:dyDescent="0.15">
      <c r="AS72" s="66"/>
      <c r="AT72" s="68"/>
      <c r="AU72" s="68"/>
      <c r="AV72" s="75"/>
      <c r="AW72" s="68"/>
      <c r="AX72" s="75"/>
      <c r="AY72" s="68"/>
      <c r="AZ72" s="4"/>
      <c r="BA72" s="4"/>
      <c r="BB72" s="4"/>
      <c r="BC72" s="142"/>
      <c r="BD72" s="143"/>
      <c r="BE72" s="68"/>
      <c r="BF72" s="68"/>
      <c r="BI72" s="37"/>
      <c r="BJ72" s="66"/>
      <c r="BK72" s="68"/>
      <c r="BL72" s="68"/>
      <c r="BM72" s="75"/>
      <c r="BN72" s="68"/>
      <c r="BO72" s="75"/>
      <c r="BP72" s="68"/>
      <c r="BQ72" s="4"/>
      <c r="BR72" s="4"/>
      <c r="BS72" s="4"/>
      <c r="BT72" s="142"/>
      <c r="BU72" s="143"/>
      <c r="BV72" s="68"/>
      <c r="BW72" s="68"/>
      <c r="BZ72" s="37"/>
      <c r="CA72" s="66"/>
      <c r="CB72" s="68"/>
      <c r="CC72" s="68"/>
      <c r="CD72" s="75"/>
      <c r="CE72" s="68"/>
      <c r="CF72" s="75"/>
      <c r="CG72" s="68"/>
      <c r="CH72" s="4"/>
      <c r="CI72" s="4"/>
      <c r="CJ72" s="4"/>
      <c r="CK72" s="142"/>
      <c r="CL72" s="143"/>
      <c r="CM72" s="68"/>
      <c r="CN72" s="68"/>
      <c r="CQ72" s="37"/>
    </row>
    <row r="73" spans="45:95" x14ac:dyDescent="0.15">
      <c r="AS73" s="66"/>
      <c r="AT73" s="68"/>
      <c r="AU73" s="68"/>
      <c r="AV73" s="75"/>
      <c r="AW73" s="68"/>
      <c r="AX73" s="75"/>
      <c r="AY73" s="68"/>
      <c r="AZ73" s="4"/>
      <c r="BA73" s="4"/>
      <c r="BB73" s="4"/>
      <c r="BC73" s="142"/>
      <c r="BD73" s="143"/>
      <c r="BE73" s="68"/>
      <c r="BF73" s="68"/>
      <c r="BI73" s="37"/>
      <c r="BJ73" s="66"/>
      <c r="BK73" s="68"/>
      <c r="BL73" s="68"/>
      <c r="BM73" s="75"/>
      <c r="BN73" s="68"/>
      <c r="BO73" s="75"/>
      <c r="BP73" s="68"/>
      <c r="BQ73" s="4"/>
      <c r="BR73" s="4"/>
      <c r="BS73" s="4"/>
      <c r="BT73" s="142"/>
      <c r="BU73" s="143"/>
      <c r="BV73" s="68"/>
      <c r="BW73" s="68"/>
      <c r="BZ73" s="37"/>
      <c r="CA73" s="66"/>
      <c r="CB73" s="68"/>
      <c r="CC73" s="68"/>
      <c r="CD73" s="75"/>
      <c r="CE73" s="68"/>
      <c r="CF73" s="75"/>
      <c r="CG73" s="68"/>
      <c r="CH73" s="4"/>
      <c r="CI73" s="4"/>
      <c r="CJ73" s="4"/>
      <c r="CK73" s="142"/>
      <c r="CL73" s="143"/>
      <c r="CM73" s="68"/>
      <c r="CN73" s="68"/>
      <c r="CQ73" s="37"/>
    </row>
    <row r="74" spans="45:95" x14ac:dyDescent="0.15">
      <c r="AS74" s="66"/>
      <c r="AT74" s="68"/>
      <c r="AU74" s="68"/>
      <c r="AV74" s="75"/>
      <c r="AW74" s="68"/>
      <c r="AX74" s="75"/>
      <c r="AY74" s="68"/>
      <c r="AZ74" s="4"/>
      <c r="BA74" s="4"/>
      <c r="BB74" s="4"/>
      <c r="BC74" s="142"/>
      <c r="BD74" s="143"/>
      <c r="BE74" s="68"/>
      <c r="BF74" s="68"/>
      <c r="BI74" s="37"/>
      <c r="BJ74" s="66"/>
      <c r="BK74" s="68"/>
      <c r="BL74" s="68"/>
      <c r="BM74" s="75"/>
      <c r="BN74" s="68"/>
      <c r="BO74" s="75"/>
      <c r="BP74" s="68"/>
      <c r="BQ74" s="4"/>
      <c r="BR74" s="4"/>
      <c r="BS74" s="4"/>
      <c r="BT74" s="142"/>
      <c r="BU74" s="143"/>
      <c r="BV74" s="68"/>
      <c r="BW74" s="68"/>
      <c r="BZ74" s="37"/>
      <c r="CA74" s="66"/>
      <c r="CB74" s="68"/>
      <c r="CC74" s="68"/>
      <c r="CD74" s="75"/>
      <c r="CE74" s="68"/>
      <c r="CF74" s="75"/>
      <c r="CG74" s="68"/>
      <c r="CH74" s="4"/>
      <c r="CI74" s="4"/>
      <c r="CJ74" s="4"/>
      <c r="CK74" s="142"/>
      <c r="CL74" s="143"/>
      <c r="CM74" s="68"/>
      <c r="CN74" s="68"/>
      <c r="CQ74" s="37"/>
    </row>
    <row r="75" spans="45:95" x14ac:dyDescent="0.15">
      <c r="AS75" s="66"/>
      <c r="AT75" s="68"/>
      <c r="AU75" s="68"/>
      <c r="AV75" s="75"/>
      <c r="AW75" s="68"/>
      <c r="AX75" s="75"/>
      <c r="AY75" s="68"/>
      <c r="AZ75" s="4"/>
      <c r="BA75" s="4"/>
      <c r="BB75" s="4"/>
      <c r="BC75" s="142"/>
      <c r="BD75" s="143"/>
      <c r="BE75" s="68"/>
      <c r="BF75" s="68"/>
      <c r="BI75" s="37"/>
      <c r="BJ75" s="66"/>
      <c r="BK75" s="68"/>
      <c r="BL75" s="68"/>
      <c r="BM75" s="75"/>
      <c r="BN75" s="68"/>
      <c r="BO75" s="75"/>
      <c r="BP75" s="68"/>
      <c r="BQ75" s="4"/>
      <c r="BR75" s="4"/>
      <c r="BS75" s="4"/>
      <c r="BT75" s="142"/>
      <c r="BU75" s="143"/>
      <c r="BV75" s="68"/>
      <c r="BW75" s="68"/>
      <c r="BZ75" s="37"/>
      <c r="CA75" s="66"/>
      <c r="CB75" s="68"/>
      <c r="CC75" s="68"/>
      <c r="CD75" s="75"/>
      <c r="CE75" s="68"/>
      <c r="CF75" s="75"/>
      <c r="CG75" s="68"/>
      <c r="CH75" s="4"/>
      <c r="CI75" s="4"/>
      <c r="CJ75" s="4"/>
      <c r="CK75" s="142"/>
      <c r="CL75" s="143"/>
      <c r="CM75" s="68"/>
      <c r="CN75" s="68"/>
      <c r="CQ75" s="37"/>
    </row>
    <row r="76" spans="45:95" x14ac:dyDescent="0.15">
      <c r="AS76" s="66"/>
      <c r="AT76" s="68"/>
      <c r="AU76" s="68"/>
      <c r="AV76" s="75"/>
      <c r="AW76" s="68"/>
      <c r="AX76" s="75"/>
      <c r="AY76" s="68"/>
      <c r="AZ76" s="4"/>
      <c r="BA76" s="4"/>
      <c r="BB76" s="4"/>
      <c r="BC76" s="142"/>
      <c r="BD76" s="143"/>
      <c r="BE76" s="68"/>
      <c r="BF76" s="68"/>
      <c r="BI76" s="37"/>
      <c r="BJ76" s="66"/>
      <c r="BK76" s="68"/>
      <c r="BL76" s="68"/>
      <c r="BM76" s="75"/>
      <c r="BN76" s="68"/>
      <c r="BO76" s="75"/>
      <c r="BP76" s="68"/>
      <c r="BQ76" s="4"/>
      <c r="BR76" s="4"/>
      <c r="BS76" s="4"/>
      <c r="BT76" s="142"/>
      <c r="BU76" s="143"/>
      <c r="BV76" s="68"/>
      <c r="BW76" s="68"/>
      <c r="BZ76" s="37"/>
      <c r="CA76" s="66"/>
      <c r="CB76" s="68"/>
      <c r="CC76" s="68"/>
      <c r="CD76" s="75"/>
      <c r="CE76" s="68"/>
      <c r="CF76" s="75"/>
      <c r="CG76" s="68"/>
      <c r="CH76" s="4"/>
      <c r="CI76" s="4"/>
      <c r="CJ76" s="4"/>
      <c r="CK76" s="142"/>
      <c r="CL76" s="143"/>
      <c r="CM76" s="68"/>
      <c r="CN76" s="68"/>
      <c r="CQ76" s="37"/>
    </row>
    <row r="77" spans="45:95" x14ac:dyDescent="0.15">
      <c r="AS77" s="66"/>
      <c r="AT77" s="68"/>
      <c r="AU77" s="68"/>
      <c r="AV77" s="75"/>
      <c r="AW77" s="68"/>
      <c r="AX77" s="75"/>
      <c r="AY77" s="68"/>
      <c r="AZ77" s="4"/>
      <c r="BA77" s="4"/>
      <c r="BB77" s="4"/>
      <c r="BC77" s="142"/>
      <c r="BD77" s="143"/>
      <c r="BE77" s="68"/>
      <c r="BF77" s="68"/>
      <c r="BI77" s="37"/>
      <c r="BJ77" s="66"/>
      <c r="BK77" s="68"/>
      <c r="BL77" s="68"/>
      <c r="BM77" s="75"/>
      <c r="BN77" s="68"/>
      <c r="BO77" s="75"/>
      <c r="BP77" s="68"/>
      <c r="BQ77" s="4"/>
      <c r="BR77" s="4"/>
      <c r="BS77" s="4"/>
      <c r="BT77" s="142"/>
      <c r="BU77" s="143"/>
      <c r="BV77" s="68"/>
      <c r="BW77" s="68"/>
      <c r="BZ77" s="37"/>
      <c r="CA77" s="66"/>
      <c r="CB77" s="68"/>
      <c r="CC77" s="68"/>
      <c r="CD77" s="75"/>
      <c r="CE77" s="68"/>
      <c r="CF77" s="75"/>
      <c r="CG77" s="68"/>
      <c r="CH77" s="4"/>
      <c r="CI77" s="4"/>
      <c r="CJ77" s="4"/>
      <c r="CK77" s="142"/>
      <c r="CL77" s="143"/>
      <c r="CM77" s="68"/>
      <c r="CN77" s="68"/>
      <c r="CQ77" s="37"/>
    </row>
    <row r="78" spans="45:95" x14ac:dyDescent="0.15">
      <c r="AS78" s="66"/>
      <c r="AT78" s="68"/>
      <c r="AU78" s="68"/>
      <c r="AV78" s="75"/>
      <c r="AW78" s="68"/>
      <c r="AX78" s="75"/>
      <c r="AY78" s="68"/>
      <c r="AZ78" s="4"/>
      <c r="BA78" s="4"/>
      <c r="BB78" s="4"/>
      <c r="BC78" s="142"/>
      <c r="BD78" s="143"/>
      <c r="BE78" s="68"/>
      <c r="BF78" s="68"/>
      <c r="BI78" s="37"/>
      <c r="BJ78" s="66"/>
      <c r="BK78" s="68"/>
      <c r="BL78" s="68"/>
      <c r="BM78" s="75"/>
      <c r="BN78" s="68"/>
      <c r="BO78" s="75"/>
      <c r="BP78" s="68"/>
      <c r="BQ78" s="4"/>
      <c r="BR78" s="4"/>
      <c r="BS78" s="4"/>
      <c r="BT78" s="142"/>
      <c r="BU78" s="143"/>
      <c r="BV78" s="68"/>
      <c r="BW78" s="68"/>
      <c r="BZ78" s="37"/>
      <c r="CA78" s="66"/>
      <c r="CB78" s="68"/>
      <c r="CC78" s="68"/>
      <c r="CD78" s="75"/>
      <c r="CE78" s="68"/>
      <c r="CF78" s="75"/>
      <c r="CG78" s="68"/>
      <c r="CH78" s="4"/>
      <c r="CI78" s="4"/>
      <c r="CJ78" s="4"/>
      <c r="CK78" s="142"/>
      <c r="CL78" s="143"/>
      <c r="CM78" s="68"/>
      <c r="CN78" s="68"/>
      <c r="CQ78" s="37"/>
    </row>
    <row r="79" spans="45:95" x14ac:dyDescent="0.15">
      <c r="AS79" s="66"/>
      <c r="AT79" s="68"/>
      <c r="AU79" s="68"/>
      <c r="AV79" s="75"/>
      <c r="AW79" s="68"/>
      <c r="AX79" s="75"/>
      <c r="AY79" s="68"/>
      <c r="AZ79" s="4"/>
      <c r="BA79" s="4"/>
      <c r="BB79" s="4"/>
      <c r="BC79" s="142"/>
      <c r="BD79" s="143"/>
      <c r="BE79" s="68"/>
      <c r="BF79" s="68"/>
      <c r="BI79" s="37"/>
      <c r="BJ79" s="66"/>
      <c r="BK79" s="68"/>
      <c r="BL79" s="68"/>
      <c r="BM79" s="75"/>
      <c r="BN79" s="68"/>
      <c r="BO79" s="75"/>
      <c r="BP79" s="68"/>
      <c r="BQ79" s="4"/>
      <c r="BR79" s="4"/>
      <c r="BS79" s="4"/>
      <c r="BT79" s="142"/>
      <c r="BU79" s="143"/>
      <c r="BV79" s="68"/>
      <c r="BW79" s="68"/>
      <c r="BZ79" s="37"/>
      <c r="CA79" s="66"/>
      <c r="CB79" s="68"/>
      <c r="CC79" s="68"/>
      <c r="CD79" s="75"/>
      <c r="CE79" s="68"/>
      <c r="CF79" s="75"/>
      <c r="CG79" s="68"/>
      <c r="CH79" s="4"/>
      <c r="CI79" s="4"/>
      <c r="CJ79" s="4"/>
      <c r="CK79" s="142"/>
      <c r="CL79" s="143"/>
      <c r="CM79" s="68"/>
      <c r="CN79" s="68"/>
      <c r="CQ79" s="37"/>
    </row>
    <row r="80" spans="45:95" x14ac:dyDescent="0.15">
      <c r="AS80" s="66"/>
      <c r="AT80" s="68"/>
      <c r="AU80" s="68"/>
      <c r="AV80" s="75"/>
      <c r="AW80" s="68"/>
      <c r="AX80" s="75"/>
      <c r="AY80" s="68"/>
      <c r="AZ80" s="4"/>
      <c r="BA80" s="4"/>
      <c r="BB80" s="4"/>
      <c r="BC80" s="142"/>
      <c r="BD80" s="143"/>
      <c r="BE80" s="68"/>
      <c r="BF80" s="68"/>
      <c r="BI80" s="37"/>
      <c r="BJ80" s="66"/>
      <c r="BK80" s="68"/>
      <c r="BL80" s="68"/>
      <c r="BM80" s="75"/>
      <c r="BN80" s="68"/>
      <c r="BO80" s="75"/>
      <c r="BP80" s="68"/>
      <c r="BQ80" s="4"/>
      <c r="BR80" s="4"/>
      <c r="BS80" s="4"/>
      <c r="BT80" s="142"/>
      <c r="BU80" s="143"/>
      <c r="BV80" s="68"/>
      <c r="BW80" s="68"/>
      <c r="BZ80" s="37"/>
      <c r="CA80" s="66"/>
      <c r="CB80" s="68"/>
      <c r="CC80" s="68"/>
      <c r="CD80" s="75"/>
      <c r="CE80" s="68"/>
      <c r="CF80" s="75"/>
      <c r="CG80" s="68"/>
      <c r="CH80" s="4"/>
      <c r="CI80" s="4"/>
      <c r="CJ80" s="4"/>
      <c r="CK80" s="142"/>
      <c r="CL80" s="143"/>
      <c r="CM80" s="68"/>
      <c r="CN80" s="68"/>
      <c r="CQ80" s="37"/>
    </row>
    <row r="81" spans="45:95" x14ac:dyDescent="0.15">
      <c r="AS81" s="66"/>
      <c r="AT81" s="68"/>
      <c r="AU81" s="68"/>
      <c r="AV81" s="75"/>
      <c r="AW81" s="68"/>
      <c r="AX81" s="75"/>
      <c r="AY81" s="68"/>
      <c r="AZ81" s="4"/>
      <c r="BA81" s="4"/>
      <c r="BB81" s="4"/>
      <c r="BC81" s="142"/>
      <c r="BD81" s="143"/>
      <c r="BE81" s="68"/>
      <c r="BF81" s="68"/>
      <c r="BI81" s="37"/>
      <c r="BJ81" s="66"/>
      <c r="BK81" s="68"/>
      <c r="BL81" s="68"/>
      <c r="BM81" s="75"/>
      <c r="BN81" s="68"/>
      <c r="BO81" s="75"/>
      <c r="BP81" s="68"/>
      <c r="BQ81" s="4"/>
      <c r="BR81" s="4"/>
      <c r="BS81" s="4"/>
      <c r="BT81" s="142"/>
      <c r="BU81" s="143"/>
      <c r="BV81" s="68"/>
      <c r="BW81" s="68"/>
      <c r="BZ81" s="37"/>
      <c r="CA81" s="66"/>
      <c r="CB81" s="68"/>
      <c r="CC81" s="68"/>
      <c r="CD81" s="75"/>
      <c r="CE81" s="68"/>
      <c r="CF81" s="75"/>
      <c r="CG81" s="68"/>
      <c r="CH81" s="4"/>
      <c r="CI81" s="4"/>
      <c r="CJ81" s="4"/>
      <c r="CK81" s="142"/>
      <c r="CL81" s="143"/>
      <c r="CM81" s="68"/>
      <c r="CN81" s="68"/>
      <c r="CQ81" s="37"/>
    </row>
    <row r="82" spans="45:95" x14ac:dyDescent="0.15">
      <c r="AS82" s="66"/>
      <c r="AT82" s="68"/>
      <c r="AU82" s="68"/>
      <c r="AV82" s="75"/>
      <c r="AW82" s="68"/>
      <c r="AX82" s="75"/>
      <c r="AY82" s="68"/>
      <c r="AZ82" s="4"/>
      <c r="BA82" s="4"/>
      <c r="BB82" s="4"/>
      <c r="BC82" s="142"/>
      <c r="BD82" s="143"/>
      <c r="BE82" s="68"/>
      <c r="BF82" s="68"/>
      <c r="BI82" s="37"/>
      <c r="BJ82" s="66"/>
      <c r="BK82" s="68"/>
      <c r="BL82" s="68"/>
      <c r="BM82" s="75"/>
      <c r="BN82" s="68"/>
      <c r="BO82" s="75"/>
      <c r="BP82" s="68"/>
      <c r="BQ82" s="4"/>
      <c r="BR82" s="4"/>
      <c r="BS82" s="4"/>
      <c r="BT82" s="142"/>
      <c r="BU82" s="143"/>
      <c r="BV82" s="68"/>
      <c r="BW82" s="68"/>
      <c r="BZ82" s="37"/>
      <c r="CA82" s="66"/>
      <c r="CB82" s="68"/>
      <c r="CC82" s="68"/>
      <c r="CD82" s="75"/>
      <c r="CE82" s="68"/>
      <c r="CF82" s="75"/>
      <c r="CG82" s="68"/>
      <c r="CH82" s="4"/>
      <c r="CI82" s="4"/>
      <c r="CJ82" s="4"/>
      <c r="CK82" s="142"/>
      <c r="CL82" s="143"/>
      <c r="CM82" s="68"/>
      <c r="CN82" s="68"/>
      <c r="CQ82" s="37"/>
    </row>
    <row r="83" spans="45:95" x14ac:dyDescent="0.15">
      <c r="AS83" s="66"/>
      <c r="AT83" s="68"/>
      <c r="AU83" s="68"/>
      <c r="AV83" s="75"/>
      <c r="AW83" s="68"/>
      <c r="AX83" s="75"/>
      <c r="AY83" s="68"/>
      <c r="AZ83" s="4"/>
      <c r="BA83" s="4"/>
      <c r="BB83" s="4"/>
      <c r="BC83" s="142"/>
      <c r="BD83" s="143"/>
      <c r="BE83" s="68"/>
      <c r="BF83" s="68"/>
      <c r="BI83" s="37"/>
      <c r="BJ83" s="66"/>
      <c r="BK83" s="68"/>
      <c r="BL83" s="68"/>
      <c r="BM83" s="75"/>
      <c r="BN83" s="68"/>
      <c r="BO83" s="75"/>
      <c r="BP83" s="68"/>
      <c r="BQ83" s="4"/>
      <c r="BR83" s="4"/>
      <c r="BS83" s="4"/>
      <c r="BT83" s="142"/>
      <c r="BU83" s="143"/>
      <c r="BV83" s="68"/>
      <c r="BW83" s="68"/>
      <c r="BZ83" s="37"/>
      <c r="CA83" s="66"/>
      <c r="CB83" s="68"/>
      <c r="CC83" s="68"/>
      <c r="CD83" s="75"/>
      <c r="CE83" s="68"/>
      <c r="CF83" s="75"/>
      <c r="CG83" s="68"/>
      <c r="CH83" s="4"/>
      <c r="CI83" s="4"/>
      <c r="CJ83" s="4"/>
      <c r="CK83" s="142"/>
      <c r="CL83" s="143"/>
      <c r="CM83" s="68"/>
      <c r="CN83" s="68"/>
      <c r="CQ83" s="37"/>
    </row>
    <row r="84" spans="45:95" x14ac:dyDescent="0.15">
      <c r="AS84" s="66"/>
      <c r="AT84" s="68"/>
      <c r="AU84" s="68"/>
      <c r="AV84" s="75"/>
      <c r="AW84" s="68"/>
      <c r="AX84" s="75"/>
      <c r="AY84" s="68"/>
      <c r="AZ84" s="4"/>
      <c r="BA84" s="4"/>
      <c r="BB84" s="4"/>
      <c r="BC84" s="142"/>
      <c r="BD84" s="143"/>
      <c r="BE84" s="68"/>
      <c r="BF84" s="68"/>
      <c r="BI84" s="37"/>
      <c r="BJ84" s="66"/>
      <c r="BK84" s="68"/>
      <c r="BL84" s="68"/>
      <c r="BM84" s="75"/>
      <c r="BN84" s="68"/>
      <c r="BO84" s="75"/>
      <c r="BP84" s="68"/>
      <c r="BQ84" s="4"/>
      <c r="BR84" s="4"/>
      <c r="BS84" s="4"/>
      <c r="BT84" s="142"/>
      <c r="BU84" s="143"/>
      <c r="BV84" s="68"/>
      <c r="BW84" s="68"/>
      <c r="BZ84" s="37"/>
      <c r="CA84" s="66"/>
      <c r="CB84" s="68"/>
      <c r="CC84" s="68"/>
      <c r="CD84" s="75"/>
      <c r="CE84" s="68"/>
      <c r="CF84" s="75"/>
      <c r="CG84" s="68"/>
      <c r="CH84" s="4"/>
      <c r="CI84" s="4"/>
      <c r="CJ84" s="4"/>
      <c r="CK84" s="142"/>
      <c r="CL84" s="143"/>
      <c r="CM84" s="68"/>
      <c r="CN84" s="68"/>
      <c r="CQ84" s="37"/>
    </row>
    <row r="85" spans="45:95" x14ac:dyDescent="0.15">
      <c r="AS85" s="66"/>
      <c r="AT85" s="68"/>
      <c r="AU85" s="68"/>
      <c r="AV85" s="75"/>
      <c r="AW85" s="68"/>
      <c r="AX85" s="75"/>
      <c r="AY85" s="68"/>
      <c r="AZ85" s="4"/>
      <c r="BA85" s="4"/>
      <c r="BB85" s="4"/>
      <c r="BC85" s="142"/>
      <c r="BD85" s="143"/>
      <c r="BE85" s="68"/>
      <c r="BF85" s="68"/>
      <c r="BI85" s="37"/>
      <c r="BJ85" s="66"/>
      <c r="BK85" s="68"/>
      <c r="BL85" s="68"/>
      <c r="BM85" s="75"/>
      <c r="BN85" s="68"/>
      <c r="BO85" s="75"/>
      <c r="BP85" s="68"/>
      <c r="BQ85" s="4"/>
      <c r="BR85" s="4"/>
      <c r="BS85" s="4"/>
      <c r="BT85" s="142"/>
      <c r="BU85" s="143"/>
      <c r="BV85" s="68"/>
      <c r="BW85" s="68"/>
      <c r="BZ85" s="37"/>
      <c r="CA85" s="66"/>
      <c r="CB85" s="68"/>
      <c r="CC85" s="68"/>
      <c r="CD85" s="75"/>
      <c r="CE85" s="68"/>
      <c r="CF85" s="75"/>
      <c r="CG85" s="68"/>
      <c r="CH85" s="4"/>
      <c r="CI85" s="4"/>
      <c r="CJ85" s="4"/>
      <c r="CK85" s="142"/>
      <c r="CL85" s="143"/>
      <c r="CM85" s="68"/>
      <c r="CN85" s="68"/>
      <c r="CQ85" s="37"/>
    </row>
    <row r="86" spans="45:95" x14ac:dyDescent="0.15">
      <c r="AS86" s="66"/>
      <c r="AT86" s="68"/>
      <c r="AU86" s="68"/>
      <c r="AV86" s="75"/>
      <c r="AW86" s="68"/>
      <c r="AX86" s="75"/>
      <c r="AY86" s="68"/>
      <c r="AZ86" s="4"/>
      <c r="BA86" s="4"/>
      <c r="BB86" s="4"/>
      <c r="BC86" s="142"/>
      <c r="BD86" s="143"/>
      <c r="BE86" s="68"/>
      <c r="BF86" s="68"/>
      <c r="BI86" s="37"/>
      <c r="BJ86" s="66"/>
      <c r="BK86" s="68"/>
      <c r="BL86" s="68"/>
      <c r="BM86" s="75"/>
      <c r="BN86" s="68"/>
      <c r="BO86" s="75"/>
      <c r="BP86" s="68"/>
      <c r="BQ86" s="4"/>
      <c r="BR86" s="4"/>
      <c r="BS86" s="4"/>
      <c r="BT86" s="142"/>
      <c r="BU86" s="143"/>
      <c r="BV86" s="68"/>
      <c r="BW86" s="68"/>
      <c r="BZ86" s="37"/>
      <c r="CA86" s="66"/>
      <c r="CB86" s="68"/>
      <c r="CC86" s="68"/>
      <c r="CD86" s="75"/>
      <c r="CE86" s="68"/>
      <c r="CF86" s="75"/>
      <c r="CG86" s="68"/>
      <c r="CH86" s="4"/>
      <c r="CI86" s="4"/>
      <c r="CJ86" s="4"/>
      <c r="CK86" s="142"/>
      <c r="CL86" s="143"/>
      <c r="CM86" s="68"/>
      <c r="CN86" s="68"/>
      <c r="CQ86" s="37"/>
    </row>
    <row r="87" spans="45:95" x14ac:dyDescent="0.15">
      <c r="AS87" s="66"/>
      <c r="AT87" s="68"/>
      <c r="AU87" s="68"/>
      <c r="AV87" s="75"/>
      <c r="AW87" s="68"/>
      <c r="AX87" s="75"/>
      <c r="AY87" s="68"/>
      <c r="AZ87" s="4"/>
      <c r="BA87" s="4"/>
      <c r="BB87" s="4"/>
      <c r="BC87" s="142"/>
      <c r="BD87" s="143"/>
      <c r="BE87" s="68"/>
      <c r="BF87" s="68"/>
      <c r="BI87" s="37"/>
      <c r="BJ87" s="66"/>
      <c r="BK87" s="68"/>
      <c r="BL87" s="68"/>
      <c r="BM87" s="75"/>
      <c r="BN87" s="68"/>
      <c r="BO87" s="75"/>
      <c r="BP87" s="68"/>
      <c r="BQ87" s="4"/>
      <c r="BR87" s="4"/>
      <c r="BS87" s="4"/>
      <c r="BT87" s="142"/>
      <c r="BU87" s="143"/>
      <c r="BV87" s="68"/>
      <c r="BW87" s="68"/>
      <c r="BZ87" s="37"/>
      <c r="CA87" s="66"/>
      <c r="CB87" s="68"/>
      <c r="CC87" s="68"/>
      <c r="CD87" s="75"/>
      <c r="CE87" s="68"/>
      <c r="CF87" s="75"/>
      <c r="CG87" s="68"/>
      <c r="CH87" s="4"/>
      <c r="CI87" s="4"/>
      <c r="CJ87" s="4"/>
      <c r="CK87" s="142"/>
      <c r="CL87" s="143"/>
      <c r="CM87" s="68"/>
      <c r="CN87" s="68"/>
      <c r="CQ87" s="37"/>
    </row>
    <row r="88" spans="45:95" x14ac:dyDescent="0.15">
      <c r="AS88" s="66"/>
      <c r="AT88" s="68"/>
      <c r="AU88" s="68"/>
      <c r="AV88" s="75"/>
      <c r="AW88" s="68"/>
      <c r="AX88" s="75"/>
      <c r="AY88" s="68"/>
      <c r="AZ88" s="4"/>
      <c r="BA88" s="4"/>
      <c r="BB88" s="4"/>
      <c r="BC88" s="142"/>
      <c r="BD88" s="143"/>
      <c r="BE88" s="68"/>
      <c r="BF88" s="68"/>
      <c r="BI88" s="37"/>
      <c r="BJ88" s="66"/>
      <c r="BK88" s="68"/>
      <c r="BL88" s="68"/>
      <c r="BM88" s="75"/>
      <c r="BN88" s="68"/>
      <c r="BO88" s="75"/>
      <c r="BP88" s="68"/>
      <c r="BQ88" s="4"/>
      <c r="BR88" s="4"/>
      <c r="BS88" s="4"/>
      <c r="BT88" s="142"/>
      <c r="BU88" s="143"/>
      <c r="BV88" s="68"/>
      <c r="BW88" s="68"/>
      <c r="BZ88" s="37"/>
      <c r="CA88" s="66"/>
      <c r="CB88" s="68"/>
      <c r="CC88" s="68"/>
      <c r="CD88" s="75"/>
      <c r="CE88" s="68"/>
      <c r="CF88" s="75"/>
      <c r="CG88" s="68"/>
      <c r="CH88" s="4"/>
      <c r="CI88" s="4"/>
      <c r="CJ88" s="4"/>
      <c r="CK88" s="142"/>
      <c r="CL88" s="143"/>
      <c r="CM88" s="68"/>
      <c r="CN88" s="68"/>
      <c r="CQ88" s="37"/>
    </row>
    <row r="89" spans="45:95" x14ac:dyDescent="0.15">
      <c r="AS89" s="66"/>
      <c r="AT89" s="68"/>
      <c r="AU89" s="68"/>
      <c r="AV89" s="75"/>
      <c r="AW89" s="68"/>
      <c r="AX89" s="75"/>
      <c r="AY89" s="68"/>
      <c r="AZ89" s="4"/>
      <c r="BA89" s="4"/>
      <c r="BB89" s="4"/>
      <c r="BC89" s="142"/>
      <c r="BD89" s="143"/>
      <c r="BE89" s="68"/>
      <c r="BF89" s="68"/>
      <c r="BI89" s="37"/>
      <c r="BJ89" s="66"/>
      <c r="BK89" s="68"/>
      <c r="BL89" s="68"/>
      <c r="BM89" s="75"/>
      <c r="BN89" s="68"/>
      <c r="BO89" s="75"/>
      <c r="BP89" s="68"/>
      <c r="BQ89" s="4"/>
      <c r="BR89" s="4"/>
      <c r="BS89" s="4"/>
      <c r="BT89" s="142"/>
      <c r="BU89" s="143"/>
      <c r="BV89" s="68"/>
      <c r="BW89" s="68"/>
      <c r="BZ89" s="37"/>
      <c r="CA89" s="66"/>
      <c r="CB89" s="68"/>
      <c r="CC89" s="68"/>
      <c r="CD89" s="75"/>
      <c r="CE89" s="68"/>
      <c r="CF89" s="75"/>
      <c r="CG89" s="68"/>
      <c r="CH89" s="4"/>
      <c r="CI89" s="4"/>
      <c r="CJ89" s="4"/>
      <c r="CK89" s="142"/>
      <c r="CL89" s="143"/>
      <c r="CM89" s="68"/>
      <c r="CN89" s="68"/>
      <c r="CQ89" s="37"/>
    </row>
    <row r="90" spans="45:95" x14ac:dyDescent="0.15">
      <c r="AS90" s="66"/>
      <c r="AT90" s="68"/>
      <c r="AU90" s="68"/>
      <c r="AV90" s="75"/>
      <c r="AW90" s="68"/>
      <c r="AX90" s="75"/>
      <c r="AY90" s="68"/>
      <c r="AZ90" s="4"/>
      <c r="BA90" s="4"/>
      <c r="BB90" s="4"/>
      <c r="BC90" s="142"/>
      <c r="BD90" s="143"/>
      <c r="BE90" s="68"/>
      <c r="BF90" s="68"/>
      <c r="BI90" s="37"/>
      <c r="BJ90" s="66"/>
      <c r="BK90" s="68"/>
      <c r="BL90" s="68"/>
      <c r="BM90" s="75"/>
      <c r="BN90" s="68"/>
      <c r="BO90" s="75"/>
      <c r="BP90" s="68"/>
      <c r="BQ90" s="4"/>
      <c r="BR90" s="4"/>
      <c r="BS90" s="4"/>
      <c r="BT90" s="142"/>
      <c r="BU90" s="143"/>
      <c r="BV90" s="68"/>
      <c r="BW90" s="68"/>
      <c r="BZ90" s="37"/>
      <c r="CA90" s="66"/>
      <c r="CB90" s="68"/>
      <c r="CC90" s="68"/>
      <c r="CD90" s="75"/>
      <c r="CE90" s="68"/>
      <c r="CF90" s="75"/>
      <c r="CG90" s="68"/>
      <c r="CH90" s="4"/>
      <c r="CI90" s="4"/>
      <c r="CJ90" s="4"/>
      <c r="CK90" s="142"/>
      <c r="CL90" s="143"/>
      <c r="CM90" s="68"/>
      <c r="CN90" s="68"/>
      <c r="CQ90" s="37"/>
    </row>
    <row r="91" spans="45:95" x14ac:dyDescent="0.15">
      <c r="AS91" s="66"/>
      <c r="AT91" s="68"/>
      <c r="AU91" s="68"/>
      <c r="AV91" s="75"/>
      <c r="AW91" s="68"/>
      <c r="AX91" s="75"/>
      <c r="AY91" s="68"/>
      <c r="AZ91" s="4"/>
      <c r="BA91" s="4"/>
      <c r="BB91" s="4"/>
      <c r="BC91" s="142"/>
      <c r="BD91" s="143"/>
      <c r="BE91" s="68"/>
      <c r="BF91" s="68"/>
      <c r="BI91" s="37"/>
      <c r="BJ91" s="66"/>
      <c r="BK91" s="68"/>
      <c r="BL91" s="68"/>
      <c r="BM91" s="75"/>
      <c r="BN91" s="68"/>
      <c r="BO91" s="75"/>
      <c r="BP91" s="68"/>
      <c r="BQ91" s="4"/>
      <c r="BR91" s="4"/>
      <c r="BS91" s="4"/>
      <c r="BT91" s="142"/>
      <c r="BU91" s="143"/>
      <c r="BV91" s="68"/>
      <c r="BW91" s="68"/>
      <c r="BZ91" s="37"/>
      <c r="CA91" s="66"/>
      <c r="CB91" s="68"/>
      <c r="CC91" s="68"/>
      <c r="CD91" s="75"/>
      <c r="CE91" s="68"/>
      <c r="CF91" s="75"/>
      <c r="CG91" s="68"/>
      <c r="CH91" s="4"/>
      <c r="CI91" s="4"/>
      <c r="CJ91" s="4"/>
      <c r="CK91" s="142"/>
      <c r="CL91" s="143"/>
      <c r="CM91" s="68"/>
      <c r="CN91" s="68"/>
      <c r="CQ91" s="37"/>
    </row>
    <row r="92" spans="45:95" x14ac:dyDescent="0.15">
      <c r="AS92" s="66"/>
      <c r="AT92" s="68"/>
      <c r="AU92" s="68"/>
      <c r="AV92" s="75"/>
      <c r="AW92" s="68"/>
      <c r="AX92" s="75"/>
      <c r="AY92" s="68"/>
      <c r="AZ92" s="4"/>
      <c r="BA92" s="4"/>
      <c r="BB92" s="4"/>
      <c r="BC92" s="142"/>
      <c r="BD92" s="143"/>
      <c r="BE92" s="68"/>
      <c r="BF92" s="68"/>
      <c r="BI92" s="37"/>
      <c r="BJ92" s="66"/>
      <c r="BK92" s="68"/>
      <c r="BL92" s="68"/>
      <c r="BM92" s="75"/>
      <c r="BN92" s="68"/>
      <c r="BO92" s="75"/>
      <c r="BP92" s="68"/>
      <c r="BQ92" s="4"/>
      <c r="BR92" s="4"/>
      <c r="BS92" s="4"/>
      <c r="BT92" s="142"/>
      <c r="BU92" s="143"/>
      <c r="BV92" s="68"/>
      <c r="BW92" s="68"/>
      <c r="BZ92" s="37"/>
      <c r="CA92" s="66"/>
      <c r="CB92" s="68"/>
      <c r="CC92" s="68"/>
      <c r="CD92" s="75"/>
      <c r="CE92" s="68"/>
      <c r="CF92" s="75"/>
      <c r="CG92" s="68"/>
      <c r="CH92" s="4"/>
      <c r="CI92" s="4"/>
      <c r="CJ92" s="4"/>
      <c r="CK92" s="142"/>
      <c r="CL92" s="143"/>
      <c r="CM92" s="68"/>
      <c r="CN92" s="68"/>
      <c r="CQ92" s="37"/>
    </row>
    <row r="93" spans="45:95" x14ac:dyDescent="0.15">
      <c r="AS93" s="66"/>
      <c r="AT93" s="68"/>
      <c r="AU93" s="68"/>
      <c r="AV93" s="75"/>
      <c r="AW93" s="68"/>
      <c r="AX93" s="75"/>
      <c r="AY93" s="68"/>
      <c r="AZ93" s="4"/>
      <c r="BA93" s="4"/>
      <c r="BB93" s="4"/>
      <c r="BC93" s="142"/>
      <c r="BD93" s="143"/>
      <c r="BE93" s="68"/>
      <c r="BF93" s="68"/>
      <c r="BI93" s="37"/>
      <c r="BJ93" s="66"/>
      <c r="BK93" s="68"/>
      <c r="BL93" s="68"/>
      <c r="BM93" s="75"/>
      <c r="BN93" s="68"/>
      <c r="BO93" s="75"/>
      <c r="BP93" s="68"/>
      <c r="BQ93" s="4"/>
      <c r="BR93" s="4"/>
      <c r="BS93" s="4"/>
      <c r="BT93" s="142"/>
      <c r="BU93" s="143"/>
      <c r="BV93" s="68"/>
      <c r="BW93" s="68"/>
      <c r="BZ93" s="37"/>
      <c r="CA93" s="66"/>
      <c r="CB93" s="68"/>
      <c r="CC93" s="68"/>
      <c r="CD93" s="75"/>
      <c r="CE93" s="68"/>
      <c r="CF93" s="75"/>
      <c r="CG93" s="68"/>
      <c r="CH93" s="4"/>
      <c r="CI93" s="4"/>
      <c r="CJ93" s="4"/>
      <c r="CK93" s="142"/>
      <c r="CL93" s="143"/>
      <c r="CM93" s="68"/>
      <c r="CN93" s="68"/>
      <c r="CQ93" s="37"/>
    </row>
    <row r="94" spans="45:95" x14ac:dyDescent="0.15">
      <c r="AS94" s="66"/>
      <c r="AT94" s="68"/>
      <c r="AU94" s="68"/>
      <c r="AV94" s="75"/>
      <c r="AW94" s="68"/>
      <c r="AX94" s="75"/>
      <c r="AY94" s="68"/>
      <c r="AZ94" s="4"/>
      <c r="BA94" s="4"/>
      <c r="BB94" s="4"/>
      <c r="BC94" s="142"/>
      <c r="BD94" s="143"/>
      <c r="BE94" s="68"/>
      <c r="BF94" s="68"/>
      <c r="BI94" s="37"/>
      <c r="BJ94" s="66"/>
      <c r="BK94" s="68"/>
      <c r="BL94" s="68"/>
      <c r="BM94" s="75"/>
      <c r="BN94" s="68"/>
      <c r="BO94" s="75"/>
      <c r="BP94" s="68"/>
      <c r="BQ94" s="4"/>
      <c r="BR94" s="4"/>
      <c r="BS94" s="4"/>
      <c r="BT94" s="142"/>
      <c r="BU94" s="143"/>
      <c r="BV94" s="68"/>
      <c r="BW94" s="68"/>
      <c r="BZ94" s="37"/>
      <c r="CA94" s="66"/>
      <c r="CB94" s="68"/>
      <c r="CC94" s="68"/>
      <c r="CD94" s="75"/>
      <c r="CE94" s="68"/>
      <c r="CF94" s="75"/>
      <c r="CG94" s="68"/>
      <c r="CH94" s="4"/>
      <c r="CI94" s="4"/>
      <c r="CJ94" s="4"/>
      <c r="CK94" s="142"/>
      <c r="CL94" s="143"/>
      <c r="CM94" s="68"/>
      <c r="CN94" s="68"/>
      <c r="CQ94" s="37"/>
    </row>
    <row r="95" spans="45:95" x14ac:dyDescent="0.15">
      <c r="AS95" s="66"/>
      <c r="AT95" s="68"/>
      <c r="AU95" s="68"/>
      <c r="AV95" s="75"/>
      <c r="AW95" s="68"/>
      <c r="AX95" s="75"/>
      <c r="AY95" s="68"/>
      <c r="AZ95" s="4"/>
      <c r="BA95" s="4"/>
      <c r="BB95" s="4"/>
      <c r="BC95" s="142"/>
      <c r="BD95" s="143"/>
      <c r="BE95" s="68"/>
      <c r="BF95" s="68"/>
      <c r="BI95" s="37"/>
      <c r="BJ95" s="66"/>
      <c r="BK95" s="68"/>
      <c r="BL95" s="68"/>
      <c r="BM95" s="75"/>
      <c r="BN95" s="68"/>
      <c r="BO95" s="75"/>
      <c r="BP95" s="68"/>
      <c r="BQ95" s="4"/>
      <c r="BR95" s="4"/>
      <c r="BS95" s="4"/>
      <c r="BT95" s="142"/>
      <c r="BU95" s="143"/>
      <c r="BV95" s="68"/>
      <c r="BW95" s="68"/>
      <c r="BZ95" s="37"/>
      <c r="CA95" s="66"/>
      <c r="CB95" s="68"/>
      <c r="CC95" s="68"/>
      <c r="CD95" s="75"/>
      <c r="CE95" s="68"/>
      <c r="CF95" s="75"/>
      <c r="CG95" s="68"/>
      <c r="CH95" s="4"/>
      <c r="CI95" s="4"/>
      <c r="CJ95" s="4"/>
      <c r="CK95" s="142"/>
      <c r="CL95" s="143"/>
      <c r="CM95" s="68"/>
      <c r="CN95" s="68"/>
      <c r="CQ95" s="37"/>
    </row>
    <row r="96" spans="45:95" x14ac:dyDescent="0.15">
      <c r="AS96" s="66"/>
      <c r="AT96" s="68"/>
      <c r="AU96" s="68"/>
      <c r="AV96" s="75"/>
      <c r="AW96" s="68"/>
      <c r="AX96" s="75"/>
      <c r="AY96" s="68"/>
      <c r="AZ96" s="4"/>
      <c r="BA96" s="4"/>
      <c r="BB96" s="4"/>
      <c r="BC96" s="142"/>
      <c r="BD96" s="143"/>
      <c r="BE96" s="68"/>
      <c r="BF96" s="68"/>
      <c r="BI96" s="37"/>
      <c r="BJ96" s="66"/>
      <c r="BK96" s="68"/>
      <c r="BL96" s="68"/>
      <c r="BM96" s="75"/>
      <c r="BN96" s="68"/>
      <c r="BO96" s="75"/>
      <c r="BP96" s="68"/>
      <c r="BQ96" s="4"/>
      <c r="BR96" s="4"/>
      <c r="BS96" s="4"/>
      <c r="BT96" s="142"/>
      <c r="BU96" s="143"/>
      <c r="BV96" s="68"/>
      <c r="BW96" s="68"/>
      <c r="BZ96" s="37"/>
      <c r="CA96" s="66"/>
      <c r="CB96" s="68"/>
      <c r="CC96" s="68"/>
      <c r="CD96" s="75"/>
      <c r="CE96" s="68"/>
      <c r="CF96" s="75"/>
      <c r="CG96" s="68"/>
      <c r="CH96" s="4"/>
      <c r="CI96" s="4"/>
      <c r="CJ96" s="4"/>
      <c r="CK96" s="142"/>
      <c r="CL96" s="143"/>
      <c r="CM96" s="68"/>
      <c r="CN96" s="68"/>
      <c r="CQ96" s="37"/>
    </row>
    <row r="97" spans="45:95" x14ac:dyDescent="0.15">
      <c r="AS97" s="66"/>
      <c r="AT97" s="68"/>
      <c r="AU97" s="68"/>
      <c r="AV97" s="75"/>
      <c r="AW97" s="68"/>
      <c r="AX97" s="75"/>
      <c r="AY97" s="68"/>
      <c r="AZ97" s="4"/>
      <c r="BA97" s="4"/>
      <c r="BB97" s="4"/>
      <c r="BC97" s="142"/>
      <c r="BD97" s="143"/>
      <c r="BE97" s="68"/>
      <c r="BF97" s="68"/>
      <c r="BI97" s="37"/>
      <c r="BJ97" s="66"/>
      <c r="BK97" s="68"/>
      <c r="BL97" s="68"/>
      <c r="BM97" s="75"/>
      <c r="BN97" s="68"/>
      <c r="BO97" s="75"/>
      <c r="BP97" s="68"/>
      <c r="BQ97" s="4"/>
      <c r="BR97" s="4"/>
      <c r="BS97" s="4"/>
      <c r="BT97" s="142"/>
      <c r="BU97" s="143"/>
      <c r="BV97" s="68"/>
      <c r="BW97" s="68"/>
      <c r="BZ97" s="37"/>
      <c r="CA97" s="66"/>
      <c r="CB97" s="68"/>
      <c r="CC97" s="68"/>
      <c r="CD97" s="75"/>
      <c r="CE97" s="68"/>
      <c r="CF97" s="75"/>
      <c r="CG97" s="68"/>
      <c r="CH97" s="4"/>
      <c r="CI97" s="4"/>
      <c r="CJ97" s="4"/>
      <c r="CK97" s="142"/>
      <c r="CL97" s="143"/>
      <c r="CM97" s="68"/>
      <c r="CN97" s="68"/>
      <c r="CQ97" s="37"/>
    </row>
    <row r="98" spans="45:95" x14ac:dyDescent="0.15">
      <c r="AS98" s="66"/>
      <c r="AT98" s="68"/>
      <c r="AU98" s="68"/>
      <c r="AV98" s="75"/>
      <c r="AW98" s="68"/>
      <c r="AX98" s="75"/>
      <c r="AY98" s="68"/>
      <c r="AZ98" s="4"/>
      <c r="BA98" s="4"/>
      <c r="BB98" s="4"/>
      <c r="BC98" s="142"/>
      <c r="BD98" s="143"/>
      <c r="BE98" s="68"/>
      <c r="BF98" s="68"/>
      <c r="BI98" s="37"/>
      <c r="BJ98" s="66"/>
      <c r="BK98" s="68"/>
      <c r="BL98" s="68"/>
      <c r="BM98" s="75"/>
      <c r="BN98" s="68"/>
      <c r="BO98" s="75"/>
      <c r="BP98" s="68"/>
      <c r="BQ98" s="4"/>
      <c r="BR98" s="4"/>
      <c r="BS98" s="4"/>
      <c r="BT98" s="142"/>
      <c r="BU98" s="143"/>
      <c r="BV98" s="68"/>
      <c r="BW98" s="68"/>
      <c r="BZ98" s="37"/>
      <c r="CA98" s="66"/>
      <c r="CB98" s="68"/>
      <c r="CC98" s="68"/>
      <c r="CD98" s="75"/>
      <c r="CE98" s="68"/>
      <c r="CF98" s="75"/>
      <c r="CG98" s="68"/>
      <c r="CH98" s="4"/>
      <c r="CI98" s="4"/>
      <c r="CJ98" s="4"/>
      <c r="CK98" s="142"/>
      <c r="CL98" s="143"/>
      <c r="CM98" s="68"/>
      <c r="CN98" s="68"/>
      <c r="CQ98" s="37"/>
    </row>
    <row r="99" spans="45:95" x14ac:dyDescent="0.15">
      <c r="AS99" s="66"/>
      <c r="AT99" s="68"/>
      <c r="AU99" s="68"/>
      <c r="AV99" s="75"/>
      <c r="AW99" s="68"/>
      <c r="AX99" s="75"/>
      <c r="AY99" s="68"/>
      <c r="AZ99" s="4"/>
      <c r="BA99" s="4"/>
      <c r="BB99" s="4"/>
      <c r="BC99" s="142"/>
      <c r="BD99" s="143"/>
      <c r="BE99" s="68"/>
      <c r="BF99" s="68"/>
      <c r="BI99" s="37"/>
      <c r="BJ99" s="66"/>
      <c r="BK99" s="68"/>
      <c r="BL99" s="68"/>
      <c r="BM99" s="75"/>
      <c r="BN99" s="68"/>
      <c r="BO99" s="75"/>
      <c r="BP99" s="68"/>
      <c r="BQ99" s="4"/>
      <c r="BR99" s="4"/>
      <c r="BS99" s="4"/>
      <c r="BT99" s="142"/>
      <c r="BU99" s="143"/>
      <c r="BV99" s="68"/>
      <c r="BW99" s="68"/>
      <c r="BZ99" s="37"/>
      <c r="CA99" s="66"/>
      <c r="CB99" s="68"/>
      <c r="CC99" s="68"/>
      <c r="CD99" s="75"/>
      <c r="CE99" s="68"/>
      <c r="CF99" s="75"/>
      <c r="CG99" s="68"/>
      <c r="CH99" s="4"/>
      <c r="CI99" s="4"/>
      <c r="CJ99" s="4"/>
      <c r="CK99" s="142"/>
      <c r="CL99" s="143"/>
      <c r="CM99" s="68"/>
      <c r="CN99" s="68"/>
      <c r="CQ99" s="37"/>
    </row>
    <row r="100" spans="45:95" x14ac:dyDescent="0.15">
      <c r="AS100" s="66"/>
      <c r="AT100" s="68"/>
      <c r="AU100" s="68"/>
      <c r="AV100" s="75"/>
      <c r="AW100" s="68"/>
      <c r="AX100" s="75"/>
      <c r="AY100" s="68"/>
      <c r="AZ100" s="4"/>
      <c r="BA100" s="4"/>
      <c r="BB100" s="4"/>
      <c r="BC100" s="142"/>
      <c r="BD100" s="143"/>
      <c r="BE100" s="68"/>
      <c r="BF100" s="68"/>
      <c r="BI100" s="37"/>
      <c r="BJ100" s="66"/>
      <c r="BK100" s="68"/>
      <c r="BL100" s="68"/>
      <c r="BM100" s="75"/>
      <c r="BN100" s="68"/>
      <c r="BO100" s="75"/>
      <c r="BP100" s="68"/>
      <c r="BQ100" s="4"/>
      <c r="BR100" s="4"/>
      <c r="BS100" s="4"/>
      <c r="BT100" s="142"/>
      <c r="BU100" s="143"/>
      <c r="BV100" s="68"/>
      <c r="BW100" s="68"/>
      <c r="BZ100" s="37"/>
      <c r="CA100" s="66"/>
      <c r="CB100" s="68"/>
      <c r="CC100" s="68"/>
      <c r="CD100" s="75"/>
      <c r="CE100" s="68"/>
      <c r="CF100" s="75"/>
      <c r="CG100" s="68"/>
      <c r="CH100" s="4"/>
      <c r="CI100" s="4"/>
      <c r="CJ100" s="4"/>
      <c r="CK100" s="142"/>
      <c r="CL100" s="143"/>
      <c r="CM100" s="68"/>
      <c r="CN100" s="68"/>
      <c r="CQ100" s="37"/>
    </row>
    <row r="101" spans="45:95" x14ac:dyDescent="0.15">
      <c r="AS101" s="66"/>
      <c r="AT101" s="68"/>
      <c r="AU101" s="68"/>
      <c r="AV101" s="75"/>
      <c r="AW101" s="68"/>
      <c r="AX101" s="75"/>
      <c r="AY101" s="68"/>
      <c r="AZ101" s="4"/>
      <c r="BA101" s="4"/>
      <c r="BB101" s="4"/>
      <c r="BC101" s="142"/>
      <c r="BD101" s="143"/>
      <c r="BE101" s="68"/>
      <c r="BF101" s="68"/>
      <c r="BI101" s="37"/>
      <c r="BJ101" s="66"/>
      <c r="BK101" s="68"/>
      <c r="BL101" s="68"/>
      <c r="BM101" s="75"/>
      <c r="BN101" s="68"/>
      <c r="BO101" s="75"/>
      <c r="BP101" s="68"/>
      <c r="BQ101" s="4"/>
      <c r="BR101" s="4"/>
      <c r="BS101" s="4"/>
      <c r="BT101" s="142"/>
      <c r="BU101" s="143"/>
      <c r="BV101" s="68"/>
      <c r="BW101" s="68"/>
      <c r="BZ101" s="37"/>
      <c r="CA101" s="66"/>
      <c r="CB101" s="68"/>
      <c r="CC101" s="68"/>
      <c r="CD101" s="75"/>
      <c r="CE101" s="68"/>
      <c r="CF101" s="75"/>
      <c r="CG101" s="68"/>
      <c r="CH101" s="4"/>
      <c r="CI101" s="4"/>
      <c r="CJ101" s="4"/>
      <c r="CK101" s="142"/>
      <c r="CL101" s="143"/>
      <c r="CM101" s="68"/>
      <c r="CN101" s="68"/>
      <c r="CQ101" s="37"/>
    </row>
    <row r="102" spans="45:95" x14ac:dyDescent="0.15">
      <c r="AS102" s="66"/>
      <c r="AT102" s="68"/>
      <c r="AU102" s="68"/>
      <c r="AV102" s="75"/>
      <c r="AW102" s="68"/>
      <c r="AX102" s="75"/>
      <c r="AY102" s="68"/>
      <c r="AZ102" s="4"/>
      <c r="BA102" s="4"/>
      <c r="BB102" s="4"/>
      <c r="BC102" s="142"/>
      <c r="BD102" s="143"/>
      <c r="BE102" s="68"/>
      <c r="BF102" s="68"/>
      <c r="BI102" s="37"/>
      <c r="BJ102" s="66"/>
      <c r="BK102" s="68"/>
      <c r="BL102" s="68"/>
      <c r="BM102" s="75"/>
      <c r="BN102" s="68"/>
      <c r="BO102" s="75"/>
      <c r="BP102" s="68"/>
      <c r="BQ102" s="4"/>
      <c r="BR102" s="4"/>
      <c r="BS102" s="4"/>
      <c r="BT102" s="142"/>
      <c r="BU102" s="143"/>
      <c r="BV102" s="68"/>
      <c r="BW102" s="68"/>
      <c r="BZ102" s="37"/>
      <c r="CA102" s="66"/>
      <c r="CB102" s="68"/>
      <c r="CC102" s="68"/>
      <c r="CD102" s="75"/>
      <c r="CE102" s="68"/>
      <c r="CF102" s="75"/>
      <c r="CG102" s="68"/>
      <c r="CH102" s="4"/>
      <c r="CI102" s="4"/>
      <c r="CJ102" s="4"/>
      <c r="CK102" s="142"/>
      <c r="CL102" s="143"/>
      <c r="CM102" s="68"/>
      <c r="CN102" s="68"/>
      <c r="CQ102" s="37"/>
    </row>
    <row r="103" spans="45:95" x14ac:dyDescent="0.15">
      <c r="AS103" s="66"/>
      <c r="AT103" s="68"/>
      <c r="AU103" s="68"/>
      <c r="AV103" s="75"/>
      <c r="AW103" s="68"/>
      <c r="AX103" s="75"/>
      <c r="AY103" s="68"/>
      <c r="AZ103" s="4"/>
      <c r="BA103" s="4"/>
      <c r="BB103" s="4"/>
      <c r="BC103" s="142"/>
      <c r="BD103" s="143"/>
      <c r="BE103" s="68"/>
      <c r="BF103" s="68"/>
      <c r="BI103" s="37"/>
      <c r="BJ103" s="66"/>
      <c r="BK103" s="68"/>
      <c r="BL103" s="68"/>
      <c r="BM103" s="75"/>
      <c r="BN103" s="68"/>
      <c r="BO103" s="75"/>
      <c r="BP103" s="68"/>
      <c r="BQ103" s="4"/>
      <c r="BR103" s="4"/>
      <c r="BS103" s="4"/>
      <c r="BT103" s="142"/>
      <c r="BU103" s="143"/>
      <c r="BV103" s="68"/>
      <c r="BW103" s="68"/>
      <c r="BZ103" s="37"/>
      <c r="CA103" s="66"/>
      <c r="CB103" s="68"/>
      <c r="CC103" s="68"/>
      <c r="CD103" s="75"/>
      <c r="CE103" s="68"/>
      <c r="CF103" s="75"/>
      <c r="CG103" s="68"/>
      <c r="CH103" s="4"/>
      <c r="CI103" s="4"/>
      <c r="CJ103" s="4"/>
      <c r="CK103" s="142"/>
      <c r="CL103" s="143"/>
      <c r="CM103" s="68"/>
      <c r="CN103" s="68"/>
      <c r="CQ103" s="37"/>
    </row>
    <row r="104" spans="45:95" x14ac:dyDescent="0.15">
      <c r="AS104" s="66"/>
      <c r="AT104" s="68"/>
      <c r="AU104" s="68"/>
      <c r="AV104" s="75"/>
      <c r="AW104" s="68"/>
      <c r="AX104" s="75"/>
      <c r="AY104" s="68"/>
      <c r="AZ104" s="4"/>
      <c r="BA104" s="4"/>
      <c r="BB104" s="4"/>
      <c r="BC104" s="142"/>
      <c r="BD104" s="143"/>
      <c r="BE104" s="68"/>
      <c r="BF104" s="68"/>
      <c r="BI104" s="37"/>
      <c r="BJ104" s="66"/>
      <c r="BK104" s="68"/>
      <c r="BL104" s="68"/>
      <c r="BM104" s="75"/>
      <c r="BN104" s="68"/>
      <c r="BO104" s="75"/>
      <c r="BP104" s="68"/>
      <c r="BQ104" s="4"/>
      <c r="BR104" s="4"/>
      <c r="BS104" s="4"/>
      <c r="BT104" s="142"/>
      <c r="BU104" s="143"/>
      <c r="BV104" s="68"/>
      <c r="BW104" s="68"/>
      <c r="BZ104" s="37"/>
      <c r="CA104" s="66"/>
      <c r="CB104" s="68"/>
      <c r="CC104" s="68"/>
      <c r="CD104" s="75"/>
      <c r="CE104" s="68"/>
      <c r="CF104" s="75"/>
      <c r="CG104" s="68"/>
      <c r="CH104" s="4"/>
      <c r="CI104" s="4"/>
      <c r="CJ104" s="4"/>
      <c r="CK104" s="142"/>
      <c r="CL104" s="143"/>
      <c r="CM104" s="68"/>
      <c r="CN104" s="68"/>
      <c r="CQ104" s="37"/>
    </row>
    <row r="105" spans="45:95" x14ac:dyDescent="0.15">
      <c r="AS105" s="66"/>
      <c r="AT105" s="68"/>
      <c r="AU105" s="68"/>
      <c r="AV105" s="75"/>
      <c r="AW105" s="68"/>
      <c r="AX105" s="75"/>
      <c r="AY105" s="68"/>
      <c r="AZ105" s="4"/>
      <c r="BA105" s="4"/>
      <c r="BB105" s="4"/>
      <c r="BC105" s="142"/>
      <c r="BD105" s="143"/>
      <c r="BE105" s="68"/>
      <c r="BF105" s="68"/>
      <c r="BI105" s="37"/>
      <c r="BJ105" s="66"/>
      <c r="BK105" s="68"/>
      <c r="BL105" s="68"/>
      <c r="BM105" s="75"/>
      <c r="BN105" s="68"/>
      <c r="BO105" s="75"/>
      <c r="BP105" s="68"/>
      <c r="BQ105" s="4"/>
      <c r="BR105" s="4"/>
      <c r="BS105" s="4"/>
      <c r="BT105" s="142"/>
      <c r="BU105" s="143"/>
      <c r="BV105" s="68"/>
      <c r="BW105" s="68"/>
      <c r="BZ105" s="37"/>
      <c r="CA105" s="66"/>
      <c r="CB105" s="68"/>
      <c r="CC105" s="68"/>
      <c r="CD105" s="75"/>
      <c r="CE105" s="68"/>
      <c r="CF105" s="75"/>
      <c r="CG105" s="68"/>
      <c r="CH105" s="4"/>
      <c r="CI105" s="4"/>
      <c r="CJ105" s="4"/>
      <c r="CK105" s="142"/>
      <c r="CL105" s="143"/>
      <c r="CM105" s="68"/>
      <c r="CN105" s="68"/>
      <c r="CQ105" s="37"/>
    </row>
    <row r="106" spans="45:95" x14ac:dyDescent="0.15">
      <c r="AS106" s="66"/>
      <c r="AT106" s="68"/>
      <c r="AU106" s="68"/>
      <c r="AV106" s="75"/>
      <c r="AW106" s="68"/>
      <c r="AX106" s="75"/>
      <c r="AY106" s="68"/>
      <c r="AZ106" s="4"/>
      <c r="BA106" s="4"/>
      <c r="BB106" s="4"/>
      <c r="BC106" s="142"/>
      <c r="BD106" s="143"/>
      <c r="BE106" s="68"/>
      <c r="BF106" s="68"/>
      <c r="BI106" s="37"/>
      <c r="BJ106" s="66"/>
      <c r="BK106" s="68"/>
      <c r="BL106" s="68"/>
      <c r="BM106" s="75"/>
      <c r="BN106" s="68"/>
      <c r="BO106" s="75"/>
      <c r="BP106" s="68"/>
      <c r="BQ106" s="4"/>
      <c r="BR106" s="4"/>
      <c r="BS106" s="4"/>
      <c r="BT106" s="142"/>
      <c r="BU106" s="143"/>
      <c r="BV106" s="68"/>
      <c r="BW106" s="68"/>
      <c r="BZ106" s="37"/>
      <c r="CA106" s="66"/>
      <c r="CB106" s="68"/>
      <c r="CC106" s="68"/>
      <c r="CD106" s="75"/>
      <c r="CE106" s="68"/>
      <c r="CF106" s="75"/>
      <c r="CG106" s="68"/>
      <c r="CH106" s="4"/>
      <c r="CI106" s="4"/>
      <c r="CJ106" s="4"/>
      <c r="CK106" s="142"/>
      <c r="CL106" s="143"/>
      <c r="CM106" s="68"/>
      <c r="CN106" s="68"/>
      <c r="CQ106" s="37"/>
    </row>
    <row r="107" spans="45:95" x14ac:dyDescent="0.15">
      <c r="AS107" s="66"/>
      <c r="AT107" s="68"/>
      <c r="AU107" s="68"/>
      <c r="AV107" s="75"/>
      <c r="AW107" s="68"/>
      <c r="AX107" s="75"/>
      <c r="AY107" s="68"/>
      <c r="AZ107" s="4"/>
      <c r="BA107" s="4"/>
      <c r="BB107" s="4"/>
      <c r="BC107" s="142"/>
      <c r="BD107" s="143"/>
      <c r="BE107" s="68"/>
      <c r="BF107" s="68"/>
      <c r="BI107" s="37"/>
      <c r="BJ107" s="66"/>
      <c r="BK107" s="68"/>
      <c r="BL107" s="68"/>
      <c r="BM107" s="75"/>
      <c r="BN107" s="68"/>
      <c r="BO107" s="75"/>
      <c r="BP107" s="68"/>
      <c r="BQ107" s="4"/>
      <c r="BR107" s="4"/>
      <c r="BS107" s="4"/>
      <c r="BT107" s="142"/>
      <c r="BU107" s="143"/>
      <c r="BV107" s="68"/>
      <c r="BW107" s="68"/>
      <c r="BZ107" s="37"/>
      <c r="CA107" s="66"/>
      <c r="CB107" s="68"/>
      <c r="CC107" s="68"/>
      <c r="CD107" s="75"/>
      <c r="CE107" s="68"/>
      <c r="CF107" s="75"/>
      <c r="CG107" s="68"/>
      <c r="CH107" s="4"/>
      <c r="CI107" s="4"/>
      <c r="CJ107" s="4"/>
      <c r="CK107" s="142"/>
      <c r="CL107" s="143"/>
      <c r="CM107" s="68"/>
      <c r="CN107" s="68"/>
      <c r="CQ107" s="37"/>
    </row>
    <row r="108" spans="45:95" x14ac:dyDescent="0.15">
      <c r="AS108" s="66"/>
      <c r="AT108" s="68"/>
      <c r="AU108" s="68"/>
      <c r="AV108" s="75"/>
      <c r="AW108" s="68"/>
      <c r="AX108" s="75"/>
      <c r="AY108" s="68"/>
      <c r="AZ108" s="4"/>
      <c r="BA108" s="4"/>
      <c r="BB108" s="4"/>
      <c r="BC108" s="142"/>
      <c r="BD108" s="143"/>
      <c r="BE108" s="68"/>
      <c r="BF108" s="68"/>
      <c r="BI108" s="37"/>
      <c r="BJ108" s="66"/>
      <c r="BK108" s="68"/>
      <c r="BL108" s="68"/>
      <c r="BM108" s="75"/>
      <c r="BN108" s="68"/>
      <c r="BO108" s="75"/>
      <c r="BP108" s="68"/>
      <c r="BQ108" s="4"/>
      <c r="BR108" s="4"/>
      <c r="BS108" s="4"/>
      <c r="BT108" s="142"/>
      <c r="BU108" s="143"/>
      <c r="BV108" s="68"/>
      <c r="BW108" s="68"/>
      <c r="BZ108" s="37"/>
      <c r="CA108" s="66"/>
      <c r="CB108" s="68"/>
      <c r="CC108" s="68"/>
      <c r="CD108" s="75"/>
      <c r="CE108" s="68"/>
      <c r="CF108" s="75"/>
      <c r="CG108" s="68"/>
      <c r="CH108" s="4"/>
      <c r="CI108" s="4"/>
      <c r="CJ108" s="4"/>
      <c r="CK108" s="142"/>
      <c r="CL108" s="143"/>
      <c r="CM108" s="68"/>
      <c r="CN108" s="68"/>
      <c r="CQ108" s="37"/>
    </row>
    <row r="109" spans="45:95" x14ac:dyDescent="0.15">
      <c r="AS109" s="66"/>
      <c r="AT109" s="68"/>
      <c r="AU109" s="68"/>
      <c r="AV109" s="75"/>
      <c r="AW109" s="68"/>
      <c r="AX109" s="75"/>
      <c r="AY109" s="68"/>
      <c r="AZ109" s="4"/>
      <c r="BA109" s="4"/>
      <c r="BB109" s="4"/>
      <c r="BC109" s="142"/>
      <c r="BD109" s="143"/>
      <c r="BE109" s="68"/>
      <c r="BF109" s="68"/>
      <c r="BI109" s="37"/>
      <c r="BJ109" s="66"/>
      <c r="BK109" s="68"/>
      <c r="BL109" s="68"/>
      <c r="BM109" s="75"/>
      <c r="BN109" s="68"/>
      <c r="BO109" s="75"/>
      <c r="BP109" s="68"/>
      <c r="BQ109" s="4"/>
      <c r="BR109" s="4"/>
      <c r="BS109" s="4"/>
      <c r="BT109" s="142"/>
      <c r="BU109" s="143"/>
      <c r="BV109" s="68"/>
      <c r="BW109" s="68"/>
      <c r="BZ109" s="37"/>
      <c r="CA109" s="66"/>
      <c r="CB109" s="68"/>
      <c r="CC109" s="68"/>
      <c r="CD109" s="75"/>
      <c r="CE109" s="68"/>
      <c r="CF109" s="75"/>
      <c r="CG109" s="68"/>
      <c r="CH109" s="4"/>
      <c r="CI109" s="4"/>
      <c r="CJ109" s="4"/>
      <c r="CK109" s="142"/>
      <c r="CL109" s="143"/>
      <c r="CM109" s="68"/>
      <c r="CN109" s="68"/>
      <c r="CQ109" s="37"/>
    </row>
    <row r="110" spans="45:95" x14ac:dyDescent="0.15">
      <c r="AS110" s="66"/>
      <c r="AT110" s="68"/>
      <c r="AU110" s="68"/>
      <c r="AV110" s="75"/>
      <c r="AW110" s="68"/>
      <c r="AX110" s="75"/>
      <c r="AY110" s="68"/>
      <c r="AZ110" s="4"/>
      <c r="BA110" s="4"/>
      <c r="BB110" s="4"/>
      <c r="BC110" s="142"/>
      <c r="BD110" s="143"/>
      <c r="BE110" s="68"/>
      <c r="BF110" s="68"/>
      <c r="BI110" s="37"/>
      <c r="BJ110" s="66"/>
      <c r="BK110" s="68"/>
      <c r="BL110" s="68"/>
      <c r="BM110" s="75"/>
      <c r="BN110" s="68"/>
      <c r="BO110" s="75"/>
      <c r="BP110" s="68"/>
      <c r="BQ110" s="4"/>
      <c r="BR110" s="4"/>
      <c r="BS110" s="4"/>
      <c r="BT110" s="142"/>
      <c r="BU110" s="143"/>
      <c r="BV110" s="68"/>
      <c r="BW110" s="68"/>
      <c r="BZ110" s="37"/>
      <c r="CA110" s="66"/>
      <c r="CB110" s="68"/>
      <c r="CC110" s="68"/>
      <c r="CD110" s="75"/>
      <c r="CE110" s="68"/>
      <c r="CF110" s="75"/>
      <c r="CG110" s="68"/>
      <c r="CH110" s="4"/>
      <c r="CI110" s="4"/>
      <c r="CJ110" s="4"/>
      <c r="CK110" s="142"/>
      <c r="CL110" s="143"/>
      <c r="CM110" s="68"/>
      <c r="CN110" s="68"/>
      <c r="CQ110" s="37"/>
    </row>
    <row r="111" spans="45:95" x14ac:dyDescent="0.15">
      <c r="AS111" s="66"/>
      <c r="AT111" s="68"/>
      <c r="AU111" s="68"/>
      <c r="AV111" s="75"/>
      <c r="AW111" s="68"/>
      <c r="AX111" s="75"/>
      <c r="AY111" s="68"/>
      <c r="AZ111" s="4"/>
      <c r="BA111" s="4"/>
      <c r="BB111" s="4"/>
      <c r="BC111" s="142"/>
      <c r="BD111" s="143"/>
      <c r="BE111" s="68"/>
      <c r="BF111" s="68"/>
      <c r="BI111" s="37"/>
      <c r="BJ111" s="66"/>
      <c r="BK111" s="68"/>
      <c r="BL111" s="68"/>
      <c r="BM111" s="75"/>
      <c r="BN111" s="68"/>
      <c r="BO111" s="75"/>
      <c r="BP111" s="68"/>
      <c r="BQ111" s="4"/>
      <c r="BR111" s="4"/>
      <c r="BS111" s="4"/>
      <c r="BT111" s="142"/>
      <c r="BU111" s="143"/>
      <c r="BV111" s="68"/>
      <c r="BW111" s="68"/>
      <c r="BZ111" s="37"/>
      <c r="CA111" s="66"/>
      <c r="CB111" s="68"/>
      <c r="CC111" s="68"/>
      <c r="CD111" s="75"/>
      <c r="CE111" s="68"/>
      <c r="CF111" s="75"/>
      <c r="CG111" s="68"/>
      <c r="CH111" s="4"/>
      <c r="CI111" s="4"/>
      <c r="CJ111" s="4"/>
      <c r="CK111" s="142"/>
      <c r="CL111" s="143"/>
      <c r="CM111" s="68"/>
      <c r="CN111" s="68"/>
      <c r="CQ111" s="37"/>
    </row>
    <row r="112" spans="45:95" x14ac:dyDescent="0.15">
      <c r="AS112" s="66"/>
      <c r="AT112" s="68"/>
      <c r="AU112" s="68"/>
      <c r="AV112" s="75"/>
      <c r="AW112" s="68"/>
      <c r="AX112" s="75"/>
      <c r="AY112" s="68"/>
      <c r="AZ112" s="4"/>
      <c r="BA112" s="4"/>
      <c r="BB112" s="4"/>
      <c r="BC112" s="142"/>
      <c r="BD112" s="143"/>
      <c r="BE112" s="68"/>
      <c r="BF112" s="68"/>
      <c r="BI112" s="37"/>
      <c r="BJ112" s="66"/>
      <c r="BK112" s="68"/>
      <c r="BL112" s="68"/>
      <c r="BM112" s="75"/>
      <c r="BN112" s="68"/>
      <c r="BO112" s="75"/>
      <c r="BP112" s="68"/>
      <c r="BQ112" s="4"/>
      <c r="BR112" s="4"/>
      <c r="BS112" s="4"/>
      <c r="BT112" s="142"/>
      <c r="BU112" s="143"/>
      <c r="BV112" s="68"/>
      <c r="BW112" s="68"/>
      <c r="BZ112" s="37"/>
      <c r="CA112" s="66"/>
      <c r="CB112" s="68"/>
      <c r="CC112" s="68"/>
      <c r="CD112" s="75"/>
      <c r="CE112" s="68"/>
      <c r="CF112" s="75"/>
      <c r="CG112" s="68"/>
      <c r="CH112" s="4"/>
      <c r="CI112" s="4"/>
      <c r="CJ112" s="4"/>
      <c r="CK112" s="142"/>
      <c r="CL112" s="143"/>
      <c r="CM112" s="68"/>
      <c r="CN112" s="68"/>
      <c r="CQ112" s="37"/>
    </row>
    <row r="113" spans="45:95" x14ac:dyDescent="0.15">
      <c r="AS113" s="66"/>
      <c r="AT113" s="68"/>
      <c r="AU113" s="68"/>
      <c r="AV113" s="75"/>
      <c r="AW113" s="68"/>
      <c r="AX113" s="75"/>
      <c r="AY113" s="68"/>
      <c r="AZ113" s="4"/>
      <c r="BA113" s="4"/>
      <c r="BB113" s="4"/>
      <c r="BC113" s="142"/>
      <c r="BD113" s="143"/>
      <c r="BE113" s="68"/>
      <c r="BF113" s="68"/>
      <c r="BI113" s="37"/>
      <c r="BJ113" s="66"/>
      <c r="BK113" s="68"/>
      <c r="BL113" s="68"/>
      <c r="BM113" s="75"/>
      <c r="BN113" s="68"/>
      <c r="BO113" s="75"/>
      <c r="BP113" s="68"/>
      <c r="BQ113" s="4"/>
      <c r="BR113" s="4"/>
      <c r="BS113" s="4"/>
      <c r="BT113" s="142"/>
      <c r="BU113" s="143"/>
      <c r="BV113" s="68"/>
      <c r="BW113" s="68"/>
      <c r="BZ113" s="37"/>
      <c r="CA113" s="66"/>
      <c r="CB113" s="68"/>
      <c r="CC113" s="68"/>
      <c r="CD113" s="75"/>
      <c r="CE113" s="68"/>
      <c r="CF113" s="75"/>
      <c r="CG113" s="68"/>
      <c r="CH113" s="4"/>
      <c r="CI113" s="4"/>
      <c r="CJ113" s="4"/>
      <c r="CK113" s="142"/>
      <c r="CL113" s="143"/>
      <c r="CM113" s="68"/>
      <c r="CN113" s="68"/>
      <c r="CQ113" s="37"/>
    </row>
    <row r="114" spans="45:95" x14ac:dyDescent="0.15">
      <c r="AS114" s="66"/>
      <c r="AT114" s="68"/>
      <c r="AU114" s="68"/>
      <c r="AV114" s="75"/>
      <c r="AW114" s="68"/>
      <c r="AX114" s="75"/>
      <c r="AY114" s="68"/>
      <c r="AZ114" s="4"/>
      <c r="BA114" s="4"/>
      <c r="BB114" s="4"/>
      <c r="BC114" s="142"/>
      <c r="BD114" s="143"/>
      <c r="BE114" s="68"/>
      <c r="BF114" s="68"/>
      <c r="BI114" s="37"/>
      <c r="BJ114" s="66"/>
      <c r="BK114" s="68"/>
      <c r="BL114" s="68"/>
      <c r="BM114" s="75"/>
      <c r="BN114" s="68"/>
      <c r="BO114" s="75"/>
      <c r="BP114" s="68"/>
      <c r="BQ114" s="4"/>
      <c r="BR114" s="4"/>
      <c r="BS114" s="4"/>
      <c r="BT114" s="142"/>
      <c r="BU114" s="143"/>
      <c r="BV114" s="68"/>
      <c r="BW114" s="68"/>
      <c r="BZ114" s="37"/>
      <c r="CA114" s="66"/>
      <c r="CB114" s="68"/>
      <c r="CC114" s="68"/>
      <c r="CD114" s="75"/>
      <c r="CE114" s="68"/>
      <c r="CF114" s="75"/>
      <c r="CG114" s="68"/>
      <c r="CH114" s="4"/>
      <c r="CI114" s="4"/>
      <c r="CJ114" s="4"/>
      <c r="CK114" s="142"/>
      <c r="CL114" s="143"/>
      <c r="CM114" s="68"/>
      <c r="CN114" s="68"/>
      <c r="CQ114" s="37"/>
    </row>
    <row r="115" spans="45:95" x14ac:dyDescent="0.15">
      <c r="AS115" s="66"/>
      <c r="AT115" s="68"/>
      <c r="AU115" s="68"/>
      <c r="AV115" s="75"/>
      <c r="AW115" s="68"/>
      <c r="AX115" s="75"/>
      <c r="AY115" s="68"/>
      <c r="AZ115" s="4"/>
      <c r="BA115" s="4"/>
      <c r="BB115" s="4"/>
      <c r="BC115" s="142"/>
      <c r="BD115" s="143"/>
      <c r="BE115" s="68"/>
      <c r="BF115" s="68"/>
      <c r="BI115" s="37"/>
      <c r="BJ115" s="66"/>
      <c r="BK115" s="68"/>
      <c r="BL115" s="68"/>
      <c r="BM115" s="75"/>
      <c r="BN115" s="68"/>
      <c r="BO115" s="75"/>
      <c r="BP115" s="68"/>
      <c r="BQ115" s="4"/>
      <c r="BR115" s="4"/>
      <c r="BS115" s="4"/>
      <c r="BT115" s="142"/>
      <c r="BU115" s="143"/>
      <c r="BV115" s="68"/>
      <c r="BW115" s="68"/>
      <c r="BZ115" s="37"/>
      <c r="CA115" s="66"/>
      <c r="CB115" s="68"/>
      <c r="CC115" s="68"/>
      <c r="CD115" s="75"/>
      <c r="CE115" s="68"/>
      <c r="CF115" s="75"/>
      <c r="CG115" s="68"/>
      <c r="CH115" s="4"/>
      <c r="CI115" s="4"/>
      <c r="CJ115" s="4"/>
      <c r="CK115" s="142"/>
      <c r="CL115" s="143"/>
      <c r="CM115" s="68"/>
      <c r="CN115" s="68"/>
      <c r="CQ115" s="37"/>
    </row>
    <row r="116" spans="45:95" x14ac:dyDescent="0.15">
      <c r="AS116" s="66"/>
      <c r="AT116" s="68"/>
      <c r="AU116" s="68"/>
      <c r="AV116" s="75"/>
      <c r="AW116" s="68"/>
      <c r="AX116" s="75"/>
      <c r="AY116" s="68"/>
      <c r="AZ116" s="4"/>
      <c r="BA116" s="4"/>
      <c r="BB116" s="4"/>
      <c r="BC116" s="142"/>
      <c r="BD116" s="143"/>
      <c r="BE116" s="68"/>
      <c r="BF116" s="68"/>
      <c r="BI116" s="37"/>
      <c r="BJ116" s="66"/>
      <c r="BK116" s="68"/>
      <c r="BL116" s="68"/>
      <c r="BM116" s="75"/>
      <c r="BN116" s="68"/>
      <c r="BO116" s="75"/>
      <c r="BP116" s="68"/>
      <c r="BQ116" s="4"/>
      <c r="BR116" s="4"/>
      <c r="BS116" s="4"/>
      <c r="BT116" s="142"/>
      <c r="BU116" s="143"/>
      <c r="BV116" s="68"/>
      <c r="BW116" s="68"/>
      <c r="BZ116" s="37"/>
      <c r="CA116" s="66"/>
      <c r="CB116" s="68"/>
      <c r="CC116" s="68"/>
      <c r="CD116" s="75"/>
      <c r="CE116" s="68"/>
      <c r="CF116" s="75"/>
      <c r="CG116" s="68"/>
      <c r="CH116" s="4"/>
      <c r="CI116" s="4"/>
      <c r="CJ116" s="4"/>
      <c r="CK116" s="142"/>
      <c r="CL116" s="143"/>
      <c r="CM116" s="68"/>
      <c r="CN116" s="68"/>
      <c r="CQ116" s="37"/>
    </row>
    <row r="117" spans="45:95" x14ac:dyDescent="0.15">
      <c r="AS117" s="66"/>
      <c r="AT117" s="68"/>
      <c r="AU117" s="68"/>
      <c r="AV117" s="75"/>
      <c r="AW117" s="68"/>
      <c r="AX117" s="75"/>
      <c r="AY117" s="68"/>
      <c r="AZ117" s="4"/>
      <c r="BA117" s="4"/>
      <c r="BB117" s="4"/>
      <c r="BC117" s="142"/>
      <c r="BD117" s="143"/>
      <c r="BE117" s="68"/>
      <c r="BF117" s="68"/>
      <c r="BI117" s="37"/>
      <c r="BJ117" s="66"/>
      <c r="BK117" s="68"/>
      <c r="BL117" s="68"/>
      <c r="BM117" s="75"/>
      <c r="BN117" s="68"/>
      <c r="BO117" s="75"/>
      <c r="BP117" s="68"/>
      <c r="BQ117" s="4"/>
      <c r="BR117" s="4"/>
      <c r="BS117" s="4"/>
      <c r="BT117" s="142"/>
      <c r="BU117" s="143"/>
      <c r="BV117" s="68"/>
      <c r="BW117" s="68"/>
      <c r="BZ117" s="37"/>
      <c r="CA117" s="66"/>
      <c r="CB117" s="68"/>
      <c r="CC117" s="68"/>
      <c r="CD117" s="75"/>
      <c r="CE117" s="68"/>
      <c r="CF117" s="75"/>
      <c r="CG117" s="68"/>
      <c r="CH117" s="4"/>
      <c r="CI117" s="4"/>
      <c r="CJ117" s="4"/>
      <c r="CK117" s="142"/>
      <c r="CL117" s="143"/>
      <c r="CM117" s="68"/>
      <c r="CN117" s="68"/>
      <c r="CQ117" s="37"/>
    </row>
    <row r="118" spans="45:95" x14ac:dyDescent="0.15">
      <c r="AS118" s="66"/>
      <c r="AT118" s="68"/>
      <c r="AU118" s="68"/>
      <c r="AV118" s="75"/>
      <c r="AW118" s="68"/>
      <c r="AX118" s="75"/>
      <c r="AY118" s="68"/>
      <c r="AZ118" s="4"/>
      <c r="BA118" s="4"/>
      <c r="BB118" s="4"/>
      <c r="BC118" s="142"/>
      <c r="BD118" s="143"/>
      <c r="BE118" s="68"/>
      <c r="BF118" s="68"/>
      <c r="BI118" s="37"/>
      <c r="BJ118" s="66"/>
      <c r="BK118" s="68"/>
      <c r="BL118" s="68"/>
      <c r="BM118" s="75"/>
      <c r="BN118" s="68"/>
      <c r="BO118" s="75"/>
      <c r="BP118" s="68"/>
      <c r="BQ118" s="4"/>
      <c r="BR118" s="4"/>
      <c r="BS118" s="4"/>
      <c r="BT118" s="142"/>
      <c r="BU118" s="143"/>
      <c r="BV118" s="68"/>
      <c r="BW118" s="68"/>
      <c r="BZ118" s="37"/>
      <c r="CA118" s="66"/>
      <c r="CB118" s="68"/>
      <c r="CC118" s="68"/>
      <c r="CD118" s="75"/>
      <c r="CE118" s="68"/>
      <c r="CF118" s="75"/>
      <c r="CG118" s="68"/>
      <c r="CH118" s="4"/>
      <c r="CI118" s="4"/>
      <c r="CJ118" s="4"/>
      <c r="CK118" s="142"/>
      <c r="CL118" s="143"/>
      <c r="CM118" s="68"/>
      <c r="CN118" s="68"/>
      <c r="CQ118" s="37"/>
    </row>
    <row r="119" spans="45:95" x14ac:dyDescent="0.15">
      <c r="AS119" s="66"/>
      <c r="AT119" s="68"/>
      <c r="AU119" s="68"/>
      <c r="AV119" s="75"/>
      <c r="AW119" s="68"/>
      <c r="AX119" s="75"/>
      <c r="AY119" s="68"/>
      <c r="AZ119" s="4"/>
      <c r="BA119" s="4"/>
      <c r="BB119" s="4"/>
      <c r="BC119" s="142"/>
      <c r="BD119" s="143"/>
      <c r="BE119" s="68"/>
      <c r="BF119" s="68"/>
      <c r="BI119" s="37"/>
      <c r="BJ119" s="66"/>
      <c r="BK119" s="68"/>
      <c r="BL119" s="68"/>
      <c r="BM119" s="75"/>
      <c r="BN119" s="68"/>
      <c r="BO119" s="75"/>
      <c r="BP119" s="68"/>
      <c r="BQ119" s="4"/>
      <c r="BR119" s="4"/>
      <c r="BS119" s="4"/>
      <c r="BT119" s="142"/>
      <c r="BU119" s="143"/>
      <c r="BV119" s="68"/>
      <c r="BW119" s="68"/>
      <c r="BZ119" s="37"/>
      <c r="CA119" s="66"/>
      <c r="CB119" s="68"/>
      <c r="CC119" s="68"/>
      <c r="CD119" s="75"/>
      <c r="CE119" s="68"/>
      <c r="CF119" s="75"/>
      <c r="CG119" s="68"/>
      <c r="CH119" s="4"/>
      <c r="CI119" s="4"/>
      <c r="CJ119" s="4"/>
      <c r="CK119" s="142"/>
      <c r="CL119" s="143"/>
      <c r="CM119" s="68"/>
      <c r="CN119" s="68"/>
      <c r="CQ119" s="37"/>
    </row>
    <row r="120" spans="45:95" x14ac:dyDescent="0.15">
      <c r="AS120" s="66"/>
      <c r="AT120" s="68"/>
      <c r="AU120" s="68"/>
      <c r="AV120" s="75"/>
      <c r="AW120" s="68"/>
      <c r="AX120" s="75"/>
      <c r="AY120" s="68"/>
      <c r="AZ120" s="4"/>
      <c r="BA120" s="4"/>
      <c r="BB120" s="4"/>
      <c r="BC120" s="142"/>
      <c r="BD120" s="143"/>
      <c r="BE120" s="68"/>
      <c r="BF120" s="68"/>
      <c r="BI120" s="37"/>
      <c r="BJ120" s="66"/>
      <c r="BK120" s="68"/>
      <c r="BL120" s="68"/>
      <c r="BM120" s="75"/>
      <c r="BN120" s="68"/>
      <c r="BO120" s="75"/>
      <c r="BP120" s="68"/>
      <c r="BQ120" s="4"/>
      <c r="BR120" s="4"/>
      <c r="BS120" s="4"/>
      <c r="BT120" s="142"/>
      <c r="BU120" s="143"/>
      <c r="BV120" s="68"/>
      <c r="BW120" s="68"/>
      <c r="BZ120" s="37"/>
      <c r="CA120" s="66"/>
      <c r="CB120" s="68"/>
      <c r="CC120" s="68"/>
      <c r="CD120" s="75"/>
      <c r="CE120" s="68"/>
      <c r="CF120" s="75"/>
      <c r="CG120" s="68"/>
      <c r="CH120" s="4"/>
      <c r="CI120" s="4"/>
      <c r="CJ120" s="4"/>
      <c r="CK120" s="142"/>
      <c r="CL120" s="143"/>
      <c r="CM120" s="68"/>
      <c r="CN120" s="68"/>
      <c r="CQ120" s="37"/>
    </row>
    <row r="121" spans="45:95" x14ac:dyDescent="0.15">
      <c r="AS121" s="66"/>
      <c r="AT121" s="68"/>
      <c r="AU121" s="68"/>
      <c r="AV121" s="75"/>
      <c r="AW121" s="68"/>
      <c r="AX121" s="75"/>
      <c r="AY121" s="68"/>
      <c r="AZ121" s="4"/>
      <c r="BA121" s="4"/>
      <c r="BB121" s="4"/>
      <c r="BC121" s="142"/>
      <c r="BD121" s="143"/>
      <c r="BE121" s="68"/>
      <c r="BF121" s="68"/>
      <c r="BI121" s="37"/>
      <c r="BJ121" s="66"/>
      <c r="BK121" s="68"/>
      <c r="BL121" s="68"/>
      <c r="BM121" s="75"/>
      <c r="BN121" s="68"/>
      <c r="BO121" s="75"/>
      <c r="BP121" s="68"/>
      <c r="BQ121" s="4"/>
      <c r="BR121" s="4"/>
      <c r="BS121" s="4"/>
      <c r="BT121" s="142"/>
      <c r="BU121" s="143"/>
      <c r="BV121" s="68"/>
      <c r="BW121" s="68"/>
      <c r="BZ121" s="37"/>
      <c r="CA121" s="66"/>
      <c r="CB121" s="68"/>
      <c r="CC121" s="68"/>
      <c r="CD121" s="75"/>
      <c r="CE121" s="68"/>
      <c r="CF121" s="75"/>
      <c r="CG121" s="68"/>
      <c r="CH121" s="4"/>
      <c r="CI121" s="4"/>
      <c r="CJ121" s="4"/>
      <c r="CK121" s="142"/>
      <c r="CL121" s="143"/>
      <c r="CM121" s="68"/>
      <c r="CN121" s="68"/>
      <c r="CQ121" s="37"/>
    </row>
    <row r="122" spans="45:95" x14ac:dyDescent="0.15">
      <c r="AS122" s="66"/>
      <c r="AT122" s="68"/>
      <c r="AU122" s="68"/>
      <c r="AV122" s="75"/>
      <c r="AW122" s="68"/>
      <c r="AX122" s="75"/>
      <c r="AY122" s="68"/>
      <c r="AZ122" s="4"/>
      <c r="BA122" s="4"/>
      <c r="BB122" s="4"/>
      <c r="BC122" s="142"/>
      <c r="BD122" s="143"/>
      <c r="BE122" s="68"/>
      <c r="BF122" s="68"/>
      <c r="BI122" s="37"/>
      <c r="BJ122" s="66"/>
      <c r="BK122" s="68"/>
      <c r="BL122" s="68"/>
      <c r="BM122" s="75"/>
      <c r="BN122" s="68"/>
      <c r="BO122" s="75"/>
      <c r="BP122" s="68"/>
      <c r="BQ122" s="4"/>
      <c r="BR122" s="4"/>
      <c r="BS122" s="4"/>
      <c r="BT122" s="142"/>
      <c r="BU122" s="143"/>
      <c r="BV122" s="68"/>
      <c r="BW122" s="68"/>
      <c r="BZ122" s="37"/>
      <c r="CA122" s="66"/>
      <c r="CB122" s="68"/>
      <c r="CC122" s="68"/>
      <c r="CD122" s="75"/>
      <c r="CE122" s="68"/>
      <c r="CF122" s="75"/>
      <c r="CG122" s="68"/>
      <c r="CH122" s="4"/>
      <c r="CI122" s="4"/>
      <c r="CJ122" s="4"/>
      <c r="CK122" s="142"/>
      <c r="CL122" s="143"/>
      <c r="CM122" s="68"/>
      <c r="CN122" s="68"/>
      <c r="CQ122" s="37"/>
    </row>
    <row r="123" spans="45:95" x14ac:dyDescent="0.15">
      <c r="AS123" s="66"/>
      <c r="AT123" s="68"/>
      <c r="AU123" s="68"/>
      <c r="AV123" s="75"/>
      <c r="AW123" s="68"/>
      <c r="AX123" s="75"/>
      <c r="AY123" s="68"/>
      <c r="AZ123" s="4"/>
      <c r="BA123" s="4"/>
      <c r="BB123" s="4"/>
      <c r="BC123" s="142"/>
      <c r="BD123" s="143"/>
      <c r="BE123" s="68"/>
      <c r="BF123" s="68"/>
      <c r="BI123" s="37"/>
      <c r="BJ123" s="66"/>
      <c r="BK123" s="68"/>
      <c r="BL123" s="68"/>
      <c r="BM123" s="75"/>
      <c r="BN123" s="68"/>
      <c r="BO123" s="75"/>
      <c r="BP123" s="68"/>
      <c r="BQ123" s="4"/>
      <c r="BR123" s="4"/>
      <c r="BS123" s="4"/>
      <c r="BT123" s="142"/>
      <c r="BU123" s="143"/>
      <c r="BV123" s="68"/>
      <c r="BW123" s="68"/>
      <c r="BZ123" s="37"/>
      <c r="CA123" s="66"/>
      <c r="CB123" s="68"/>
      <c r="CC123" s="68"/>
      <c r="CD123" s="75"/>
      <c r="CE123" s="68"/>
      <c r="CF123" s="75"/>
      <c r="CG123" s="68"/>
      <c r="CH123" s="4"/>
      <c r="CI123" s="4"/>
      <c r="CJ123" s="4"/>
      <c r="CK123" s="142"/>
      <c r="CL123" s="143"/>
      <c r="CM123" s="68"/>
      <c r="CN123" s="68"/>
      <c r="CQ123" s="37"/>
    </row>
    <row r="124" spans="45:95" x14ac:dyDescent="0.15">
      <c r="AS124" s="66"/>
      <c r="AT124" s="68"/>
      <c r="AU124" s="68"/>
      <c r="AV124" s="75"/>
      <c r="AW124" s="68"/>
      <c r="AX124" s="75"/>
      <c r="AY124" s="68"/>
      <c r="AZ124" s="4"/>
      <c r="BA124" s="4"/>
      <c r="BB124" s="4"/>
      <c r="BC124" s="142"/>
      <c r="BD124" s="143"/>
      <c r="BE124" s="68"/>
      <c r="BF124" s="68"/>
      <c r="BI124" s="37"/>
      <c r="BJ124" s="66"/>
      <c r="BK124" s="68"/>
      <c r="BL124" s="68"/>
      <c r="BM124" s="75"/>
      <c r="BN124" s="68"/>
      <c r="BO124" s="75"/>
      <c r="BP124" s="68"/>
      <c r="BQ124" s="4"/>
      <c r="BR124" s="4"/>
      <c r="BS124" s="4"/>
      <c r="BT124" s="142"/>
      <c r="BU124" s="143"/>
      <c r="BV124" s="68"/>
      <c r="BW124" s="68"/>
      <c r="BZ124" s="37"/>
      <c r="CA124" s="66"/>
      <c r="CB124" s="68"/>
      <c r="CC124" s="68"/>
      <c r="CD124" s="75"/>
      <c r="CE124" s="68"/>
      <c r="CF124" s="75"/>
      <c r="CG124" s="68"/>
      <c r="CH124" s="4"/>
      <c r="CI124" s="4"/>
      <c r="CJ124" s="4"/>
      <c r="CK124" s="142"/>
      <c r="CL124" s="143"/>
      <c r="CM124" s="68"/>
      <c r="CN124" s="68"/>
      <c r="CQ124" s="37"/>
    </row>
    <row r="125" spans="45:95" x14ac:dyDescent="0.15">
      <c r="AS125" s="66"/>
      <c r="AT125" s="68"/>
      <c r="AU125" s="68"/>
      <c r="AV125" s="75"/>
      <c r="AW125" s="68"/>
      <c r="AX125" s="75"/>
      <c r="AY125" s="68"/>
      <c r="AZ125" s="4"/>
      <c r="BA125" s="4"/>
      <c r="BB125" s="4"/>
      <c r="BC125" s="142"/>
      <c r="BD125" s="143"/>
      <c r="BE125" s="68"/>
      <c r="BF125" s="68"/>
      <c r="BI125" s="37"/>
      <c r="BJ125" s="66"/>
      <c r="BK125" s="68"/>
      <c r="BL125" s="68"/>
      <c r="BM125" s="75"/>
      <c r="BN125" s="68"/>
      <c r="BO125" s="75"/>
      <c r="BP125" s="68"/>
      <c r="BQ125" s="4"/>
      <c r="BR125" s="4"/>
      <c r="BS125" s="4"/>
      <c r="BT125" s="142"/>
      <c r="BU125" s="143"/>
      <c r="BV125" s="68"/>
      <c r="BW125" s="68"/>
      <c r="BZ125" s="37"/>
      <c r="CA125" s="66"/>
      <c r="CB125" s="68"/>
      <c r="CC125" s="68"/>
      <c r="CD125" s="75"/>
      <c r="CE125" s="68"/>
      <c r="CF125" s="75"/>
      <c r="CG125" s="68"/>
      <c r="CH125" s="4"/>
      <c r="CI125" s="4"/>
      <c r="CJ125" s="4"/>
      <c r="CK125" s="142"/>
      <c r="CL125" s="143"/>
      <c r="CM125" s="68"/>
      <c r="CN125" s="68"/>
      <c r="CQ125" s="37"/>
    </row>
    <row r="126" spans="45:95" x14ac:dyDescent="0.15">
      <c r="AS126" s="66"/>
      <c r="AT126" s="68"/>
      <c r="AU126" s="68"/>
      <c r="AV126" s="75"/>
      <c r="AW126" s="68"/>
      <c r="AX126" s="75"/>
      <c r="AY126" s="68"/>
      <c r="AZ126" s="4"/>
      <c r="BA126" s="4"/>
      <c r="BB126" s="4"/>
      <c r="BC126" s="142"/>
      <c r="BD126" s="143"/>
      <c r="BE126" s="68"/>
      <c r="BF126" s="68"/>
      <c r="BI126" s="37"/>
      <c r="BJ126" s="66"/>
      <c r="BK126" s="68"/>
      <c r="BL126" s="68"/>
      <c r="BM126" s="75"/>
      <c r="BN126" s="68"/>
      <c r="BO126" s="75"/>
      <c r="BP126" s="68"/>
      <c r="BQ126" s="4"/>
      <c r="BR126" s="4"/>
      <c r="BS126" s="4"/>
      <c r="BT126" s="142"/>
      <c r="BU126" s="143"/>
      <c r="BV126" s="68"/>
      <c r="BW126" s="68"/>
      <c r="BZ126" s="37"/>
      <c r="CA126" s="66"/>
      <c r="CB126" s="68"/>
      <c r="CC126" s="68"/>
      <c r="CD126" s="75"/>
      <c r="CE126" s="68"/>
      <c r="CF126" s="75"/>
      <c r="CG126" s="68"/>
      <c r="CH126" s="4"/>
      <c r="CI126" s="4"/>
      <c r="CJ126" s="4"/>
      <c r="CK126" s="142"/>
      <c r="CL126" s="143"/>
      <c r="CM126" s="68"/>
      <c r="CN126" s="68"/>
      <c r="CQ126" s="37"/>
    </row>
    <row r="127" spans="45:95" x14ac:dyDescent="0.15">
      <c r="AS127" s="66"/>
      <c r="AT127" s="68"/>
      <c r="AU127" s="68"/>
      <c r="AV127" s="75"/>
      <c r="AW127" s="68"/>
      <c r="AX127" s="75"/>
      <c r="AY127" s="68"/>
      <c r="AZ127" s="4"/>
      <c r="BA127" s="4"/>
      <c r="BB127" s="4"/>
      <c r="BC127" s="142"/>
      <c r="BD127" s="143"/>
      <c r="BE127" s="68"/>
      <c r="BF127" s="68"/>
      <c r="BI127" s="37"/>
      <c r="BJ127" s="66"/>
      <c r="BK127" s="68"/>
      <c r="BL127" s="68"/>
      <c r="BM127" s="75"/>
      <c r="BN127" s="68"/>
      <c r="BO127" s="75"/>
      <c r="BP127" s="68"/>
      <c r="BQ127" s="4"/>
      <c r="BR127" s="4"/>
      <c r="BS127" s="4"/>
      <c r="BT127" s="142"/>
      <c r="BU127" s="143"/>
      <c r="BV127" s="68"/>
      <c r="BW127" s="68"/>
      <c r="BZ127" s="37"/>
      <c r="CA127" s="66"/>
      <c r="CB127" s="68"/>
      <c r="CC127" s="68"/>
      <c r="CD127" s="75"/>
      <c r="CE127" s="68"/>
      <c r="CF127" s="75"/>
      <c r="CG127" s="68"/>
      <c r="CH127" s="4"/>
      <c r="CI127" s="4"/>
      <c r="CJ127" s="4"/>
      <c r="CK127" s="142"/>
      <c r="CL127" s="143"/>
      <c r="CM127" s="68"/>
      <c r="CN127" s="68"/>
      <c r="CQ127" s="37"/>
    </row>
    <row r="128" spans="45:95" x14ac:dyDescent="0.15">
      <c r="AS128" s="66"/>
      <c r="AT128" s="68"/>
      <c r="AU128" s="68"/>
      <c r="AV128" s="75"/>
      <c r="AW128" s="68"/>
      <c r="AX128" s="75"/>
      <c r="AY128" s="68"/>
      <c r="AZ128" s="4"/>
      <c r="BA128" s="4"/>
      <c r="BB128" s="4"/>
      <c r="BC128" s="142"/>
      <c r="BD128" s="143"/>
      <c r="BE128" s="68"/>
      <c r="BF128" s="68"/>
      <c r="BI128" s="37"/>
      <c r="BJ128" s="66"/>
      <c r="BK128" s="68"/>
      <c r="BL128" s="68"/>
      <c r="BM128" s="75"/>
      <c r="BN128" s="68"/>
      <c r="BO128" s="75"/>
      <c r="BP128" s="68"/>
      <c r="BQ128" s="4"/>
      <c r="BR128" s="4"/>
      <c r="BS128" s="4"/>
      <c r="BT128" s="142"/>
      <c r="BU128" s="143"/>
      <c r="BV128" s="68"/>
      <c r="BW128" s="68"/>
      <c r="BZ128" s="37"/>
      <c r="CA128" s="66"/>
      <c r="CB128" s="68"/>
      <c r="CC128" s="68"/>
      <c r="CD128" s="75"/>
      <c r="CE128" s="68"/>
      <c r="CF128" s="75"/>
      <c r="CG128" s="68"/>
      <c r="CH128" s="4"/>
      <c r="CI128" s="4"/>
      <c r="CJ128" s="4"/>
      <c r="CK128" s="142"/>
      <c r="CL128" s="143"/>
      <c r="CM128" s="68"/>
      <c r="CN128" s="68"/>
      <c r="CQ128" s="37"/>
    </row>
    <row r="129" spans="45:95" x14ac:dyDescent="0.15">
      <c r="AS129" s="66"/>
      <c r="AT129" s="68"/>
      <c r="AU129" s="68"/>
      <c r="AV129" s="75"/>
      <c r="AW129" s="68"/>
      <c r="AX129" s="75"/>
      <c r="AY129" s="68"/>
      <c r="AZ129" s="4"/>
      <c r="BA129" s="4"/>
      <c r="BB129" s="4"/>
      <c r="BC129" s="142"/>
      <c r="BD129" s="143"/>
      <c r="BE129" s="68"/>
      <c r="BF129" s="68"/>
      <c r="BI129" s="37"/>
      <c r="BJ129" s="66"/>
      <c r="BK129" s="68"/>
      <c r="BL129" s="68"/>
      <c r="BM129" s="75"/>
      <c r="BN129" s="68"/>
      <c r="BO129" s="75"/>
      <c r="BP129" s="68"/>
      <c r="BQ129" s="4"/>
      <c r="BR129" s="4"/>
      <c r="BS129" s="4"/>
      <c r="BT129" s="142"/>
      <c r="BU129" s="143"/>
      <c r="BV129" s="68"/>
      <c r="BW129" s="68"/>
      <c r="BZ129" s="37"/>
      <c r="CA129" s="66"/>
      <c r="CB129" s="68"/>
      <c r="CC129" s="68"/>
      <c r="CD129" s="75"/>
      <c r="CE129" s="68"/>
      <c r="CF129" s="75"/>
      <c r="CG129" s="68"/>
      <c r="CH129" s="4"/>
      <c r="CI129" s="4"/>
      <c r="CJ129" s="4"/>
      <c r="CK129" s="142"/>
      <c r="CL129" s="143"/>
      <c r="CM129" s="68"/>
      <c r="CN129" s="68"/>
      <c r="CQ129" s="37"/>
    </row>
    <row r="130" spans="45:95" x14ac:dyDescent="0.15">
      <c r="AS130" s="66"/>
      <c r="AT130" s="68"/>
      <c r="AU130" s="68"/>
      <c r="AV130" s="75"/>
      <c r="AW130" s="68"/>
      <c r="AX130" s="75"/>
      <c r="AY130" s="68"/>
      <c r="AZ130" s="4"/>
      <c r="BA130" s="4"/>
      <c r="BB130" s="4"/>
      <c r="BC130" s="142"/>
      <c r="BD130" s="143"/>
      <c r="BE130" s="68"/>
      <c r="BF130" s="68"/>
      <c r="BI130" s="37"/>
      <c r="BJ130" s="66"/>
      <c r="BK130" s="68"/>
      <c r="BL130" s="68"/>
      <c r="BM130" s="75"/>
      <c r="BN130" s="68"/>
      <c r="BO130" s="75"/>
      <c r="BP130" s="68"/>
      <c r="BQ130" s="4"/>
      <c r="BR130" s="4"/>
      <c r="BS130" s="4"/>
      <c r="BT130" s="142"/>
      <c r="BU130" s="143"/>
      <c r="BV130" s="68"/>
      <c r="BW130" s="68"/>
      <c r="BZ130" s="37"/>
      <c r="CA130" s="66"/>
      <c r="CB130" s="68"/>
      <c r="CC130" s="68"/>
      <c r="CD130" s="75"/>
      <c r="CE130" s="68"/>
      <c r="CF130" s="75"/>
      <c r="CG130" s="68"/>
      <c r="CH130" s="4"/>
      <c r="CI130" s="4"/>
      <c r="CJ130" s="4"/>
      <c r="CK130" s="142"/>
      <c r="CL130" s="143"/>
      <c r="CM130" s="68"/>
      <c r="CN130" s="68"/>
      <c r="CQ130" s="37"/>
    </row>
    <row r="131" spans="45:95" x14ac:dyDescent="0.15">
      <c r="AS131" s="66"/>
      <c r="AT131" s="68"/>
      <c r="AU131" s="68"/>
      <c r="AV131" s="75"/>
      <c r="AW131" s="68"/>
      <c r="AX131" s="75"/>
      <c r="AY131" s="68"/>
      <c r="AZ131" s="4"/>
      <c r="BA131" s="4"/>
      <c r="BB131" s="4"/>
      <c r="BC131" s="142"/>
      <c r="BD131" s="143"/>
      <c r="BE131" s="68"/>
      <c r="BF131" s="68"/>
      <c r="BI131" s="37"/>
      <c r="BJ131" s="66"/>
      <c r="BK131" s="68"/>
      <c r="BL131" s="68"/>
      <c r="BM131" s="75"/>
      <c r="BN131" s="68"/>
      <c r="BO131" s="75"/>
      <c r="BP131" s="68"/>
      <c r="BQ131" s="4"/>
      <c r="BR131" s="4"/>
      <c r="BS131" s="4"/>
      <c r="BT131" s="142"/>
      <c r="BU131" s="143"/>
      <c r="BV131" s="68"/>
      <c r="BW131" s="68"/>
      <c r="BZ131" s="37"/>
      <c r="CA131" s="66"/>
      <c r="CB131" s="68"/>
      <c r="CC131" s="68"/>
      <c r="CD131" s="75"/>
      <c r="CE131" s="68"/>
      <c r="CF131" s="75"/>
      <c r="CG131" s="68"/>
      <c r="CH131" s="4"/>
      <c r="CI131" s="4"/>
      <c r="CJ131" s="4"/>
      <c r="CK131" s="142"/>
      <c r="CL131" s="143"/>
      <c r="CM131" s="68"/>
      <c r="CN131" s="68"/>
      <c r="CQ131" s="37"/>
    </row>
    <row r="132" spans="45:95" x14ac:dyDescent="0.15">
      <c r="AS132" s="66"/>
      <c r="AT132" s="68"/>
      <c r="AU132" s="68"/>
      <c r="AV132" s="75"/>
      <c r="AW132" s="68"/>
      <c r="AX132" s="75"/>
      <c r="AY132" s="68"/>
      <c r="AZ132" s="4"/>
      <c r="BA132" s="4"/>
      <c r="BB132" s="4"/>
      <c r="BC132" s="142"/>
      <c r="BD132" s="143"/>
      <c r="BE132" s="68"/>
      <c r="BF132" s="68"/>
      <c r="BI132" s="37"/>
      <c r="BJ132" s="66"/>
      <c r="BK132" s="68"/>
      <c r="BL132" s="68"/>
      <c r="BM132" s="75"/>
      <c r="BN132" s="68"/>
      <c r="BO132" s="75"/>
      <c r="BP132" s="68"/>
      <c r="BQ132" s="4"/>
      <c r="BR132" s="4"/>
      <c r="BS132" s="4"/>
      <c r="BT132" s="142"/>
      <c r="BU132" s="143"/>
      <c r="BV132" s="68"/>
      <c r="BW132" s="68"/>
      <c r="BZ132" s="37"/>
      <c r="CA132" s="66"/>
      <c r="CB132" s="68"/>
      <c r="CC132" s="68"/>
      <c r="CD132" s="75"/>
      <c r="CE132" s="68"/>
      <c r="CF132" s="75"/>
      <c r="CG132" s="68"/>
      <c r="CH132" s="4"/>
      <c r="CI132" s="4"/>
      <c r="CJ132" s="4"/>
      <c r="CK132" s="142"/>
      <c r="CL132" s="143"/>
      <c r="CM132" s="68"/>
      <c r="CN132" s="68"/>
      <c r="CQ132" s="37"/>
    </row>
    <row r="133" spans="45:95" x14ac:dyDescent="0.15">
      <c r="AS133" s="66"/>
      <c r="AT133" s="68"/>
      <c r="AU133" s="68"/>
      <c r="AV133" s="75"/>
      <c r="AW133" s="68"/>
      <c r="AX133" s="75"/>
      <c r="AY133" s="68"/>
      <c r="AZ133" s="4"/>
      <c r="BA133" s="4"/>
      <c r="BB133" s="4"/>
      <c r="BC133" s="142"/>
      <c r="BD133" s="143"/>
      <c r="BE133" s="68"/>
      <c r="BF133" s="68"/>
      <c r="BI133" s="37"/>
      <c r="BJ133" s="66"/>
      <c r="BK133" s="68"/>
      <c r="BL133" s="68"/>
      <c r="BM133" s="75"/>
      <c r="BN133" s="68"/>
      <c r="BO133" s="75"/>
      <c r="BP133" s="68"/>
      <c r="BQ133" s="4"/>
      <c r="BR133" s="4"/>
      <c r="BS133" s="4"/>
      <c r="BT133" s="142"/>
      <c r="BU133" s="143"/>
      <c r="BV133" s="68"/>
      <c r="BW133" s="68"/>
      <c r="BZ133" s="37"/>
      <c r="CA133" s="66"/>
      <c r="CB133" s="68"/>
      <c r="CC133" s="68"/>
      <c r="CD133" s="75"/>
      <c r="CE133" s="68"/>
      <c r="CF133" s="75"/>
      <c r="CG133" s="68"/>
      <c r="CH133" s="4"/>
      <c r="CI133" s="4"/>
      <c r="CJ133" s="4"/>
      <c r="CK133" s="142"/>
      <c r="CL133" s="143"/>
      <c r="CM133" s="68"/>
      <c r="CN133" s="68"/>
      <c r="CQ133" s="37"/>
    </row>
    <row r="134" spans="45:95" x14ac:dyDescent="0.15">
      <c r="AS134" s="66"/>
      <c r="AT134" s="68"/>
      <c r="AU134" s="68"/>
      <c r="AV134" s="75"/>
      <c r="AW134" s="68"/>
      <c r="AX134" s="75"/>
      <c r="AY134" s="68"/>
      <c r="AZ134" s="4"/>
      <c r="BA134" s="4"/>
      <c r="BB134" s="4"/>
      <c r="BC134" s="142"/>
      <c r="BD134" s="143"/>
      <c r="BE134" s="68"/>
      <c r="BF134" s="68"/>
      <c r="BI134" s="37"/>
      <c r="BJ134" s="66"/>
      <c r="BK134" s="68"/>
      <c r="BL134" s="68"/>
      <c r="BM134" s="75"/>
      <c r="BN134" s="68"/>
      <c r="BO134" s="75"/>
      <c r="BP134" s="68"/>
      <c r="BQ134" s="4"/>
      <c r="BR134" s="4"/>
      <c r="BS134" s="4"/>
      <c r="BT134" s="142"/>
      <c r="BU134" s="143"/>
      <c r="BV134" s="68"/>
      <c r="BW134" s="68"/>
      <c r="BZ134" s="37"/>
      <c r="CA134" s="66"/>
      <c r="CB134" s="68"/>
      <c r="CC134" s="68"/>
      <c r="CD134" s="75"/>
      <c r="CE134" s="68"/>
      <c r="CF134" s="75"/>
      <c r="CG134" s="68"/>
      <c r="CH134" s="4"/>
      <c r="CI134" s="4"/>
      <c r="CJ134" s="4"/>
      <c r="CK134" s="142"/>
      <c r="CL134" s="143"/>
      <c r="CM134" s="68"/>
      <c r="CN134" s="68"/>
      <c r="CQ134" s="37"/>
    </row>
    <row r="135" spans="45:95" x14ac:dyDescent="0.15">
      <c r="AS135" s="66"/>
      <c r="AT135" s="68"/>
      <c r="AU135" s="68"/>
      <c r="AV135" s="75"/>
      <c r="AW135" s="68"/>
      <c r="AX135" s="75"/>
      <c r="AY135" s="68"/>
      <c r="AZ135" s="4"/>
      <c r="BA135" s="4"/>
      <c r="BB135" s="4"/>
      <c r="BC135" s="142"/>
      <c r="BD135" s="143"/>
      <c r="BE135" s="68"/>
      <c r="BF135" s="68"/>
      <c r="BI135" s="37"/>
      <c r="BJ135" s="66"/>
      <c r="BK135" s="68"/>
      <c r="BL135" s="68"/>
      <c r="BM135" s="75"/>
      <c r="BN135" s="68"/>
      <c r="BO135" s="75"/>
      <c r="BP135" s="68"/>
      <c r="BQ135" s="4"/>
      <c r="BR135" s="4"/>
      <c r="BS135" s="4"/>
      <c r="BT135" s="142"/>
      <c r="BU135" s="143"/>
      <c r="BV135" s="68"/>
      <c r="BW135" s="68"/>
      <c r="BZ135" s="37"/>
      <c r="CA135" s="66"/>
      <c r="CB135" s="68"/>
      <c r="CC135" s="68"/>
      <c r="CD135" s="75"/>
      <c r="CE135" s="68"/>
      <c r="CF135" s="75"/>
      <c r="CG135" s="68"/>
      <c r="CH135" s="4"/>
      <c r="CI135" s="4"/>
      <c r="CJ135" s="4"/>
      <c r="CK135" s="142"/>
      <c r="CL135" s="143"/>
      <c r="CM135" s="68"/>
      <c r="CN135" s="68"/>
      <c r="CQ135" s="37"/>
    </row>
    <row r="136" spans="45:95" x14ac:dyDescent="0.15">
      <c r="AS136" s="66"/>
      <c r="AT136" s="68"/>
      <c r="AU136" s="68"/>
      <c r="AV136" s="75"/>
      <c r="AW136" s="68"/>
      <c r="AX136" s="75"/>
      <c r="AY136" s="68"/>
      <c r="AZ136" s="4"/>
      <c r="BA136" s="4"/>
      <c r="BB136" s="4"/>
      <c r="BC136" s="142"/>
      <c r="BD136" s="143"/>
      <c r="BE136" s="68"/>
      <c r="BF136" s="68"/>
      <c r="BI136" s="37"/>
      <c r="BJ136" s="66"/>
      <c r="BK136" s="68"/>
      <c r="BL136" s="68"/>
      <c r="BM136" s="75"/>
      <c r="BN136" s="68"/>
      <c r="BO136" s="75"/>
      <c r="BP136" s="68"/>
      <c r="BQ136" s="4"/>
      <c r="BR136" s="4"/>
      <c r="BS136" s="4"/>
      <c r="BT136" s="142"/>
      <c r="BU136" s="143"/>
      <c r="BV136" s="68"/>
      <c r="BW136" s="68"/>
      <c r="BZ136" s="37"/>
      <c r="CA136" s="66"/>
      <c r="CB136" s="68"/>
      <c r="CC136" s="68"/>
      <c r="CD136" s="75"/>
      <c r="CE136" s="68"/>
      <c r="CF136" s="75"/>
      <c r="CG136" s="68"/>
      <c r="CH136" s="4"/>
      <c r="CI136" s="4"/>
      <c r="CJ136" s="4"/>
      <c r="CK136" s="142"/>
      <c r="CL136" s="143"/>
      <c r="CM136" s="68"/>
      <c r="CN136" s="68"/>
      <c r="CQ136" s="37"/>
    </row>
    <row r="137" spans="45:95" x14ac:dyDescent="0.15">
      <c r="AS137" s="66"/>
      <c r="AT137" s="68"/>
      <c r="AU137" s="68"/>
      <c r="AV137" s="75"/>
      <c r="AW137" s="68"/>
      <c r="AX137" s="75"/>
      <c r="AY137" s="68"/>
      <c r="AZ137" s="4"/>
      <c r="BA137" s="4"/>
      <c r="BB137" s="4"/>
      <c r="BC137" s="142"/>
      <c r="BD137" s="143"/>
      <c r="BE137" s="68"/>
      <c r="BF137" s="68"/>
      <c r="BI137" s="37"/>
      <c r="BJ137" s="66"/>
      <c r="BK137" s="68"/>
      <c r="BL137" s="68"/>
      <c r="BM137" s="75"/>
      <c r="BN137" s="68"/>
      <c r="BO137" s="75"/>
      <c r="BP137" s="68"/>
      <c r="BQ137" s="4"/>
      <c r="BR137" s="4"/>
      <c r="BS137" s="4"/>
      <c r="BT137" s="142"/>
      <c r="BU137" s="143"/>
      <c r="BV137" s="68"/>
      <c r="BW137" s="68"/>
      <c r="BZ137" s="37"/>
      <c r="CA137" s="66"/>
      <c r="CB137" s="68"/>
      <c r="CC137" s="68"/>
      <c r="CD137" s="75"/>
      <c r="CE137" s="68"/>
      <c r="CF137" s="75"/>
      <c r="CG137" s="68"/>
      <c r="CH137" s="4"/>
      <c r="CI137" s="4"/>
      <c r="CJ137" s="4"/>
      <c r="CK137" s="142"/>
      <c r="CL137" s="143"/>
      <c r="CM137" s="68"/>
      <c r="CN137" s="68"/>
      <c r="CQ137" s="37"/>
    </row>
    <row r="138" spans="45:95" x14ac:dyDescent="0.15">
      <c r="AS138" s="66"/>
      <c r="AT138" s="68"/>
      <c r="AU138" s="68"/>
      <c r="AV138" s="75"/>
      <c r="AW138" s="68"/>
      <c r="AX138" s="75"/>
      <c r="AY138" s="68"/>
      <c r="AZ138" s="4"/>
      <c r="BA138" s="4"/>
      <c r="BB138" s="4"/>
      <c r="BC138" s="142"/>
      <c r="BD138" s="143"/>
      <c r="BE138" s="68"/>
      <c r="BF138" s="68"/>
      <c r="BI138" s="37"/>
      <c r="BJ138" s="66"/>
      <c r="BK138" s="68"/>
      <c r="BL138" s="68"/>
      <c r="BM138" s="75"/>
      <c r="BN138" s="68"/>
      <c r="BO138" s="75"/>
      <c r="BP138" s="68"/>
      <c r="BQ138" s="4"/>
      <c r="BR138" s="4"/>
      <c r="BS138" s="4"/>
      <c r="BT138" s="142"/>
      <c r="BU138" s="143"/>
      <c r="BV138" s="68"/>
      <c r="BW138" s="68"/>
      <c r="BZ138" s="37"/>
      <c r="CA138" s="66"/>
      <c r="CB138" s="68"/>
      <c r="CC138" s="68"/>
      <c r="CD138" s="75"/>
      <c r="CE138" s="68"/>
      <c r="CF138" s="75"/>
      <c r="CG138" s="68"/>
      <c r="CH138" s="4"/>
      <c r="CI138" s="4"/>
      <c r="CJ138" s="4"/>
      <c r="CK138" s="142"/>
      <c r="CL138" s="143"/>
      <c r="CM138" s="68"/>
      <c r="CN138" s="68"/>
      <c r="CQ138" s="37"/>
    </row>
    <row r="139" spans="45:95" x14ac:dyDescent="0.15">
      <c r="AS139" s="66"/>
      <c r="AT139" s="68"/>
      <c r="AU139" s="68"/>
      <c r="AV139" s="75"/>
      <c r="AW139" s="68"/>
      <c r="AX139" s="75"/>
      <c r="AY139" s="68"/>
      <c r="AZ139" s="4"/>
      <c r="BA139" s="4"/>
      <c r="BB139" s="4"/>
      <c r="BC139" s="142"/>
      <c r="BD139" s="143"/>
      <c r="BE139" s="68"/>
      <c r="BF139" s="68"/>
      <c r="BI139" s="37"/>
      <c r="BJ139" s="66"/>
      <c r="BK139" s="68"/>
      <c r="BL139" s="68"/>
      <c r="BM139" s="75"/>
      <c r="BN139" s="68"/>
      <c r="BO139" s="75"/>
      <c r="BP139" s="68"/>
      <c r="BQ139" s="4"/>
      <c r="BR139" s="4"/>
      <c r="BS139" s="4"/>
      <c r="BT139" s="142"/>
      <c r="BU139" s="143"/>
      <c r="BV139" s="68"/>
      <c r="BW139" s="68"/>
      <c r="BZ139" s="37"/>
      <c r="CA139" s="66"/>
      <c r="CB139" s="68"/>
      <c r="CC139" s="68"/>
      <c r="CD139" s="75"/>
      <c r="CE139" s="68"/>
      <c r="CF139" s="75"/>
      <c r="CG139" s="68"/>
      <c r="CH139" s="4"/>
      <c r="CI139" s="4"/>
      <c r="CJ139" s="4"/>
      <c r="CK139" s="142"/>
      <c r="CL139" s="143"/>
      <c r="CM139" s="68"/>
      <c r="CN139" s="68"/>
      <c r="CQ139" s="37"/>
    </row>
    <row r="140" spans="45:95" x14ac:dyDescent="0.15">
      <c r="AS140" s="66"/>
      <c r="AT140" s="68"/>
      <c r="AU140" s="68"/>
      <c r="AV140" s="75"/>
      <c r="AW140" s="68"/>
      <c r="AX140" s="75"/>
      <c r="AY140" s="68"/>
      <c r="AZ140" s="4"/>
      <c r="BA140" s="4"/>
      <c r="BB140" s="4"/>
      <c r="BC140" s="142"/>
      <c r="BD140" s="143"/>
      <c r="BE140" s="68"/>
      <c r="BF140" s="68"/>
      <c r="BI140" s="37"/>
      <c r="BJ140" s="66"/>
      <c r="BK140" s="68"/>
      <c r="BL140" s="68"/>
      <c r="BM140" s="75"/>
      <c r="BN140" s="68"/>
      <c r="BO140" s="75"/>
      <c r="BP140" s="68"/>
      <c r="BQ140" s="4"/>
      <c r="BR140" s="4"/>
      <c r="BS140" s="4"/>
      <c r="BT140" s="142"/>
      <c r="BU140" s="143"/>
      <c r="BV140" s="68"/>
      <c r="BW140" s="68"/>
      <c r="BZ140" s="37"/>
      <c r="CA140" s="66"/>
      <c r="CB140" s="68"/>
      <c r="CC140" s="68"/>
      <c r="CD140" s="75"/>
      <c r="CE140" s="68"/>
      <c r="CF140" s="75"/>
      <c r="CG140" s="68"/>
      <c r="CH140" s="4"/>
      <c r="CI140" s="4"/>
      <c r="CJ140" s="4"/>
      <c r="CK140" s="142"/>
      <c r="CL140" s="143"/>
      <c r="CM140" s="68"/>
      <c r="CN140" s="68"/>
      <c r="CQ140" s="37"/>
    </row>
    <row r="141" spans="45:95" x14ac:dyDescent="0.15">
      <c r="AS141" s="66"/>
      <c r="AT141" s="68"/>
      <c r="AU141" s="68"/>
      <c r="AV141" s="75"/>
      <c r="AW141" s="68"/>
      <c r="AX141" s="75"/>
      <c r="AY141" s="68"/>
      <c r="AZ141" s="4"/>
      <c r="BA141" s="4"/>
      <c r="BB141" s="4"/>
      <c r="BC141" s="142"/>
      <c r="BD141" s="143"/>
      <c r="BE141" s="68"/>
      <c r="BF141" s="68"/>
      <c r="BI141" s="37"/>
      <c r="BJ141" s="66"/>
      <c r="BK141" s="68"/>
      <c r="BL141" s="68"/>
      <c r="BM141" s="75"/>
      <c r="BN141" s="68"/>
      <c r="BO141" s="75"/>
      <c r="BP141" s="68"/>
      <c r="BQ141" s="4"/>
      <c r="BR141" s="4"/>
      <c r="BS141" s="4"/>
      <c r="BT141" s="142"/>
      <c r="BU141" s="143"/>
      <c r="BV141" s="68"/>
      <c r="BW141" s="68"/>
      <c r="BZ141" s="37"/>
      <c r="CA141" s="66"/>
      <c r="CB141" s="68"/>
      <c r="CC141" s="68"/>
      <c r="CD141" s="75"/>
      <c r="CE141" s="68"/>
      <c r="CF141" s="75"/>
      <c r="CG141" s="68"/>
      <c r="CH141" s="4"/>
      <c r="CI141" s="4"/>
      <c r="CJ141" s="4"/>
      <c r="CK141" s="142"/>
      <c r="CL141" s="143"/>
      <c r="CM141" s="68"/>
      <c r="CN141" s="68"/>
      <c r="CQ141" s="37"/>
    </row>
    <row r="142" spans="45:95" x14ac:dyDescent="0.15">
      <c r="AS142" s="66"/>
      <c r="AT142" s="68"/>
      <c r="AU142" s="68"/>
      <c r="AV142" s="75"/>
      <c r="AW142" s="68"/>
      <c r="AX142" s="75"/>
      <c r="AY142" s="68"/>
      <c r="AZ142" s="4"/>
      <c r="BA142" s="4"/>
      <c r="BB142" s="4"/>
      <c r="BC142" s="142"/>
      <c r="BD142" s="143"/>
      <c r="BE142" s="68"/>
      <c r="BF142" s="68"/>
      <c r="BI142" s="37"/>
      <c r="BJ142" s="66"/>
      <c r="BK142" s="68"/>
      <c r="BL142" s="68"/>
      <c r="BM142" s="75"/>
      <c r="BN142" s="68"/>
      <c r="BO142" s="75"/>
      <c r="BP142" s="68"/>
      <c r="BQ142" s="4"/>
      <c r="BR142" s="4"/>
      <c r="BS142" s="4"/>
      <c r="BT142" s="142"/>
      <c r="BU142" s="143"/>
      <c r="BV142" s="68"/>
      <c r="BW142" s="68"/>
      <c r="BZ142" s="37"/>
      <c r="CA142" s="66"/>
      <c r="CB142" s="68"/>
      <c r="CC142" s="68"/>
      <c r="CD142" s="75"/>
      <c r="CE142" s="68"/>
      <c r="CF142" s="75"/>
      <c r="CG142" s="68"/>
      <c r="CH142" s="4"/>
      <c r="CI142" s="4"/>
      <c r="CJ142" s="4"/>
      <c r="CK142" s="142"/>
      <c r="CL142" s="143"/>
      <c r="CM142" s="68"/>
      <c r="CN142" s="68"/>
      <c r="CQ142" s="37"/>
    </row>
    <row r="143" spans="45:95" x14ac:dyDescent="0.15">
      <c r="AS143" s="66"/>
      <c r="AT143" s="68"/>
      <c r="AU143" s="68"/>
      <c r="AV143" s="75"/>
      <c r="AW143" s="68"/>
      <c r="AX143" s="75"/>
      <c r="AY143" s="68"/>
      <c r="AZ143" s="4"/>
      <c r="BA143" s="4"/>
      <c r="BB143" s="4"/>
      <c r="BC143" s="142"/>
      <c r="BD143" s="143"/>
      <c r="BE143" s="68"/>
      <c r="BF143" s="68"/>
      <c r="BI143" s="37"/>
      <c r="BJ143" s="66"/>
      <c r="BK143" s="68"/>
      <c r="BL143" s="68"/>
      <c r="BM143" s="75"/>
      <c r="BN143" s="68"/>
      <c r="BO143" s="75"/>
      <c r="BP143" s="68"/>
      <c r="BQ143" s="4"/>
      <c r="BR143" s="4"/>
      <c r="BS143" s="4"/>
      <c r="BT143" s="142"/>
      <c r="BU143" s="143"/>
      <c r="BV143" s="68"/>
      <c r="BW143" s="68"/>
      <c r="BZ143" s="37"/>
      <c r="CA143" s="66"/>
      <c r="CB143" s="68"/>
      <c r="CC143" s="68"/>
      <c r="CD143" s="75"/>
      <c r="CE143" s="68"/>
      <c r="CF143" s="75"/>
      <c r="CG143" s="68"/>
      <c r="CH143" s="4"/>
      <c r="CI143" s="4"/>
      <c r="CJ143" s="4"/>
      <c r="CK143" s="142"/>
      <c r="CL143" s="143"/>
      <c r="CM143" s="68"/>
      <c r="CN143" s="68"/>
      <c r="CQ143" s="37"/>
    </row>
    <row r="144" spans="45:95" x14ac:dyDescent="0.15">
      <c r="AS144" s="66"/>
      <c r="AT144" s="68"/>
      <c r="AU144" s="68"/>
      <c r="AV144" s="75"/>
      <c r="AW144" s="68"/>
      <c r="AX144" s="75"/>
      <c r="AY144" s="68"/>
      <c r="AZ144" s="4"/>
      <c r="BA144" s="4"/>
      <c r="BB144" s="4"/>
      <c r="BC144" s="142"/>
      <c r="BD144" s="143"/>
      <c r="BE144" s="68"/>
      <c r="BF144" s="68"/>
      <c r="BI144" s="37"/>
      <c r="BJ144" s="66"/>
      <c r="BK144" s="68"/>
      <c r="BL144" s="68"/>
      <c r="BM144" s="75"/>
      <c r="BN144" s="68"/>
      <c r="BO144" s="75"/>
      <c r="BP144" s="68"/>
      <c r="BQ144" s="4"/>
      <c r="BR144" s="4"/>
      <c r="BS144" s="4"/>
      <c r="BT144" s="142"/>
      <c r="BU144" s="143"/>
      <c r="BV144" s="68"/>
      <c r="BW144" s="68"/>
      <c r="BZ144" s="37"/>
      <c r="CA144" s="66"/>
      <c r="CB144" s="68"/>
      <c r="CC144" s="68"/>
      <c r="CD144" s="75"/>
      <c r="CE144" s="68"/>
      <c r="CF144" s="75"/>
      <c r="CG144" s="68"/>
      <c r="CH144" s="4"/>
      <c r="CI144" s="4"/>
      <c r="CJ144" s="4"/>
      <c r="CK144" s="142"/>
      <c r="CL144" s="143"/>
      <c r="CM144" s="68"/>
      <c r="CN144" s="68"/>
      <c r="CQ144" s="37"/>
    </row>
    <row r="145" spans="45:95" x14ac:dyDescent="0.15">
      <c r="AS145" s="66"/>
      <c r="AT145" s="68"/>
      <c r="AU145" s="68"/>
      <c r="AV145" s="75"/>
      <c r="AW145" s="68"/>
      <c r="AX145" s="75"/>
      <c r="AY145" s="68"/>
      <c r="AZ145" s="4"/>
      <c r="BA145" s="4"/>
      <c r="BB145" s="4"/>
      <c r="BC145" s="142"/>
      <c r="BD145" s="143"/>
      <c r="BE145" s="68"/>
      <c r="BF145" s="68"/>
      <c r="BI145" s="37"/>
      <c r="BJ145" s="66"/>
      <c r="BK145" s="68"/>
      <c r="BL145" s="68"/>
      <c r="BM145" s="75"/>
      <c r="BN145" s="68"/>
      <c r="BO145" s="75"/>
      <c r="BP145" s="68"/>
      <c r="BQ145" s="4"/>
      <c r="BR145" s="4"/>
      <c r="BS145" s="4"/>
      <c r="BT145" s="142"/>
      <c r="BU145" s="143"/>
      <c r="BV145" s="68"/>
      <c r="BW145" s="68"/>
      <c r="BZ145" s="37"/>
      <c r="CA145" s="66"/>
      <c r="CB145" s="68"/>
      <c r="CC145" s="68"/>
      <c r="CD145" s="75"/>
      <c r="CE145" s="68"/>
      <c r="CF145" s="75"/>
      <c r="CG145" s="68"/>
      <c r="CH145" s="4"/>
      <c r="CI145" s="4"/>
      <c r="CJ145" s="4"/>
      <c r="CK145" s="142"/>
      <c r="CL145" s="143"/>
      <c r="CM145" s="68"/>
      <c r="CN145" s="68"/>
      <c r="CQ145" s="37"/>
    </row>
    <row r="146" spans="45:95" x14ac:dyDescent="0.15">
      <c r="AS146" s="66"/>
      <c r="AT146" s="68"/>
      <c r="AU146" s="68"/>
      <c r="AV146" s="75"/>
      <c r="AW146" s="68"/>
      <c r="AX146" s="75"/>
      <c r="AY146" s="68"/>
      <c r="AZ146" s="4"/>
      <c r="BA146" s="4"/>
      <c r="BB146" s="4"/>
      <c r="BC146" s="142"/>
      <c r="BD146" s="143"/>
      <c r="BE146" s="68"/>
      <c r="BF146" s="68"/>
      <c r="BI146" s="37"/>
      <c r="BJ146" s="66"/>
      <c r="BK146" s="68"/>
      <c r="BL146" s="68"/>
      <c r="BM146" s="75"/>
      <c r="BN146" s="68"/>
      <c r="BO146" s="75"/>
      <c r="BP146" s="68"/>
      <c r="BQ146" s="4"/>
      <c r="BR146" s="4"/>
      <c r="BS146" s="4"/>
      <c r="BT146" s="142"/>
      <c r="BU146" s="143"/>
      <c r="BV146" s="68"/>
      <c r="BW146" s="68"/>
      <c r="BZ146" s="37"/>
      <c r="CA146" s="66"/>
      <c r="CB146" s="68"/>
      <c r="CC146" s="68"/>
      <c r="CD146" s="75"/>
      <c r="CE146" s="68"/>
      <c r="CF146" s="75"/>
      <c r="CG146" s="68"/>
      <c r="CH146" s="4"/>
      <c r="CI146" s="4"/>
      <c r="CJ146" s="4"/>
      <c r="CK146" s="142"/>
      <c r="CL146" s="143"/>
      <c r="CM146" s="68"/>
      <c r="CN146" s="68"/>
      <c r="CQ146" s="37"/>
    </row>
    <row r="147" spans="45:95" x14ac:dyDescent="0.15">
      <c r="AS147" s="66"/>
      <c r="AT147" s="68"/>
      <c r="AU147" s="68"/>
      <c r="AV147" s="75"/>
      <c r="AW147" s="68"/>
      <c r="AX147" s="75"/>
      <c r="AY147" s="68"/>
      <c r="AZ147" s="4"/>
      <c r="BA147" s="4"/>
      <c r="BB147" s="4"/>
      <c r="BC147" s="142"/>
      <c r="BD147" s="143"/>
      <c r="BE147" s="68"/>
      <c r="BF147" s="68"/>
      <c r="BI147" s="37"/>
      <c r="BJ147" s="66"/>
      <c r="BK147" s="68"/>
      <c r="BL147" s="68"/>
      <c r="BM147" s="75"/>
      <c r="BN147" s="68"/>
      <c r="BO147" s="75"/>
      <c r="BP147" s="68"/>
      <c r="BQ147" s="4"/>
      <c r="BR147" s="4"/>
      <c r="BS147" s="4"/>
      <c r="BT147" s="142"/>
      <c r="BU147" s="143"/>
      <c r="BV147" s="68"/>
      <c r="BW147" s="68"/>
      <c r="BZ147" s="37"/>
      <c r="CA147" s="66"/>
      <c r="CB147" s="68"/>
      <c r="CC147" s="68"/>
      <c r="CD147" s="75"/>
      <c r="CE147" s="68"/>
      <c r="CF147" s="75"/>
      <c r="CG147" s="68"/>
      <c r="CH147" s="4"/>
      <c r="CI147" s="4"/>
      <c r="CJ147" s="4"/>
      <c r="CK147" s="142"/>
      <c r="CL147" s="143"/>
      <c r="CM147" s="68"/>
      <c r="CN147" s="68"/>
      <c r="CQ147" s="37"/>
    </row>
    <row r="148" spans="45:95" x14ac:dyDescent="0.15">
      <c r="AS148" s="66"/>
      <c r="AT148" s="68"/>
      <c r="AU148" s="68"/>
      <c r="AV148" s="75"/>
      <c r="AW148" s="68"/>
      <c r="AX148" s="75"/>
      <c r="AY148" s="68"/>
      <c r="AZ148" s="4"/>
      <c r="BA148" s="4"/>
      <c r="BB148" s="4"/>
      <c r="BC148" s="142"/>
      <c r="BD148" s="143"/>
      <c r="BE148" s="68"/>
      <c r="BF148" s="68"/>
      <c r="BI148" s="37"/>
      <c r="BJ148" s="66"/>
      <c r="BK148" s="68"/>
      <c r="BL148" s="68"/>
      <c r="BM148" s="75"/>
      <c r="BN148" s="68"/>
      <c r="BO148" s="75"/>
      <c r="BP148" s="68"/>
      <c r="BQ148" s="4"/>
      <c r="BR148" s="4"/>
      <c r="BS148" s="4"/>
      <c r="BT148" s="142"/>
      <c r="BU148" s="143"/>
      <c r="BV148" s="68"/>
      <c r="BW148" s="68"/>
      <c r="BZ148" s="37"/>
      <c r="CA148" s="66"/>
      <c r="CB148" s="68"/>
      <c r="CC148" s="68"/>
      <c r="CD148" s="75"/>
      <c r="CE148" s="68"/>
      <c r="CF148" s="75"/>
      <c r="CG148" s="68"/>
      <c r="CH148" s="4"/>
      <c r="CI148" s="4"/>
      <c r="CJ148" s="4"/>
      <c r="CK148" s="142"/>
      <c r="CL148" s="143"/>
      <c r="CM148" s="68"/>
      <c r="CN148" s="68"/>
      <c r="CQ148" s="37"/>
    </row>
    <row r="149" spans="45:95" x14ac:dyDescent="0.15">
      <c r="AS149" s="66"/>
      <c r="AT149" s="68"/>
      <c r="AU149" s="68"/>
      <c r="AV149" s="75"/>
      <c r="AW149" s="68"/>
      <c r="AX149" s="75"/>
      <c r="AY149" s="68"/>
      <c r="AZ149" s="4"/>
      <c r="BA149" s="4"/>
      <c r="BB149" s="4"/>
      <c r="BC149" s="142"/>
      <c r="BD149" s="143"/>
      <c r="BE149" s="68"/>
      <c r="BF149" s="68"/>
      <c r="BI149" s="37"/>
      <c r="BJ149" s="66"/>
      <c r="BK149" s="68"/>
      <c r="BL149" s="68"/>
      <c r="BM149" s="75"/>
      <c r="BN149" s="68"/>
      <c r="BO149" s="75"/>
      <c r="BP149" s="68"/>
      <c r="BQ149" s="4"/>
      <c r="BR149" s="4"/>
      <c r="BS149" s="4"/>
      <c r="BT149" s="142"/>
      <c r="BU149" s="143"/>
      <c r="BV149" s="68"/>
      <c r="BW149" s="68"/>
      <c r="BZ149" s="37"/>
      <c r="CA149" s="66"/>
      <c r="CB149" s="68"/>
      <c r="CC149" s="68"/>
      <c r="CD149" s="75"/>
      <c r="CE149" s="68"/>
      <c r="CF149" s="75"/>
      <c r="CG149" s="68"/>
      <c r="CH149" s="4"/>
      <c r="CI149" s="4"/>
      <c r="CJ149" s="4"/>
      <c r="CK149" s="142"/>
      <c r="CL149" s="143"/>
      <c r="CM149" s="68"/>
      <c r="CN149" s="68"/>
      <c r="CQ149" s="37"/>
    </row>
    <row r="150" spans="45:95" x14ac:dyDescent="0.15">
      <c r="AS150" s="66"/>
      <c r="AT150" s="68"/>
      <c r="AU150" s="68"/>
      <c r="AV150" s="75"/>
      <c r="AW150" s="68"/>
      <c r="AX150" s="75"/>
      <c r="AY150" s="68"/>
      <c r="AZ150" s="4"/>
      <c r="BA150" s="4"/>
      <c r="BB150" s="4"/>
      <c r="BC150" s="142"/>
      <c r="BD150" s="143"/>
      <c r="BE150" s="68"/>
      <c r="BF150" s="68"/>
      <c r="BI150" s="37"/>
      <c r="BJ150" s="66"/>
      <c r="BK150" s="68"/>
      <c r="BL150" s="68"/>
      <c r="BM150" s="75"/>
      <c r="BN150" s="68"/>
      <c r="BO150" s="75"/>
      <c r="BP150" s="68"/>
      <c r="BQ150" s="4"/>
      <c r="BR150" s="4"/>
      <c r="BS150" s="4"/>
      <c r="BT150" s="142"/>
      <c r="BU150" s="143"/>
      <c r="BV150" s="68"/>
      <c r="BW150" s="68"/>
      <c r="BZ150" s="37"/>
      <c r="CA150" s="66"/>
      <c r="CB150" s="68"/>
      <c r="CC150" s="68"/>
      <c r="CD150" s="75"/>
      <c r="CE150" s="68"/>
      <c r="CF150" s="75"/>
      <c r="CG150" s="68"/>
      <c r="CH150" s="4"/>
      <c r="CI150" s="4"/>
      <c r="CJ150" s="4"/>
      <c r="CK150" s="142"/>
      <c r="CL150" s="143"/>
      <c r="CM150" s="68"/>
      <c r="CN150" s="68"/>
      <c r="CQ150" s="37"/>
    </row>
    <row r="151" spans="45:95" x14ac:dyDescent="0.15">
      <c r="AS151" s="66"/>
      <c r="AT151" s="68"/>
      <c r="AU151" s="68"/>
      <c r="AV151" s="75"/>
      <c r="AW151" s="68"/>
      <c r="AX151" s="75"/>
      <c r="AY151" s="68"/>
      <c r="AZ151" s="4"/>
      <c r="BA151" s="4"/>
      <c r="BB151" s="4"/>
      <c r="BC151" s="142"/>
      <c r="BD151" s="143"/>
      <c r="BE151" s="68"/>
      <c r="BF151" s="68"/>
      <c r="BI151" s="37"/>
      <c r="BJ151" s="66"/>
      <c r="BK151" s="68"/>
      <c r="BL151" s="68"/>
      <c r="BM151" s="75"/>
      <c r="BN151" s="68"/>
      <c r="BO151" s="75"/>
      <c r="BP151" s="68"/>
      <c r="BQ151" s="4"/>
      <c r="BR151" s="4"/>
      <c r="BS151" s="4"/>
      <c r="BT151" s="142"/>
      <c r="BU151" s="143"/>
      <c r="BV151" s="68"/>
      <c r="BW151" s="68"/>
      <c r="BZ151" s="37"/>
      <c r="CA151" s="66"/>
      <c r="CB151" s="68"/>
      <c r="CC151" s="68"/>
      <c r="CD151" s="75"/>
      <c r="CE151" s="68"/>
      <c r="CF151" s="75"/>
      <c r="CG151" s="68"/>
      <c r="CH151" s="4"/>
      <c r="CI151" s="4"/>
      <c r="CJ151" s="4"/>
      <c r="CK151" s="142"/>
      <c r="CL151" s="143"/>
      <c r="CM151" s="68"/>
      <c r="CN151" s="68"/>
      <c r="CQ151" s="37"/>
    </row>
    <row r="152" spans="45:95" x14ac:dyDescent="0.15">
      <c r="AS152" s="66"/>
      <c r="AT152" s="68"/>
      <c r="AU152" s="68"/>
      <c r="AV152" s="75"/>
      <c r="AW152" s="68"/>
      <c r="AX152" s="75"/>
      <c r="AY152" s="68"/>
      <c r="AZ152" s="4"/>
      <c r="BA152" s="4"/>
      <c r="BB152" s="4"/>
      <c r="BC152" s="142"/>
      <c r="BD152" s="143"/>
      <c r="BE152" s="68"/>
      <c r="BF152" s="68"/>
      <c r="BI152" s="37"/>
      <c r="BJ152" s="66"/>
      <c r="BK152" s="68"/>
      <c r="BL152" s="68"/>
      <c r="BM152" s="75"/>
      <c r="BN152" s="68"/>
      <c r="BO152" s="75"/>
      <c r="BP152" s="68"/>
      <c r="BQ152" s="4"/>
      <c r="BR152" s="4"/>
      <c r="BS152" s="4"/>
      <c r="BT152" s="142"/>
      <c r="BU152" s="143"/>
      <c r="BV152" s="68"/>
      <c r="BW152" s="68"/>
      <c r="BZ152" s="37"/>
      <c r="CA152" s="66"/>
      <c r="CB152" s="68"/>
      <c r="CC152" s="68"/>
      <c r="CD152" s="75"/>
      <c r="CE152" s="68"/>
      <c r="CF152" s="75"/>
      <c r="CG152" s="68"/>
      <c r="CH152" s="4"/>
      <c r="CI152" s="4"/>
      <c r="CJ152" s="4"/>
      <c r="CK152" s="142"/>
      <c r="CL152" s="143"/>
      <c r="CM152" s="68"/>
      <c r="CN152" s="68"/>
      <c r="CQ152" s="37"/>
    </row>
    <row r="153" spans="45:95" x14ac:dyDescent="0.15">
      <c r="AS153" s="66"/>
      <c r="AT153" s="68"/>
      <c r="AU153" s="68"/>
      <c r="AV153" s="75"/>
      <c r="AW153" s="68"/>
      <c r="AX153" s="75"/>
      <c r="AY153" s="68"/>
      <c r="AZ153" s="4"/>
      <c r="BA153" s="4"/>
      <c r="BB153" s="4"/>
      <c r="BC153" s="142"/>
      <c r="BD153" s="143"/>
      <c r="BE153" s="68"/>
      <c r="BF153" s="68"/>
      <c r="BI153" s="37"/>
      <c r="BJ153" s="66"/>
      <c r="BK153" s="68"/>
      <c r="BL153" s="68"/>
      <c r="BM153" s="75"/>
      <c r="BN153" s="68"/>
      <c r="BO153" s="75"/>
      <c r="BP153" s="68"/>
      <c r="BQ153" s="4"/>
      <c r="BR153" s="4"/>
      <c r="BS153" s="4"/>
      <c r="BT153" s="142"/>
      <c r="BU153" s="143"/>
      <c r="BV153" s="68"/>
      <c r="BW153" s="68"/>
      <c r="BZ153" s="37"/>
      <c r="CA153" s="66"/>
      <c r="CB153" s="68"/>
      <c r="CC153" s="68"/>
      <c r="CD153" s="75"/>
      <c r="CE153" s="68"/>
      <c r="CF153" s="75"/>
      <c r="CG153" s="68"/>
      <c r="CH153" s="4"/>
      <c r="CI153" s="4"/>
      <c r="CJ153" s="4"/>
      <c r="CK153" s="142"/>
      <c r="CL153" s="143"/>
      <c r="CM153" s="68"/>
      <c r="CN153" s="68"/>
      <c r="CQ153" s="37"/>
    </row>
    <row r="154" spans="45:95" x14ac:dyDescent="0.15">
      <c r="AS154" s="66"/>
      <c r="AT154" s="68"/>
      <c r="AU154" s="68"/>
      <c r="AV154" s="75"/>
      <c r="AW154" s="68"/>
      <c r="AX154" s="75"/>
      <c r="AY154" s="68"/>
      <c r="AZ154" s="4"/>
      <c r="BA154" s="4"/>
      <c r="BB154" s="4"/>
      <c r="BC154" s="142"/>
      <c r="BD154" s="143"/>
      <c r="BE154" s="68"/>
      <c r="BF154" s="68"/>
      <c r="BI154" s="37"/>
      <c r="BJ154" s="66"/>
      <c r="BK154" s="68"/>
      <c r="BL154" s="68"/>
      <c r="BM154" s="75"/>
      <c r="BN154" s="68"/>
      <c r="BO154" s="75"/>
      <c r="BP154" s="68"/>
      <c r="BQ154" s="4"/>
      <c r="BR154" s="4"/>
      <c r="BS154" s="4"/>
      <c r="BT154" s="142"/>
      <c r="BU154" s="143"/>
      <c r="BV154" s="68"/>
      <c r="BW154" s="68"/>
      <c r="BZ154" s="37"/>
      <c r="CA154" s="66"/>
      <c r="CB154" s="68"/>
      <c r="CC154" s="68"/>
      <c r="CD154" s="75"/>
      <c r="CE154" s="68"/>
      <c r="CF154" s="75"/>
      <c r="CG154" s="68"/>
      <c r="CH154" s="4"/>
      <c r="CI154" s="4"/>
      <c r="CJ154" s="4"/>
      <c r="CK154" s="142"/>
      <c r="CL154" s="143"/>
      <c r="CM154" s="68"/>
      <c r="CN154" s="68"/>
      <c r="CQ154" s="37"/>
    </row>
    <row r="155" spans="45:95" x14ac:dyDescent="0.15">
      <c r="AS155" s="66"/>
      <c r="AT155" s="68"/>
      <c r="AU155" s="68"/>
      <c r="AV155" s="75"/>
      <c r="AW155" s="68"/>
      <c r="AX155" s="75"/>
      <c r="AY155" s="68"/>
      <c r="AZ155" s="4"/>
      <c r="BA155" s="4"/>
      <c r="BB155" s="4"/>
      <c r="BC155" s="142"/>
      <c r="BD155" s="143"/>
      <c r="BE155" s="68"/>
      <c r="BF155" s="68"/>
      <c r="BI155" s="37"/>
      <c r="BJ155" s="66"/>
      <c r="BK155" s="68"/>
      <c r="BL155" s="68"/>
      <c r="BM155" s="75"/>
      <c r="BN155" s="68"/>
      <c r="BO155" s="75"/>
      <c r="BP155" s="68"/>
      <c r="BQ155" s="4"/>
      <c r="BR155" s="4"/>
      <c r="BS155" s="4"/>
      <c r="BT155" s="142"/>
      <c r="BU155" s="143"/>
      <c r="BV155" s="68"/>
      <c r="BW155" s="68"/>
      <c r="BZ155" s="37"/>
      <c r="CA155" s="66"/>
      <c r="CB155" s="68"/>
      <c r="CC155" s="68"/>
      <c r="CD155" s="75"/>
      <c r="CE155" s="68"/>
      <c r="CF155" s="75"/>
      <c r="CG155" s="68"/>
      <c r="CH155" s="4"/>
      <c r="CI155" s="4"/>
      <c r="CJ155" s="4"/>
      <c r="CK155" s="142"/>
      <c r="CL155" s="143"/>
      <c r="CM155" s="68"/>
      <c r="CN155" s="68"/>
      <c r="CQ155" s="37"/>
    </row>
    <row r="156" spans="45:95" x14ac:dyDescent="0.15">
      <c r="AS156" s="66"/>
      <c r="AT156" s="68"/>
      <c r="AU156" s="68"/>
      <c r="AV156" s="75"/>
      <c r="AW156" s="68"/>
      <c r="AX156" s="75"/>
      <c r="AY156" s="68"/>
      <c r="AZ156" s="4"/>
      <c r="BA156" s="4"/>
      <c r="BB156" s="4"/>
      <c r="BC156" s="142"/>
      <c r="BD156" s="143"/>
      <c r="BE156" s="68"/>
      <c r="BF156" s="68"/>
      <c r="BI156" s="37"/>
      <c r="BJ156" s="66"/>
      <c r="BK156" s="68"/>
      <c r="BL156" s="68"/>
      <c r="BM156" s="75"/>
      <c r="BN156" s="68"/>
      <c r="BO156" s="75"/>
      <c r="BP156" s="68"/>
      <c r="BQ156" s="4"/>
      <c r="BR156" s="4"/>
      <c r="BS156" s="4"/>
      <c r="BT156" s="142"/>
      <c r="BU156" s="143"/>
      <c r="BV156" s="68"/>
      <c r="BW156" s="68"/>
      <c r="BZ156" s="37"/>
      <c r="CA156" s="66"/>
      <c r="CB156" s="68"/>
      <c r="CC156" s="68"/>
      <c r="CD156" s="75"/>
      <c r="CE156" s="68"/>
      <c r="CF156" s="75"/>
      <c r="CG156" s="68"/>
      <c r="CH156" s="4"/>
      <c r="CI156" s="4"/>
      <c r="CJ156" s="4"/>
      <c r="CK156" s="142"/>
      <c r="CL156" s="143"/>
      <c r="CM156" s="68"/>
      <c r="CN156" s="68"/>
      <c r="CQ156" s="37"/>
    </row>
    <row r="157" spans="45:95" x14ac:dyDescent="0.15">
      <c r="AS157" s="66"/>
      <c r="AT157" s="68"/>
      <c r="AU157" s="68"/>
      <c r="AV157" s="75"/>
      <c r="AW157" s="68"/>
      <c r="AX157" s="75"/>
      <c r="AY157" s="68"/>
      <c r="AZ157" s="4"/>
      <c r="BA157" s="4"/>
      <c r="BB157" s="4"/>
      <c r="BC157" s="142"/>
      <c r="BD157" s="143"/>
      <c r="BE157" s="68"/>
      <c r="BF157" s="68"/>
      <c r="BI157" s="37"/>
      <c r="BJ157" s="66"/>
      <c r="BK157" s="68"/>
      <c r="BL157" s="68"/>
      <c r="BM157" s="75"/>
      <c r="BN157" s="68"/>
      <c r="BO157" s="75"/>
      <c r="BP157" s="68"/>
      <c r="BQ157" s="4"/>
      <c r="BR157" s="4"/>
      <c r="BS157" s="4"/>
      <c r="BT157" s="142"/>
      <c r="BU157" s="143"/>
      <c r="BV157" s="68"/>
      <c r="BW157" s="68"/>
      <c r="BZ157" s="37"/>
      <c r="CA157" s="66"/>
      <c r="CB157" s="68"/>
      <c r="CC157" s="68"/>
      <c r="CD157" s="75"/>
      <c r="CE157" s="68"/>
      <c r="CF157" s="75"/>
      <c r="CG157" s="68"/>
      <c r="CH157" s="4"/>
      <c r="CI157" s="4"/>
      <c r="CJ157" s="4"/>
      <c r="CK157" s="142"/>
      <c r="CL157" s="143"/>
      <c r="CM157" s="68"/>
      <c r="CN157" s="68"/>
      <c r="CQ157" s="37"/>
    </row>
    <row r="158" spans="45:95" x14ac:dyDescent="0.15">
      <c r="AS158" s="66"/>
      <c r="AT158" s="68"/>
      <c r="AU158" s="68"/>
      <c r="AV158" s="75"/>
      <c r="AW158" s="68"/>
      <c r="AX158" s="75"/>
      <c r="AY158" s="68"/>
      <c r="AZ158" s="4"/>
      <c r="BA158" s="4"/>
      <c r="BB158" s="4"/>
      <c r="BC158" s="142"/>
      <c r="BD158" s="143"/>
      <c r="BE158" s="68"/>
      <c r="BF158" s="68"/>
      <c r="BI158" s="37"/>
      <c r="BJ158" s="66"/>
      <c r="BK158" s="68"/>
      <c r="BL158" s="68"/>
      <c r="BM158" s="75"/>
      <c r="BN158" s="68"/>
      <c r="BO158" s="75"/>
      <c r="BP158" s="68"/>
      <c r="BQ158" s="4"/>
      <c r="BR158" s="4"/>
      <c r="BS158" s="4"/>
      <c r="BT158" s="142"/>
      <c r="BU158" s="143"/>
      <c r="BV158" s="68"/>
      <c r="BW158" s="68"/>
      <c r="BZ158" s="37"/>
      <c r="CA158" s="66"/>
      <c r="CB158" s="68"/>
      <c r="CC158" s="68"/>
      <c r="CD158" s="75"/>
      <c r="CE158" s="68"/>
      <c r="CF158" s="75"/>
      <c r="CG158" s="68"/>
      <c r="CH158" s="4"/>
      <c r="CI158" s="4"/>
      <c r="CJ158" s="4"/>
      <c r="CK158" s="142"/>
      <c r="CL158" s="143"/>
      <c r="CM158" s="68"/>
      <c r="CN158" s="68"/>
      <c r="CQ158" s="37"/>
    </row>
    <row r="159" spans="45:95" x14ac:dyDescent="0.15">
      <c r="AS159" s="66"/>
      <c r="AT159" s="68"/>
      <c r="AU159" s="68"/>
      <c r="AV159" s="75"/>
      <c r="AW159" s="68"/>
      <c r="AX159" s="75"/>
      <c r="AY159" s="68"/>
      <c r="AZ159" s="4"/>
      <c r="BA159" s="4"/>
      <c r="BB159" s="4"/>
      <c r="BC159" s="142"/>
      <c r="BD159" s="143"/>
      <c r="BE159" s="68"/>
      <c r="BF159" s="68"/>
      <c r="BI159" s="37"/>
      <c r="BJ159" s="66"/>
      <c r="BK159" s="68"/>
      <c r="BL159" s="68"/>
      <c r="BM159" s="75"/>
      <c r="BN159" s="68"/>
      <c r="BO159" s="75"/>
      <c r="BP159" s="68"/>
      <c r="BQ159" s="4"/>
      <c r="BR159" s="4"/>
      <c r="BS159" s="4"/>
      <c r="BT159" s="142"/>
      <c r="BU159" s="143"/>
      <c r="BV159" s="68"/>
      <c r="BW159" s="68"/>
      <c r="BZ159" s="37"/>
      <c r="CA159" s="66"/>
      <c r="CB159" s="68"/>
      <c r="CC159" s="68"/>
      <c r="CD159" s="75"/>
      <c r="CE159" s="68"/>
      <c r="CF159" s="75"/>
      <c r="CG159" s="68"/>
      <c r="CH159" s="4"/>
      <c r="CI159" s="4"/>
      <c r="CJ159" s="4"/>
      <c r="CK159" s="142"/>
      <c r="CL159" s="143"/>
      <c r="CM159" s="68"/>
      <c r="CN159" s="68"/>
      <c r="CQ159" s="37"/>
    </row>
    <row r="160" spans="45:95" x14ac:dyDescent="0.15">
      <c r="AS160" s="66"/>
      <c r="AT160" s="68"/>
      <c r="AU160" s="68"/>
      <c r="AV160" s="75"/>
      <c r="AW160" s="68"/>
      <c r="AX160" s="75"/>
      <c r="AY160" s="68"/>
      <c r="AZ160" s="4"/>
      <c r="BA160" s="4"/>
      <c r="BB160" s="4"/>
      <c r="BC160" s="142"/>
      <c r="BD160" s="143"/>
      <c r="BE160" s="68"/>
      <c r="BF160" s="68"/>
      <c r="BI160" s="37"/>
      <c r="BJ160" s="66"/>
      <c r="BK160" s="68"/>
      <c r="BL160" s="68"/>
      <c r="BM160" s="75"/>
      <c r="BN160" s="68"/>
      <c r="BO160" s="75"/>
      <c r="BP160" s="68"/>
      <c r="BQ160" s="4"/>
      <c r="BR160" s="4"/>
      <c r="BS160" s="4"/>
      <c r="BT160" s="142"/>
      <c r="BU160" s="143"/>
      <c r="BV160" s="68"/>
      <c r="BW160" s="68"/>
      <c r="BZ160" s="37"/>
      <c r="CA160" s="66"/>
      <c r="CB160" s="68"/>
      <c r="CC160" s="68"/>
      <c r="CD160" s="75"/>
      <c r="CE160" s="68"/>
      <c r="CF160" s="75"/>
      <c r="CG160" s="68"/>
      <c r="CH160" s="4"/>
      <c r="CI160" s="4"/>
      <c r="CJ160" s="4"/>
      <c r="CK160" s="142"/>
      <c r="CL160" s="143"/>
      <c r="CM160" s="68"/>
      <c r="CN160" s="68"/>
      <c r="CQ160" s="37"/>
    </row>
    <row r="161" spans="45:95" x14ac:dyDescent="0.15">
      <c r="AS161" s="66"/>
      <c r="AT161" s="68"/>
      <c r="AU161" s="68"/>
      <c r="AV161" s="75"/>
      <c r="AW161" s="68"/>
      <c r="AX161" s="75"/>
      <c r="AY161" s="68"/>
      <c r="AZ161" s="4"/>
      <c r="BA161" s="4"/>
      <c r="BB161" s="4"/>
      <c r="BC161" s="142"/>
      <c r="BD161" s="143"/>
      <c r="BE161" s="68"/>
      <c r="BF161" s="68"/>
      <c r="BI161" s="37"/>
      <c r="BJ161" s="66"/>
      <c r="BK161" s="68"/>
      <c r="BL161" s="68"/>
      <c r="BM161" s="75"/>
      <c r="BN161" s="68"/>
      <c r="BO161" s="75"/>
      <c r="BP161" s="68"/>
      <c r="BQ161" s="4"/>
      <c r="BR161" s="4"/>
      <c r="BS161" s="4"/>
      <c r="BT161" s="142"/>
      <c r="BU161" s="143"/>
      <c r="BV161" s="68"/>
      <c r="BW161" s="68"/>
      <c r="BZ161" s="37"/>
      <c r="CA161" s="66"/>
      <c r="CB161" s="68"/>
      <c r="CC161" s="68"/>
      <c r="CD161" s="75"/>
      <c r="CE161" s="68"/>
      <c r="CF161" s="75"/>
      <c r="CG161" s="68"/>
      <c r="CH161" s="4"/>
      <c r="CI161" s="4"/>
      <c r="CJ161" s="4"/>
      <c r="CK161" s="142"/>
      <c r="CL161" s="143"/>
      <c r="CM161" s="68"/>
      <c r="CN161" s="68"/>
      <c r="CQ161" s="37"/>
    </row>
    <row r="162" spans="45:95" x14ac:dyDescent="0.15">
      <c r="AS162" s="66"/>
      <c r="AT162" s="68"/>
      <c r="AU162" s="68"/>
      <c r="AV162" s="75"/>
      <c r="AW162" s="68"/>
      <c r="AX162" s="75"/>
      <c r="AY162" s="68"/>
      <c r="AZ162" s="4"/>
      <c r="BA162" s="4"/>
      <c r="BB162" s="4"/>
      <c r="BC162" s="142"/>
      <c r="BD162" s="143"/>
      <c r="BE162" s="68"/>
      <c r="BF162" s="68"/>
      <c r="BI162" s="37"/>
      <c r="BJ162" s="66"/>
      <c r="BK162" s="68"/>
      <c r="BL162" s="68"/>
      <c r="BM162" s="75"/>
      <c r="BN162" s="68"/>
      <c r="BO162" s="75"/>
      <c r="BP162" s="68"/>
      <c r="BQ162" s="4"/>
      <c r="BR162" s="4"/>
      <c r="BS162" s="4"/>
      <c r="BT162" s="142"/>
      <c r="BU162" s="143"/>
      <c r="BV162" s="68"/>
      <c r="BW162" s="68"/>
      <c r="BZ162" s="37"/>
      <c r="CA162" s="66"/>
      <c r="CB162" s="68"/>
      <c r="CC162" s="68"/>
      <c r="CD162" s="75"/>
      <c r="CE162" s="68"/>
      <c r="CF162" s="75"/>
      <c r="CG162" s="68"/>
      <c r="CH162" s="4"/>
      <c r="CI162" s="4"/>
      <c r="CJ162" s="4"/>
      <c r="CK162" s="142"/>
      <c r="CL162" s="143"/>
      <c r="CM162" s="68"/>
      <c r="CN162" s="68"/>
      <c r="CQ162" s="37"/>
    </row>
    <row r="163" spans="45:95" x14ac:dyDescent="0.15">
      <c r="AS163" s="66"/>
      <c r="AT163" s="68"/>
      <c r="AU163" s="68"/>
      <c r="AV163" s="75"/>
      <c r="AW163" s="68"/>
      <c r="AX163" s="75"/>
      <c r="AY163" s="68"/>
      <c r="AZ163" s="4"/>
      <c r="BA163" s="4"/>
      <c r="BB163" s="4"/>
      <c r="BC163" s="142"/>
      <c r="BD163" s="143"/>
      <c r="BE163" s="68"/>
      <c r="BF163" s="68"/>
      <c r="BI163" s="37"/>
      <c r="BJ163" s="66"/>
      <c r="BK163" s="68"/>
      <c r="BL163" s="68"/>
      <c r="BM163" s="75"/>
      <c r="BN163" s="68"/>
      <c r="BO163" s="75"/>
      <c r="BP163" s="68"/>
      <c r="BQ163" s="4"/>
      <c r="BR163" s="4"/>
      <c r="BS163" s="4"/>
      <c r="BT163" s="142"/>
      <c r="BU163" s="143"/>
      <c r="BV163" s="68"/>
      <c r="BW163" s="68"/>
      <c r="BZ163" s="37"/>
      <c r="CA163" s="66"/>
      <c r="CB163" s="68"/>
      <c r="CC163" s="68"/>
      <c r="CD163" s="75"/>
      <c r="CE163" s="68"/>
      <c r="CF163" s="75"/>
      <c r="CG163" s="68"/>
      <c r="CH163" s="4"/>
      <c r="CI163" s="4"/>
      <c r="CJ163" s="4"/>
      <c r="CK163" s="142"/>
      <c r="CL163" s="143"/>
      <c r="CM163" s="68"/>
      <c r="CN163" s="68"/>
      <c r="CQ163" s="37"/>
    </row>
    <row r="164" spans="45:95" x14ac:dyDescent="0.15">
      <c r="AS164" s="66"/>
      <c r="AT164" s="68"/>
      <c r="AU164" s="68"/>
      <c r="AV164" s="75"/>
      <c r="AW164" s="68"/>
      <c r="AX164" s="75"/>
      <c r="AY164" s="68"/>
      <c r="AZ164" s="4"/>
      <c r="BA164" s="4"/>
      <c r="BB164" s="4"/>
      <c r="BC164" s="142"/>
      <c r="BD164" s="143"/>
      <c r="BE164" s="68"/>
      <c r="BF164" s="68"/>
      <c r="BI164" s="37"/>
      <c r="BJ164" s="66"/>
      <c r="BK164" s="68"/>
      <c r="BL164" s="68"/>
      <c r="BM164" s="75"/>
      <c r="BN164" s="68"/>
      <c r="BO164" s="75"/>
      <c r="BP164" s="68"/>
      <c r="BQ164" s="4"/>
      <c r="BR164" s="4"/>
      <c r="BS164" s="4"/>
      <c r="BT164" s="142"/>
      <c r="BU164" s="143"/>
      <c r="BV164" s="68"/>
      <c r="BW164" s="68"/>
      <c r="BZ164" s="37"/>
      <c r="CA164" s="66"/>
      <c r="CB164" s="68"/>
      <c r="CC164" s="68"/>
      <c r="CD164" s="75"/>
      <c r="CE164" s="68"/>
      <c r="CF164" s="75"/>
      <c r="CG164" s="68"/>
      <c r="CH164" s="4"/>
      <c r="CI164" s="4"/>
      <c r="CJ164" s="4"/>
      <c r="CK164" s="142"/>
      <c r="CL164" s="143"/>
      <c r="CM164" s="68"/>
      <c r="CN164" s="68"/>
      <c r="CQ164" s="37"/>
    </row>
    <row r="165" spans="45:95" x14ac:dyDescent="0.15">
      <c r="AS165" s="66"/>
      <c r="AT165" s="68"/>
      <c r="AU165" s="68"/>
      <c r="AV165" s="75"/>
      <c r="AW165" s="68"/>
      <c r="AX165" s="75"/>
      <c r="AY165" s="68"/>
      <c r="AZ165" s="4"/>
      <c r="BA165" s="4"/>
      <c r="BB165" s="4"/>
      <c r="BC165" s="142"/>
      <c r="BD165" s="143"/>
      <c r="BE165" s="68"/>
      <c r="BF165" s="68"/>
      <c r="BI165" s="37"/>
      <c r="BJ165" s="66"/>
      <c r="BK165" s="68"/>
      <c r="BL165" s="68"/>
      <c r="BM165" s="75"/>
      <c r="BN165" s="68"/>
      <c r="BO165" s="75"/>
      <c r="BP165" s="68"/>
      <c r="BQ165" s="4"/>
      <c r="BR165" s="4"/>
      <c r="BS165" s="4"/>
      <c r="BT165" s="142"/>
      <c r="BU165" s="143"/>
      <c r="BV165" s="68"/>
      <c r="BW165" s="68"/>
      <c r="BZ165" s="37"/>
      <c r="CA165" s="66"/>
      <c r="CB165" s="68"/>
      <c r="CC165" s="68"/>
      <c r="CD165" s="75"/>
      <c r="CE165" s="68"/>
      <c r="CF165" s="75"/>
      <c r="CG165" s="68"/>
      <c r="CH165" s="4"/>
      <c r="CI165" s="4"/>
      <c r="CJ165" s="4"/>
      <c r="CK165" s="142"/>
      <c r="CL165" s="143"/>
      <c r="CM165" s="68"/>
      <c r="CN165" s="68"/>
      <c r="CQ165" s="37"/>
    </row>
    <row r="166" spans="45:95" x14ac:dyDescent="0.15">
      <c r="AS166" s="66"/>
      <c r="AT166" s="68"/>
      <c r="AU166" s="68"/>
      <c r="AV166" s="75"/>
      <c r="AW166" s="68"/>
      <c r="AX166" s="75"/>
      <c r="AY166" s="68"/>
      <c r="AZ166" s="4"/>
      <c r="BA166" s="4"/>
      <c r="BB166" s="4"/>
      <c r="BC166" s="142"/>
      <c r="BD166" s="143"/>
      <c r="BE166" s="68"/>
      <c r="BF166" s="68"/>
      <c r="BI166" s="37"/>
      <c r="BJ166" s="66"/>
      <c r="BK166" s="68"/>
      <c r="BL166" s="68"/>
      <c r="BM166" s="75"/>
      <c r="BN166" s="68"/>
      <c r="BO166" s="75"/>
      <c r="BP166" s="68"/>
      <c r="BQ166" s="4"/>
      <c r="BR166" s="4"/>
      <c r="BS166" s="4"/>
      <c r="BT166" s="142"/>
      <c r="BU166" s="143"/>
      <c r="BV166" s="68"/>
      <c r="BW166" s="68"/>
      <c r="BZ166" s="37"/>
      <c r="CA166" s="66"/>
      <c r="CB166" s="68"/>
      <c r="CC166" s="68"/>
      <c r="CD166" s="75"/>
      <c r="CE166" s="68"/>
      <c r="CF166" s="75"/>
      <c r="CG166" s="68"/>
      <c r="CH166" s="4"/>
      <c r="CI166" s="4"/>
      <c r="CJ166" s="4"/>
      <c r="CK166" s="142"/>
      <c r="CL166" s="143"/>
      <c r="CM166" s="68"/>
      <c r="CN166" s="68"/>
      <c r="CQ166" s="37"/>
    </row>
    <row r="167" spans="45:95" x14ac:dyDescent="0.15">
      <c r="AS167" s="66"/>
      <c r="AT167" s="68"/>
      <c r="AU167" s="68"/>
      <c r="AV167" s="75"/>
      <c r="AW167" s="68"/>
      <c r="AX167" s="75"/>
      <c r="AY167" s="68"/>
      <c r="AZ167" s="4"/>
      <c r="BA167" s="4"/>
      <c r="BB167" s="4"/>
      <c r="BC167" s="142"/>
      <c r="BD167" s="143"/>
      <c r="BE167" s="68"/>
      <c r="BF167" s="68"/>
      <c r="BI167" s="37"/>
      <c r="BJ167" s="66"/>
      <c r="BK167" s="68"/>
      <c r="BL167" s="68"/>
      <c r="BM167" s="75"/>
      <c r="BN167" s="68"/>
      <c r="BO167" s="75"/>
      <c r="BP167" s="68"/>
      <c r="BQ167" s="4"/>
      <c r="BR167" s="4"/>
      <c r="BS167" s="4"/>
      <c r="BT167" s="142"/>
      <c r="BU167" s="143"/>
      <c r="BV167" s="68"/>
      <c r="BW167" s="68"/>
      <c r="BZ167" s="37"/>
      <c r="CA167" s="66"/>
      <c r="CB167" s="68"/>
      <c r="CC167" s="68"/>
      <c r="CD167" s="75"/>
      <c r="CE167" s="68"/>
      <c r="CF167" s="75"/>
      <c r="CG167" s="68"/>
      <c r="CH167" s="4"/>
      <c r="CI167" s="4"/>
      <c r="CJ167" s="4"/>
      <c r="CK167" s="142"/>
      <c r="CL167" s="143"/>
      <c r="CM167" s="68"/>
      <c r="CN167" s="68"/>
      <c r="CQ167" s="37"/>
    </row>
    <row r="168" spans="45:95" x14ac:dyDescent="0.15">
      <c r="AS168" s="66"/>
      <c r="AT168" s="68"/>
      <c r="AU168" s="68"/>
      <c r="AV168" s="75"/>
      <c r="AW168" s="68"/>
      <c r="AX168" s="75"/>
      <c r="AY168" s="68"/>
      <c r="AZ168" s="4"/>
      <c r="BA168" s="4"/>
      <c r="BB168" s="4"/>
      <c r="BC168" s="142"/>
      <c r="BD168" s="143"/>
      <c r="BE168" s="68"/>
      <c r="BF168" s="68"/>
      <c r="BI168" s="37"/>
      <c r="BJ168" s="66"/>
      <c r="BK168" s="68"/>
      <c r="BL168" s="68"/>
      <c r="BM168" s="75"/>
      <c r="BN168" s="68"/>
      <c r="BO168" s="75"/>
      <c r="BP168" s="68"/>
      <c r="BQ168" s="4"/>
      <c r="BR168" s="4"/>
      <c r="BS168" s="4"/>
      <c r="BT168" s="142"/>
      <c r="BU168" s="143"/>
      <c r="BV168" s="68"/>
      <c r="BW168" s="68"/>
      <c r="BZ168" s="37"/>
      <c r="CA168" s="66"/>
      <c r="CB168" s="68"/>
      <c r="CC168" s="68"/>
      <c r="CD168" s="75"/>
      <c r="CE168" s="68"/>
      <c r="CF168" s="75"/>
      <c r="CG168" s="68"/>
      <c r="CH168" s="4"/>
      <c r="CI168" s="4"/>
      <c r="CJ168" s="4"/>
      <c r="CK168" s="142"/>
      <c r="CL168" s="143"/>
      <c r="CM168" s="68"/>
      <c r="CN168" s="68"/>
      <c r="CQ168" s="37"/>
    </row>
    <row r="169" spans="45:95" x14ac:dyDescent="0.15">
      <c r="AS169" s="66"/>
      <c r="AT169" s="68"/>
      <c r="AU169" s="68"/>
      <c r="AV169" s="75"/>
      <c r="AW169" s="68"/>
      <c r="AX169" s="75"/>
      <c r="AY169" s="68"/>
      <c r="AZ169" s="4"/>
      <c r="BA169" s="4"/>
      <c r="BB169" s="4"/>
      <c r="BC169" s="142"/>
      <c r="BD169" s="143"/>
      <c r="BE169" s="68"/>
      <c r="BF169" s="68"/>
      <c r="BI169" s="37"/>
      <c r="BJ169" s="66"/>
      <c r="BK169" s="68"/>
      <c r="BL169" s="68"/>
      <c r="BM169" s="75"/>
      <c r="BN169" s="68"/>
      <c r="BO169" s="75"/>
      <c r="BP169" s="68"/>
      <c r="BQ169" s="4"/>
      <c r="BR169" s="4"/>
      <c r="BS169" s="4"/>
      <c r="BT169" s="142"/>
      <c r="BU169" s="143"/>
      <c r="BV169" s="68"/>
      <c r="BW169" s="68"/>
      <c r="BZ169" s="37"/>
      <c r="CA169" s="66"/>
      <c r="CB169" s="68"/>
      <c r="CC169" s="68"/>
      <c r="CD169" s="75"/>
      <c r="CE169" s="68"/>
      <c r="CF169" s="75"/>
      <c r="CG169" s="68"/>
      <c r="CH169" s="4"/>
      <c r="CI169" s="4"/>
      <c r="CJ169" s="4"/>
      <c r="CK169" s="142"/>
      <c r="CL169" s="143"/>
      <c r="CM169" s="68"/>
      <c r="CN169" s="68"/>
      <c r="CQ169" s="37"/>
    </row>
    <row r="170" spans="45:95" x14ac:dyDescent="0.15">
      <c r="AS170" s="66"/>
      <c r="AT170" s="68"/>
      <c r="AU170" s="68"/>
      <c r="AV170" s="75"/>
      <c r="AW170" s="68"/>
      <c r="AX170" s="75"/>
      <c r="AY170" s="68"/>
      <c r="AZ170" s="4"/>
      <c r="BA170" s="4"/>
      <c r="BB170" s="4"/>
      <c r="BC170" s="142"/>
      <c r="BD170" s="143"/>
      <c r="BE170" s="68"/>
      <c r="BF170" s="68"/>
      <c r="BI170" s="37"/>
      <c r="BJ170" s="66"/>
      <c r="BK170" s="68"/>
      <c r="BL170" s="68"/>
      <c r="BM170" s="75"/>
      <c r="BN170" s="68"/>
      <c r="BO170" s="75"/>
      <c r="BP170" s="68"/>
      <c r="BQ170" s="4"/>
      <c r="BR170" s="4"/>
      <c r="BS170" s="4"/>
      <c r="BT170" s="142"/>
      <c r="BU170" s="143"/>
      <c r="BV170" s="68"/>
      <c r="BW170" s="68"/>
      <c r="BZ170" s="37"/>
      <c r="CA170" s="66"/>
      <c r="CB170" s="68"/>
      <c r="CC170" s="68"/>
      <c r="CD170" s="75"/>
      <c r="CE170" s="68"/>
      <c r="CF170" s="75"/>
      <c r="CG170" s="68"/>
      <c r="CH170" s="4"/>
      <c r="CI170" s="4"/>
      <c r="CJ170" s="4"/>
      <c r="CK170" s="142"/>
      <c r="CL170" s="143"/>
      <c r="CM170" s="68"/>
      <c r="CN170" s="68"/>
      <c r="CQ170" s="37"/>
    </row>
    <row r="171" spans="45:95" x14ac:dyDescent="0.15">
      <c r="AS171" s="66"/>
      <c r="AT171" s="68"/>
      <c r="AU171" s="68"/>
      <c r="AV171" s="75"/>
      <c r="AW171" s="68"/>
      <c r="AX171" s="75"/>
      <c r="AY171" s="68"/>
      <c r="AZ171" s="4"/>
      <c r="BA171" s="4"/>
      <c r="BB171" s="4"/>
      <c r="BC171" s="142"/>
      <c r="BD171" s="143"/>
      <c r="BE171" s="68"/>
      <c r="BF171" s="68"/>
      <c r="BI171" s="37"/>
      <c r="BJ171" s="66"/>
      <c r="BK171" s="68"/>
      <c r="BL171" s="68"/>
      <c r="BM171" s="75"/>
      <c r="BN171" s="68"/>
      <c r="BO171" s="75"/>
      <c r="BP171" s="68"/>
      <c r="BQ171" s="4"/>
      <c r="BR171" s="4"/>
      <c r="BS171" s="4"/>
      <c r="BT171" s="142"/>
      <c r="BU171" s="143"/>
      <c r="BV171" s="68"/>
      <c r="BW171" s="68"/>
      <c r="BZ171" s="37"/>
      <c r="CA171" s="66"/>
      <c r="CB171" s="68"/>
      <c r="CC171" s="68"/>
      <c r="CD171" s="75"/>
      <c r="CE171" s="68"/>
      <c r="CF171" s="75"/>
      <c r="CG171" s="68"/>
      <c r="CH171" s="4"/>
      <c r="CI171" s="4"/>
      <c r="CJ171" s="4"/>
      <c r="CK171" s="142"/>
      <c r="CL171" s="143"/>
      <c r="CM171" s="68"/>
      <c r="CN171" s="68"/>
      <c r="CQ171" s="37"/>
    </row>
    <row r="172" spans="45:95" x14ac:dyDescent="0.15">
      <c r="AS172" s="66"/>
      <c r="AT172" s="68"/>
      <c r="AU172" s="68"/>
      <c r="AV172" s="75"/>
      <c r="AW172" s="68"/>
      <c r="AX172" s="75"/>
      <c r="AY172" s="68"/>
      <c r="AZ172" s="4"/>
      <c r="BA172" s="4"/>
      <c r="BB172" s="4"/>
      <c r="BC172" s="142"/>
      <c r="BD172" s="143"/>
      <c r="BE172" s="68"/>
      <c r="BF172" s="68"/>
      <c r="BI172" s="37"/>
      <c r="BJ172" s="66"/>
      <c r="BK172" s="68"/>
      <c r="BL172" s="68"/>
      <c r="BM172" s="75"/>
      <c r="BN172" s="68"/>
      <c r="BO172" s="75"/>
      <c r="BP172" s="68"/>
      <c r="BQ172" s="4"/>
      <c r="BR172" s="4"/>
      <c r="BS172" s="4"/>
      <c r="BT172" s="142"/>
      <c r="BU172" s="143"/>
      <c r="BV172" s="68"/>
      <c r="BW172" s="68"/>
      <c r="BZ172" s="37"/>
      <c r="CA172" s="66"/>
      <c r="CB172" s="68"/>
      <c r="CC172" s="68"/>
      <c r="CD172" s="75"/>
      <c r="CE172" s="68"/>
      <c r="CF172" s="75"/>
      <c r="CG172" s="68"/>
      <c r="CH172" s="4"/>
      <c r="CI172" s="4"/>
      <c r="CJ172" s="4"/>
      <c r="CK172" s="142"/>
      <c r="CL172" s="143"/>
      <c r="CM172" s="68"/>
      <c r="CN172" s="68"/>
      <c r="CQ172" s="37"/>
    </row>
    <row r="173" spans="45:95" x14ac:dyDescent="0.15">
      <c r="AS173" s="66"/>
      <c r="AT173" s="68"/>
      <c r="AU173" s="68"/>
      <c r="AV173" s="75"/>
      <c r="AW173" s="68"/>
      <c r="AX173" s="75"/>
      <c r="AY173" s="68"/>
      <c r="AZ173" s="4"/>
      <c r="BA173" s="4"/>
      <c r="BB173" s="4"/>
      <c r="BC173" s="142"/>
      <c r="BD173" s="143"/>
      <c r="BE173" s="68"/>
      <c r="BF173" s="68"/>
      <c r="BI173" s="37"/>
      <c r="BJ173" s="66"/>
      <c r="BK173" s="68"/>
      <c r="BL173" s="68"/>
      <c r="BM173" s="75"/>
      <c r="BN173" s="68"/>
      <c r="BO173" s="75"/>
      <c r="BP173" s="68"/>
      <c r="BQ173" s="4"/>
      <c r="BR173" s="4"/>
      <c r="BS173" s="4"/>
      <c r="BT173" s="142"/>
      <c r="BU173" s="143"/>
      <c r="BV173" s="68"/>
      <c r="BW173" s="68"/>
      <c r="BZ173" s="37"/>
      <c r="CA173" s="66"/>
      <c r="CB173" s="68"/>
      <c r="CC173" s="68"/>
      <c r="CD173" s="75"/>
      <c r="CE173" s="68"/>
      <c r="CF173" s="75"/>
      <c r="CG173" s="68"/>
      <c r="CH173" s="4"/>
      <c r="CI173" s="4"/>
      <c r="CJ173" s="4"/>
      <c r="CK173" s="142"/>
      <c r="CL173" s="143"/>
      <c r="CM173" s="68"/>
      <c r="CN173" s="68"/>
      <c r="CQ173" s="37"/>
    </row>
    <row r="174" spans="45:95" x14ac:dyDescent="0.15">
      <c r="AS174" s="66"/>
      <c r="AT174" s="68"/>
      <c r="AU174" s="68"/>
      <c r="AV174" s="75"/>
      <c r="AW174" s="68"/>
      <c r="AX174" s="75"/>
      <c r="AY174" s="68"/>
      <c r="AZ174" s="4"/>
      <c r="BA174" s="4"/>
      <c r="BB174" s="4"/>
      <c r="BC174" s="142"/>
      <c r="BD174" s="143"/>
      <c r="BE174" s="68"/>
      <c r="BF174" s="68"/>
      <c r="BI174" s="37"/>
      <c r="BJ174" s="66"/>
      <c r="BK174" s="68"/>
      <c r="BL174" s="68"/>
      <c r="BM174" s="75"/>
      <c r="BN174" s="68"/>
      <c r="BO174" s="75"/>
      <c r="BP174" s="68"/>
      <c r="BQ174" s="4"/>
      <c r="BR174" s="4"/>
      <c r="BS174" s="4"/>
      <c r="BT174" s="142"/>
      <c r="BU174" s="143"/>
      <c r="BV174" s="68"/>
      <c r="BW174" s="68"/>
      <c r="BZ174" s="37"/>
      <c r="CA174" s="66"/>
      <c r="CB174" s="68"/>
      <c r="CC174" s="68"/>
      <c r="CD174" s="75"/>
      <c r="CE174" s="68"/>
      <c r="CF174" s="75"/>
      <c r="CG174" s="68"/>
      <c r="CH174" s="4"/>
      <c r="CI174" s="4"/>
      <c r="CJ174" s="4"/>
      <c r="CK174" s="142"/>
      <c r="CL174" s="143"/>
      <c r="CM174" s="68"/>
      <c r="CN174" s="68"/>
      <c r="CQ174" s="37"/>
    </row>
    <row r="175" spans="45:95" x14ac:dyDescent="0.15">
      <c r="AS175" s="66"/>
      <c r="AT175" s="68"/>
      <c r="AU175" s="68"/>
      <c r="AV175" s="75"/>
      <c r="AW175" s="68"/>
      <c r="AX175" s="75"/>
      <c r="AY175" s="68"/>
      <c r="AZ175" s="4"/>
      <c r="BA175" s="4"/>
      <c r="BB175" s="4"/>
      <c r="BC175" s="142"/>
      <c r="BD175" s="143"/>
      <c r="BE175" s="68"/>
      <c r="BF175" s="68"/>
      <c r="BI175" s="37"/>
      <c r="BJ175" s="66"/>
      <c r="BK175" s="68"/>
      <c r="BL175" s="68"/>
      <c r="BM175" s="75"/>
      <c r="BN175" s="68"/>
      <c r="BO175" s="75"/>
      <c r="BP175" s="68"/>
      <c r="BQ175" s="4"/>
      <c r="BR175" s="4"/>
      <c r="BS175" s="4"/>
      <c r="BT175" s="142"/>
      <c r="BU175" s="143"/>
      <c r="BV175" s="68"/>
      <c r="BW175" s="68"/>
      <c r="BZ175" s="37"/>
      <c r="CA175" s="66"/>
      <c r="CB175" s="68"/>
      <c r="CC175" s="68"/>
      <c r="CD175" s="75"/>
      <c r="CE175" s="68"/>
      <c r="CF175" s="75"/>
      <c r="CG175" s="68"/>
      <c r="CH175" s="4"/>
      <c r="CI175" s="4"/>
      <c r="CJ175" s="4"/>
      <c r="CK175" s="142"/>
      <c r="CL175" s="143"/>
      <c r="CM175" s="68"/>
      <c r="CN175" s="68"/>
      <c r="CQ175" s="37"/>
    </row>
    <row r="176" spans="45:95" x14ac:dyDescent="0.15">
      <c r="AS176" s="66"/>
      <c r="AT176" s="68"/>
      <c r="AU176" s="68"/>
      <c r="AV176" s="75"/>
      <c r="AW176" s="68"/>
      <c r="AX176" s="75"/>
      <c r="AY176" s="68"/>
      <c r="AZ176" s="4"/>
      <c r="BA176" s="4"/>
      <c r="BB176" s="4"/>
      <c r="BC176" s="142"/>
      <c r="BD176" s="143"/>
      <c r="BE176" s="68"/>
      <c r="BF176" s="68"/>
      <c r="BI176" s="37"/>
      <c r="BJ176" s="66"/>
      <c r="BK176" s="68"/>
      <c r="BL176" s="68"/>
      <c r="BM176" s="75"/>
      <c r="BN176" s="68"/>
      <c r="BO176" s="75"/>
      <c r="BP176" s="68"/>
      <c r="BQ176" s="4"/>
      <c r="BR176" s="4"/>
      <c r="BS176" s="4"/>
      <c r="BT176" s="142"/>
      <c r="BU176" s="143"/>
      <c r="BV176" s="68"/>
      <c r="BW176" s="68"/>
      <c r="BZ176" s="37"/>
      <c r="CA176" s="66"/>
      <c r="CB176" s="68"/>
      <c r="CC176" s="68"/>
      <c r="CD176" s="75"/>
      <c r="CE176" s="68"/>
      <c r="CF176" s="75"/>
      <c r="CG176" s="68"/>
      <c r="CH176" s="4"/>
      <c r="CI176" s="4"/>
      <c r="CJ176" s="4"/>
      <c r="CK176" s="142"/>
      <c r="CL176" s="143"/>
      <c r="CM176" s="68"/>
      <c r="CN176" s="68"/>
      <c r="CQ176" s="37"/>
    </row>
    <row r="177" spans="45:95" x14ac:dyDescent="0.15">
      <c r="AS177" s="66"/>
      <c r="AT177" s="68"/>
      <c r="AU177" s="68"/>
      <c r="AV177" s="75"/>
      <c r="AW177" s="68"/>
      <c r="AX177" s="75"/>
      <c r="AY177" s="68"/>
      <c r="AZ177" s="4"/>
      <c r="BA177" s="4"/>
      <c r="BB177" s="4"/>
      <c r="BC177" s="142"/>
      <c r="BD177" s="143"/>
      <c r="BE177" s="68"/>
      <c r="BF177" s="68"/>
      <c r="BI177" s="37"/>
      <c r="BJ177" s="66"/>
      <c r="BK177" s="68"/>
      <c r="BL177" s="68"/>
      <c r="BM177" s="75"/>
      <c r="BN177" s="68"/>
      <c r="BO177" s="75"/>
      <c r="BP177" s="68"/>
      <c r="BQ177" s="4"/>
      <c r="BR177" s="4"/>
      <c r="BS177" s="4"/>
      <c r="BT177" s="142"/>
      <c r="BU177" s="143"/>
      <c r="BV177" s="68"/>
      <c r="BW177" s="68"/>
      <c r="BZ177" s="37"/>
      <c r="CA177" s="66"/>
      <c r="CB177" s="68"/>
      <c r="CC177" s="68"/>
      <c r="CD177" s="75"/>
      <c r="CE177" s="68"/>
      <c r="CF177" s="75"/>
      <c r="CG177" s="68"/>
      <c r="CH177" s="4"/>
      <c r="CI177" s="4"/>
      <c r="CJ177" s="4"/>
      <c r="CK177" s="142"/>
      <c r="CL177" s="143"/>
      <c r="CM177" s="68"/>
      <c r="CN177" s="68"/>
      <c r="CQ177" s="37"/>
    </row>
    <row r="178" spans="45:95" x14ac:dyDescent="0.15">
      <c r="AS178" s="66"/>
      <c r="AT178" s="68"/>
      <c r="AU178" s="68"/>
      <c r="AV178" s="75"/>
      <c r="AW178" s="68"/>
      <c r="AX178" s="75"/>
      <c r="AY178" s="68"/>
      <c r="AZ178" s="4"/>
      <c r="BA178" s="4"/>
      <c r="BB178" s="4"/>
      <c r="BC178" s="142"/>
      <c r="BD178" s="143"/>
      <c r="BE178" s="68"/>
      <c r="BF178" s="68"/>
      <c r="BI178" s="37"/>
      <c r="BJ178" s="66"/>
      <c r="BK178" s="68"/>
      <c r="BL178" s="68"/>
      <c r="BM178" s="75"/>
      <c r="BN178" s="68"/>
      <c r="BO178" s="75"/>
      <c r="BP178" s="68"/>
      <c r="BQ178" s="4"/>
      <c r="BR178" s="4"/>
      <c r="BS178" s="4"/>
      <c r="BT178" s="142"/>
      <c r="BU178" s="143"/>
      <c r="BV178" s="68"/>
      <c r="BW178" s="68"/>
      <c r="BZ178" s="37"/>
      <c r="CA178" s="66"/>
      <c r="CB178" s="68"/>
      <c r="CC178" s="68"/>
      <c r="CD178" s="75"/>
      <c r="CE178" s="68"/>
      <c r="CF178" s="75"/>
      <c r="CG178" s="68"/>
      <c r="CH178" s="4"/>
      <c r="CI178" s="4"/>
      <c r="CJ178" s="4"/>
      <c r="CK178" s="142"/>
      <c r="CL178" s="143"/>
      <c r="CM178" s="68"/>
      <c r="CN178" s="68"/>
      <c r="CQ178" s="37"/>
    </row>
    <row r="179" spans="45:95" x14ac:dyDescent="0.15">
      <c r="AS179" s="66"/>
      <c r="AT179" s="68"/>
      <c r="AU179" s="68"/>
      <c r="AV179" s="75"/>
      <c r="AW179" s="68"/>
      <c r="AX179" s="75"/>
      <c r="AY179" s="68"/>
      <c r="AZ179" s="4"/>
      <c r="BA179" s="4"/>
      <c r="BB179" s="4"/>
      <c r="BC179" s="142"/>
      <c r="BD179" s="143"/>
      <c r="BE179" s="68"/>
      <c r="BF179" s="68"/>
      <c r="BI179" s="37"/>
      <c r="BJ179" s="66"/>
      <c r="BK179" s="68"/>
      <c r="BL179" s="68"/>
      <c r="BM179" s="75"/>
      <c r="BN179" s="68"/>
      <c r="BO179" s="75"/>
      <c r="BP179" s="68"/>
      <c r="BQ179" s="4"/>
      <c r="BR179" s="4"/>
      <c r="BS179" s="4"/>
      <c r="BT179" s="142"/>
      <c r="BU179" s="143"/>
      <c r="BV179" s="68"/>
      <c r="BW179" s="68"/>
      <c r="BZ179" s="37"/>
      <c r="CA179" s="66"/>
      <c r="CB179" s="68"/>
      <c r="CC179" s="68"/>
      <c r="CD179" s="75"/>
      <c r="CE179" s="68"/>
      <c r="CF179" s="75"/>
      <c r="CG179" s="68"/>
      <c r="CH179" s="4"/>
      <c r="CI179" s="4"/>
      <c r="CJ179" s="4"/>
      <c r="CK179" s="142"/>
      <c r="CL179" s="143"/>
      <c r="CM179" s="68"/>
      <c r="CN179" s="68"/>
      <c r="CQ179" s="37"/>
    </row>
    <row r="180" spans="45:95" x14ac:dyDescent="0.15">
      <c r="AS180" s="66"/>
      <c r="AT180" s="68"/>
      <c r="AU180" s="68"/>
      <c r="AV180" s="75"/>
      <c r="AW180" s="68"/>
      <c r="AX180" s="75"/>
      <c r="AY180" s="68"/>
      <c r="AZ180" s="4"/>
      <c r="BA180" s="4"/>
      <c r="BB180" s="4"/>
      <c r="BC180" s="142"/>
      <c r="BD180" s="143"/>
      <c r="BE180" s="68"/>
      <c r="BF180" s="68"/>
      <c r="BI180" s="37"/>
      <c r="BJ180" s="66"/>
      <c r="BK180" s="68"/>
      <c r="BL180" s="68"/>
      <c r="BM180" s="75"/>
      <c r="BN180" s="68"/>
      <c r="BO180" s="75"/>
      <c r="BP180" s="68"/>
      <c r="BQ180" s="4"/>
      <c r="BR180" s="4"/>
      <c r="BS180" s="4"/>
      <c r="BT180" s="142"/>
      <c r="BU180" s="143"/>
      <c r="BV180" s="68"/>
      <c r="BW180" s="68"/>
      <c r="BZ180" s="37"/>
      <c r="CA180" s="66"/>
      <c r="CB180" s="68"/>
      <c r="CC180" s="68"/>
      <c r="CD180" s="75"/>
      <c r="CE180" s="68"/>
      <c r="CF180" s="75"/>
      <c r="CG180" s="68"/>
      <c r="CH180" s="4"/>
      <c r="CI180" s="4"/>
      <c r="CJ180" s="4"/>
      <c r="CK180" s="142"/>
      <c r="CL180" s="143"/>
      <c r="CM180" s="68"/>
      <c r="CN180" s="68"/>
      <c r="CQ180" s="37"/>
    </row>
    <row r="181" spans="45:95" x14ac:dyDescent="0.15">
      <c r="AS181" s="66"/>
      <c r="AT181" s="68"/>
      <c r="AU181" s="68"/>
      <c r="AV181" s="75"/>
      <c r="AW181" s="68"/>
      <c r="AX181" s="75"/>
      <c r="AY181" s="68"/>
      <c r="AZ181" s="4"/>
      <c r="BA181" s="4"/>
      <c r="BB181" s="4"/>
      <c r="BC181" s="142"/>
      <c r="BD181" s="143"/>
      <c r="BE181" s="68"/>
      <c r="BF181" s="68"/>
      <c r="BI181" s="37"/>
      <c r="BJ181" s="66"/>
      <c r="BK181" s="68"/>
      <c r="BL181" s="68"/>
      <c r="BM181" s="75"/>
      <c r="BN181" s="68"/>
      <c r="BO181" s="75"/>
      <c r="BP181" s="68"/>
      <c r="BQ181" s="4"/>
      <c r="BR181" s="4"/>
      <c r="BS181" s="4"/>
      <c r="BT181" s="142"/>
      <c r="BU181" s="143"/>
      <c r="BV181" s="68"/>
      <c r="BW181" s="68"/>
      <c r="BZ181" s="37"/>
      <c r="CA181" s="66"/>
      <c r="CB181" s="68"/>
      <c r="CC181" s="68"/>
      <c r="CD181" s="75"/>
      <c r="CE181" s="68"/>
      <c r="CF181" s="75"/>
      <c r="CG181" s="68"/>
      <c r="CH181" s="4"/>
      <c r="CI181" s="4"/>
      <c r="CJ181" s="4"/>
      <c r="CK181" s="142"/>
      <c r="CL181" s="143"/>
      <c r="CM181" s="68"/>
      <c r="CN181" s="68"/>
      <c r="CQ181" s="37"/>
    </row>
    <row r="182" spans="45:95" x14ac:dyDescent="0.15">
      <c r="AS182" s="66"/>
      <c r="AT182" s="68"/>
      <c r="AU182" s="68"/>
      <c r="AV182" s="75"/>
      <c r="AW182" s="68"/>
      <c r="AX182" s="75"/>
      <c r="AY182" s="68"/>
      <c r="AZ182" s="4"/>
      <c r="BA182" s="4"/>
      <c r="BB182" s="4"/>
      <c r="BC182" s="142"/>
      <c r="BD182" s="143"/>
      <c r="BE182" s="68"/>
      <c r="BF182" s="68"/>
      <c r="BI182" s="37"/>
      <c r="BJ182" s="66"/>
      <c r="BK182" s="68"/>
      <c r="BL182" s="68"/>
      <c r="BM182" s="75"/>
      <c r="BN182" s="68"/>
      <c r="BO182" s="75"/>
      <c r="BP182" s="68"/>
      <c r="BQ182" s="4"/>
      <c r="BR182" s="4"/>
      <c r="BS182" s="4"/>
      <c r="BT182" s="142"/>
      <c r="BU182" s="143"/>
      <c r="BV182" s="68"/>
      <c r="BW182" s="68"/>
      <c r="BZ182" s="37"/>
      <c r="CA182" s="66"/>
      <c r="CB182" s="68"/>
      <c r="CC182" s="68"/>
      <c r="CD182" s="75"/>
      <c r="CE182" s="68"/>
      <c r="CF182" s="75"/>
      <c r="CG182" s="68"/>
      <c r="CH182" s="4"/>
      <c r="CI182" s="4"/>
      <c r="CJ182" s="4"/>
      <c r="CK182" s="142"/>
      <c r="CL182" s="143"/>
      <c r="CM182" s="68"/>
      <c r="CN182" s="68"/>
      <c r="CQ182" s="37"/>
    </row>
    <row r="183" spans="45:95" x14ac:dyDescent="0.15">
      <c r="AS183" s="66"/>
      <c r="AT183" s="68"/>
      <c r="AU183" s="68"/>
      <c r="AV183" s="75"/>
      <c r="AW183" s="68"/>
      <c r="AX183" s="75"/>
      <c r="AY183" s="68"/>
      <c r="AZ183" s="4"/>
      <c r="BA183" s="4"/>
      <c r="BB183" s="4"/>
      <c r="BC183" s="142"/>
      <c r="BD183" s="143"/>
      <c r="BE183" s="68"/>
      <c r="BF183" s="68"/>
      <c r="BI183" s="37"/>
      <c r="BJ183" s="66"/>
      <c r="BK183" s="68"/>
      <c r="BL183" s="68"/>
      <c r="BM183" s="75"/>
      <c r="BN183" s="68"/>
      <c r="BO183" s="75"/>
      <c r="BP183" s="68"/>
      <c r="BQ183" s="4"/>
      <c r="BR183" s="4"/>
      <c r="BS183" s="4"/>
      <c r="BT183" s="142"/>
      <c r="BU183" s="143"/>
      <c r="BV183" s="68"/>
      <c r="BW183" s="68"/>
      <c r="BZ183" s="37"/>
      <c r="CA183" s="66"/>
      <c r="CB183" s="68"/>
      <c r="CC183" s="68"/>
      <c r="CD183" s="75"/>
      <c r="CE183" s="68"/>
      <c r="CF183" s="75"/>
      <c r="CG183" s="68"/>
      <c r="CH183" s="4"/>
      <c r="CI183" s="4"/>
      <c r="CJ183" s="4"/>
      <c r="CK183" s="142"/>
      <c r="CL183" s="143"/>
      <c r="CM183" s="68"/>
      <c r="CN183" s="68"/>
      <c r="CQ183" s="37"/>
    </row>
    <row r="184" spans="45:95" x14ac:dyDescent="0.15">
      <c r="AS184" s="66"/>
      <c r="AT184" s="68"/>
      <c r="AU184" s="68"/>
      <c r="AV184" s="75"/>
      <c r="AW184" s="68"/>
      <c r="AX184" s="75"/>
      <c r="AY184" s="68"/>
      <c r="AZ184" s="4"/>
      <c r="BA184" s="4"/>
      <c r="BB184" s="4"/>
      <c r="BC184" s="142"/>
      <c r="BD184" s="143"/>
      <c r="BE184" s="68"/>
      <c r="BF184" s="68"/>
      <c r="BI184" s="37"/>
      <c r="BJ184" s="66"/>
      <c r="BK184" s="68"/>
      <c r="BL184" s="68"/>
      <c r="BM184" s="75"/>
      <c r="BN184" s="68"/>
      <c r="BO184" s="75"/>
      <c r="BP184" s="68"/>
      <c r="BQ184" s="4"/>
      <c r="BR184" s="4"/>
      <c r="BS184" s="4"/>
      <c r="BT184" s="142"/>
      <c r="BU184" s="143"/>
      <c r="BV184" s="68"/>
      <c r="BW184" s="68"/>
      <c r="BZ184" s="37"/>
      <c r="CA184" s="66"/>
      <c r="CB184" s="68"/>
      <c r="CC184" s="68"/>
      <c r="CD184" s="75"/>
      <c r="CE184" s="68"/>
      <c r="CF184" s="75"/>
      <c r="CG184" s="68"/>
      <c r="CH184" s="4"/>
      <c r="CI184" s="4"/>
      <c r="CJ184" s="4"/>
      <c r="CK184" s="142"/>
      <c r="CL184" s="143"/>
      <c r="CM184" s="68"/>
      <c r="CN184" s="68"/>
      <c r="CQ184" s="37"/>
    </row>
    <row r="185" spans="45:95" x14ac:dyDescent="0.15">
      <c r="AS185" s="66"/>
      <c r="AT185" s="68"/>
      <c r="AU185" s="68"/>
      <c r="AV185" s="75"/>
      <c r="AW185" s="68"/>
      <c r="AX185" s="75"/>
      <c r="AY185" s="68"/>
      <c r="AZ185" s="4"/>
      <c r="BA185" s="4"/>
      <c r="BB185" s="4"/>
      <c r="BC185" s="142"/>
      <c r="BD185" s="143"/>
      <c r="BE185" s="68"/>
      <c r="BF185" s="68"/>
      <c r="BI185" s="37"/>
      <c r="BJ185" s="66"/>
      <c r="BK185" s="68"/>
      <c r="BL185" s="68"/>
      <c r="BM185" s="75"/>
      <c r="BN185" s="68"/>
      <c r="BO185" s="75"/>
      <c r="BP185" s="68"/>
      <c r="BQ185" s="4"/>
      <c r="BR185" s="4"/>
      <c r="BS185" s="4"/>
      <c r="BT185" s="142"/>
      <c r="BU185" s="143"/>
      <c r="BV185" s="68"/>
      <c r="BW185" s="68"/>
      <c r="BZ185" s="37"/>
      <c r="CA185" s="66"/>
      <c r="CB185" s="68"/>
      <c r="CC185" s="68"/>
      <c r="CD185" s="75"/>
      <c r="CE185" s="68"/>
      <c r="CF185" s="75"/>
      <c r="CG185" s="68"/>
      <c r="CH185" s="4"/>
      <c r="CI185" s="4"/>
      <c r="CJ185" s="4"/>
      <c r="CK185" s="142"/>
      <c r="CL185" s="143"/>
      <c r="CM185" s="68"/>
      <c r="CN185" s="68"/>
      <c r="CQ185" s="37"/>
    </row>
    <row r="186" spans="45:95" x14ac:dyDescent="0.15">
      <c r="AS186" s="66"/>
      <c r="AT186" s="68"/>
      <c r="AU186" s="68"/>
      <c r="AV186" s="75"/>
      <c r="AW186" s="68"/>
      <c r="AX186" s="75"/>
      <c r="AY186" s="68"/>
      <c r="AZ186" s="4"/>
      <c r="BA186" s="4"/>
      <c r="BB186" s="4"/>
      <c r="BC186" s="142"/>
      <c r="BD186" s="143"/>
      <c r="BE186" s="68"/>
      <c r="BF186" s="68"/>
      <c r="BI186" s="37"/>
      <c r="BJ186" s="66"/>
      <c r="BK186" s="68"/>
      <c r="BL186" s="68"/>
      <c r="BM186" s="75"/>
      <c r="BN186" s="68"/>
      <c r="BO186" s="75"/>
      <c r="BP186" s="68"/>
      <c r="BQ186" s="4"/>
      <c r="BR186" s="4"/>
      <c r="BS186" s="4"/>
      <c r="BT186" s="142"/>
      <c r="BU186" s="143"/>
      <c r="BV186" s="68"/>
      <c r="BW186" s="68"/>
      <c r="BZ186" s="37"/>
      <c r="CA186" s="66"/>
      <c r="CB186" s="68"/>
      <c r="CC186" s="68"/>
      <c r="CD186" s="75"/>
      <c r="CE186" s="68"/>
      <c r="CF186" s="75"/>
      <c r="CG186" s="68"/>
      <c r="CH186" s="4"/>
      <c r="CI186" s="4"/>
      <c r="CJ186" s="4"/>
      <c r="CK186" s="142"/>
      <c r="CL186" s="143"/>
      <c r="CM186" s="68"/>
      <c r="CN186" s="68"/>
      <c r="CQ186" s="37"/>
    </row>
    <row r="187" spans="45:95" x14ac:dyDescent="0.15">
      <c r="AS187" s="66"/>
      <c r="AT187" s="68"/>
      <c r="AU187" s="68"/>
      <c r="AV187" s="75"/>
      <c r="AW187" s="68"/>
      <c r="AX187" s="75"/>
      <c r="AY187" s="68"/>
      <c r="AZ187" s="4"/>
      <c r="BA187" s="4"/>
      <c r="BB187" s="4"/>
      <c r="BC187" s="142"/>
      <c r="BD187" s="143"/>
      <c r="BE187" s="68"/>
      <c r="BF187" s="68"/>
      <c r="BI187" s="37"/>
      <c r="BJ187" s="66"/>
      <c r="BK187" s="68"/>
      <c r="BL187" s="68"/>
      <c r="BM187" s="75"/>
      <c r="BN187" s="68"/>
      <c r="BO187" s="75"/>
      <c r="BP187" s="68"/>
      <c r="BQ187" s="4"/>
      <c r="BR187" s="4"/>
      <c r="BS187" s="4"/>
      <c r="BT187" s="142"/>
      <c r="BU187" s="143"/>
      <c r="BV187" s="68"/>
      <c r="BW187" s="68"/>
      <c r="BZ187" s="37"/>
      <c r="CA187" s="66"/>
      <c r="CB187" s="68"/>
      <c r="CC187" s="68"/>
      <c r="CD187" s="75"/>
      <c r="CE187" s="68"/>
      <c r="CF187" s="75"/>
      <c r="CG187" s="68"/>
      <c r="CH187" s="4"/>
      <c r="CI187" s="4"/>
      <c r="CJ187" s="4"/>
      <c r="CK187" s="142"/>
      <c r="CL187" s="143"/>
      <c r="CM187" s="68"/>
      <c r="CN187" s="68"/>
      <c r="CQ187" s="37"/>
    </row>
    <row r="188" spans="45:95" x14ac:dyDescent="0.15">
      <c r="AS188" s="66"/>
      <c r="AT188" s="68"/>
      <c r="AU188" s="68"/>
      <c r="AV188" s="75"/>
      <c r="AW188" s="68"/>
      <c r="AX188" s="75"/>
      <c r="AY188" s="68"/>
      <c r="AZ188" s="4"/>
      <c r="BA188" s="4"/>
      <c r="BB188" s="4"/>
      <c r="BC188" s="142"/>
      <c r="BD188" s="143"/>
      <c r="BE188" s="68"/>
      <c r="BF188" s="68"/>
      <c r="BI188" s="37"/>
      <c r="BJ188" s="66"/>
      <c r="BK188" s="68"/>
      <c r="BL188" s="68"/>
      <c r="BM188" s="75"/>
      <c r="BN188" s="68"/>
      <c r="BO188" s="75"/>
      <c r="BP188" s="68"/>
      <c r="BQ188" s="4"/>
      <c r="BR188" s="4"/>
      <c r="BS188" s="4"/>
      <c r="BT188" s="142"/>
      <c r="BU188" s="143"/>
      <c r="BV188" s="68"/>
      <c r="BW188" s="68"/>
      <c r="BZ188" s="37"/>
      <c r="CA188" s="66"/>
      <c r="CB188" s="68"/>
      <c r="CC188" s="68"/>
      <c r="CD188" s="75"/>
      <c r="CE188" s="68"/>
      <c r="CF188" s="75"/>
      <c r="CG188" s="68"/>
      <c r="CH188" s="4"/>
      <c r="CI188" s="4"/>
      <c r="CJ188" s="4"/>
      <c r="CK188" s="142"/>
      <c r="CL188" s="143"/>
      <c r="CM188" s="68"/>
      <c r="CN188" s="68"/>
      <c r="CQ188" s="37"/>
    </row>
    <row r="189" spans="45:95" x14ac:dyDescent="0.15">
      <c r="AS189" s="66"/>
      <c r="AT189" s="68"/>
      <c r="AU189" s="68"/>
      <c r="AV189" s="75"/>
      <c r="AW189" s="68"/>
      <c r="AX189" s="75"/>
      <c r="AY189" s="68"/>
      <c r="AZ189" s="4"/>
      <c r="BA189" s="4"/>
      <c r="BB189" s="4"/>
      <c r="BC189" s="142"/>
      <c r="BD189" s="143"/>
      <c r="BE189" s="68"/>
      <c r="BF189" s="68"/>
      <c r="BI189" s="37"/>
      <c r="BJ189" s="66"/>
      <c r="BK189" s="68"/>
      <c r="BL189" s="68"/>
      <c r="BM189" s="75"/>
      <c r="BN189" s="68"/>
      <c r="BO189" s="75"/>
      <c r="BP189" s="68"/>
      <c r="BQ189" s="4"/>
      <c r="BR189" s="4"/>
      <c r="BS189" s="4"/>
      <c r="BT189" s="142"/>
      <c r="BU189" s="143"/>
      <c r="BV189" s="68"/>
      <c r="BW189" s="68"/>
      <c r="BZ189" s="37"/>
      <c r="CA189" s="66"/>
      <c r="CB189" s="68"/>
      <c r="CC189" s="68"/>
      <c r="CD189" s="75"/>
      <c r="CE189" s="68"/>
      <c r="CF189" s="75"/>
      <c r="CG189" s="68"/>
      <c r="CH189" s="4"/>
      <c r="CI189" s="4"/>
      <c r="CJ189" s="4"/>
      <c r="CK189" s="142"/>
      <c r="CL189" s="143"/>
      <c r="CM189" s="68"/>
      <c r="CN189" s="68"/>
      <c r="CQ189" s="37"/>
    </row>
    <row r="190" spans="45:95" x14ac:dyDescent="0.15">
      <c r="AS190" s="66"/>
      <c r="AT190" s="68"/>
      <c r="AU190" s="68"/>
      <c r="AV190" s="75"/>
      <c r="AW190" s="68"/>
      <c r="AX190" s="75"/>
      <c r="AY190" s="68"/>
      <c r="AZ190" s="4"/>
      <c r="BA190" s="4"/>
      <c r="BB190" s="4"/>
      <c r="BC190" s="142"/>
      <c r="BD190" s="143"/>
      <c r="BE190" s="68"/>
      <c r="BF190" s="68"/>
      <c r="BI190" s="37"/>
      <c r="BJ190" s="66"/>
      <c r="BK190" s="68"/>
      <c r="BL190" s="68"/>
      <c r="BM190" s="75"/>
      <c r="BN190" s="68"/>
      <c r="BO190" s="75"/>
      <c r="BP190" s="68"/>
      <c r="BQ190" s="4"/>
      <c r="BR190" s="4"/>
      <c r="BS190" s="4"/>
      <c r="BT190" s="142"/>
      <c r="BU190" s="143"/>
      <c r="BV190" s="68"/>
      <c r="BW190" s="68"/>
      <c r="BZ190" s="37"/>
      <c r="CA190" s="66"/>
      <c r="CB190" s="68"/>
      <c r="CC190" s="68"/>
      <c r="CD190" s="75"/>
      <c r="CE190" s="68"/>
      <c r="CF190" s="75"/>
      <c r="CG190" s="68"/>
      <c r="CH190" s="4"/>
      <c r="CI190" s="4"/>
      <c r="CJ190" s="4"/>
      <c r="CK190" s="142"/>
      <c r="CL190" s="143"/>
      <c r="CM190" s="68"/>
      <c r="CN190" s="68"/>
      <c r="CQ190" s="37"/>
    </row>
    <row r="191" spans="45:95" x14ac:dyDescent="0.15">
      <c r="AS191" s="66"/>
      <c r="AT191" s="68"/>
      <c r="AU191" s="68"/>
      <c r="AV191" s="75"/>
      <c r="AW191" s="68"/>
      <c r="AX191" s="75"/>
      <c r="AY191" s="68"/>
      <c r="AZ191" s="4"/>
      <c r="BA191" s="4"/>
      <c r="BB191" s="4"/>
      <c r="BC191" s="142"/>
      <c r="BD191" s="143"/>
      <c r="BE191" s="68"/>
      <c r="BF191" s="68"/>
      <c r="BI191" s="37"/>
      <c r="BJ191" s="66"/>
      <c r="BK191" s="68"/>
      <c r="BL191" s="68"/>
      <c r="BM191" s="75"/>
      <c r="BN191" s="68"/>
      <c r="BO191" s="75"/>
      <c r="BP191" s="68"/>
      <c r="BQ191" s="4"/>
      <c r="BR191" s="4"/>
      <c r="BS191" s="4"/>
      <c r="BT191" s="142"/>
      <c r="BU191" s="143"/>
      <c r="BV191" s="68"/>
      <c r="BW191" s="68"/>
      <c r="BZ191" s="37"/>
      <c r="CA191" s="66"/>
      <c r="CB191" s="68"/>
      <c r="CC191" s="68"/>
      <c r="CD191" s="75"/>
      <c r="CE191" s="68"/>
      <c r="CF191" s="75"/>
      <c r="CG191" s="68"/>
      <c r="CH191" s="4"/>
      <c r="CI191" s="4"/>
      <c r="CJ191" s="4"/>
      <c r="CK191" s="142"/>
      <c r="CL191" s="143"/>
      <c r="CM191" s="68"/>
      <c r="CN191" s="68"/>
      <c r="CQ191" s="37"/>
    </row>
    <row r="192" spans="45:95" x14ac:dyDescent="0.15">
      <c r="AS192" s="66"/>
      <c r="AT192" s="68"/>
      <c r="AU192" s="68"/>
      <c r="AV192" s="75"/>
      <c r="AW192" s="68"/>
      <c r="AX192" s="75"/>
      <c r="AY192" s="68"/>
      <c r="AZ192" s="4"/>
      <c r="BA192" s="4"/>
      <c r="BB192" s="4"/>
      <c r="BC192" s="142"/>
      <c r="BD192" s="143"/>
      <c r="BE192" s="68"/>
      <c r="BF192" s="68"/>
      <c r="BI192" s="37"/>
      <c r="BJ192" s="66"/>
      <c r="BK192" s="68"/>
      <c r="BL192" s="68"/>
      <c r="BM192" s="75"/>
      <c r="BN192" s="68"/>
      <c r="BO192" s="75"/>
      <c r="BP192" s="68"/>
      <c r="BQ192" s="4"/>
      <c r="BR192" s="4"/>
      <c r="BS192" s="4"/>
      <c r="BT192" s="142"/>
      <c r="BU192" s="143"/>
      <c r="BV192" s="68"/>
      <c r="BW192" s="68"/>
      <c r="BZ192" s="37"/>
      <c r="CA192" s="66"/>
      <c r="CB192" s="68"/>
      <c r="CC192" s="68"/>
      <c r="CD192" s="75"/>
      <c r="CE192" s="68"/>
      <c r="CF192" s="75"/>
      <c r="CG192" s="68"/>
      <c r="CH192" s="4"/>
      <c r="CI192" s="4"/>
      <c r="CJ192" s="4"/>
      <c r="CK192" s="142"/>
      <c r="CL192" s="143"/>
      <c r="CM192" s="68"/>
      <c r="CN192" s="68"/>
      <c r="CQ192" s="37"/>
    </row>
    <row r="193" spans="45:95" x14ac:dyDescent="0.15">
      <c r="AS193" s="66"/>
      <c r="AT193" s="68"/>
      <c r="AU193" s="68"/>
      <c r="AV193" s="75"/>
      <c r="AW193" s="68"/>
      <c r="AX193" s="75"/>
      <c r="AY193" s="68"/>
      <c r="AZ193" s="4"/>
      <c r="BA193" s="4"/>
      <c r="BB193" s="4"/>
      <c r="BC193" s="142"/>
      <c r="BD193" s="143"/>
      <c r="BE193" s="68"/>
      <c r="BF193" s="68"/>
      <c r="BI193" s="37"/>
      <c r="BJ193" s="66"/>
      <c r="BK193" s="68"/>
      <c r="BL193" s="68"/>
      <c r="BM193" s="75"/>
      <c r="BN193" s="68"/>
      <c r="BO193" s="75"/>
      <c r="BP193" s="68"/>
      <c r="BQ193" s="4"/>
      <c r="BR193" s="4"/>
      <c r="BS193" s="4"/>
      <c r="BT193" s="142"/>
      <c r="BU193" s="143"/>
      <c r="BV193" s="68"/>
      <c r="BW193" s="68"/>
      <c r="BZ193" s="37"/>
      <c r="CA193" s="66"/>
      <c r="CB193" s="68"/>
      <c r="CC193" s="68"/>
      <c r="CD193" s="75"/>
      <c r="CE193" s="68"/>
      <c r="CF193" s="75"/>
      <c r="CG193" s="68"/>
      <c r="CH193" s="4"/>
      <c r="CI193" s="4"/>
      <c r="CJ193" s="4"/>
      <c r="CK193" s="142"/>
      <c r="CL193" s="143"/>
      <c r="CM193" s="68"/>
      <c r="CN193" s="68"/>
      <c r="CQ193" s="37"/>
    </row>
    <row r="194" spans="45:95" x14ac:dyDescent="0.15">
      <c r="AS194" s="66"/>
      <c r="AT194" s="68"/>
      <c r="AU194" s="68"/>
      <c r="AV194" s="75"/>
      <c r="AW194" s="68"/>
      <c r="AX194" s="75"/>
      <c r="AY194" s="68"/>
      <c r="AZ194" s="4"/>
      <c r="BA194" s="4"/>
      <c r="BB194" s="4"/>
      <c r="BC194" s="142"/>
      <c r="BD194" s="143"/>
      <c r="BE194" s="68"/>
      <c r="BF194" s="68"/>
      <c r="BI194" s="37"/>
      <c r="BJ194" s="66"/>
      <c r="BK194" s="68"/>
      <c r="BL194" s="68"/>
      <c r="BM194" s="75"/>
      <c r="BN194" s="68"/>
      <c r="BO194" s="75"/>
      <c r="BP194" s="68"/>
      <c r="BQ194" s="4"/>
      <c r="BR194" s="4"/>
      <c r="BS194" s="4"/>
      <c r="BT194" s="142"/>
      <c r="BU194" s="143"/>
      <c r="BV194" s="68"/>
      <c r="BW194" s="68"/>
      <c r="BZ194" s="37"/>
      <c r="CA194" s="66"/>
      <c r="CB194" s="68"/>
      <c r="CC194" s="68"/>
      <c r="CD194" s="75"/>
      <c r="CE194" s="68"/>
      <c r="CF194" s="75"/>
      <c r="CG194" s="68"/>
      <c r="CH194" s="4"/>
      <c r="CI194" s="4"/>
      <c r="CJ194" s="4"/>
      <c r="CK194" s="142"/>
      <c r="CL194" s="143"/>
      <c r="CM194" s="68"/>
      <c r="CN194" s="68"/>
      <c r="CQ194" s="37"/>
    </row>
    <row r="195" spans="45:95" x14ac:dyDescent="0.15">
      <c r="AS195" s="66"/>
      <c r="AT195" s="68"/>
      <c r="AU195" s="68"/>
      <c r="AV195" s="75"/>
      <c r="AW195" s="68"/>
      <c r="AX195" s="75"/>
      <c r="AY195" s="68"/>
      <c r="AZ195" s="4"/>
      <c r="BA195" s="4"/>
      <c r="BB195" s="4"/>
      <c r="BC195" s="142"/>
      <c r="BD195" s="143"/>
      <c r="BE195" s="68"/>
      <c r="BF195" s="68"/>
      <c r="BI195" s="37"/>
      <c r="BJ195" s="66"/>
      <c r="BK195" s="68"/>
      <c r="BL195" s="68"/>
      <c r="BM195" s="75"/>
      <c r="BN195" s="68"/>
      <c r="BO195" s="75"/>
      <c r="BP195" s="68"/>
      <c r="BQ195" s="4"/>
      <c r="BR195" s="4"/>
      <c r="BS195" s="4"/>
      <c r="BT195" s="142"/>
      <c r="BU195" s="143"/>
      <c r="BV195" s="68"/>
      <c r="BW195" s="68"/>
      <c r="BZ195" s="37"/>
      <c r="CA195" s="66"/>
      <c r="CB195" s="68"/>
      <c r="CC195" s="68"/>
      <c r="CD195" s="75"/>
      <c r="CE195" s="68"/>
      <c r="CF195" s="75"/>
      <c r="CG195" s="68"/>
      <c r="CH195" s="4"/>
      <c r="CI195" s="4"/>
      <c r="CJ195" s="4"/>
      <c r="CK195" s="142"/>
      <c r="CL195" s="143"/>
      <c r="CM195" s="68"/>
      <c r="CN195" s="68"/>
      <c r="CQ195" s="37"/>
    </row>
    <row r="196" spans="45:95" x14ac:dyDescent="0.15">
      <c r="AS196" s="66"/>
      <c r="AT196" s="68"/>
      <c r="AU196" s="68"/>
      <c r="AV196" s="75"/>
      <c r="AW196" s="68"/>
      <c r="AX196" s="75"/>
      <c r="AY196" s="68"/>
      <c r="AZ196" s="4"/>
      <c r="BA196" s="4"/>
      <c r="BB196" s="4"/>
      <c r="BC196" s="142"/>
      <c r="BD196" s="143"/>
      <c r="BE196" s="68"/>
      <c r="BF196" s="68"/>
      <c r="BI196" s="37"/>
      <c r="BJ196" s="66"/>
      <c r="BK196" s="68"/>
      <c r="BL196" s="68"/>
      <c r="BM196" s="75"/>
      <c r="BN196" s="68"/>
      <c r="BO196" s="75"/>
      <c r="BP196" s="68"/>
      <c r="BQ196" s="4"/>
      <c r="BR196" s="4"/>
      <c r="BS196" s="4"/>
      <c r="BT196" s="142"/>
      <c r="BU196" s="143"/>
      <c r="BV196" s="68"/>
      <c r="BW196" s="68"/>
      <c r="BZ196" s="37"/>
      <c r="CA196" s="66"/>
      <c r="CB196" s="68"/>
      <c r="CC196" s="68"/>
      <c r="CD196" s="75"/>
      <c r="CE196" s="68"/>
      <c r="CF196" s="75"/>
      <c r="CG196" s="68"/>
      <c r="CH196" s="4"/>
      <c r="CI196" s="4"/>
      <c r="CJ196" s="4"/>
      <c r="CK196" s="142"/>
      <c r="CL196" s="143"/>
      <c r="CM196" s="68"/>
      <c r="CN196" s="68"/>
      <c r="CQ196" s="37"/>
    </row>
    <row r="197" spans="45:95" x14ac:dyDescent="0.15">
      <c r="AS197" s="66"/>
      <c r="AT197" s="68"/>
      <c r="AU197" s="68"/>
      <c r="AV197" s="75"/>
      <c r="AW197" s="68"/>
      <c r="AX197" s="75"/>
      <c r="AY197" s="68"/>
      <c r="AZ197" s="4"/>
      <c r="BA197" s="4"/>
      <c r="BB197" s="4"/>
      <c r="BC197" s="142"/>
      <c r="BD197" s="143"/>
      <c r="BE197" s="68"/>
      <c r="BF197" s="68"/>
      <c r="BI197" s="37"/>
      <c r="BJ197" s="66"/>
      <c r="BK197" s="68"/>
      <c r="BL197" s="68"/>
      <c r="BM197" s="75"/>
      <c r="BN197" s="68"/>
      <c r="BO197" s="75"/>
      <c r="BP197" s="68"/>
      <c r="BQ197" s="4"/>
      <c r="BR197" s="4"/>
      <c r="BS197" s="4"/>
      <c r="BT197" s="142"/>
      <c r="BU197" s="143"/>
      <c r="BV197" s="68"/>
      <c r="BW197" s="68"/>
      <c r="BZ197" s="37"/>
      <c r="CA197" s="66"/>
      <c r="CB197" s="68"/>
      <c r="CC197" s="68"/>
      <c r="CD197" s="75"/>
      <c r="CE197" s="68"/>
      <c r="CF197" s="75"/>
      <c r="CG197" s="68"/>
      <c r="CH197" s="4"/>
      <c r="CI197" s="4"/>
      <c r="CJ197" s="4"/>
      <c r="CK197" s="142"/>
      <c r="CL197" s="143"/>
      <c r="CM197" s="68"/>
      <c r="CN197" s="68"/>
      <c r="CQ197" s="37"/>
    </row>
    <row r="198" spans="45:95" x14ac:dyDescent="0.15">
      <c r="AS198" s="66"/>
      <c r="AT198" s="68"/>
      <c r="AU198" s="68"/>
      <c r="AV198" s="75"/>
      <c r="AW198" s="68"/>
      <c r="AX198" s="75"/>
      <c r="AY198" s="68"/>
      <c r="AZ198" s="4"/>
      <c r="BA198" s="4"/>
      <c r="BB198" s="4"/>
      <c r="BC198" s="142"/>
      <c r="BD198" s="143"/>
      <c r="BE198" s="68"/>
      <c r="BF198" s="68"/>
      <c r="BI198" s="37"/>
      <c r="BJ198" s="66"/>
      <c r="BK198" s="68"/>
      <c r="BL198" s="68"/>
      <c r="BM198" s="75"/>
      <c r="BN198" s="68"/>
      <c r="BO198" s="75"/>
      <c r="BP198" s="68"/>
      <c r="BQ198" s="4"/>
      <c r="BR198" s="4"/>
      <c r="BS198" s="4"/>
      <c r="BT198" s="142"/>
      <c r="BU198" s="143"/>
      <c r="BV198" s="68"/>
      <c r="BW198" s="68"/>
      <c r="BZ198" s="37"/>
      <c r="CA198" s="66"/>
      <c r="CB198" s="68"/>
      <c r="CC198" s="68"/>
      <c r="CD198" s="75"/>
      <c r="CE198" s="68"/>
      <c r="CF198" s="75"/>
      <c r="CG198" s="68"/>
      <c r="CH198" s="4"/>
      <c r="CI198" s="4"/>
      <c r="CJ198" s="4"/>
      <c r="CK198" s="142"/>
      <c r="CL198" s="143"/>
      <c r="CM198" s="68"/>
      <c r="CN198" s="68"/>
      <c r="CQ198" s="37"/>
    </row>
    <row r="199" spans="45:95" x14ac:dyDescent="0.15">
      <c r="AS199" s="66"/>
      <c r="AT199" s="68"/>
      <c r="AU199" s="68"/>
      <c r="AV199" s="75"/>
      <c r="AW199" s="68"/>
      <c r="AX199" s="75"/>
      <c r="AY199" s="68"/>
      <c r="AZ199" s="4"/>
      <c r="BA199" s="4"/>
      <c r="BB199" s="4"/>
      <c r="BC199" s="142"/>
      <c r="BD199" s="143"/>
      <c r="BE199" s="68"/>
      <c r="BF199" s="68"/>
      <c r="BI199" s="37"/>
      <c r="BJ199" s="66"/>
      <c r="BK199" s="68"/>
      <c r="BL199" s="68"/>
      <c r="BM199" s="75"/>
      <c r="BN199" s="68"/>
      <c r="BO199" s="75"/>
      <c r="BP199" s="68"/>
      <c r="BQ199" s="4"/>
      <c r="BR199" s="4"/>
      <c r="BS199" s="4"/>
      <c r="BT199" s="142"/>
      <c r="BU199" s="143"/>
      <c r="BV199" s="68"/>
      <c r="BW199" s="68"/>
      <c r="BZ199" s="37"/>
      <c r="CA199" s="66"/>
      <c r="CB199" s="68"/>
      <c r="CC199" s="68"/>
      <c r="CD199" s="75"/>
      <c r="CE199" s="68"/>
      <c r="CF199" s="75"/>
      <c r="CG199" s="68"/>
      <c r="CH199" s="4"/>
      <c r="CI199" s="4"/>
      <c r="CJ199" s="4"/>
      <c r="CK199" s="142"/>
      <c r="CL199" s="143"/>
      <c r="CM199" s="68"/>
      <c r="CN199" s="68"/>
      <c r="CQ199" s="37"/>
    </row>
    <row r="200" spans="45:95" x14ac:dyDescent="0.15">
      <c r="AS200" s="66"/>
      <c r="AT200" s="68"/>
      <c r="AU200" s="68"/>
      <c r="AV200" s="75"/>
      <c r="AW200" s="68"/>
      <c r="AX200" s="75"/>
      <c r="AY200" s="68"/>
      <c r="AZ200" s="4"/>
      <c r="BA200" s="4"/>
      <c r="BB200" s="4"/>
      <c r="BC200" s="142"/>
      <c r="BD200" s="143"/>
      <c r="BE200" s="68"/>
      <c r="BF200" s="68"/>
      <c r="BI200" s="37"/>
      <c r="BJ200" s="66"/>
      <c r="BK200" s="68"/>
      <c r="BL200" s="68"/>
      <c r="BM200" s="75"/>
      <c r="BN200" s="68"/>
      <c r="BO200" s="75"/>
      <c r="BP200" s="68"/>
      <c r="BQ200" s="4"/>
      <c r="BR200" s="4"/>
      <c r="BS200" s="4"/>
      <c r="BT200" s="142"/>
      <c r="BU200" s="143"/>
      <c r="BV200" s="68"/>
      <c r="BW200" s="68"/>
      <c r="BZ200" s="37"/>
      <c r="CA200" s="66"/>
      <c r="CB200" s="68"/>
      <c r="CC200" s="68"/>
      <c r="CD200" s="75"/>
      <c r="CE200" s="68"/>
      <c r="CF200" s="75"/>
      <c r="CG200" s="68"/>
      <c r="CH200" s="4"/>
      <c r="CI200" s="4"/>
      <c r="CJ200" s="4"/>
      <c r="CK200" s="142"/>
      <c r="CL200" s="143"/>
      <c r="CM200" s="68"/>
      <c r="CN200" s="68"/>
      <c r="CQ200" s="37"/>
    </row>
    <row r="201" spans="45:95" x14ac:dyDescent="0.15">
      <c r="AS201" s="66"/>
      <c r="AT201" s="68"/>
      <c r="AU201" s="68"/>
      <c r="AV201" s="75"/>
      <c r="AW201" s="68"/>
      <c r="AX201" s="75"/>
      <c r="AY201" s="68"/>
      <c r="AZ201" s="4"/>
      <c r="BA201" s="4"/>
      <c r="BB201" s="4"/>
      <c r="BC201" s="142"/>
      <c r="BD201" s="143"/>
      <c r="BE201" s="68"/>
      <c r="BF201" s="68"/>
      <c r="BI201" s="37"/>
      <c r="BJ201" s="66"/>
      <c r="BK201" s="68"/>
      <c r="BL201" s="68"/>
      <c r="BM201" s="75"/>
      <c r="BN201" s="68"/>
      <c r="BO201" s="75"/>
      <c r="BP201" s="68"/>
      <c r="BQ201" s="4"/>
      <c r="BR201" s="4"/>
      <c r="BS201" s="4"/>
      <c r="BT201" s="142"/>
      <c r="BU201" s="143"/>
      <c r="BV201" s="68"/>
      <c r="BW201" s="68"/>
      <c r="BZ201" s="37"/>
      <c r="CA201" s="66"/>
      <c r="CB201" s="68"/>
      <c r="CC201" s="68"/>
      <c r="CD201" s="75"/>
      <c r="CE201" s="68"/>
      <c r="CF201" s="75"/>
      <c r="CG201" s="68"/>
      <c r="CH201" s="4"/>
      <c r="CI201" s="4"/>
      <c r="CJ201" s="4"/>
      <c r="CK201" s="142"/>
      <c r="CL201" s="143"/>
      <c r="CM201" s="68"/>
      <c r="CN201" s="68"/>
      <c r="CQ201" s="37"/>
    </row>
    <row r="202" spans="45:95" x14ac:dyDescent="0.15">
      <c r="AS202" s="66"/>
      <c r="AT202" s="68"/>
      <c r="AU202" s="68"/>
      <c r="AV202" s="75"/>
      <c r="AW202" s="68"/>
      <c r="AX202" s="75"/>
      <c r="AY202" s="68"/>
      <c r="AZ202" s="4"/>
      <c r="BA202" s="4"/>
      <c r="BB202" s="4"/>
      <c r="BC202" s="142"/>
      <c r="BD202" s="143"/>
      <c r="BE202" s="68"/>
      <c r="BF202" s="68"/>
      <c r="BI202" s="37"/>
      <c r="BJ202" s="66"/>
      <c r="BK202" s="68"/>
      <c r="BL202" s="68"/>
      <c r="BM202" s="75"/>
      <c r="BN202" s="68"/>
      <c r="BO202" s="75"/>
      <c r="BP202" s="68"/>
      <c r="BQ202" s="4"/>
      <c r="BR202" s="4"/>
      <c r="BS202" s="4"/>
      <c r="BT202" s="142"/>
      <c r="BU202" s="143"/>
      <c r="BV202" s="68"/>
      <c r="BW202" s="68"/>
      <c r="BZ202" s="37"/>
      <c r="CA202" s="66"/>
      <c r="CB202" s="68"/>
      <c r="CC202" s="68"/>
      <c r="CD202" s="75"/>
      <c r="CE202" s="68"/>
      <c r="CF202" s="75"/>
      <c r="CG202" s="68"/>
      <c r="CH202" s="4"/>
      <c r="CI202" s="4"/>
      <c r="CJ202" s="4"/>
      <c r="CK202" s="142"/>
      <c r="CL202" s="143"/>
      <c r="CM202" s="68"/>
      <c r="CN202" s="68"/>
      <c r="CQ202" s="37"/>
    </row>
    <row r="203" spans="45:95" x14ac:dyDescent="0.15">
      <c r="AS203" s="66"/>
      <c r="AT203" s="68"/>
      <c r="AU203" s="68"/>
      <c r="AV203" s="75"/>
      <c r="AW203" s="68"/>
      <c r="AX203" s="75"/>
      <c r="AY203" s="68"/>
      <c r="AZ203" s="4"/>
      <c r="BA203" s="4"/>
      <c r="BB203" s="4"/>
      <c r="BC203" s="142"/>
      <c r="BD203" s="143"/>
      <c r="BE203" s="68"/>
      <c r="BF203" s="68"/>
      <c r="BI203" s="37"/>
      <c r="BJ203" s="66"/>
      <c r="BK203" s="68"/>
      <c r="BL203" s="68"/>
      <c r="BM203" s="75"/>
      <c r="BN203" s="68"/>
      <c r="BO203" s="75"/>
      <c r="BP203" s="68"/>
      <c r="BQ203" s="4"/>
      <c r="BR203" s="4"/>
      <c r="BS203" s="4"/>
      <c r="BT203" s="142"/>
      <c r="BU203" s="143"/>
      <c r="BV203" s="68"/>
      <c r="BW203" s="68"/>
      <c r="BZ203" s="37"/>
      <c r="CA203" s="66"/>
      <c r="CB203" s="68"/>
      <c r="CC203" s="68"/>
      <c r="CD203" s="75"/>
      <c r="CE203" s="68"/>
      <c r="CF203" s="75"/>
      <c r="CG203" s="68"/>
      <c r="CH203" s="4"/>
      <c r="CI203" s="4"/>
      <c r="CJ203" s="4"/>
      <c r="CK203" s="142"/>
      <c r="CL203" s="143"/>
      <c r="CM203" s="68"/>
      <c r="CN203" s="68"/>
      <c r="CQ203" s="37"/>
    </row>
    <row r="204" spans="45:95" x14ac:dyDescent="0.15">
      <c r="AS204" s="66"/>
      <c r="AT204" s="68"/>
      <c r="AU204" s="68"/>
      <c r="AV204" s="75"/>
      <c r="AW204" s="68"/>
      <c r="AX204" s="75"/>
      <c r="AY204" s="68"/>
      <c r="AZ204" s="4"/>
      <c r="BA204" s="4"/>
      <c r="BB204" s="4"/>
      <c r="BC204" s="142"/>
      <c r="BD204" s="143"/>
      <c r="BE204" s="68"/>
      <c r="BF204" s="68"/>
      <c r="BI204" s="37"/>
      <c r="BJ204" s="66"/>
      <c r="BK204" s="68"/>
      <c r="BL204" s="68"/>
      <c r="BM204" s="75"/>
      <c r="BN204" s="68"/>
      <c r="BO204" s="75"/>
      <c r="BP204" s="68"/>
      <c r="BQ204" s="4"/>
      <c r="BR204" s="4"/>
      <c r="BS204" s="4"/>
      <c r="BT204" s="142"/>
      <c r="BU204" s="143"/>
      <c r="BV204" s="68"/>
      <c r="BW204" s="68"/>
      <c r="BZ204" s="37"/>
      <c r="CA204" s="66"/>
      <c r="CB204" s="68"/>
      <c r="CC204" s="68"/>
      <c r="CD204" s="75"/>
      <c r="CE204" s="68"/>
      <c r="CF204" s="75"/>
      <c r="CG204" s="68"/>
      <c r="CH204" s="4"/>
      <c r="CI204" s="4"/>
      <c r="CJ204" s="4"/>
      <c r="CK204" s="142"/>
      <c r="CL204" s="143"/>
      <c r="CM204" s="68"/>
      <c r="CN204" s="68"/>
      <c r="CQ204" s="37"/>
    </row>
    <row r="205" spans="45:95" x14ac:dyDescent="0.15">
      <c r="AS205" s="66"/>
      <c r="AT205" s="68"/>
      <c r="AU205" s="68"/>
      <c r="AV205" s="75"/>
      <c r="AW205" s="68"/>
      <c r="AX205" s="75"/>
      <c r="AY205" s="68"/>
      <c r="AZ205" s="4"/>
      <c r="BA205" s="4"/>
      <c r="BB205" s="4"/>
      <c r="BC205" s="142"/>
      <c r="BD205" s="143"/>
      <c r="BE205" s="68"/>
      <c r="BF205" s="68"/>
      <c r="BI205" s="37"/>
      <c r="BJ205" s="66"/>
      <c r="BK205" s="68"/>
      <c r="BL205" s="68"/>
      <c r="BM205" s="75"/>
      <c r="BN205" s="68"/>
      <c r="BO205" s="75"/>
      <c r="BP205" s="68"/>
      <c r="BQ205" s="4"/>
      <c r="BR205" s="4"/>
      <c r="BS205" s="4"/>
      <c r="BT205" s="142"/>
      <c r="BU205" s="143"/>
      <c r="BV205" s="68"/>
      <c r="BW205" s="68"/>
      <c r="BZ205" s="37"/>
      <c r="CA205" s="66"/>
      <c r="CB205" s="68"/>
      <c r="CC205" s="68"/>
      <c r="CD205" s="75"/>
      <c r="CE205" s="68"/>
      <c r="CF205" s="75"/>
      <c r="CG205" s="68"/>
      <c r="CH205" s="4"/>
      <c r="CI205" s="4"/>
      <c r="CJ205" s="4"/>
      <c r="CK205" s="142"/>
      <c r="CL205" s="143"/>
      <c r="CM205" s="68"/>
      <c r="CN205" s="68"/>
      <c r="CQ205" s="37"/>
    </row>
    <row r="206" spans="45:95" x14ac:dyDescent="0.15">
      <c r="AS206" s="66"/>
      <c r="AT206" s="68"/>
      <c r="AU206" s="68"/>
      <c r="AV206" s="75"/>
      <c r="AW206" s="68"/>
      <c r="AX206" s="75"/>
      <c r="AY206" s="68"/>
      <c r="AZ206" s="4"/>
      <c r="BA206" s="4"/>
      <c r="BB206" s="4"/>
      <c r="BC206" s="142"/>
      <c r="BD206" s="143"/>
      <c r="BE206" s="68"/>
      <c r="BF206" s="68"/>
      <c r="BI206" s="37"/>
      <c r="BJ206" s="66"/>
      <c r="BK206" s="68"/>
      <c r="BL206" s="68"/>
      <c r="BM206" s="75"/>
      <c r="BN206" s="68"/>
      <c r="BO206" s="75"/>
      <c r="BP206" s="68"/>
      <c r="BQ206" s="4"/>
      <c r="BR206" s="4"/>
      <c r="BS206" s="4"/>
      <c r="BT206" s="142"/>
      <c r="BU206" s="143"/>
      <c r="BV206" s="68"/>
      <c r="BW206" s="68"/>
      <c r="BZ206" s="37"/>
      <c r="CA206" s="66"/>
      <c r="CB206" s="68"/>
      <c r="CC206" s="68"/>
      <c r="CD206" s="75"/>
      <c r="CE206" s="68"/>
      <c r="CF206" s="75"/>
      <c r="CG206" s="68"/>
      <c r="CH206" s="4"/>
      <c r="CI206" s="4"/>
      <c r="CJ206" s="4"/>
      <c r="CK206" s="142"/>
      <c r="CL206" s="143"/>
      <c r="CM206" s="68"/>
      <c r="CN206" s="68"/>
      <c r="CQ206" s="37"/>
    </row>
    <row r="207" spans="45:95" x14ac:dyDescent="0.15">
      <c r="AS207" s="66"/>
      <c r="AT207" s="68"/>
      <c r="AU207" s="68"/>
      <c r="AV207" s="75"/>
      <c r="AW207" s="68"/>
      <c r="AX207" s="75"/>
      <c r="AY207" s="68"/>
      <c r="AZ207" s="4"/>
      <c r="BA207" s="4"/>
      <c r="BB207" s="4"/>
      <c r="BC207" s="142"/>
      <c r="BD207" s="143"/>
      <c r="BE207" s="68"/>
      <c r="BF207" s="68"/>
      <c r="BI207" s="37"/>
      <c r="BJ207" s="66"/>
      <c r="BK207" s="68"/>
      <c r="BL207" s="68"/>
      <c r="BM207" s="75"/>
      <c r="BN207" s="68"/>
      <c r="BO207" s="75"/>
      <c r="BP207" s="68"/>
      <c r="BQ207" s="4"/>
      <c r="BR207" s="4"/>
      <c r="BS207" s="4"/>
      <c r="BT207" s="142"/>
      <c r="BU207" s="143"/>
      <c r="BV207" s="68"/>
      <c r="BW207" s="68"/>
      <c r="BZ207" s="37"/>
      <c r="CA207" s="66"/>
      <c r="CB207" s="68"/>
      <c r="CC207" s="68"/>
      <c r="CD207" s="75"/>
      <c r="CE207" s="68"/>
      <c r="CF207" s="75"/>
      <c r="CG207" s="68"/>
      <c r="CH207" s="4"/>
      <c r="CI207" s="4"/>
      <c r="CJ207" s="4"/>
      <c r="CK207" s="142"/>
      <c r="CL207" s="143"/>
      <c r="CM207" s="68"/>
      <c r="CN207" s="68"/>
      <c r="CQ207" s="37"/>
    </row>
    <row r="208" spans="45:95" x14ac:dyDescent="0.15">
      <c r="AS208" s="66"/>
      <c r="AT208" s="68"/>
      <c r="AU208" s="68"/>
      <c r="AV208" s="75"/>
      <c r="AW208" s="68"/>
      <c r="AX208" s="75"/>
      <c r="AY208" s="68"/>
      <c r="AZ208" s="4"/>
      <c r="BA208" s="4"/>
      <c r="BB208" s="4"/>
      <c r="BC208" s="142"/>
      <c r="BD208" s="143"/>
      <c r="BE208" s="68"/>
      <c r="BF208" s="68"/>
      <c r="BI208" s="37"/>
      <c r="BJ208" s="66"/>
      <c r="BK208" s="68"/>
      <c r="BL208" s="68"/>
      <c r="BM208" s="75"/>
      <c r="BN208" s="68"/>
      <c r="BO208" s="75"/>
      <c r="BP208" s="68"/>
      <c r="BQ208" s="4"/>
      <c r="BR208" s="4"/>
      <c r="BS208" s="4"/>
      <c r="BT208" s="142"/>
      <c r="BU208" s="143"/>
      <c r="BV208" s="68"/>
      <c r="BW208" s="68"/>
      <c r="BZ208" s="37"/>
      <c r="CA208" s="66"/>
      <c r="CB208" s="68"/>
      <c r="CC208" s="68"/>
      <c r="CD208" s="75"/>
      <c r="CE208" s="68"/>
      <c r="CF208" s="75"/>
      <c r="CG208" s="68"/>
      <c r="CH208" s="4"/>
      <c r="CI208" s="4"/>
      <c r="CJ208" s="4"/>
      <c r="CK208" s="142"/>
      <c r="CL208" s="143"/>
      <c r="CM208" s="68"/>
      <c r="CN208" s="68"/>
      <c r="CQ208" s="37"/>
    </row>
    <row r="209" spans="45:95" x14ac:dyDescent="0.15">
      <c r="AS209" s="66"/>
      <c r="AT209" s="68"/>
      <c r="AU209" s="68"/>
      <c r="AV209" s="75"/>
      <c r="AW209" s="68"/>
      <c r="AX209" s="75"/>
      <c r="AY209" s="68"/>
      <c r="AZ209" s="4"/>
      <c r="BA209" s="4"/>
      <c r="BB209" s="4"/>
      <c r="BC209" s="142"/>
      <c r="BD209" s="143"/>
      <c r="BE209" s="68"/>
      <c r="BF209" s="68"/>
      <c r="BI209" s="37"/>
      <c r="BJ209" s="66"/>
      <c r="BK209" s="68"/>
      <c r="BL209" s="68"/>
      <c r="BM209" s="75"/>
      <c r="BN209" s="68"/>
      <c r="BO209" s="75"/>
      <c r="BP209" s="68"/>
      <c r="BQ209" s="4"/>
      <c r="BR209" s="4"/>
      <c r="BS209" s="4"/>
      <c r="BT209" s="142"/>
      <c r="BU209" s="143"/>
      <c r="BV209" s="68"/>
      <c r="BW209" s="68"/>
      <c r="BZ209" s="37"/>
      <c r="CA209" s="66"/>
      <c r="CB209" s="68"/>
      <c r="CC209" s="68"/>
      <c r="CD209" s="75"/>
      <c r="CE209" s="68"/>
      <c r="CF209" s="75"/>
      <c r="CG209" s="68"/>
      <c r="CH209" s="4"/>
      <c r="CI209" s="4"/>
      <c r="CJ209" s="4"/>
      <c r="CK209" s="142"/>
      <c r="CL209" s="143"/>
      <c r="CM209" s="68"/>
      <c r="CN209" s="68"/>
      <c r="CQ209" s="37"/>
    </row>
    <row r="210" spans="45:95" x14ac:dyDescent="0.15">
      <c r="AS210" s="66"/>
      <c r="AT210" s="68"/>
      <c r="AU210" s="68"/>
      <c r="AV210" s="75"/>
      <c r="AW210" s="68"/>
      <c r="AX210" s="75"/>
      <c r="AY210" s="68"/>
      <c r="AZ210" s="4"/>
      <c r="BA210" s="4"/>
      <c r="BB210" s="4"/>
      <c r="BC210" s="142"/>
      <c r="BD210" s="143"/>
      <c r="BE210" s="68"/>
      <c r="BF210" s="68"/>
      <c r="BI210" s="37"/>
      <c r="BJ210" s="66"/>
      <c r="BK210" s="68"/>
      <c r="BL210" s="68"/>
      <c r="BM210" s="75"/>
      <c r="BN210" s="68"/>
      <c r="BO210" s="75"/>
      <c r="BP210" s="68"/>
      <c r="BQ210" s="4"/>
      <c r="BR210" s="4"/>
      <c r="BS210" s="4"/>
      <c r="BT210" s="142"/>
      <c r="BU210" s="143"/>
      <c r="BV210" s="68"/>
      <c r="BW210" s="68"/>
      <c r="BZ210" s="37"/>
      <c r="CA210" s="66"/>
      <c r="CB210" s="68"/>
      <c r="CC210" s="68"/>
      <c r="CD210" s="75"/>
      <c r="CE210" s="68"/>
      <c r="CF210" s="75"/>
      <c r="CG210" s="68"/>
      <c r="CH210" s="4"/>
      <c r="CI210" s="4"/>
      <c r="CJ210" s="4"/>
      <c r="CK210" s="142"/>
      <c r="CL210" s="143"/>
      <c r="CM210" s="68"/>
      <c r="CN210" s="68"/>
      <c r="CQ210" s="37"/>
    </row>
    <row r="211" spans="45:95" x14ac:dyDescent="0.15">
      <c r="AS211" s="66"/>
      <c r="AT211" s="68"/>
      <c r="AU211" s="68"/>
      <c r="AV211" s="75"/>
      <c r="AW211" s="68"/>
      <c r="AX211" s="75"/>
      <c r="AY211" s="68"/>
      <c r="AZ211" s="4"/>
      <c r="BA211" s="4"/>
      <c r="BB211" s="4"/>
      <c r="BC211" s="142"/>
      <c r="BD211" s="143"/>
      <c r="BE211" s="68"/>
      <c r="BF211" s="68"/>
      <c r="BI211" s="37"/>
      <c r="BJ211" s="66"/>
      <c r="BK211" s="68"/>
      <c r="BL211" s="68"/>
      <c r="BM211" s="75"/>
      <c r="BN211" s="68"/>
      <c r="BO211" s="75"/>
      <c r="BP211" s="68"/>
      <c r="BQ211" s="4"/>
      <c r="BR211" s="4"/>
      <c r="BS211" s="4"/>
      <c r="BT211" s="142"/>
      <c r="BU211" s="143"/>
      <c r="BV211" s="68"/>
      <c r="BW211" s="68"/>
      <c r="BZ211" s="37"/>
      <c r="CA211" s="66"/>
      <c r="CB211" s="68"/>
      <c r="CC211" s="68"/>
      <c r="CD211" s="75"/>
      <c r="CE211" s="68"/>
      <c r="CF211" s="75"/>
      <c r="CG211" s="68"/>
      <c r="CH211" s="4"/>
      <c r="CI211" s="4"/>
      <c r="CJ211" s="4"/>
      <c r="CK211" s="142"/>
      <c r="CL211" s="143"/>
      <c r="CM211" s="68"/>
      <c r="CN211" s="68"/>
      <c r="CQ211" s="37"/>
    </row>
  </sheetData>
  <sortState xmlns:xlrd2="http://schemas.microsoft.com/office/spreadsheetml/2017/richdata2" ref="A4:CQ20">
    <sortCondition ref="B4:B20"/>
  </sortState>
  <mergeCells count="4">
    <mergeCell ref="I2:AR2"/>
    <mergeCell ref="AS2:BI2"/>
    <mergeCell ref="BJ2:BZ2"/>
    <mergeCell ref="CA2:CQ2"/>
  </mergeCells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/>
  <dimension ref="A1:X76"/>
  <sheetViews>
    <sheetView workbookViewId="0">
      <selection activeCell="E12" sqref="E12"/>
    </sheetView>
  </sheetViews>
  <sheetFormatPr baseColWidth="10" defaultColWidth="9" defaultRowHeight="13" x14ac:dyDescent="0.15"/>
  <cols>
    <col min="2" max="2" width="29.796875" customWidth="1"/>
    <col min="3" max="3" width="22.59765625" bestFit="1" customWidth="1"/>
    <col min="4" max="4" width="14.59765625" customWidth="1"/>
    <col min="5" max="5" width="15.796875" customWidth="1"/>
    <col min="6" max="6" width="7.59765625" customWidth="1"/>
    <col min="9" max="9" width="9.3984375" customWidth="1"/>
    <col min="10" max="10" width="30.59765625" customWidth="1"/>
    <col min="11" max="11" width="22.59765625" bestFit="1" customWidth="1"/>
    <col min="12" max="12" width="10" bestFit="1" customWidth="1"/>
    <col min="13" max="15" width="11.59765625" bestFit="1" customWidth="1"/>
    <col min="16" max="16" width="11" customWidth="1"/>
    <col min="17" max="17" width="7.3984375" customWidth="1"/>
    <col min="18" max="18" width="29.19921875" customWidth="1"/>
    <col min="19" max="19" width="22.59765625" bestFit="1" customWidth="1"/>
    <col min="20" max="20" width="13.3984375" customWidth="1"/>
    <col min="21" max="21" width="15" customWidth="1"/>
    <col min="22" max="22" width="13.19921875" customWidth="1"/>
  </cols>
  <sheetData>
    <row r="1" spans="1:24" s="78" customFormat="1" ht="14" x14ac:dyDescent="0.2">
      <c r="A1" s="235"/>
      <c r="B1" s="236" t="s">
        <v>516</v>
      </c>
      <c r="C1" s="237" t="s">
        <v>742</v>
      </c>
      <c r="D1" s="237" t="s">
        <v>428</v>
      </c>
      <c r="E1" s="237" t="s">
        <v>846</v>
      </c>
      <c r="F1" s="237"/>
      <c r="G1" s="237"/>
      <c r="H1" s="238"/>
      <c r="I1" s="235"/>
      <c r="J1" s="236" t="s">
        <v>149</v>
      </c>
      <c r="K1" s="237" t="s">
        <v>742</v>
      </c>
      <c r="L1" s="237" t="s">
        <v>428</v>
      </c>
      <c r="M1" s="237" t="s">
        <v>846</v>
      </c>
      <c r="N1" s="237"/>
      <c r="O1" s="237"/>
      <c r="P1" s="239"/>
      <c r="Q1" s="235"/>
      <c r="R1" s="236" t="s">
        <v>426</v>
      </c>
      <c r="S1" s="237" t="s">
        <v>742</v>
      </c>
      <c r="T1" s="237" t="s">
        <v>428</v>
      </c>
      <c r="U1" s="237" t="s">
        <v>846</v>
      </c>
      <c r="V1" s="237"/>
      <c r="W1" s="237"/>
      <c r="X1" s="240"/>
    </row>
    <row r="2" spans="1:24" s="78" customFormat="1" ht="14" x14ac:dyDescent="0.2">
      <c r="A2" s="168"/>
      <c r="B2" s="37" t="s">
        <v>134</v>
      </c>
      <c r="C2" s="137">
        <v>180.44</v>
      </c>
      <c r="D2" s="137">
        <f>ROUND(C2*1.0825,2)</f>
        <v>195.33</v>
      </c>
      <c r="E2" s="185">
        <f>ROUND(D2*1.031,2)</f>
        <v>201.39</v>
      </c>
      <c r="F2" s="241"/>
      <c r="G2" s="185"/>
      <c r="H2" s="169"/>
      <c r="I2" s="168"/>
      <c r="J2" s="37" t="s">
        <v>132</v>
      </c>
      <c r="K2" s="137">
        <v>23.26</v>
      </c>
      <c r="L2" s="137">
        <f>ROUND(K2*1.07,2)</f>
        <v>24.89</v>
      </c>
      <c r="M2" s="185">
        <f>ROUND(L2*1.031,2)</f>
        <v>25.66</v>
      </c>
      <c r="N2" s="37"/>
      <c r="O2" s="37"/>
      <c r="P2" s="169"/>
      <c r="Q2" s="168"/>
      <c r="R2" s="37" t="s">
        <v>132</v>
      </c>
      <c r="S2" s="137">
        <v>111.37</v>
      </c>
      <c r="T2" s="137">
        <f>ROUND(S2*1.025,2)</f>
        <v>114.15</v>
      </c>
      <c r="U2" s="185">
        <f>ROUND(T2*1.031,2)</f>
        <v>117.69</v>
      </c>
      <c r="V2" s="37"/>
      <c r="W2" s="37"/>
      <c r="X2" s="193"/>
    </row>
    <row r="3" spans="1:24" s="78" customFormat="1" ht="14" x14ac:dyDescent="0.2">
      <c r="A3" s="168"/>
      <c r="B3" s="37" t="s">
        <v>483</v>
      </c>
      <c r="C3" s="137">
        <v>172.11</v>
      </c>
      <c r="D3" s="137">
        <f>ROUND(C3*1.0825,2)</f>
        <v>186.31</v>
      </c>
      <c r="E3" s="185">
        <f t="shared" ref="E3:E5" si="0">ROUND(D3*1.031,2)</f>
        <v>192.09</v>
      </c>
      <c r="F3" s="241"/>
      <c r="G3" s="185"/>
      <c r="H3" s="169"/>
      <c r="I3" s="168"/>
      <c r="J3" s="37" t="s">
        <v>134</v>
      </c>
      <c r="K3" s="137">
        <v>19.489999999999998</v>
      </c>
      <c r="L3" s="137">
        <f t="shared" ref="L3:L5" si="1">ROUND(K3*1.07,2)</f>
        <v>20.85</v>
      </c>
      <c r="M3" s="185">
        <f t="shared" ref="M3:M5" si="2">ROUND(L3*1.031,2)</f>
        <v>21.5</v>
      </c>
      <c r="N3" s="37"/>
      <c r="O3" s="37"/>
      <c r="P3" s="169"/>
      <c r="Q3" s="168"/>
      <c r="R3" s="37" t="s">
        <v>134</v>
      </c>
      <c r="S3" s="137">
        <v>99.53</v>
      </c>
      <c r="T3" s="137">
        <f t="shared" ref="T3:T4" si="3">ROUND(S3*1.025,2)</f>
        <v>102.02</v>
      </c>
      <c r="U3" s="185">
        <f t="shared" ref="U3:U5" si="4">ROUND(T3*1.031,2)</f>
        <v>105.18</v>
      </c>
      <c r="V3" s="37"/>
      <c r="W3" s="37"/>
      <c r="X3" s="193"/>
    </row>
    <row r="4" spans="1:24" s="78" customFormat="1" ht="14" x14ac:dyDescent="0.2">
      <c r="A4" s="168"/>
      <c r="B4" s="37" t="s">
        <v>141</v>
      </c>
      <c r="C4" s="137">
        <v>162.6</v>
      </c>
      <c r="D4" s="137">
        <f>ROUND(C4*1.0825,2)</f>
        <v>176.01</v>
      </c>
      <c r="E4" s="185">
        <f t="shared" si="0"/>
        <v>181.47</v>
      </c>
      <c r="F4" s="241"/>
      <c r="G4" s="185"/>
      <c r="H4" s="169"/>
      <c r="I4" s="168"/>
      <c r="J4" s="37" t="s">
        <v>29</v>
      </c>
      <c r="K4" s="137">
        <v>18.920000000000002</v>
      </c>
      <c r="L4" s="137">
        <f t="shared" si="1"/>
        <v>20.239999999999998</v>
      </c>
      <c r="M4" s="185">
        <f t="shared" si="2"/>
        <v>20.87</v>
      </c>
      <c r="N4" s="37"/>
      <c r="O4" s="37"/>
      <c r="P4" s="169"/>
      <c r="Q4" s="168"/>
      <c r="R4" s="37" t="s">
        <v>29</v>
      </c>
      <c r="S4" s="137">
        <v>87.37</v>
      </c>
      <c r="T4" s="137">
        <f t="shared" si="3"/>
        <v>89.55</v>
      </c>
      <c r="U4" s="185">
        <f t="shared" si="4"/>
        <v>92.33</v>
      </c>
      <c r="V4" s="37"/>
      <c r="W4" s="37"/>
      <c r="X4" s="193"/>
    </row>
    <row r="5" spans="1:24" s="78" customFormat="1" ht="14" x14ac:dyDescent="0.2">
      <c r="A5" s="168"/>
      <c r="B5" s="37" t="s">
        <v>482</v>
      </c>
      <c r="C5" s="137">
        <v>153.59</v>
      </c>
      <c r="D5" s="137">
        <f>ROUND(C5*1.0825,2)</f>
        <v>166.26</v>
      </c>
      <c r="E5" s="185">
        <f t="shared" si="0"/>
        <v>171.41</v>
      </c>
      <c r="F5" s="241"/>
      <c r="G5" s="185"/>
      <c r="H5" s="169"/>
      <c r="I5" s="168"/>
      <c r="J5" s="37" t="s">
        <v>141</v>
      </c>
      <c r="K5" s="137">
        <v>17.97</v>
      </c>
      <c r="L5" s="137">
        <f t="shared" si="1"/>
        <v>19.23</v>
      </c>
      <c r="M5" s="185">
        <f t="shared" si="2"/>
        <v>19.829999999999998</v>
      </c>
      <c r="N5" s="37"/>
      <c r="O5" s="37"/>
      <c r="P5" s="169"/>
      <c r="Q5" s="168"/>
      <c r="R5" s="37" t="s">
        <v>141</v>
      </c>
      <c r="S5" s="137">
        <v>98.16</v>
      </c>
      <c r="T5" s="137">
        <f>ROUND(S5*1.025,2)</f>
        <v>100.61</v>
      </c>
      <c r="U5" s="185">
        <f t="shared" si="4"/>
        <v>103.73</v>
      </c>
      <c r="V5" s="37"/>
      <c r="W5" s="37"/>
      <c r="X5" s="193"/>
    </row>
    <row r="6" spans="1:24" s="78" customFormat="1" ht="14" x14ac:dyDescent="0.2">
      <c r="A6" s="168"/>
      <c r="B6" s="37"/>
      <c r="C6" s="37"/>
      <c r="D6" s="37"/>
      <c r="E6" s="37"/>
      <c r="F6" s="37"/>
      <c r="G6" s="37"/>
      <c r="H6" s="169"/>
      <c r="I6" s="168"/>
      <c r="J6" s="37"/>
      <c r="K6" s="37"/>
      <c r="L6" s="37"/>
      <c r="M6" s="37"/>
      <c r="N6" s="37"/>
      <c r="O6" s="37"/>
      <c r="P6" s="169"/>
      <c r="Q6" s="168"/>
      <c r="R6" s="37"/>
      <c r="S6" s="137"/>
      <c r="T6" s="143"/>
      <c r="U6" s="37"/>
      <c r="V6" s="143"/>
      <c r="W6" s="37"/>
      <c r="X6" s="193"/>
    </row>
    <row r="7" spans="1:24" ht="14" thickBot="1" x14ac:dyDescent="0.2">
      <c r="A7" s="170"/>
      <c r="B7" s="171"/>
      <c r="C7" s="171"/>
      <c r="D7" s="171"/>
      <c r="E7" s="171"/>
      <c r="F7" s="171"/>
      <c r="G7" s="171"/>
      <c r="H7" s="186"/>
      <c r="I7" s="170"/>
      <c r="J7" s="171"/>
      <c r="K7" s="171"/>
      <c r="L7" s="171"/>
      <c r="M7" s="171"/>
      <c r="N7" s="171"/>
      <c r="O7" s="171"/>
      <c r="P7" s="186"/>
      <c r="Q7" s="170"/>
      <c r="R7" s="171"/>
      <c r="S7" s="171"/>
      <c r="T7" s="171"/>
      <c r="U7" s="171"/>
      <c r="V7" s="171"/>
      <c r="W7" s="171"/>
      <c r="X7" s="234"/>
    </row>
    <row r="8" spans="1:24" x14ac:dyDescent="0.15">
      <c r="A8" s="168"/>
      <c r="B8" s="130"/>
    </row>
    <row r="9" spans="1:24" x14ac:dyDescent="0.15">
      <c r="A9" s="168"/>
      <c r="B9" s="130"/>
    </row>
    <row r="10" spans="1:24" x14ac:dyDescent="0.15">
      <c r="A10" s="168"/>
      <c r="B10" s="130"/>
    </row>
    <row r="11" spans="1:24" x14ac:dyDescent="0.15">
      <c r="A11" s="168"/>
      <c r="B11" s="130"/>
    </row>
    <row r="12" spans="1:24" x14ac:dyDescent="0.15">
      <c r="A12" s="168"/>
      <c r="B12" s="130"/>
    </row>
    <row r="13" spans="1:24" x14ac:dyDescent="0.15">
      <c r="A13" s="168"/>
      <c r="B13" s="130"/>
    </row>
    <row r="14" spans="1:24" x14ac:dyDescent="0.15">
      <c r="A14" s="168"/>
      <c r="B14" s="130"/>
    </row>
    <row r="15" spans="1:24" x14ac:dyDescent="0.15">
      <c r="A15" s="168"/>
      <c r="B15" s="130"/>
    </row>
    <row r="16" spans="1:24" x14ac:dyDescent="0.15">
      <c r="A16" s="168"/>
      <c r="B16" s="130"/>
    </row>
    <row r="17" spans="1:2" x14ac:dyDescent="0.15">
      <c r="A17" s="168"/>
      <c r="B17" s="130"/>
    </row>
    <row r="18" spans="1:2" x14ac:dyDescent="0.15">
      <c r="A18" s="168"/>
      <c r="B18" s="130"/>
    </row>
    <row r="19" spans="1:2" x14ac:dyDescent="0.15">
      <c r="A19" s="168"/>
      <c r="B19" s="130"/>
    </row>
    <row r="20" spans="1:2" x14ac:dyDescent="0.15">
      <c r="A20" s="168"/>
      <c r="B20" s="130"/>
    </row>
    <row r="21" spans="1:2" x14ac:dyDescent="0.15">
      <c r="A21" s="168"/>
      <c r="B21" s="130"/>
    </row>
    <row r="22" spans="1:2" x14ac:dyDescent="0.15">
      <c r="A22" s="168"/>
      <c r="B22" s="130"/>
    </row>
    <row r="23" spans="1:2" x14ac:dyDescent="0.15">
      <c r="A23" s="168"/>
      <c r="B23" s="130"/>
    </row>
    <row r="24" spans="1:2" x14ac:dyDescent="0.15">
      <c r="A24" s="168"/>
      <c r="B24" s="130"/>
    </row>
    <row r="25" spans="1:2" x14ac:dyDescent="0.15">
      <c r="A25" s="168"/>
      <c r="B25" s="130"/>
    </row>
    <row r="26" spans="1:2" x14ac:dyDescent="0.15">
      <c r="A26" s="168"/>
      <c r="B26" s="130"/>
    </row>
    <row r="27" spans="1:2" x14ac:dyDescent="0.15">
      <c r="A27" s="168"/>
      <c r="B27" s="130"/>
    </row>
    <row r="28" spans="1:2" x14ac:dyDescent="0.15">
      <c r="A28" s="168"/>
      <c r="B28" s="130"/>
    </row>
    <row r="29" spans="1:2" x14ac:dyDescent="0.15">
      <c r="A29" s="168"/>
      <c r="B29" s="130"/>
    </row>
    <row r="30" spans="1:2" x14ac:dyDescent="0.15">
      <c r="A30" s="168"/>
      <c r="B30" s="130"/>
    </row>
    <row r="31" spans="1:2" x14ac:dyDescent="0.15">
      <c r="A31" s="168"/>
      <c r="B31" s="130"/>
    </row>
    <row r="32" spans="1:2" x14ac:dyDescent="0.15">
      <c r="A32" s="168"/>
      <c r="B32" s="130"/>
    </row>
    <row r="33" spans="1:2" x14ac:dyDescent="0.15">
      <c r="A33" s="168"/>
      <c r="B33" s="130"/>
    </row>
    <row r="34" spans="1:2" x14ac:dyDescent="0.15">
      <c r="A34" s="168"/>
      <c r="B34" s="130"/>
    </row>
    <row r="35" spans="1:2" x14ac:dyDescent="0.15">
      <c r="A35" s="168"/>
      <c r="B35" s="130"/>
    </row>
    <row r="36" spans="1:2" x14ac:dyDescent="0.15">
      <c r="A36" s="168"/>
      <c r="B36" s="130"/>
    </row>
    <row r="37" spans="1:2" x14ac:dyDescent="0.15">
      <c r="A37" s="168"/>
      <c r="B37" s="130"/>
    </row>
    <row r="38" spans="1:2" x14ac:dyDescent="0.15">
      <c r="A38" s="168"/>
      <c r="B38" s="130"/>
    </row>
    <row r="39" spans="1:2" x14ac:dyDescent="0.15">
      <c r="A39" s="168"/>
      <c r="B39" s="130"/>
    </row>
    <row r="40" spans="1:2" x14ac:dyDescent="0.15">
      <c r="A40" s="168"/>
      <c r="B40" s="130"/>
    </row>
    <row r="41" spans="1:2" x14ac:dyDescent="0.15">
      <c r="A41" s="168"/>
      <c r="B41" s="130"/>
    </row>
    <row r="42" spans="1:2" x14ac:dyDescent="0.15">
      <c r="A42" s="168"/>
      <c r="B42" s="130"/>
    </row>
    <row r="43" spans="1:2" x14ac:dyDescent="0.15">
      <c r="A43" s="168"/>
      <c r="B43" s="130"/>
    </row>
    <row r="44" spans="1:2" x14ac:dyDescent="0.15">
      <c r="A44" s="168"/>
      <c r="B44" s="130"/>
    </row>
    <row r="45" spans="1:2" x14ac:dyDescent="0.15">
      <c r="A45" s="168"/>
      <c r="B45" s="130"/>
    </row>
    <row r="46" spans="1:2" x14ac:dyDescent="0.15">
      <c r="A46" s="168"/>
      <c r="B46" s="130"/>
    </row>
    <row r="47" spans="1:2" x14ac:dyDescent="0.15">
      <c r="A47" s="168"/>
      <c r="B47" s="130"/>
    </row>
    <row r="48" spans="1:2" x14ac:dyDescent="0.15">
      <c r="A48" s="168"/>
      <c r="B48" s="130"/>
    </row>
    <row r="49" spans="1:2" x14ac:dyDescent="0.15">
      <c r="A49" s="168"/>
      <c r="B49" s="130"/>
    </row>
    <row r="50" spans="1:2" x14ac:dyDescent="0.15">
      <c r="A50" s="168"/>
      <c r="B50" s="130"/>
    </row>
    <row r="51" spans="1:2" x14ac:dyDescent="0.15">
      <c r="A51" s="168"/>
      <c r="B51" s="130"/>
    </row>
    <row r="52" spans="1:2" x14ac:dyDescent="0.15">
      <c r="A52" s="168"/>
      <c r="B52" s="130"/>
    </row>
    <row r="53" spans="1:2" x14ac:dyDescent="0.15">
      <c r="A53" s="168"/>
      <c r="B53" s="130"/>
    </row>
    <row r="54" spans="1:2" x14ac:dyDescent="0.15">
      <c r="A54" s="168"/>
      <c r="B54" s="130"/>
    </row>
    <row r="55" spans="1:2" x14ac:dyDescent="0.15">
      <c r="A55" s="168"/>
      <c r="B55" s="130"/>
    </row>
    <row r="56" spans="1:2" x14ac:dyDescent="0.15">
      <c r="A56" s="168"/>
      <c r="B56" s="130"/>
    </row>
    <row r="57" spans="1:2" x14ac:dyDescent="0.15">
      <c r="A57" s="168"/>
      <c r="B57" s="130"/>
    </row>
    <row r="58" spans="1:2" x14ac:dyDescent="0.15">
      <c r="A58" s="168"/>
      <c r="B58" s="130"/>
    </row>
    <row r="59" spans="1:2" x14ac:dyDescent="0.15">
      <c r="A59" s="168"/>
      <c r="B59" s="130"/>
    </row>
    <row r="60" spans="1:2" x14ac:dyDescent="0.15">
      <c r="A60" s="168"/>
      <c r="B60" s="130"/>
    </row>
    <row r="61" spans="1:2" x14ac:dyDescent="0.15">
      <c r="A61" s="168"/>
      <c r="B61" s="130"/>
    </row>
    <row r="62" spans="1:2" x14ac:dyDescent="0.15">
      <c r="A62" s="168"/>
      <c r="B62" s="130"/>
    </row>
    <row r="63" spans="1:2" x14ac:dyDescent="0.15">
      <c r="A63" s="168"/>
      <c r="B63" s="130"/>
    </row>
    <row r="64" spans="1:2" x14ac:dyDescent="0.15">
      <c r="A64" s="168"/>
      <c r="B64" s="130"/>
    </row>
    <row r="65" spans="1:2" x14ac:dyDescent="0.15">
      <c r="A65" s="168"/>
      <c r="B65" s="130"/>
    </row>
    <row r="66" spans="1:2" x14ac:dyDescent="0.15">
      <c r="A66" s="168"/>
      <c r="B66" s="130"/>
    </row>
    <row r="67" spans="1:2" x14ac:dyDescent="0.15">
      <c r="A67" s="168"/>
      <c r="B67" s="130"/>
    </row>
    <row r="68" spans="1:2" x14ac:dyDescent="0.15">
      <c r="A68" s="168"/>
      <c r="B68" s="130"/>
    </row>
    <row r="69" spans="1:2" x14ac:dyDescent="0.15">
      <c r="A69" s="168"/>
      <c r="B69" s="130"/>
    </row>
    <row r="70" spans="1:2" x14ac:dyDescent="0.15">
      <c r="A70" s="168"/>
      <c r="B70" s="130"/>
    </row>
    <row r="71" spans="1:2" x14ac:dyDescent="0.15">
      <c r="A71" s="168"/>
      <c r="B71" s="130"/>
    </row>
    <row r="72" spans="1:2" x14ac:dyDescent="0.15">
      <c r="A72" s="168"/>
      <c r="B72" s="130"/>
    </row>
    <row r="73" spans="1:2" x14ac:dyDescent="0.15">
      <c r="A73" s="168"/>
      <c r="B73" s="130"/>
    </row>
    <row r="74" spans="1:2" x14ac:dyDescent="0.15">
      <c r="A74" s="168"/>
    </row>
    <row r="75" spans="1:2" x14ac:dyDescent="0.15">
      <c r="A75" s="168"/>
    </row>
    <row r="76" spans="1:2" ht="14" thickBot="1" x14ac:dyDescent="0.2">
      <c r="A76" s="170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"/>
  <dimension ref="A1:AD313"/>
  <sheetViews>
    <sheetView workbookViewId="0">
      <pane ySplit="3" topLeftCell="A174" activePane="bottomLeft" state="frozen"/>
      <selection activeCell="E12" sqref="E12"/>
      <selection pane="bottomLeft" activeCell="S64" sqref="S64"/>
    </sheetView>
  </sheetViews>
  <sheetFormatPr baseColWidth="10" defaultColWidth="9.3984375" defaultRowHeight="12" x14ac:dyDescent="0.15"/>
  <cols>
    <col min="1" max="1" width="11.59765625" style="1" bestFit="1" customWidth="1"/>
    <col min="2" max="2" width="64.59765625" style="1" bestFit="1" customWidth="1"/>
    <col min="3" max="3" width="20.3984375" style="1" customWidth="1"/>
    <col min="4" max="4" width="11.19921875" style="1" customWidth="1"/>
    <col min="5" max="5" width="11.3984375" style="1" bestFit="1" customWidth="1"/>
    <col min="6" max="6" width="15.796875" style="1" bestFit="1" customWidth="1"/>
    <col min="7" max="8" width="11.3984375" style="1" bestFit="1" customWidth="1"/>
    <col min="9" max="10" width="9.3984375" style="1"/>
    <col min="11" max="12" width="11.19921875" style="1" customWidth="1"/>
    <col min="13" max="13" width="13.796875" style="1" customWidth="1"/>
    <col min="14" max="14" width="8.3984375" style="1" bestFit="1" customWidth="1"/>
    <col min="15" max="15" width="11.3984375" style="1" bestFit="1" customWidth="1"/>
    <col min="16" max="17" width="12.59765625" style="1" bestFit="1" customWidth="1"/>
    <col min="18" max="18" width="12" style="1" customWidth="1"/>
    <col min="19" max="19" width="10.3984375" style="1" bestFit="1" customWidth="1"/>
    <col min="20" max="20" width="10" style="1" bestFit="1" customWidth="1"/>
    <col min="21" max="21" width="15.19921875" style="1" customWidth="1"/>
    <col min="22" max="22" width="11" style="1" bestFit="1" customWidth="1"/>
    <col min="23" max="23" width="13.3984375" style="1" bestFit="1" customWidth="1"/>
    <col min="24" max="24" width="10.3984375" style="1" bestFit="1" customWidth="1"/>
    <col min="25" max="16384" width="9.3984375" style="1"/>
  </cols>
  <sheetData>
    <row r="1" spans="1:30" x14ac:dyDescent="0.15">
      <c r="A1" s="56"/>
      <c r="B1" s="56"/>
      <c r="C1" s="56"/>
      <c r="D1" s="348" t="s">
        <v>941</v>
      </c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</row>
    <row r="2" spans="1:30" x14ac:dyDescent="0.15">
      <c r="A2" s="56">
        <v>1</v>
      </c>
      <c r="B2" s="56">
        <f t="shared" ref="B2:S2" si="0">+A2+1</f>
        <v>2</v>
      </c>
      <c r="C2" s="56">
        <f t="shared" si="0"/>
        <v>3</v>
      </c>
      <c r="D2" s="56">
        <f t="shared" si="0"/>
        <v>4</v>
      </c>
      <c r="E2" s="56">
        <f t="shared" si="0"/>
        <v>5</v>
      </c>
      <c r="F2" s="56">
        <f t="shared" si="0"/>
        <v>6</v>
      </c>
      <c r="G2" s="56">
        <f t="shared" si="0"/>
        <v>7</v>
      </c>
      <c r="H2" s="56">
        <f t="shared" si="0"/>
        <v>8</v>
      </c>
      <c r="I2" s="56">
        <f t="shared" si="0"/>
        <v>9</v>
      </c>
      <c r="J2" s="56">
        <f t="shared" si="0"/>
        <v>10</v>
      </c>
      <c r="K2" s="56">
        <f t="shared" si="0"/>
        <v>11</v>
      </c>
      <c r="L2" s="56">
        <f t="shared" si="0"/>
        <v>12</v>
      </c>
      <c r="M2" s="56">
        <f t="shared" si="0"/>
        <v>13</v>
      </c>
      <c r="N2" s="56">
        <f t="shared" si="0"/>
        <v>14</v>
      </c>
      <c r="O2" s="56">
        <f t="shared" si="0"/>
        <v>15</v>
      </c>
      <c r="P2" s="56">
        <f t="shared" si="0"/>
        <v>16</v>
      </c>
      <c r="Q2" s="56">
        <f t="shared" si="0"/>
        <v>17</v>
      </c>
      <c r="R2" s="56">
        <f t="shared" si="0"/>
        <v>18</v>
      </c>
      <c r="S2" s="56">
        <f t="shared" si="0"/>
        <v>19</v>
      </c>
      <c r="T2" s="56">
        <f t="shared" ref="T2" si="1">+S2+1</f>
        <v>20</v>
      </c>
      <c r="U2" s="56">
        <f t="shared" ref="U2" si="2">+T2+1</f>
        <v>21</v>
      </c>
    </row>
    <row r="3" spans="1:30" ht="53" x14ac:dyDescent="0.2">
      <c r="A3" s="2" t="s">
        <v>145</v>
      </c>
      <c r="B3" s="2" t="s">
        <v>24</v>
      </c>
      <c r="C3" s="2" t="s">
        <v>104</v>
      </c>
      <c r="D3" s="2" t="s">
        <v>30</v>
      </c>
      <c r="E3" s="3" t="s">
        <v>156</v>
      </c>
      <c r="F3" s="3" t="s">
        <v>157</v>
      </c>
      <c r="G3" s="3" t="s">
        <v>158</v>
      </c>
      <c r="H3" s="2" t="s">
        <v>46</v>
      </c>
      <c r="I3" s="2" t="s">
        <v>51</v>
      </c>
      <c r="J3" s="2" t="s">
        <v>52</v>
      </c>
      <c r="K3" s="2" t="s">
        <v>47</v>
      </c>
      <c r="L3" s="2" t="s">
        <v>48</v>
      </c>
      <c r="M3" s="2" t="s">
        <v>27</v>
      </c>
      <c r="N3" s="2" t="s">
        <v>31</v>
      </c>
      <c r="O3" s="2" t="s">
        <v>28</v>
      </c>
      <c r="P3" s="2" t="s">
        <v>32</v>
      </c>
      <c r="Q3" s="2" t="s">
        <v>1874</v>
      </c>
      <c r="R3" s="2" t="s">
        <v>35</v>
      </c>
      <c r="S3" s="2" t="str">
        <f>"Annual Value at $"&amp;'FRV Modeling'!C13&amp;" Cap"</f>
        <v>Annual Value at $164737 Cap</v>
      </c>
      <c r="T3" s="2" t="s">
        <v>34</v>
      </c>
      <c r="U3" s="2" t="str">
        <f>"FRV Per Diem at $"&amp;'FRV Modeling'!C13&amp;" Cap"</f>
        <v>FRV Per Diem at $164737 Cap</v>
      </c>
      <c r="V3" s="190" t="s">
        <v>940</v>
      </c>
      <c r="W3" s="131"/>
      <c r="X3" s="37"/>
      <c r="Y3" s="37"/>
      <c r="Z3" s="37"/>
      <c r="AA3" s="37"/>
      <c r="AB3" s="37"/>
      <c r="AC3" s="37"/>
      <c r="AD3" s="37"/>
    </row>
    <row r="4" spans="1:30" x14ac:dyDescent="0.15">
      <c r="A4" s="130">
        <v>30</v>
      </c>
      <c r="B4" s="37" t="s">
        <v>223</v>
      </c>
      <c r="C4" s="1" t="s">
        <v>123</v>
      </c>
      <c r="D4" s="5">
        <v>45474</v>
      </c>
      <c r="E4" s="5">
        <v>45108</v>
      </c>
      <c r="F4" s="5">
        <v>45473</v>
      </c>
      <c r="G4" s="1">
        <v>76</v>
      </c>
      <c r="H4" s="1">
        <v>366</v>
      </c>
      <c r="I4" s="154">
        <v>27816</v>
      </c>
      <c r="J4" s="154">
        <v>24565</v>
      </c>
      <c r="K4" s="4">
        <f t="shared" ref="K4:K35" si="3">IF(OR(H4=365,H4=366),I4,ROUND(I4*(365/$H4),0))</f>
        <v>27816</v>
      </c>
      <c r="L4" s="4">
        <f t="shared" ref="L4:L35" si="4">IF(OR(H4=365,H4=366),J4,ROUND(J4*(365/$H4),0))</f>
        <v>24565</v>
      </c>
      <c r="M4" s="154">
        <v>16371571</v>
      </c>
      <c r="N4" s="154">
        <v>16000</v>
      </c>
      <c r="O4" s="154">
        <v>412327</v>
      </c>
      <c r="P4" s="4">
        <f>ROUND(M4+(N4*G4)+O4,0)</f>
        <v>17999898</v>
      </c>
      <c r="Q4" s="4">
        <f>+P4</f>
        <v>17999898</v>
      </c>
      <c r="R4" s="4">
        <f>IF(Q4="","",ROUND(Q4/G4,0))</f>
        <v>236841</v>
      </c>
      <c r="S4" s="4">
        <f t="shared" ref="S4:S67" si="5">IF(C4="baltimore city",IF(R4&gt;FRV_amt,ROUND(FRV_amt*G4*0.1,0),ROUND(R4*G4*0.1,0)),IF(R4&gt;FRV_amt,ROUND(FRV_amt*G4*0.08,0),ROUND(R4*G4*0.08,0)))</f>
        <v>1001601</v>
      </c>
      <c r="T4" s="155">
        <f>IF(ISNA(VLOOKUP(A4&amp;F4,'Days Exceptions'!$C$2:$I$3,7,FALSE)),ROUND(MAX(K4*Min_Occ,L4),0),VLOOKUP(A4&amp;F4,'Days Exceptions'!$C$2:$I$3,7,FALSE))</f>
        <v>24565</v>
      </c>
      <c r="U4" s="6">
        <f t="shared" ref="U4:U52" si="6">ROUND(S4/T4,2)</f>
        <v>40.770000000000003</v>
      </c>
      <c r="V4" s="154" t="s">
        <v>540</v>
      </c>
      <c r="W4" s="136"/>
      <c r="X4" s="37"/>
      <c r="Y4" s="37"/>
      <c r="Z4" s="37"/>
      <c r="AA4" s="37"/>
      <c r="AB4" s="37"/>
      <c r="AC4" s="37"/>
      <c r="AD4" s="82"/>
    </row>
    <row r="5" spans="1:30" x14ac:dyDescent="0.15">
      <c r="A5" s="130">
        <v>44</v>
      </c>
      <c r="B5" s="37" t="s">
        <v>396</v>
      </c>
      <c r="C5" s="1" t="s">
        <v>108</v>
      </c>
      <c r="D5" s="5">
        <v>45474</v>
      </c>
      <c r="E5" s="5">
        <v>45292</v>
      </c>
      <c r="F5" s="5">
        <v>45657</v>
      </c>
      <c r="G5" s="1">
        <v>48</v>
      </c>
      <c r="H5" s="1">
        <v>366</v>
      </c>
      <c r="I5" s="154">
        <v>17568</v>
      </c>
      <c r="J5" s="154">
        <v>13052</v>
      </c>
      <c r="K5" s="4">
        <f t="shared" si="3"/>
        <v>17568</v>
      </c>
      <c r="L5" s="4">
        <f t="shared" si="4"/>
        <v>13052</v>
      </c>
      <c r="M5" s="154">
        <v>10045250</v>
      </c>
      <c r="N5" s="154">
        <v>20500</v>
      </c>
      <c r="O5" s="154">
        <v>410749</v>
      </c>
      <c r="P5" s="4">
        <f t="shared" ref="P5:P53" si="7">ROUND(M5+(N5*G5)+O5,0)</f>
        <v>11439999</v>
      </c>
      <c r="Q5" s="4">
        <f t="shared" ref="Q5:Q52" si="8">+P5</f>
        <v>11439999</v>
      </c>
      <c r="R5" s="4">
        <f t="shared" ref="R5:R52" si="9">IF(Q5="","",ROUND(Q5/G5,0))</f>
        <v>238333</v>
      </c>
      <c r="S5" s="4">
        <f t="shared" si="5"/>
        <v>632590</v>
      </c>
      <c r="T5" s="155">
        <f>IF(ISNA(VLOOKUP(A5&amp;F5,'Days Exceptions'!$C$2:$I$3,7,FALSE)),ROUND(MAX(K5*Min_Occ,L5),0),VLOOKUP(A5&amp;F5,'Days Exceptions'!$C$2:$I$3,7,FALSE))</f>
        <v>14323</v>
      </c>
      <c r="U5" s="6">
        <f t="shared" si="6"/>
        <v>44.17</v>
      </c>
      <c r="V5" s="154" t="s">
        <v>540</v>
      </c>
      <c r="W5" s="136"/>
      <c r="X5" s="37"/>
      <c r="Y5" s="37"/>
      <c r="Z5" s="37"/>
      <c r="AA5" s="37"/>
      <c r="AB5" s="37"/>
      <c r="AC5" s="37"/>
      <c r="AD5" s="82"/>
    </row>
    <row r="6" spans="1:30" x14ac:dyDescent="0.15">
      <c r="A6" s="130">
        <v>46</v>
      </c>
      <c r="B6" s="37" t="s">
        <v>746</v>
      </c>
      <c r="C6" s="1" t="s">
        <v>107</v>
      </c>
      <c r="D6" s="5">
        <v>45474</v>
      </c>
      <c r="E6" s="5">
        <v>45292</v>
      </c>
      <c r="F6" s="5">
        <v>45657</v>
      </c>
      <c r="G6" s="1">
        <v>131</v>
      </c>
      <c r="H6" s="1">
        <v>366</v>
      </c>
      <c r="I6" s="154">
        <v>47946</v>
      </c>
      <c r="J6" s="154">
        <v>38691</v>
      </c>
      <c r="K6" s="4">
        <f t="shared" si="3"/>
        <v>47946</v>
      </c>
      <c r="L6" s="4">
        <f t="shared" si="4"/>
        <v>38691</v>
      </c>
      <c r="M6" s="154">
        <v>24573353</v>
      </c>
      <c r="N6" s="154">
        <v>27000</v>
      </c>
      <c r="O6" s="154">
        <v>681481</v>
      </c>
      <c r="P6" s="4">
        <f t="shared" si="7"/>
        <v>28791834</v>
      </c>
      <c r="Q6" s="4">
        <f t="shared" si="8"/>
        <v>28791834</v>
      </c>
      <c r="R6" s="4">
        <f t="shared" si="9"/>
        <v>219785</v>
      </c>
      <c r="S6" s="4">
        <f t="shared" si="5"/>
        <v>1726444</v>
      </c>
      <c r="T6" s="155">
        <f>IF(ISNA(VLOOKUP(A6&amp;F6,'Days Exceptions'!$C$2:$I$3,7,FALSE)),ROUND(MAX(K6*Min_Occ,L6),0),VLOOKUP(A6&amp;F6,'Days Exceptions'!$C$2:$I$3,7,FALSE))</f>
        <v>39090</v>
      </c>
      <c r="U6" s="6">
        <f t="shared" si="6"/>
        <v>44.17</v>
      </c>
      <c r="V6" s="154" t="s">
        <v>540</v>
      </c>
      <c r="W6" s="136"/>
      <c r="X6" s="37"/>
      <c r="Y6" s="37"/>
      <c r="Z6" s="37"/>
      <c r="AA6" s="37"/>
      <c r="AB6" s="37"/>
      <c r="AC6" s="37"/>
      <c r="AD6" s="82"/>
    </row>
    <row r="7" spans="1:30" x14ac:dyDescent="0.15">
      <c r="A7" s="130">
        <v>54</v>
      </c>
      <c r="B7" s="37" t="s">
        <v>603</v>
      </c>
      <c r="C7" s="1" t="s">
        <v>116</v>
      </c>
      <c r="D7" s="5">
        <v>45474</v>
      </c>
      <c r="E7" s="5">
        <v>45292</v>
      </c>
      <c r="F7" s="5">
        <v>45657</v>
      </c>
      <c r="G7" s="1">
        <v>155</v>
      </c>
      <c r="H7" s="1">
        <v>366</v>
      </c>
      <c r="I7" s="154">
        <v>56730</v>
      </c>
      <c r="J7" s="154">
        <v>46057</v>
      </c>
      <c r="K7" s="4">
        <f t="shared" si="3"/>
        <v>56730</v>
      </c>
      <c r="L7" s="4">
        <f t="shared" si="4"/>
        <v>46057</v>
      </c>
      <c r="M7" s="154">
        <v>12057697</v>
      </c>
      <c r="N7" s="154">
        <v>16000</v>
      </c>
      <c r="O7" s="154">
        <v>230006</v>
      </c>
      <c r="P7" s="4">
        <f t="shared" si="7"/>
        <v>14767703</v>
      </c>
      <c r="Q7" s="4">
        <f t="shared" si="8"/>
        <v>14767703</v>
      </c>
      <c r="R7" s="4">
        <f t="shared" si="9"/>
        <v>95276</v>
      </c>
      <c r="S7" s="4">
        <f t="shared" si="5"/>
        <v>1181422</v>
      </c>
      <c r="T7" s="155">
        <f>IF(ISNA(VLOOKUP(A7&amp;F7,'Days Exceptions'!$C$2:$I$3,7,FALSE)),ROUND(MAX(K7*Min_Occ,L7),0),VLOOKUP(A7&amp;F7,'Days Exceptions'!$C$2:$I$3,7,FALSE))</f>
        <v>46252</v>
      </c>
      <c r="U7" s="6">
        <f t="shared" si="6"/>
        <v>25.54</v>
      </c>
      <c r="V7" s="154" t="s">
        <v>540</v>
      </c>
      <c r="W7" s="136"/>
      <c r="X7" s="37"/>
      <c r="Y7" s="37"/>
      <c r="Z7" s="37"/>
      <c r="AA7" s="37"/>
      <c r="AB7" s="37"/>
      <c r="AC7" s="37"/>
      <c r="AD7" s="82"/>
    </row>
    <row r="8" spans="1:30" x14ac:dyDescent="0.15">
      <c r="A8" s="130">
        <v>64</v>
      </c>
      <c r="B8" s="37" t="s">
        <v>398</v>
      </c>
      <c r="C8" s="1" t="s">
        <v>125</v>
      </c>
      <c r="D8" s="5">
        <v>45474</v>
      </c>
      <c r="E8" s="5">
        <v>45108</v>
      </c>
      <c r="F8" s="5">
        <v>45473</v>
      </c>
      <c r="G8" s="1">
        <v>140</v>
      </c>
      <c r="H8" s="1">
        <v>366</v>
      </c>
      <c r="I8" s="154">
        <v>51240</v>
      </c>
      <c r="J8" s="154">
        <v>41447</v>
      </c>
      <c r="K8" s="4">
        <f t="shared" si="3"/>
        <v>51240</v>
      </c>
      <c r="L8" s="4">
        <f t="shared" si="4"/>
        <v>41447</v>
      </c>
      <c r="M8" s="154">
        <v>12094862</v>
      </c>
      <c r="N8" s="154">
        <v>14000</v>
      </c>
      <c r="O8" s="154">
        <v>234395</v>
      </c>
      <c r="P8" s="4">
        <f t="shared" si="7"/>
        <v>14289257</v>
      </c>
      <c r="Q8" s="4">
        <f t="shared" si="8"/>
        <v>14289257</v>
      </c>
      <c r="R8" s="4">
        <f t="shared" si="9"/>
        <v>102066</v>
      </c>
      <c r="S8" s="4">
        <f t="shared" si="5"/>
        <v>1143139</v>
      </c>
      <c r="T8" s="155">
        <f>IF(ISNA(VLOOKUP(A8&amp;F8,'Days Exceptions'!$C$2:$I$3,7,FALSE)),ROUND(MAX(K8*Min_Occ,L8),0),VLOOKUP(A8&amp;F8,'Days Exceptions'!$C$2:$I$3,7,FALSE))</f>
        <v>41776</v>
      </c>
      <c r="U8" s="6">
        <f t="shared" si="6"/>
        <v>27.36</v>
      </c>
      <c r="V8" s="154" t="s">
        <v>540</v>
      </c>
      <c r="W8" s="136"/>
      <c r="X8" s="37"/>
      <c r="Y8" s="37"/>
      <c r="Z8" s="37"/>
      <c r="AA8" s="37"/>
      <c r="AB8" s="37"/>
      <c r="AC8" s="37"/>
      <c r="AD8" s="82"/>
    </row>
    <row r="9" spans="1:30" x14ac:dyDescent="0.15">
      <c r="A9" s="130">
        <v>66</v>
      </c>
      <c r="B9" s="37" t="s">
        <v>588</v>
      </c>
      <c r="C9" s="1" t="s">
        <v>120</v>
      </c>
      <c r="D9" s="5">
        <v>45474</v>
      </c>
      <c r="E9" s="5">
        <v>45292</v>
      </c>
      <c r="F9" s="5">
        <v>45657</v>
      </c>
      <c r="G9" s="1">
        <v>180</v>
      </c>
      <c r="H9" s="1">
        <v>366</v>
      </c>
      <c r="I9" s="154">
        <v>65880</v>
      </c>
      <c r="J9" s="154">
        <v>61037</v>
      </c>
      <c r="K9" s="4">
        <f t="shared" si="3"/>
        <v>65880</v>
      </c>
      <c r="L9" s="4">
        <f t="shared" si="4"/>
        <v>61037</v>
      </c>
      <c r="M9" s="154">
        <v>13974667</v>
      </c>
      <c r="N9" s="154">
        <v>27000</v>
      </c>
      <c r="O9" s="154">
        <v>390285</v>
      </c>
      <c r="P9" s="4">
        <f t="shared" si="7"/>
        <v>19224952</v>
      </c>
      <c r="Q9" s="4">
        <f t="shared" si="8"/>
        <v>19224952</v>
      </c>
      <c r="R9" s="4">
        <f t="shared" si="9"/>
        <v>106805</v>
      </c>
      <c r="S9" s="4">
        <f t="shared" si="5"/>
        <v>1537992</v>
      </c>
      <c r="T9" s="155">
        <f>IF(ISNA(VLOOKUP(A9&amp;F9,'Days Exceptions'!$C$2:$I$3,7,FALSE)),ROUND(MAX(K9*Min_Occ,L9),0),VLOOKUP(A9&amp;F9,'Days Exceptions'!$C$2:$I$3,7,FALSE))</f>
        <v>61037</v>
      </c>
      <c r="U9" s="6">
        <f t="shared" si="6"/>
        <v>25.2</v>
      </c>
      <c r="V9" s="154" t="s">
        <v>540</v>
      </c>
      <c r="W9" s="136"/>
      <c r="X9" s="37"/>
      <c r="Y9" s="37"/>
      <c r="Z9" s="37"/>
      <c r="AA9" s="37"/>
      <c r="AB9" s="37"/>
      <c r="AC9" s="37"/>
      <c r="AD9" s="82"/>
    </row>
    <row r="10" spans="1:30" x14ac:dyDescent="0.15">
      <c r="A10" s="130">
        <v>86</v>
      </c>
      <c r="B10" s="37" t="s">
        <v>707</v>
      </c>
      <c r="C10" s="1" t="s">
        <v>102</v>
      </c>
      <c r="D10" s="5">
        <v>45474</v>
      </c>
      <c r="E10" s="5">
        <v>45292</v>
      </c>
      <c r="F10" s="5">
        <v>45657</v>
      </c>
      <c r="G10" s="1">
        <v>140</v>
      </c>
      <c r="H10" s="1">
        <v>366</v>
      </c>
      <c r="I10" s="154">
        <v>51240</v>
      </c>
      <c r="J10" s="154">
        <v>31683</v>
      </c>
      <c r="K10" s="4">
        <f t="shared" si="3"/>
        <v>51240</v>
      </c>
      <c r="L10" s="4">
        <f t="shared" si="4"/>
        <v>31683</v>
      </c>
      <c r="M10" s="154">
        <v>11513179</v>
      </c>
      <c r="N10" s="154">
        <v>13000</v>
      </c>
      <c r="O10" s="154">
        <v>216251</v>
      </c>
      <c r="P10" s="4">
        <f t="shared" si="7"/>
        <v>13549430</v>
      </c>
      <c r="Q10" s="4">
        <f t="shared" si="8"/>
        <v>13549430</v>
      </c>
      <c r="R10" s="4">
        <f t="shared" si="9"/>
        <v>96782</v>
      </c>
      <c r="S10" s="4">
        <f t="shared" si="5"/>
        <v>1354948</v>
      </c>
      <c r="T10" s="155">
        <f>IF(ISNA(VLOOKUP(A10&amp;F10,'Days Exceptions'!$C$2:$I$3,7,FALSE)),ROUND(MAX(K10*Min_Occ,L10),0),VLOOKUP(A10&amp;F10,'Days Exceptions'!$C$2:$I$3,7,FALSE))</f>
        <v>41776</v>
      </c>
      <c r="U10" s="6">
        <f t="shared" si="6"/>
        <v>32.43</v>
      </c>
      <c r="V10" s="154" t="s">
        <v>540</v>
      </c>
      <c r="W10" s="136"/>
      <c r="X10" s="37"/>
      <c r="Y10" s="37"/>
      <c r="Z10" s="37"/>
      <c r="AA10" s="37"/>
      <c r="AB10" s="37"/>
      <c r="AC10" s="37"/>
      <c r="AD10" s="82"/>
    </row>
    <row r="11" spans="1:30" x14ac:dyDescent="0.15">
      <c r="A11" s="130">
        <v>130</v>
      </c>
      <c r="B11" s="37" t="s">
        <v>472</v>
      </c>
      <c r="C11" s="1" t="s">
        <v>120</v>
      </c>
      <c r="D11" s="5">
        <v>45474</v>
      </c>
      <c r="E11" s="5">
        <v>45292</v>
      </c>
      <c r="F11" s="5">
        <v>45657</v>
      </c>
      <c r="G11" s="1">
        <v>158</v>
      </c>
      <c r="H11" s="1">
        <v>366</v>
      </c>
      <c r="I11" s="154">
        <v>57828</v>
      </c>
      <c r="J11" s="154">
        <v>56292</v>
      </c>
      <c r="K11" s="4">
        <f t="shared" si="3"/>
        <v>57828</v>
      </c>
      <c r="L11" s="4">
        <f t="shared" si="4"/>
        <v>56292</v>
      </c>
      <c r="M11" s="154">
        <v>26123268</v>
      </c>
      <c r="N11" s="154">
        <v>27000</v>
      </c>
      <c r="O11" s="154">
        <v>307935</v>
      </c>
      <c r="P11" s="4">
        <f t="shared" si="7"/>
        <v>30697203</v>
      </c>
      <c r="Q11" s="4">
        <f t="shared" si="8"/>
        <v>30697203</v>
      </c>
      <c r="R11" s="4">
        <f t="shared" si="9"/>
        <v>194286</v>
      </c>
      <c r="S11" s="4">
        <f t="shared" si="5"/>
        <v>2082276</v>
      </c>
      <c r="T11" s="155">
        <f>IF(ISNA(VLOOKUP(A11&amp;F11,'Days Exceptions'!$C$2:$I$3,7,FALSE)),ROUND(MAX(K11*Min_Occ,L11),0),VLOOKUP(A11&amp;F11,'Days Exceptions'!$C$2:$I$3,7,FALSE))</f>
        <v>56292</v>
      </c>
      <c r="U11" s="6">
        <f t="shared" si="6"/>
        <v>36.99</v>
      </c>
      <c r="V11" s="154" t="s">
        <v>540</v>
      </c>
      <c r="W11" s="136"/>
      <c r="X11" s="37"/>
      <c r="Y11" s="37"/>
      <c r="Z11" s="37"/>
      <c r="AA11" s="37"/>
      <c r="AB11" s="37"/>
      <c r="AC11" s="37"/>
      <c r="AD11" s="82"/>
    </row>
    <row r="12" spans="1:30" x14ac:dyDescent="0.15">
      <c r="A12" s="130">
        <v>132</v>
      </c>
      <c r="B12" s="37" t="s">
        <v>589</v>
      </c>
      <c r="C12" s="1" t="s">
        <v>106</v>
      </c>
      <c r="D12" s="5">
        <v>45474</v>
      </c>
      <c r="E12" s="5">
        <v>45292</v>
      </c>
      <c r="F12" s="5">
        <v>45657</v>
      </c>
      <c r="G12" s="1">
        <v>180</v>
      </c>
      <c r="H12" s="1">
        <v>366</v>
      </c>
      <c r="I12" s="154">
        <v>65880</v>
      </c>
      <c r="J12" s="154">
        <v>58980</v>
      </c>
      <c r="K12" s="4">
        <f t="shared" si="3"/>
        <v>65880</v>
      </c>
      <c r="L12" s="4">
        <f t="shared" si="4"/>
        <v>58980</v>
      </c>
      <c r="M12" s="154">
        <v>18236264</v>
      </c>
      <c r="N12" s="154">
        <v>28000</v>
      </c>
      <c r="O12" s="154">
        <v>425737</v>
      </c>
      <c r="P12" s="4">
        <f t="shared" si="7"/>
        <v>23702001</v>
      </c>
      <c r="Q12" s="4">
        <f t="shared" si="8"/>
        <v>23702001</v>
      </c>
      <c r="R12" s="4">
        <f t="shared" si="9"/>
        <v>131678</v>
      </c>
      <c r="S12" s="4">
        <f t="shared" si="5"/>
        <v>1896163</v>
      </c>
      <c r="T12" s="155">
        <f>IF(ISNA(VLOOKUP(A12&amp;F12,'Days Exceptions'!$C$2:$I$3,7,FALSE)),ROUND(MAX(K12*Min_Occ,L12),0),VLOOKUP(A12&amp;F12,'Days Exceptions'!$C$2:$I$3,7,FALSE))</f>
        <v>58980</v>
      </c>
      <c r="U12" s="6">
        <f t="shared" si="6"/>
        <v>32.15</v>
      </c>
      <c r="V12" s="154" t="s">
        <v>540</v>
      </c>
      <c r="W12" s="136"/>
      <c r="X12" s="37"/>
      <c r="Y12" s="37"/>
      <c r="Z12" s="37"/>
      <c r="AA12" s="37"/>
      <c r="AB12" s="37"/>
      <c r="AC12" s="37"/>
      <c r="AD12" s="82"/>
    </row>
    <row r="13" spans="1:30" x14ac:dyDescent="0.15">
      <c r="A13" s="130">
        <v>142</v>
      </c>
      <c r="B13" s="37" t="s">
        <v>374</v>
      </c>
      <c r="C13" s="1" t="s">
        <v>105</v>
      </c>
      <c r="D13" s="5">
        <v>45474</v>
      </c>
      <c r="E13" s="5">
        <v>45292</v>
      </c>
      <c r="F13" s="5">
        <v>45657</v>
      </c>
      <c r="G13" s="1">
        <v>124</v>
      </c>
      <c r="H13" s="1">
        <v>366</v>
      </c>
      <c r="I13" s="154">
        <v>45384</v>
      </c>
      <c r="J13" s="154">
        <v>32527</v>
      </c>
      <c r="K13" s="4">
        <f t="shared" si="3"/>
        <v>45384</v>
      </c>
      <c r="L13" s="4">
        <f t="shared" si="4"/>
        <v>32527</v>
      </c>
      <c r="M13" s="154">
        <v>13420832</v>
      </c>
      <c r="N13" s="154">
        <v>12500</v>
      </c>
      <c r="O13" s="154">
        <v>568218</v>
      </c>
      <c r="P13" s="4">
        <f t="shared" si="7"/>
        <v>15539050</v>
      </c>
      <c r="Q13" s="4">
        <f t="shared" si="8"/>
        <v>15539050</v>
      </c>
      <c r="R13" s="4">
        <f t="shared" si="9"/>
        <v>125315</v>
      </c>
      <c r="S13" s="4">
        <f t="shared" si="5"/>
        <v>1243125</v>
      </c>
      <c r="T13" s="155">
        <f>IF(ISNA(VLOOKUP(A13&amp;F13,'Days Exceptions'!$C$2:$I$3,7,FALSE)),ROUND(MAX(K13*Min_Occ,L13),0),VLOOKUP(A13&amp;F13,'Days Exceptions'!$C$2:$I$3,7,FALSE))</f>
        <v>37002</v>
      </c>
      <c r="U13" s="6">
        <f t="shared" si="6"/>
        <v>33.6</v>
      </c>
      <c r="V13" s="154" t="s">
        <v>540</v>
      </c>
      <c r="W13" s="136"/>
      <c r="X13" s="37"/>
      <c r="Y13" s="37"/>
      <c r="Z13" s="37"/>
      <c r="AA13" s="37"/>
      <c r="AB13" s="37"/>
      <c r="AC13" s="37"/>
      <c r="AD13" s="82"/>
    </row>
    <row r="14" spans="1:30" x14ac:dyDescent="0.15">
      <c r="A14" s="130">
        <v>144</v>
      </c>
      <c r="B14" s="37" t="s">
        <v>193</v>
      </c>
      <c r="C14" s="1" t="s">
        <v>107</v>
      </c>
      <c r="D14" s="5">
        <v>45474</v>
      </c>
      <c r="E14" s="5">
        <v>45292</v>
      </c>
      <c r="F14" s="5">
        <v>45657</v>
      </c>
      <c r="G14" s="1">
        <v>155</v>
      </c>
      <c r="H14" s="1">
        <v>366</v>
      </c>
      <c r="I14" s="154">
        <v>56730</v>
      </c>
      <c r="J14" s="154">
        <v>50989</v>
      </c>
      <c r="K14" s="4">
        <f t="shared" si="3"/>
        <v>56730</v>
      </c>
      <c r="L14" s="4">
        <f t="shared" si="4"/>
        <v>50989</v>
      </c>
      <c r="M14" s="154">
        <v>17609701</v>
      </c>
      <c r="N14" s="154">
        <v>16000</v>
      </c>
      <c r="O14" s="154">
        <v>430829</v>
      </c>
      <c r="P14" s="4">
        <f t="shared" si="7"/>
        <v>20520530</v>
      </c>
      <c r="Q14" s="4">
        <f t="shared" si="8"/>
        <v>20520530</v>
      </c>
      <c r="R14" s="4">
        <f t="shared" si="9"/>
        <v>132391</v>
      </c>
      <c r="S14" s="4">
        <f t="shared" si="5"/>
        <v>1641648</v>
      </c>
      <c r="T14" s="155">
        <f>IF(ISNA(VLOOKUP(A14&amp;F14,'Days Exceptions'!$C$2:$I$3,7,FALSE)),ROUND(MAX(K14*Min_Occ,L14),0),VLOOKUP(A14&amp;F14,'Days Exceptions'!$C$2:$I$3,7,FALSE))</f>
        <v>50989</v>
      </c>
      <c r="U14" s="6">
        <f t="shared" si="6"/>
        <v>32.200000000000003</v>
      </c>
      <c r="V14" s="154" t="s">
        <v>540</v>
      </c>
      <c r="W14" s="136"/>
      <c r="X14" s="37"/>
      <c r="Y14" s="37"/>
      <c r="Z14" s="37"/>
      <c r="AA14" s="37"/>
      <c r="AB14" s="37"/>
      <c r="AC14" s="37"/>
      <c r="AD14" s="82"/>
    </row>
    <row r="15" spans="1:30" x14ac:dyDescent="0.15">
      <c r="A15" s="130">
        <v>164</v>
      </c>
      <c r="B15" s="37" t="s">
        <v>712</v>
      </c>
      <c r="C15" s="1" t="s">
        <v>119</v>
      </c>
      <c r="D15" s="5">
        <v>45474</v>
      </c>
      <c r="E15" s="5">
        <v>45292</v>
      </c>
      <c r="F15" s="5">
        <v>45657</v>
      </c>
      <c r="G15" s="1">
        <v>74</v>
      </c>
      <c r="H15" s="1">
        <v>366</v>
      </c>
      <c r="I15" s="154">
        <v>27084</v>
      </c>
      <c r="J15" s="154">
        <v>24804</v>
      </c>
      <c r="K15" s="4">
        <f t="shared" si="3"/>
        <v>27084</v>
      </c>
      <c r="L15" s="4">
        <f t="shared" si="4"/>
        <v>24804</v>
      </c>
      <c r="M15" s="154">
        <v>8968025</v>
      </c>
      <c r="N15" s="154">
        <v>35500</v>
      </c>
      <c r="O15" s="154">
        <v>173360</v>
      </c>
      <c r="P15" s="4">
        <f t="shared" si="7"/>
        <v>11768385</v>
      </c>
      <c r="Q15" s="4">
        <f t="shared" si="8"/>
        <v>11768385</v>
      </c>
      <c r="R15" s="4">
        <f t="shared" si="9"/>
        <v>159032</v>
      </c>
      <c r="S15" s="4">
        <f t="shared" si="5"/>
        <v>941469</v>
      </c>
      <c r="T15" s="155">
        <f>IF(ISNA(VLOOKUP(A15&amp;F15,'Days Exceptions'!$C$2:$I$3,7,FALSE)),ROUND(MAX(K15*Min_Occ,L15),0),VLOOKUP(A15&amp;F15,'Days Exceptions'!$C$2:$I$3,7,FALSE))</f>
        <v>24804</v>
      </c>
      <c r="U15" s="6">
        <f t="shared" si="6"/>
        <v>37.96</v>
      </c>
      <c r="V15" s="154" t="s">
        <v>540</v>
      </c>
      <c r="W15" s="136"/>
      <c r="X15" s="37"/>
      <c r="Y15" s="37"/>
      <c r="Z15" s="37"/>
      <c r="AA15" s="37"/>
      <c r="AB15" s="37"/>
      <c r="AC15" s="37"/>
      <c r="AD15" s="82"/>
    </row>
    <row r="16" spans="1:30" x14ac:dyDescent="0.15">
      <c r="A16" s="130">
        <v>176</v>
      </c>
      <c r="B16" s="37" t="s">
        <v>845</v>
      </c>
      <c r="C16" s="1" t="s">
        <v>105</v>
      </c>
      <c r="D16" s="5">
        <v>45474</v>
      </c>
      <c r="E16" s="5">
        <v>45292</v>
      </c>
      <c r="F16" s="5">
        <v>45657</v>
      </c>
      <c r="G16" s="1">
        <v>132</v>
      </c>
      <c r="H16" s="1">
        <v>366</v>
      </c>
      <c r="I16" s="154">
        <v>48312</v>
      </c>
      <c r="J16" s="154">
        <v>39179</v>
      </c>
      <c r="K16" s="4">
        <f t="shared" si="3"/>
        <v>48312</v>
      </c>
      <c r="L16" s="4">
        <f t="shared" si="4"/>
        <v>39179</v>
      </c>
      <c r="M16" s="154">
        <v>12331989</v>
      </c>
      <c r="N16" s="154">
        <v>13000</v>
      </c>
      <c r="O16" s="154">
        <v>225363</v>
      </c>
      <c r="P16" s="4">
        <f t="shared" si="7"/>
        <v>14273352</v>
      </c>
      <c r="Q16" s="4">
        <f t="shared" si="8"/>
        <v>14273352</v>
      </c>
      <c r="R16" s="4">
        <f t="shared" si="9"/>
        <v>108131</v>
      </c>
      <c r="S16" s="4">
        <f t="shared" si="5"/>
        <v>1141863</v>
      </c>
      <c r="T16" s="155">
        <f>IF(ISNA(VLOOKUP(A16&amp;F16,'Days Exceptions'!$C$2:$I$3,7,FALSE)),ROUND(MAX(K16*Min_Occ,L16),0),VLOOKUP(A16&amp;F16,'Days Exceptions'!$C$2:$I$3,7,FALSE))</f>
        <v>39389</v>
      </c>
      <c r="U16" s="6">
        <f t="shared" si="6"/>
        <v>28.99</v>
      </c>
      <c r="V16" s="154" t="s">
        <v>540</v>
      </c>
      <c r="W16" s="136"/>
      <c r="X16" s="37"/>
      <c r="Y16" s="37"/>
      <c r="Z16" s="37"/>
      <c r="AA16" s="37"/>
      <c r="AB16" s="37"/>
      <c r="AC16" s="37"/>
      <c r="AD16" s="82"/>
    </row>
    <row r="17" spans="1:30" x14ac:dyDescent="0.15">
      <c r="A17" s="130">
        <v>194</v>
      </c>
      <c r="B17" s="37" t="s">
        <v>187</v>
      </c>
      <c r="C17" s="1" t="s">
        <v>102</v>
      </c>
      <c r="D17" s="5">
        <v>45474</v>
      </c>
      <c r="E17" s="5">
        <v>45292</v>
      </c>
      <c r="F17" s="5">
        <v>45657</v>
      </c>
      <c r="G17" s="1">
        <v>148</v>
      </c>
      <c r="H17" s="1">
        <v>366</v>
      </c>
      <c r="I17" s="154">
        <v>54168</v>
      </c>
      <c r="J17" s="154">
        <v>48213</v>
      </c>
      <c r="K17" s="4">
        <f t="shared" si="3"/>
        <v>54168</v>
      </c>
      <c r="L17" s="4">
        <f t="shared" si="4"/>
        <v>48213</v>
      </c>
      <c r="M17" s="154">
        <v>16130210</v>
      </c>
      <c r="N17" s="154">
        <v>13000</v>
      </c>
      <c r="O17" s="154">
        <v>344255</v>
      </c>
      <c r="P17" s="4">
        <f t="shared" si="7"/>
        <v>18398465</v>
      </c>
      <c r="Q17" s="4">
        <f t="shared" si="8"/>
        <v>18398465</v>
      </c>
      <c r="R17" s="4">
        <f t="shared" si="9"/>
        <v>124314</v>
      </c>
      <c r="S17" s="4">
        <f t="shared" si="5"/>
        <v>1839847</v>
      </c>
      <c r="T17" s="155">
        <f>IF(ISNA(VLOOKUP(A17&amp;F17,'Days Exceptions'!$C$2:$I$3,7,FALSE)),ROUND(MAX(K17*Min_Occ,L17),0),VLOOKUP(A17&amp;F17,'Days Exceptions'!$C$2:$I$3,7,FALSE))</f>
        <v>48213</v>
      </c>
      <c r="U17" s="6">
        <f t="shared" si="6"/>
        <v>38.159999999999997</v>
      </c>
      <c r="V17" s="154" t="s">
        <v>540</v>
      </c>
      <c r="W17" s="136"/>
      <c r="X17" s="37"/>
      <c r="Y17" s="37"/>
      <c r="Z17" s="37"/>
      <c r="AA17" s="37"/>
      <c r="AB17" s="37"/>
      <c r="AC17" s="37"/>
      <c r="AD17" s="82"/>
    </row>
    <row r="18" spans="1:30" x14ac:dyDescent="0.15">
      <c r="A18" s="130">
        <v>232</v>
      </c>
      <c r="B18" s="37" t="s">
        <v>600</v>
      </c>
      <c r="C18" s="1" t="s">
        <v>107</v>
      </c>
      <c r="D18" s="5">
        <v>45474</v>
      </c>
      <c r="E18" s="5">
        <v>45292</v>
      </c>
      <c r="F18" s="5">
        <v>45657</v>
      </c>
      <c r="G18" s="1">
        <v>177</v>
      </c>
      <c r="H18" s="1">
        <v>366</v>
      </c>
      <c r="I18" s="154">
        <v>64782</v>
      </c>
      <c r="J18" s="154">
        <v>53933</v>
      </c>
      <c r="K18" s="4">
        <f t="shared" si="3"/>
        <v>64782</v>
      </c>
      <c r="L18" s="4">
        <f t="shared" si="4"/>
        <v>53933</v>
      </c>
      <c r="M18" s="154">
        <v>12306103</v>
      </c>
      <c r="N18" s="154">
        <v>16000</v>
      </c>
      <c r="O18" s="154">
        <v>353591</v>
      </c>
      <c r="P18" s="4">
        <f t="shared" si="7"/>
        <v>15491694</v>
      </c>
      <c r="Q18" s="4">
        <f t="shared" si="8"/>
        <v>15491694</v>
      </c>
      <c r="R18" s="4">
        <f t="shared" si="9"/>
        <v>87524</v>
      </c>
      <c r="S18" s="4">
        <f t="shared" si="5"/>
        <v>1239340</v>
      </c>
      <c r="T18" s="155">
        <f>IF(ISNA(VLOOKUP(A18&amp;F18,'Days Exceptions'!$C$2:$I$3,7,FALSE)),ROUND(MAX(K18*Min_Occ,L18),0),VLOOKUP(A18&amp;F18,'Days Exceptions'!$C$2:$I$3,7,FALSE))</f>
        <v>53933</v>
      </c>
      <c r="U18" s="6">
        <f t="shared" si="6"/>
        <v>22.98</v>
      </c>
      <c r="V18" s="154" t="s">
        <v>540</v>
      </c>
      <c r="W18" s="136"/>
      <c r="X18" s="37"/>
      <c r="Y18" s="37"/>
      <c r="Z18" s="37"/>
      <c r="AA18" s="37"/>
      <c r="AB18" s="37"/>
      <c r="AC18" s="37"/>
      <c r="AD18" s="82"/>
    </row>
    <row r="19" spans="1:30" x14ac:dyDescent="0.15">
      <c r="A19" s="130">
        <v>236</v>
      </c>
      <c r="B19" s="37" t="s">
        <v>689</v>
      </c>
      <c r="C19" s="1" t="s">
        <v>120</v>
      </c>
      <c r="D19" s="5">
        <v>45474</v>
      </c>
      <c r="E19" s="5">
        <v>45292</v>
      </c>
      <c r="F19" s="5">
        <v>45657</v>
      </c>
      <c r="G19" s="1">
        <v>66</v>
      </c>
      <c r="H19" s="1">
        <v>366</v>
      </c>
      <c r="I19" s="154">
        <v>24156</v>
      </c>
      <c r="J19" s="154">
        <v>21757</v>
      </c>
      <c r="K19" s="4">
        <f t="shared" si="3"/>
        <v>24156</v>
      </c>
      <c r="L19" s="4">
        <f t="shared" si="4"/>
        <v>21757</v>
      </c>
      <c r="M19" s="154">
        <v>9974094</v>
      </c>
      <c r="N19" s="154">
        <v>27000</v>
      </c>
      <c r="O19" s="154">
        <v>235848</v>
      </c>
      <c r="P19" s="4">
        <f t="shared" si="7"/>
        <v>11991942</v>
      </c>
      <c r="Q19" s="4">
        <f t="shared" si="8"/>
        <v>11991942</v>
      </c>
      <c r="R19" s="4">
        <f t="shared" si="9"/>
        <v>181696</v>
      </c>
      <c r="S19" s="4">
        <f t="shared" si="5"/>
        <v>869811</v>
      </c>
      <c r="T19" s="155">
        <f>IF(ISNA(VLOOKUP(A19&amp;F19,'Days Exceptions'!$C$2:$I$3,7,FALSE)),ROUND(MAX(K19*Min_Occ,L19),0),VLOOKUP(A19&amp;F19,'Days Exceptions'!$C$2:$I$3,7,FALSE))</f>
        <v>21757</v>
      </c>
      <c r="U19" s="6">
        <f t="shared" si="6"/>
        <v>39.979999999999997</v>
      </c>
      <c r="V19" s="154" t="s">
        <v>540</v>
      </c>
      <c r="W19" s="136"/>
      <c r="X19" s="37"/>
      <c r="Y19" s="37"/>
      <c r="Z19" s="37"/>
      <c r="AA19" s="37"/>
      <c r="AB19" s="37"/>
      <c r="AC19" s="37"/>
      <c r="AD19" s="82"/>
    </row>
    <row r="20" spans="1:30" x14ac:dyDescent="0.15">
      <c r="A20" s="130">
        <v>240</v>
      </c>
      <c r="B20" s="37" t="s">
        <v>641</v>
      </c>
      <c r="C20" s="1" t="s">
        <v>119</v>
      </c>
      <c r="D20" s="5">
        <v>45474</v>
      </c>
      <c r="E20" s="5">
        <v>45292</v>
      </c>
      <c r="F20" s="5">
        <v>45657</v>
      </c>
      <c r="G20" s="1">
        <v>150</v>
      </c>
      <c r="H20" s="1">
        <v>366</v>
      </c>
      <c r="I20" s="154">
        <v>54900</v>
      </c>
      <c r="J20" s="154">
        <v>47885</v>
      </c>
      <c r="K20" s="4">
        <f t="shared" si="3"/>
        <v>54900</v>
      </c>
      <c r="L20" s="4">
        <f t="shared" si="4"/>
        <v>47885</v>
      </c>
      <c r="M20" s="154">
        <v>19158560</v>
      </c>
      <c r="N20" s="154">
        <v>47000</v>
      </c>
      <c r="O20" s="154">
        <v>308001</v>
      </c>
      <c r="P20" s="4">
        <f t="shared" si="7"/>
        <v>26516561</v>
      </c>
      <c r="Q20" s="4">
        <f t="shared" si="8"/>
        <v>26516561</v>
      </c>
      <c r="R20" s="4">
        <f t="shared" si="9"/>
        <v>176777</v>
      </c>
      <c r="S20" s="4">
        <f t="shared" si="5"/>
        <v>1976844</v>
      </c>
      <c r="T20" s="155">
        <f>IF(ISNA(VLOOKUP(A20&amp;F20,'Days Exceptions'!$C$2:$I$3,7,FALSE)),ROUND(MAX(K20*Min_Occ,L20),0),VLOOKUP(A20&amp;F20,'Days Exceptions'!$C$2:$I$3,7,FALSE))</f>
        <v>47885</v>
      </c>
      <c r="U20" s="6">
        <f t="shared" si="6"/>
        <v>41.28</v>
      </c>
      <c r="V20" s="154" t="s">
        <v>540</v>
      </c>
      <c r="W20" s="136"/>
      <c r="X20" s="37"/>
      <c r="Y20" s="37"/>
      <c r="Z20" s="37"/>
      <c r="AA20" s="37"/>
      <c r="AB20" s="37"/>
      <c r="AC20" s="37"/>
      <c r="AD20" s="82"/>
    </row>
    <row r="21" spans="1:30" x14ac:dyDescent="0.15">
      <c r="A21" s="130">
        <v>246</v>
      </c>
      <c r="B21" s="37" t="s">
        <v>553</v>
      </c>
      <c r="C21" s="1" t="s">
        <v>102</v>
      </c>
      <c r="D21" s="5">
        <v>45474</v>
      </c>
      <c r="E21" s="5">
        <v>45292</v>
      </c>
      <c r="F21" s="5">
        <v>45657</v>
      </c>
      <c r="G21" s="1">
        <v>112</v>
      </c>
      <c r="H21" s="1">
        <v>366</v>
      </c>
      <c r="I21" s="154">
        <v>40992</v>
      </c>
      <c r="J21" s="154">
        <v>35856</v>
      </c>
      <c r="K21" s="4">
        <f t="shared" si="3"/>
        <v>40992</v>
      </c>
      <c r="L21" s="4">
        <f t="shared" si="4"/>
        <v>35856</v>
      </c>
      <c r="M21" s="154">
        <v>9981740</v>
      </c>
      <c r="N21" s="154">
        <v>16500</v>
      </c>
      <c r="O21" s="154">
        <v>113402</v>
      </c>
      <c r="P21" s="4">
        <f t="shared" si="7"/>
        <v>11943142</v>
      </c>
      <c r="Q21" s="4">
        <f t="shared" si="8"/>
        <v>11943142</v>
      </c>
      <c r="R21" s="4">
        <f t="shared" si="9"/>
        <v>106635</v>
      </c>
      <c r="S21" s="4">
        <f t="shared" si="5"/>
        <v>1194312</v>
      </c>
      <c r="T21" s="155">
        <f>IF(ISNA(VLOOKUP(A21&amp;F21,'Days Exceptions'!$C$2:$I$3,7,FALSE)),ROUND(MAX(K21*Min_Occ,L21),0),VLOOKUP(A21&amp;F21,'Days Exceptions'!$C$2:$I$3,7,FALSE))</f>
        <v>35856</v>
      </c>
      <c r="U21" s="6">
        <f t="shared" si="6"/>
        <v>33.31</v>
      </c>
      <c r="V21" s="154" t="s">
        <v>540</v>
      </c>
      <c r="W21" s="136"/>
      <c r="X21" s="37"/>
      <c r="Y21" s="37"/>
      <c r="Z21" s="37"/>
      <c r="AA21" s="37"/>
      <c r="AB21" s="37"/>
      <c r="AC21" s="37"/>
      <c r="AD21" s="82"/>
    </row>
    <row r="22" spans="1:30" x14ac:dyDescent="0.15">
      <c r="A22" s="130">
        <v>260</v>
      </c>
      <c r="B22" s="37" t="s">
        <v>562</v>
      </c>
      <c r="C22" s="1" t="s">
        <v>106</v>
      </c>
      <c r="D22" s="5">
        <v>45474</v>
      </c>
      <c r="E22" s="5">
        <v>45292</v>
      </c>
      <c r="F22" s="5">
        <v>45657</v>
      </c>
      <c r="G22" s="1">
        <v>110</v>
      </c>
      <c r="H22" s="1">
        <v>366</v>
      </c>
      <c r="I22" s="154">
        <v>40260</v>
      </c>
      <c r="J22" s="154">
        <v>37092</v>
      </c>
      <c r="K22" s="4">
        <f t="shared" si="3"/>
        <v>40260</v>
      </c>
      <c r="L22" s="4">
        <f t="shared" si="4"/>
        <v>37092</v>
      </c>
      <c r="M22" s="154">
        <v>20796482</v>
      </c>
      <c r="N22" s="154">
        <v>34500</v>
      </c>
      <c r="O22" s="154">
        <v>327436</v>
      </c>
      <c r="P22" s="4">
        <f t="shared" si="7"/>
        <v>24918918</v>
      </c>
      <c r="Q22" s="4">
        <f t="shared" si="8"/>
        <v>24918918</v>
      </c>
      <c r="R22" s="4">
        <f t="shared" si="9"/>
        <v>226536</v>
      </c>
      <c r="S22" s="4">
        <f t="shared" si="5"/>
        <v>1449686</v>
      </c>
      <c r="T22" s="155">
        <f>IF(ISNA(VLOOKUP(A22&amp;F22,'Days Exceptions'!$C$2:$I$3,7,FALSE)),ROUND(MAX(K22*Min_Occ,L22),0),VLOOKUP(A22&amp;F22,'Days Exceptions'!$C$2:$I$3,7,FALSE))</f>
        <v>37092</v>
      </c>
      <c r="U22" s="6">
        <f t="shared" si="6"/>
        <v>39.08</v>
      </c>
      <c r="V22" s="154" t="s">
        <v>540</v>
      </c>
      <c r="W22" s="136"/>
      <c r="X22" s="37"/>
      <c r="Y22" s="37"/>
      <c r="Z22" s="37"/>
      <c r="AA22" s="37"/>
      <c r="AB22" s="37"/>
      <c r="AC22" s="37"/>
      <c r="AD22" s="82"/>
    </row>
    <row r="23" spans="1:30" x14ac:dyDescent="0.15">
      <c r="A23" s="130">
        <v>270</v>
      </c>
      <c r="B23" s="37" t="s">
        <v>38</v>
      </c>
      <c r="C23" s="1" t="s">
        <v>102</v>
      </c>
      <c r="D23" s="5">
        <v>45474</v>
      </c>
      <c r="E23" s="5">
        <v>45108</v>
      </c>
      <c r="F23" s="5">
        <v>45473</v>
      </c>
      <c r="G23" s="1">
        <v>210</v>
      </c>
      <c r="H23" s="1">
        <v>366</v>
      </c>
      <c r="I23" s="154">
        <v>76860</v>
      </c>
      <c r="J23" s="154">
        <v>66850</v>
      </c>
      <c r="K23" s="4">
        <f t="shared" si="3"/>
        <v>76860</v>
      </c>
      <c r="L23" s="4">
        <f t="shared" si="4"/>
        <v>66850</v>
      </c>
      <c r="M23" s="154">
        <v>37024547</v>
      </c>
      <c r="N23" s="154">
        <v>32000</v>
      </c>
      <c r="O23" s="154">
        <v>612771</v>
      </c>
      <c r="P23" s="4">
        <f t="shared" si="7"/>
        <v>44357318</v>
      </c>
      <c r="Q23" s="4">
        <f t="shared" si="8"/>
        <v>44357318</v>
      </c>
      <c r="R23" s="4">
        <f t="shared" si="9"/>
        <v>211225</v>
      </c>
      <c r="S23" s="4">
        <f t="shared" si="5"/>
        <v>3459477</v>
      </c>
      <c r="T23" s="155">
        <f>IF(ISNA(VLOOKUP(A23&amp;F23,'Days Exceptions'!$C$2:$I$3,7,FALSE)),ROUND(MAX(K23*Min_Occ,L23),0),VLOOKUP(A23&amp;F23,'Days Exceptions'!$C$2:$I$3,7,FALSE))</f>
        <v>66850</v>
      </c>
      <c r="U23" s="6">
        <f t="shared" si="6"/>
        <v>51.75</v>
      </c>
      <c r="V23" s="154" t="s">
        <v>540</v>
      </c>
      <c r="W23" s="136"/>
      <c r="X23" s="37"/>
      <c r="Y23" s="37"/>
      <c r="Z23" s="37"/>
      <c r="AA23" s="37"/>
      <c r="AB23" s="37"/>
      <c r="AC23" s="37"/>
      <c r="AD23" s="82"/>
    </row>
    <row r="24" spans="1:30" x14ac:dyDescent="0.15">
      <c r="A24" s="130">
        <v>274</v>
      </c>
      <c r="B24" s="37" t="s">
        <v>818</v>
      </c>
      <c r="C24" s="1" t="s">
        <v>105</v>
      </c>
      <c r="D24" s="5">
        <v>45474</v>
      </c>
      <c r="E24" s="5">
        <v>45566</v>
      </c>
      <c r="F24" s="5">
        <v>45657</v>
      </c>
      <c r="G24" s="1">
        <v>101</v>
      </c>
      <c r="H24" s="1">
        <v>92</v>
      </c>
      <c r="I24" s="154">
        <v>9292</v>
      </c>
      <c r="J24" s="154">
        <v>6995</v>
      </c>
      <c r="K24" s="4">
        <f t="shared" si="3"/>
        <v>36865</v>
      </c>
      <c r="L24" s="4">
        <f t="shared" si="4"/>
        <v>27752</v>
      </c>
      <c r="M24" s="154">
        <v>8108794</v>
      </c>
      <c r="N24" s="154">
        <v>12500</v>
      </c>
      <c r="O24" s="154">
        <v>153413</v>
      </c>
      <c r="P24" s="4">
        <f t="shared" si="7"/>
        <v>9524707</v>
      </c>
      <c r="Q24" s="4">
        <f t="shared" si="8"/>
        <v>9524707</v>
      </c>
      <c r="R24" s="4">
        <f t="shared" si="9"/>
        <v>94304</v>
      </c>
      <c r="S24" s="4">
        <f t="shared" si="5"/>
        <v>761976</v>
      </c>
      <c r="T24" s="155">
        <f>IF(ISNA(VLOOKUP(A24&amp;F24,'Days Exceptions'!$C$2:$I$3,7,FALSE)),ROUND(MAX(K24*Min_Occ,L24),0),VLOOKUP(A24&amp;F24,'Days Exceptions'!$C$2:$I$3,7,FALSE))</f>
        <v>30056</v>
      </c>
      <c r="U24" s="6">
        <f t="shared" si="6"/>
        <v>25.35</v>
      </c>
      <c r="V24" s="154" t="s">
        <v>540</v>
      </c>
      <c r="W24" s="136"/>
      <c r="X24" s="37"/>
      <c r="Y24" s="37"/>
      <c r="Z24" s="37"/>
      <c r="AA24" s="37"/>
      <c r="AB24" s="37"/>
      <c r="AC24" s="37"/>
      <c r="AD24" s="82"/>
    </row>
    <row r="25" spans="1:30" x14ac:dyDescent="0.15">
      <c r="A25" s="130">
        <v>278</v>
      </c>
      <c r="B25" s="37" t="s">
        <v>583</v>
      </c>
      <c r="C25" s="1" t="s">
        <v>107</v>
      </c>
      <c r="D25" s="5">
        <v>45474</v>
      </c>
      <c r="E25" s="5">
        <v>45292</v>
      </c>
      <c r="F25" s="5">
        <v>45657</v>
      </c>
      <c r="G25" s="1">
        <v>113</v>
      </c>
      <c r="H25" s="1">
        <v>366</v>
      </c>
      <c r="I25" s="154">
        <v>41358</v>
      </c>
      <c r="J25" s="154">
        <v>38361</v>
      </c>
      <c r="K25" s="4">
        <f t="shared" si="3"/>
        <v>41358</v>
      </c>
      <c r="L25" s="4">
        <f t="shared" si="4"/>
        <v>38361</v>
      </c>
      <c r="M25" s="154">
        <v>8737606</v>
      </c>
      <c r="N25" s="154">
        <v>16500</v>
      </c>
      <c r="O25" s="154">
        <v>136879</v>
      </c>
      <c r="P25" s="4">
        <f t="shared" si="7"/>
        <v>10738985</v>
      </c>
      <c r="Q25" s="4">
        <f t="shared" si="8"/>
        <v>10738985</v>
      </c>
      <c r="R25" s="4">
        <f t="shared" si="9"/>
        <v>95035</v>
      </c>
      <c r="S25" s="4">
        <f t="shared" si="5"/>
        <v>859116</v>
      </c>
      <c r="T25" s="155">
        <f>IF(ISNA(VLOOKUP(A25&amp;F25,'Days Exceptions'!$C$2:$I$3,7,FALSE)),ROUND(MAX(K25*Min_Occ,L25),0),VLOOKUP(A25&amp;F25,'Days Exceptions'!$C$2:$I$3,7,FALSE))</f>
        <v>38361</v>
      </c>
      <c r="U25" s="6">
        <f t="shared" si="6"/>
        <v>22.4</v>
      </c>
      <c r="V25" s="154" t="s">
        <v>540</v>
      </c>
      <c r="W25" s="136"/>
      <c r="X25" s="37"/>
      <c r="Y25" s="37"/>
      <c r="Z25" s="37"/>
      <c r="AA25" s="37"/>
      <c r="AB25" s="37"/>
      <c r="AC25" s="37"/>
      <c r="AD25" s="82"/>
    </row>
    <row r="26" spans="1:30" x14ac:dyDescent="0.15">
      <c r="A26" s="130">
        <v>288</v>
      </c>
      <c r="B26" s="37" t="s">
        <v>479</v>
      </c>
      <c r="C26" s="1" t="s">
        <v>116</v>
      </c>
      <c r="D26" s="5">
        <v>45474</v>
      </c>
      <c r="E26" s="5">
        <v>45292</v>
      </c>
      <c r="F26" s="5">
        <v>45657</v>
      </c>
      <c r="G26" s="1">
        <v>127</v>
      </c>
      <c r="H26" s="1">
        <v>366</v>
      </c>
      <c r="I26" s="154">
        <v>46482</v>
      </c>
      <c r="J26" s="154">
        <v>39815</v>
      </c>
      <c r="K26" s="4">
        <f t="shared" si="3"/>
        <v>46482</v>
      </c>
      <c r="L26" s="4">
        <f t="shared" si="4"/>
        <v>39815</v>
      </c>
      <c r="M26" s="154">
        <v>15146818</v>
      </c>
      <c r="N26" s="154">
        <v>16500</v>
      </c>
      <c r="O26" s="154">
        <v>344282</v>
      </c>
      <c r="P26" s="4">
        <f t="shared" si="7"/>
        <v>17586600</v>
      </c>
      <c r="Q26" s="4">
        <f t="shared" si="8"/>
        <v>17586600</v>
      </c>
      <c r="R26" s="4">
        <f t="shared" si="9"/>
        <v>138477</v>
      </c>
      <c r="S26" s="4">
        <f t="shared" si="5"/>
        <v>1406926</v>
      </c>
      <c r="T26" s="155">
        <f>IF(ISNA(VLOOKUP(A26&amp;F26,'Days Exceptions'!$C$2:$I$3,7,FALSE)),ROUND(MAX(K26*Min_Occ,L26),0),VLOOKUP(A26&amp;F26,'Days Exceptions'!$C$2:$I$3,7,FALSE))</f>
        <v>39815</v>
      </c>
      <c r="U26" s="6">
        <f t="shared" si="6"/>
        <v>35.340000000000003</v>
      </c>
      <c r="V26" s="154" t="s">
        <v>540</v>
      </c>
      <c r="W26" s="136"/>
      <c r="X26" s="37"/>
      <c r="Y26" s="37"/>
      <c r="Z26" s="37"/>
      <c r="AA26" s="37"/>
      <c r="AB26" s="37"/>
      <c r="AC26" s="37"/>
      <c r="AD26" s="82"/>
    </row>
    <row r="27" spans="1:30" x14ac:dyDescent="0.15">
      <c r="A27" s="130">
        <v>296</v>
      </c>
      <c r="B27" s="37" t="s">
        <v>189</v>
      </c>
      <c r="C27" s="1" t="s">
        <v>110</v>
      </c>
      <c r="D27" s="5">
        <v>45474</v>
      </c>
      <c r="E27" s="5">
        <v>45292</v>
      </c>
      <c r="F27" s="5">
        <v>45657</v>
      </c>
      <c r="G27" s="1">
        <v>63</v>
      </c>
      <c r="H27" s="1">
        <v>366</v>
      </c>
      <c r="I27" s="154">
        <v>23058</v>
      </c>
      <c r="J27" s="154">
        <v>19929</v>
      </c>
      <c r="K27" s="4">
        <f t="shared" si="3"/>
        <v>23058</v>
      </c>
      <c r="L27" s="4">
        <f t="shared" si="4"/>
        <v>19929</v>
      </c>
      <c r="M27" s="154">
        <v>9646804</v>
      </c>
      <c r="N27" s="154">
        <v>14000</v>
      </c>
      <c r="O27" s="154">
        <v>206771</v>
      </c>
      <c r="P27" s="4">
        <f t="shared" si="7"/>
        <v>10735575</v>
      </c>
      <c r="Q27" s="4">
        <f t="shared" si="8"/>
        <v>10735575</v>
      </c>
      <c r="R27" s="4">
        <f t="shared" si="9"/>
        <v>170406</v>
      </c>
      <c r="S27" s="4">
        <f t="shared" si="5"/>
        <v>830274</v>
      </c>
      <c r="T27" s="155">
        <f>IF(ISNA(VLOOKUP(A27&amp;F27,'Days Exceptions'!$C$2:$I$3,7,FALSE)),ROUND(MAX(K27*Min_Occ,L27),0),VLOOKUP(A27&amp;F27,'Days Exceptions'!$C$2:$I$3,7,FALSE))</f>
        <v>19929</v>
      </c>
      <c r="U27" s="6">
        <f t="shared" si="6"/>
        <v>41.66</v>
      </c>
      <c r="V27" s="154" t="s">
        <v>540</v>
      </c>
      <c r="W27" s="136"/>
      <c r="X27" s="37"/>
      <c r="Y27" s="37"/>
      <c r="Z27" s="37"/>
      <c r="AA27" s="37"/>
      <c r="AB27" s="37"/>
      <c r="AC27" s="37"/>
      <c r="AD27" s="82"/>
    </row>
    <row r="28" spans="1:30" x14ac:dyDescent="0.15">
      <c r="A28" s="130">
        <v>298</v>
      </c>
      <c r="B28" s="37" t="s">
        <v>345</v>
      </c>
      <c r="C28" s="1" t="s">
        <v>120</v>
      </c>
      <c r="D28" s="5">
        <v>45474</v>
      </c>
      <c r="E28" s="5">
        <v>45200</v>
      </c>
      <c r="F28" s="5">
        <v>45565</v>
      </c>
      <c r="G28" s="1">
        <v>130</v>
      </c>
      <c r="H28" s="1">
        <v>366</v>
      </c>
      <c r="I28" s="154">
        <v>47580</v>
      </c>
      <c r="J28" s="154">
        <v>46519</v>
      </c>
      <c r="K28" s="4">
        <f t="shared" si="3"/>
        <v>47580</v>
      </c>
      <c r="L28" s="4">
        <f t="shared" si="4"/>
        <v>46519</v>
      </c>
      <c r="M28" s="154">
        <v>21459135</v>
      </c>
      <c r="N28" s="154">
        <v>33500</v>
      </c>
      <c r="O28" s="154">
        <v>360665</v>
      </c>
      <c r="P28" s="4">
        <f t="shared" si="7"/>
        <v>26174800</v>
      </c>
      <c r="Q28" s="4">
        <f t="shared" si="8"/>
        <v>26174800</v>
      </c>
      <c r="R28" s="4">
        <f t="shared" si="9"/>
        <v>201345</v>
      </c>
      <c r="S28" s="4">
        <f t="shared" si="5"/>
        <v>1713265</v>
      </c>
      <c r="T28" s="155">
        <f>IF(ISNA(VLOOKUP(A28&amp;F28,'Days Exceptions'!$C$2:$I$3,7,FALSE)),ROUND(MAX(K28*Min_Occ,L28),0),VLOOKUP(A28&amp;F28,'Days Exceptions'!$C$2:$I$3,7,FALSE))</f>
        <v>46519</v>
      </c>
      <c r="U28" s="6">
        <f t="shared" si="6"/>
        <v>36.83</v>
      </c>
      <c r="V28" s="154" t="s">
        <v>540</v>
      </c>
      <c r="W28" s="136"/>
      <c r="X28" s="37"/>
      <c r="Y28" s="37"/>
      <c r="Z28" s="37"/>
      <c r="AA28" s="37"/>
      <c r="AB28" s="37"/>
      <c r="AC28" s="37"/>
      <c r="AD28" s="82"/>
    </row>
    <row r="29" spans="1:30" x14ac:dyDescent="0.15">
      <c r="A29" s="130">
        <v>304</v>
      </c>
      <c r="B29" s="37" t="s">
        <v>699</v>
      </c>
      <c r="C29" s="1" t="s">
        <v>119</v>
      </c>
      <c r="D29" s="5">
        <v>45474</v>
      </c>
      <c r="E29" s="5">
        <v>45292</v>
      </c>
      <c r="F29" s="5">
        <v>45657</v>
      </c>
      <c r="G29" s="1">
        <v>110</v>
      </c>
      <c r="H29" s="1">
        <v>366</v>
      </c>
      <c r="I29" s="154">
        <v>40260</v>
      </c>
      <c r="J29" s="154">
        <v>37044</v>
      </c>
      <c r="K29" s="4">
        <f t="shared" si="3"/>
        <v>40260</v>
      </c>
      <c r="L29" s="4">
        <f t="shared" si="4"/>
        <v>37044</v>
      </c>
      <c r="M29" s="154">
        <v>12499900</v>
      </c>
      <c r="N29" s="154">
        <v>34500</v>
      </c>
      <c r="O29" s="154">
        <v>177655</v>
      </c>
      <c r="P29" s="4">
        <f t="shared" si="7"/>
        <v>16472555</v>
      </c>
      <c r="Q29" s="4">
        <f t="shared" si="8"/>
        <v>16472555</v>
      </c>
      <c r="R29" s="4">
        <f t="shared" si="9"/>
        <v>149751</v>
      </c>
      <c r="S29" s="4">
        <f t="shared" si="5"/>
        <v>1317809</v>
      </c>
      <c r="T29" s="155">
        <f>IF(ISNA(VLOOKUP(A29&amp;F29,'Days Exceptions'!$C$2:$I$3,7,FALSE)),ROUND(MAX(K29*Min_Occ,L29),0),VLOOKUP(A29&amp;F29,'Days Exceptions'!$C$2:$I$3,7,FALSE))</f>
        <v>37044</v>
      </c>
      <c r="U29" s="6">
        <f t="shared" si="6"/>
        <v>35.57</v>
      </c>
      <c r="V29" s="154" t="s">
        <v>540</v>
      </c>
      <c r="W29" s="136"/>
      <c r="X29" s="37"/>
      <c r="Y29" s="37"/>
      <c r="Z29" s="37"/>
      <c r="AA29" s="37"/>
      <c r="AB29" s="37"/>
      <c r="AC29" s="37"/>
      <c r="AD29" s="82"/>
    </row>
    <row r="30" spans="1:30" x14ac:dyDescent="0.15">
      <c r="A30" s="130">
        <v>318</v>
      </c>
      <c r="B30" s="37" t="s">
        <v>454</v>
      </c>
      <c r="C30" s="1" t="s">
        <v>107</v>
      </c>
      <c r="D30" s="5">
        <v>45474</v>
      </c>
      <c r="E30" s="5">
        <v>45292</v>
      </c>
      <c r="F30" s="5">
        <v>45657</v>
      </c>
      <c r="G30" s="1">
        <v>139</v>
      </c>
      <c r="H30" s="1">
        <v>366</v>
      </c>
      <c r="I30" s="154">
        <v>50874</v>
      </c>
      <c r="J30" s="154">
        <v>43826</v>
      </c>
      <c r="K30" s="4">
        <f t="shared" si="3"/>
        <v>50874</v>
      </c>
      <c r="L30" s="4">
        <f t="shared" si="4"/>
        <v>43826</v>
      </c>
      <c r="M30" s="154">
        <v>11203504</v>
      </c>
      <c r="N30" s="154">
        <v>26000</v>
      </c>
      <c r="O30" s="154">
        <v>493153</v>
      </c>
      <c r="P30" s="4">
        <f t="shared" si="7"/>
        <v>15310657</v>
      </c>
      <c r="Q30" s="4">
        <f t="shared" si="8"/>
        <v>15310657</v>
      </c>
      <c r="R30" s="4">
        <f t="shared" si="9"/>
        <v>110149</v>
      </c>
      <c r="S30" s="4">
        <f t="shared" si="5"/>
        <v>1224857</v>
      </c>
      <c r="T30" s="155">
        <f>IF(ISNA(VLOOKUP(A30&amp;F30,'Days Exceptions'!$C$2:$I$3,7,FALSE)),ROUND(MAX(K30*Min_Occ,L30),0),VLOOKUP(A30&amp;F30,'Days Exceptions'!$C$2:$I$3,7,FALSE))</f>
        <v>43826</v>
      </c>
      <c r="U30" s="6">
        <f t="shared" si="6"/>
        <v>27.95</v>
      </c>
      <c r="V30" s="154" t="s">
        <v>540</v>
      </c>
      <c r="W30" s="136"/>
      <c r="X30" s="37"/>
      <c r="Y30" s="37"/>
      <c r="Z30" s="37"/>
      <c r="AA30" s="37"/>
      <c r="AB30" s="37"/>
      <c r="AC30" s="37"/>
      <c r="AD30" s="82"/>
    </row>
    <row r="31" spans="1:30" x14ac:dyDescent="0.15">
      <c r="A31" s="130">
        <v>326</v>
      </c>
      <c r="B31" s="37" t="s">
        <v>456</v>
      </c>
      <c r="C31" s="1" t="s">
        <v>107</v>
      </c>
      <c r="D31" s="5">
        <v>45474</v>
      </c>
      <c r="E31" s="5">
        <v>45292</v>
      </c>
      <c r="F31" s="5">
        <v>45657</v>
      </c>
      <c r="G31" s="1">
        <v>120</v>
      </c>
      <c r="H31" s="1">
        <v>366</v>
      </c>
      <c r="I31" s="154">
        <v>43920</v>
      </c>
      <c r="J31" s="154">
        <v>42339</v>
      </c>
      <c r="K31" s="4">
        <f t="shared" si="3"/>
        <v>43920</v>
      </c>
      <c r="L31" s="4">
        <f t="shared" si="4"/>
        <v>42339</v>
      </c>
      <c r="M31" s="154">
        <v>14769654</v>
      </c>
      <c r="N31" s="154">
        <v>23500</v>
      </c>
      <c r="O31" s="154">
        <v>299699</v>
      </c>
      <c r="P31" s="4">
        <f t="shared" si="7"/>
        <v>17889353</v>
      </c>
      <c r="Q31" s="4">
        <f t="shared" si="8"/>
        <v>17889353</v>
      </c>
      <c r="R31" s="4">
        <f t="shared" si="9"/>
        <v>149078</v>
      </c>
      <c r="S31" s="4">
        <f t="shared" si="5"/>
        <v>1431149</v>
      </c>
      <c r="T31" s="155">
        <f>IF(ISNA(VLOOKUP(A31&amp;F31,'Days Exceptions'!$C$2:$I$3,7,FALSE)),ROUND(MAX(K31*Min_Occ,L31),0),VLOOKUP(A31&amp;F31,'Days Exceptions'!$C$2:$I$3,7,FALSE))</f>
        <v>42339</v>
      </c>
      <c r="U31" s="6">
        <f t="shared" si="6"/>
        <v>33.799999999999997</v>
      </c>
      <c r="V31" s="154" t="s">
        <v>540</v>
      </c>
      <c r="W31" s="136"/>
      <c r="X31" s="37"/>
      <c r="Y31" s="37"/>
      <c r="Z31" s="37"/>
      <c r="AA31" s="37"/>
      <c r="AB31" s="37"/>
      <c r="AC31" s="37"/>
      <c r="AD31" s="82"/>
    </row>
    <row r="32" spans="1:30" x14ac:dyDescent="0.15">
      <c r="A32" s="130">
        <v>336</v>
      </c>
      <c r="B32" s="37" t="s">
        <v>385</v>
      </c>
      <c r="C32" s="1" t="s">
        <v>107</v>
      </c>
      <c r="D32" s="5">
        <v>45474</v>
      </c>
      <c r="E32" s="5">
        <v>45292</v>
      </c>
      <c r="F32" s="5">
        <v>45657</v>
      </c>
      <c r="G32" s="1">
        <v>110</v>
      </c>
      <c r="H32" s="1">
        <v>366</v>
      </c>
      <c r="I32" s="154">
        <v>40260</v>
      </c>
      <c r="J32" s="154">
        <v>36673</v>
      </c>
      <c r="K32" s="4">
        <f t="shared" si="3"/>
        <v>40260</v>
      </c>
      <c r="L32" s="4">
        <f t="shared" si="4"/>
        <v>36673</v>
      </c>
      <c r="M32" s="154">
        <v>14351472</v>
      </c>
      <c r="N32" s="154">
        <v>16000</v>
      </c>
      <c r="O32" s="154">
        <v>231746</v>
      </c>
      <c r="P32" s="4">
        <f t="shared" si="7"/>
        <v>16343218</v>
      </c>
      <c r="Q32" s="4">
        <f t="shared" si="8"/>
        <v>16343218</v>
      </c>
      <c r="R32" s="4">
        <f t="shared" si="9"/>
        <v>148575</v>
      </c>
      <c r="S32" s="4">
        <f t="shared" si="5"/>
        <v>1307460</v>
      </c>
      <c r="T32" s="155">
        <f>IF(ISNA(VLOOKUP(A32&amp;F32,'Days Exceptions'!$C$2:$I$3,7,FALSE)),ROUND(MAX(K32*Min_Occ,L32),0),VLOOKUP(A32&amp;F32,'Days Exceptions'!$C$2:$I$3,7,FALSE))</f>
        <v>36673</v>
      </c>
      <c r="U32" s="6">
        <f t="shared" si="6"/>
        <v>35.65</v>
      </c>
      <c r="V32" s="154" t="s">
        <v>540</v>
      </c>
      <c r="W32" s="136"/>
      <c r="X32" s="37"/>
      <c r="Y32" s="37"/>
      <c r="Z32" s="37"/>
      <c r="AA32" s="37"/>
      <c r="AB32" s="37"/>
      <c r="AC32" s="37"/>
      <c r="AD32" s="82"/>
    </row>
    <row r="33" spans="1:30" x14ac:dyDescent="0.15">
      <c r="A33" s="130">
        <v>340</v>
      </c>
      <c r="B33" s="37" t="s">
        <v>387</v>
      </c>
      <c r="C33" s="1" t="s">
        <v>105</v>
      </c>
      <c r="D33" s="5">
        <v>45474</v>
      </c>
      <c r="E33" s="5">
        <v>45292</v>
      </c>
      <c r="F33" s="5">
        <v>45657</v>
      </c>
      <c r="G33" s="1">
        <v>120</v>
      </c>
      <c r="H33" s="1">
        <v>366</v>
      </c>
      <c r="I33" s="154">
        <v>43920</v>
      </c>
      <c r="J33" s="154">
        <v>25586</v>
      </c>
      <c r="K33" s="4">
        <f t="shared" si="3"/>
        <v>43920</v>
      </c>
      <c r="L33" s="4">
        <f t="shared" si="4"/>
        <v>25586</v>
      </c>
      <c r="M33" s="154">
        <v>13331348</v>
      </c>
      <c r="N33" s="154">
        <v>12000</v>
      </c>
      <c r="O33" s="154">
        <v>245443</v>
      </c>
      <c r="P33" s="4">
        <f t="shared" si="7"/>
        <v>15016791</v>
      </c>
      <c r="Q33" s="4">
        <f t="shared" si="8"/>
        <v>15016791</v>
      </c>
      <c r="R33" s="4">
        <f t="shared" si="9"/>
        <v>125140</v>
      </c>
      <c r="S33" s="4">
        <f t="shared" si="5"/>
        <v>1201344</v>
      </c>
      <c r="T33" s="155">
        <f>IF(ISNA(VLOOKUP(A33&amp;F33,'Days Exceptions'!$C$2:$I$3,7,FALSE)),ROUND(MAX(K33*Min_Occ,L33),0),VLOOKUP(A33&amp;F33,'Days Exceptions'!$C$2:$I$3,7,FALSE))</f>
        <v>35808</v>
      </c>
      <c r="U33" s="6">
        <f t="shared" si="6"/>
        <v>33.549999999999997</v>
      </c>
      <c r="V33" s="154" t="s">
        <v>540</v>
      </c>
      <c r="W33" s="136"/>
      <c r="X33" s="37"/>
      <c r="Y33" s="37"/>
      <c r="Z33" s="37"/>
      <c r="AA33" s="37"/>
      <c r="AB33" s="37"/>
      <c r="AC33" s="37"/>
      <c r="AD33" s="82"/>
    </row>
    <row r="34" spans="1:30" x14ac:dyDescent="0.15">
      <c r="A34" s="130">
        <v>362</v>
      </c>
      <c r="B34" s="37" t="s">
        <v>558</v>
      </c>
      <c r="C34" s="1" t="s">
        <v>107</v>
      </c>
      <c r="D34" s="5">
        <v>45474</v>
      </c>
      <c r="E34" s="5">
        <v>45292</v>
      </c>
      <c r="F34" s="5">
        <v>45657</v>
      </c>
      <c r="G34" s="1">
        <v>110</v>
      </c>
      <c r="H34" s="1">
        <v>366</v>
      </c>
      <c r="I34" s="154">
        <v>40260</v>
      </c>
      <c r="J34" s="154">
        <v>33246</v>
      </c>
      <c r="K34" s="4">
        <f t="shared" si="3"/>
        <v>40260</v>
      </c>
      <c r="L34" s="4">
        <f t="shared" si="4"/>
        <v>33246</v>
      </c>
      <c r="M34" s="154">
        <v>9111360</v>
      </c>
      <c r="N34" s="154">
        <v>16500</v>
      </c>
      <c r="O34" s="154">
        <v>153799</v>
      </c>
      <c r="P34" s="4">
        <f t="shared" si="7"/>
        <v>11080159</v>
      </c>
      <c r="Q34" s="4">
        <f t="shared" si="8"/>
        <v>11080159</v>
      </c>
      <c r="R34" s="4">
        <f t="shared" si="9"/>
        <v>100729</v>
      </c>
      <c r="S34" s="4">
        <f t="shared" si="5"/>
        <v>886415</v>
      </c>
      <c r="T34" s="155">
        <f>IF(ISNA(VLOOKUP(A34&amp;F34,'Days Exceptions'!$C$2:$I$3,7,FALSE)),ROUND(MAX(K34*Min_Occ,L34),0),VLOOKUP(A34&amp;F34,'Days Exceptions'!$C$2:$I$3,7,FALSE))</f>
        <v>33246</v>
      </c>
      <c r="U34" s="6">
        <f t="shared" si="6"/>
        <v>26.66</v>
      </c>
      <c r="V34" s="154" t="s">
        <v>540</v>
      </c>
      <c r="W34" s="136"/>
      <c r="X34" s="37"/>
      <c r="Y34" s="37"/>
      <c r="Z34" s="37"/>
      <c r="AA34" s="37"/>
      <c r="AB34" s="37"/>
      <c r="AC34" s="37"/>
      <c r="AD34" s="82"/>
    </row>
    <row r="35" spans="1:30" x14ac:dyDescent="0.15">
      <c r="A35" s="130">
        <v>366</v>
      </c>
      <c r="B35" s="37" t="s">
        <v>598</v>
      </c>
      <c r="C35" s="1" t="s">
        <v>110</v>
      </c>
      <c r="D35" s="5">
        <v>45474</v>
      </c>
      <c r="E35" s="5">
        <v>45108</v>
      </c>
      <c r="F35" s="5">
        <v>45473</v>
      </c>
      <c r="G35" s="1">
        <v>104</v>
      </c>
      <c r="H35" s="1">
        <v>366</v>
      </c>
      <c r="I35" s="154">
        <v>38064</v>
      </c>
      <c r="J35" s="154">
        <v>28330</v>
      </c>
      <c r="K35" s="4">
        <f t="shared" si="3"/>
        <v>38064</v>
      </c>
      <c r="L35" s="4">
        <f t="shared" si="4"/>
        <v>28330</v>
      </c>
      <c r="M35" s="154">
        <v>6747542</v>
      </c>
      <c r="N35" s="154">
        <v>10000</v>
      </c>
      <c r="O35" s="154">
        <v>91608</v>
      </c>
      <c r="P35" s="4">
        <f t="shared" si="7"/>
        <v>7879150</v>
      </c>
      <c r="Q35" s="4">
        <f t="shared" si="8"/>
        <v>7879150</v>
      </c>
      <c r="R35" s="4">
        <f t="shared" si="9"/>
        <v>75761</v>
      </c>
      <c r="S35" s="4">
        <f t="shared" si="5"/>
        <v>630332</v>
      </c>
      <c r="T35" s="155">
        <f>IF(ISNA(VLOOKUP(A35&amp;F35,'Days Exceptions'!$C$2:$I$3,7,FALSE)),ROUND(MAX(K35*Min_Occ,L35),0),VLOOKUP(A35&amp;F35,'Days Exceptions'!$C$2:$I$3,7,FALSE))</f>
        <v>31034</v>
      </c>
      <c r="U35" s="6">
        <f t="shared" si="6"/>
        <v>20.309999999999999</v>
      </c>
      <c r="V35" s="154" t="s">
        <v>540</v>
      </c>
      <c r="W35" s="136"/>
      <c r="X35" s="37"/>
      <c r="Y35" s="37"/>
      <c r="Z35" s="37"/>
      <c r="AA35" s="37"/>
      <c r="AB35" s="37"/>
      <c r="AC35" s="37"/>
      <c r="AD35" s="82"/>
    </row>
    <row r="36" spans="1:30" x14ac:dyDescent="0.15">
      <c r="A36" s="130">
        <v>378</v>
      </c>
      <c r="B36" s="37" t="s">
        <v>418</v>
      </c>
      <c r="C36" s="1" t="s">
        <v>125</v>
      </c>
      <c r="D36" s="5">
        <v>45474</v>
      </c>
      <c r="E36" s="5">
        <v>45292</v>
      </c>
      <c r="F36" s="5">
        <v>45657</v>
      </c>
      <c r="G36" s="1">
        <v>148</v>
      </c>
      <c r="H36" s="1">
        <v>366</v>
      </c>
      <c r="I36" s="154">
        <v>54168</v>
      </c>
      <c r="J36" s="154">
        <v>43453</v>
      </c>
      <c r="K36" s="4">
        <f t="shared" ref="K36:K54" si="10">IF(OR(H36=365,H36=366),I36,ROUND(I36*(365/$H36),0))</f>
        <v>54168</v>
      </c>
      <c r="L36" s="4">
        <f t="shared" ref="L36:L54" si="11">IF(OR(H36=365,H36=366),J36,ROUND(J36*(365/$H36),0))</f>
        <v>43453</v>
      </c>
      <c r="M36" s="154">
        <v>23966942</v>
      </c>
      <c r="N36" s="154">
        <v>11000</v>
      </c>
      <c r="O36" s="154">
        <v>71593</v>
      </c>
      <c r="P36" s="4">
        <f t="shared" si="7"/>
        <v>25666535</v>
      </c>
      <c r="Q36" s="4">
        <f t="shared" si="8"/>
        <v>25666535</v>
      </c>
      <c r="R36" s="4">
        <f t="shared" si="9"/>
        <v>173423</v>
      </c>
      <c r="S36" s="4">
        <f t="shared" si="5"/>
        <v>1950486</v>
      </c>
      <c r="T36" s="155">
        <f>IF(ISNA(VLOOKUP(A36&amp;F36,'Days Exceptions'!$C$2:$I$3,7,FALSE)),ROUND(MAX(K36*Min_Occ,L36),0),VLOOKUP(A36&amp;F36,'Days Exceptions'!$C$2:$I$3,7,FALSE))</f>
        <v>44163</v>
      </c>
      <c r="U36" s="6">
        <f t="shared" si="6"/>
        <v>44.17</v>
      </c>
      <c r="V36" s="154" t="s">
        <v>540</v>
      </c>
      <c r="W36" s="136"/>
      <c r="X36" s="37"/>
      <c r="Y36" s="37"/>
      <c r="Z36" s="37"/>
      <c r="AA36" s="37"/>
      <c r="AB36" s="37"/>
      <c r="AC36" s="37"/>
      <c r="AD36" s="82"/>
    </row>
    <row r="37" spans="1:30" x14ac:dyDescent="0.15">
      <c r="A37" s="130">
        <v>418</v>
      </c>
      <c r="B37" s="37" t="s">
        <v>672</v>
      </c>
      <c r="C37" s="1" t="s">
        <v>107</v>
      </c>
      <c r="D37" s="5">
        <v>45474</v>
      </c>
      <c r="E37" s="5">
        <v>45292</v>
      </c>
      <c r="F37" s="5">
        <v>45657</v>
      </c>
      <c r="G37" s="1">
        <v>44</v>
      </c>
      <c r="H37" s="1">
        <v>366</v>
      </c>
      <c r="I37" s="154">
        <v>16104</v>
      </c>
      <c r="J37" s="154">
        <v>15297</v>
      </c>
      <c r="K37" s="4">
        <f t="shared" si="10"/>
        <v>16104</v>
      </c>
      <c r="L37" s="4">
        <f t="shared" si="11"/>
        <v>15297</v>
      </c>
      <c r="M37" s="154">
        <v>9277989</v>
      </c>
      <c r="N37" s="154">
        <v>30000</v>
      </c>
      <c r="O37" s="154">
        <v>309443</v>
      </c>
      <c r="P37" s="4">
        <f t="shared" si="7"/>
        <v>10907432</v>
      </c>
      <c r="Q37" s="4">
        <f t="shared" si="8"/>
        <v>10907432</v>
      </c>
      <c r="R37" s="4">
        <f t="shared" si="9"/>
        <v>247896</v>
      </c>
      <c r="S37" s="4">
        <f t="shared" si="5"/>
        <v>579874</v>
      </c>
      <c r="T37" s="155">
        <f>IF(ISNA(VLOOKUP(A37&amp;F37,'Days Exceptions'!$C$2:$I$3,7,FALSE)),ROUND(MAX(K37*Min_Occ,L37),0),VLOOKUP(A37&amp;F37,'Days Exceptions'!$C$2:$I$3,7,FALSE))</f>
        <v>15297</v>
      </c>
      <c r="U37" s="6">
        <f t="shared" si="6"/>
        <v>37.909999999999997</v>
      </c>
      <c r="V37" s="154" t="s">
        <v>540</v>
      </c>
      <c r="W37" s="136"/>
      <c r="X37" s="37"/>
      <c r="Y37" s="37"/>
      <c r="Z37" s="37"/>
      <c r="AA37" s="37"/>
      <c r="AB37" s="37"/>
      <c r="AC37" s="37"/>
      <c r="AD37" s="82"/>
    </row>
    <row r="38" spans="1:30" x14ac:dyDescent="0.15">
      <c r="A38" s="130">
        <v>444</v>
      </c>
      <c r="B38" s="37" t="s">
        <v>391</v>
      </c>
      <c r="C38" s="1" t="s">
        <v>120</v>
      </c>
      <c r="D38" s="5">
        <v>45474</v>
      </c>
      <c r="E38" s="5">
        <v>45292</v>
      </c>
      <c r="F38" s="5">
        <v>45657</v>
      </c>
      <c r="G38" s="1">
        <v>107</v>
      </c>
      <c r="H38" s="1">
        <v>366</v>
      </c>
      <c r="I38" s="154">
        <v>39162</v>
      </c>
      <c r="J38" s="154">
        <v>31670</v>
      </c>
      <c r="K38" s="4">
        <f t="shared" si="10"/>
        <v>39162</v>
      </c>
      <c r="L38" s="4">
        <f t="shared" si="11"/>
        <v>31670</v>
      </c>
      <c r="M38" s="154">
        <v>14120365</v>
      </c>
      <c r="N38" s="154">
        <v>32500</v>
      </c>
      <c r="O38" s="154">
        <v>170358</v>
      </c>
      <c r="P38" s="4">
        <f t="shared" si="7"/>
        <v>17768223</v>
      </c>
      <c r="Q38" s="4">
        <f t="shared" si="8"/>
        <v>17768223</v>
      </c>
      <c r="R38" s="4">
        <f t="shared" si="9"/>
        <v>166058</v>
      </c>
      <c r="S38" s="4">
        <f t="shared" si="5"/>
        <v>1410149</v>
      </c>
      <c r="T38" s="155">
        <f>IF(ISNA(VLOOKUP(A38&amp;F38,'Days Exceptions'!$C$2:$I$3,7,FALSE)),ROUND(MAX(K38*Min_Occ,L38),0),VLOOKUP(A38&amp;F38,'Days Exceptions'!$C$2:$I$3,7,FALSE))</f>
        <v>31929</v>
      </c>
      <c r="U38" s="6">
        <f t="shared" si="6"/>
        <v>44.17</v>
      </c>
      <c r="V38" s="154" t="s">
        <v>540</v>
      </c>
      <c r="W38" s="136"/>
      <c r="X38" s="37"/>
      <c r="Y38" s="37"/>
      <c r="Z38" s="37"/>
      <c r="AA38" s="37"/>
      <c r="AB38" s="37"/>
      <c r="AC38" s="37"/>
      <c r="AD38" s="82"/>
    </row>
    <row r="39" spans="1:30" x14ac:dyDescent="0.15">
      <c r="A39" s="130">
        <v>452</v>
      </c>
      <c r="B39" s="37" t="s">
        <v>399</v>
      </c>
      <c r="C39" s="1" t="s">
        <v>110</v>
      </c>
      <c r="D39" s="5">
        <v>45474</v>
      </c>
      <c r="E39" s="5">
        <v>45108</v>
      </c>
      <c r="F39" s="5">
        <v>45473</v>
      </c>
      <c r="G39" s="1">
        <v>158</v>
      </c>
      <c r="H39" s="1">
        <v>366</v>
      </c>
      <c r="I39" s="154">
        <v>57828</v>
      </c>
      <c r="J39" s="154">
        <v>40785</v>
      </c>
      <c r="K39" s="4">
        <f t="shared" si="10"/>
        <v>57828</v>
      </c>
      <c r="L39" s="4">
        <f t="shared" si="11"/>
        <v>40785</v>
      </c>
      <c r="M39" s="154">
        <v>10907304</v>
      </c>
      <c r="N39" s="154">
        <v>11000</v>
      </c>
      <c r="O39" s="154">
        <v>259968</v>
      </c>
      <c r="P39" s="4">
        <f t="shared" si="7"/>
        <v>12905272</v>
      </c>
      <c r="Q39" s="4">
        <f t="shared" si="8"/>
        <v>12905272</v>
      </c>
      <c r="R39" s="4">
        <f t="shared" si="9"/>
        <v>81679</v>
      </c>
      <c r="S39" s="4">
        <f t="shared" si="5"/>
        <v>1032423</v>
      </c>
      <c r="T39" s="155">
        <f>IF(ISNA(VLOOKUP(A39&amp;F39,'Days Exceptions'!$C$2:$I$3,7,FALSE)),ROUND(MAX(K39*Min_Occ,L39),0),VLOOKUP(A39&amp;F39,'Days Exceptions'!$C$2:$I$3,7,FALSE))</f>
        <v>47147</v>
      </c>
      <c r="U39" s="6">
        <f t="shared" si="6"/>
        <v>21.9</v>
      </c>
      <c r="V39" s="154" t="s">
        <v>540</v>
      </c>
      <c r="W39" s="136"/>
      <c r="X39" s="37"/>
      <c r="Y39" s="37"/>
      <c r="Z39" s="37"/>
      <c r="AA39" s="37"/>
      <c r="AB39" s="37"/>
      <c r="AC39" s="37"/>
      <c r="AD39" s="82"/>
    </row>
    <row r="40" spans="1:30" x14ac:dyDescent="0.15">
      <c r="A40" s="130">
        <v>665</v>
      </c>
      <c r="B40" s="37" t="s">
        <v>645</v>
      </c>
      <c r="C40" s="1" t="s">
        <v>106</v>
      </c>
      <c r="D40" s="5">
        <v>45474</v>
      </c>
      <c r="E40" s="5">
        <v>45292</v>
      </c>
      <c r="F40" s="5">
        <v>45657</v>
      </c>
      <c r="G40" s="1">
        <v>97</v>
      </c>
      <c r="H40" s="1">
        <v>366</v>
      </c>
      <c r="I40" s="154">
        <v>35502</v>
      </c>
      <c r="J40" s="154">
        <v>28667</v>
      </c>
      <c r="K40" s="4">
        <f t="shared" si="10"/>
        <v>35502</v>
      </c>
      <c r="L40" s="4">
        <f t="shared" si="11"/>
        <v>28667</v>
      </c>
      <c r="M40" s="154">
        <v>9959458</v>
      </c>
      <c r="N40" s="154">
        <v>26500</v>
      </c>
      <c r="O40" s="154">
        <v>250633</v>
      </c>
      <c r="P40" s="4">
        <f t="shared" si="7"/>
        <v>12780591</v>
      </c>
      <c r="Q40" s="4">
        <f t="shared" si="8"/>
        <v>12780591</v>
      </c>
      <c r="R40" s="4">
        <f t="shared" si="9"/>
        <v>131759</v>
      </c>
      <c r="S40" s="4">
        <f t="shared" si="5"/>
        <v>1022450</v>
      </c>
      <c r="T40" s="155">
        <f>IF(ISNA(VLOOKUP(A40&amp;F40,'Days Exceptions'!$C$2:$I$3,7,FALSE)),ROUND(MAX(K40*Min_Occ,L40),0),VLOOKUP(A40&amp;F40,'Days Exceptions'!$C$2:$I$3,7,FALSE))</f>
        <v>28945</v>
      </c>
      <c r="U40" s="6">
        <f t="shared" si="6"/>
        <v>35.32</v>
      </c>
      <c r="V40" s="154" t="s">
        <v>540</v>
      </c>
      <c r="W40" s="136"/>
      <c r="X40" s="37"/>
      <c r="Y40" s="37"/>
      <c r="Z40" s="37"/>
      <c r="AA40" s="37"/>
      <c r="AB40" s="37"/>
      <c r="AC40" s="37"/>
      <c r="AD40" s="82"/>
    </row>
    <row r="41" spans="1:30" x14ac:dyDescent="0.15">
      <c r="A41" s="130">
        <v>679</v>
      </c>
      <c r="B41" s="37" t="s">
        <v>620</v>
      </c>
      <c r="C41" s="1" t="s">
        <v>107</v>
      </c>
      <c r="D41" s="5">
        <v>45474</v>
      </c>
      <c r="E41" s="5">
        <v>45292</v>
      </c>
      <c r="F41" s="5">
        <v>45657</v>
      </c>
      <c r="G41" s="1">
        <v>134</v>
      </c>
      <c r="H41" s="1">
        <v>366</v>
      </c>
      <c r="I41" s="154">
        <v>49044</v>
      </c>
      <c r="J41" s="154">
        <v>44698</v>
      </c>
      <c r="K41" s="4">
        <f t="shared" si="10"/>
        <v>49044</v>
      </c>
      <c r="L41" s="4">
        <f t="shared" si="11"/>
        <v>44698</v>
      </c>
      <c r="M41" s="154">
        <v>13176008</v>
      </c>
      <c r="N41" s="154">
        <v>25000</v>
      </c>
      <c r="O41" s="154">
        <v>278989</v>
      </c>
      <c r="P41" s="4">
        <f t="shared" si="7"/>
        <v>16804997</v>
      </c>
      <c r="Q41" s="4">
        <f t="shared" si="8"/>
        <v>16804997</v>
      </c>
      <c r="R41" s="4">
        <f t="shared" si="9"/>
        <v>125410</v>
      </c>
      <c r="S41" s="4">
        <f t="shared" si="5"/>
        <v>1344395</v>
      </c>
      <c r="T41" s="155">
        <f>IF(ISNA(VLOOKUP(A41&amp;F41,'Days Exceptions'!$C$2:$I$3,7,FALSE)),ROUND(MAX(K41*Min_Occ,L41),0),VLOOKUP(A41&amp;F41,'Days Exceptions'!$C$2:$I$3,7,FALSE))</f>
        <v>44698</v>
      </c>
      <c r="U41" s="6">
        <f t="shared" si="6"/>
        <v>30.08</v>
      </c>
      <c r="V41" s="154" t="s">
        <v>540</v>
      </c>
      <c r="W41" s="136"/>
      <c r="X41" s="37"/>
      <c r="Y41" s="37"/>
      <c r="Z41" s="37"/>
      <c r="AA41" s="37"/>
      <c r="AB41" s="37"/>
      <c r="AC41" s="37"/>
      <c r="AD41" s="82"/>
    </row>
    <row r="42" spans="1:30" x14ac:dyDescent="0.15">
      <c r="A42" s="130">
        <v>693</v>
      </c>
      <c r="B42" s="37" t="s">
        <v>670</v>
      </c>
      <c r="C42" s="1" t="s">
        <v>113</v>
      </c>
      <c r="D42" s="5">
        <v>45474</v>
      </c>
      <c r="E42" s="5">
        <v>45292</v>
      </c>
      <c r="F42" s="5">
        <v>45657</v>
      </c>
      <c r="G42" s="1">
        <v>160</v>
      </c>
      <c r="H42" s="1">
        <v>366</v>
      </c>
      <c r="I42" s="154">
        <v>58560</v>
      </c>
      <c r="J42" s="154">
        <v>34922</v>
      </c>
      <c r="K42" s="4">
        <f t="shared" si="10"/>
        <v>58560</v>
      </c>
      <c r="L42" s="4">
        <f t="shared" si="11"/>
        <v>34922</v>
      </c>
      <c r="M42" s="154">
        <v>11922025</v>
      </c>
      <c r="N42" s="154">
        <v>11500</v>
      </c>
      <c r="O42" s="154">
        <v>332803</v>
      </c>
      <c r="P42" s="4">
        <f t="shared" si="7"/>
        <v>14094828</v>
      </c>
      <c r="Q42" s="4">
        <f t="shared" si="8"/>
        <v>14094828</v>
      </c>
      <c r="R42" s="4">
        <f t="shared" si="9"/>
        <v>88093</v>
      </c>
      <c r="S42" s="4">
        <f t="shared" si="5"/>
        <v>1127590</v>
      </c>
      <c r="T42" s="155">
        <f>IF(ISNA(VLOOKUP(A42&amp;F42,'Days Exceptions'!$C$2:$I$3,7,FALSE)),ROUND(MAX(K42*Min_Occ,L42),0),VLOOKUP(A42&amp;F42,'Days Exceptions'!$C$2:$I$3,7,FALSE))</f>
        <v>47744</v>
      </c>
      <c r="U42" s="6">
        <f t="shared" si="6"/>
        <v>23.62</v>
      </c>
      <c r="V42" s="154" t="s">
        <v>540</v>
      </c>
      <c r="W42" s="136"/>
      <c r="X42" s="37"/>
      <c r="Y42" s="37"/>
      <c r="Z42" s="37"/>
      <c r="AA42" s="37"/>
      <c r="AB42" s="37"/>
      <c r="AC42" s="37"/>
      <c r="AD42" s="82"/>
    </row>
    <row r="43" spans="1:30" x14ac:dyDescent="0.15">
      <c r="A43" s="130">
        <v>697</v>
      </c>
      <c r="B43" s="37" t="s">
        <v>215</v>
      </c>
      <c r="C43" s="1" t="s">
        <v>120</v>
      </c>
      <c r="D43" s="5">
        <v>45474</v>
      </c>
      <c r="E43" s="5">
        <v>45108</v>
      </c>
      <c r="F43" s="5">
        <v>45473</v>
      </c>
      <c r="G43" s="1">
        <v>162</v>
      </c>
      <c r="H43" s="1">
        <v>366</v>
      </c>
      <c r="I43" s="154">
        <v>59292</v>
      </c>
      <c r="J43" s="154">
        <v>57219</v>
      </c>
      <c r="K43" s="4">
        <f t="shared" si="10"/>
        <v>59292</v>
      </c>
      <c r="L43" s="4">
        <f t="shared" si="11"/>
        <v>57219</v>
      </c>
      <c r="M43" s="154">
        <v>13657840</v>
      </c>
      <c r="N43" s="154">
        <v>26000</v>
      </c>
      <c r="O43" s="154">
        <v>251893</v>
      </c>
      <c r="P43" s="4">
        <f t="shared" si="7"/>
        <v>18121733</v>
      </c>
      <c r="Q43" s="4">
        <f t="shared" si="8"/>
        <v>18121733</v>
      </c>
      <c r="R43" s="4">
        <f t="shared" si="9"/>
        <v>111863</v>
      </c>
      <c r="S43" s="4">
        <f t="shared" si="5"/>
        <v>1449744</v>
      </c>
      <c r="T43" s="155">
        <f>IF(ISNA(VLOOKUP(A43&amp;F43,'Days Exceptions'!$C$2:$I$3,7,FALSE)),ROUND(MAX(K43*Min_Occ,L43),0),VLOOKUP(A43&amp;F43,'Days Exceptions'!$C$2:$I$3,7,FALSE))</f>
        <v>57219</v>
      </c>
      <c r="U43" s="6">
        <f t="shared" si="6"/>
        <v>25.34</v>
      </c>
      <c r="V43" s="154" t="s">
        <v>540</v>
      </c>
      <c r="W43" s="136"/>
      <c r="X43" s="37"/>
      <c r="Y43" s="37"/>
      <c r="Z43" s="37"/>
      <c r="AA43" s="37"/>
      <c r="AB43" s="37"/>
      <c r="AC43" s="37"/>
      <c r="AD43" s="82"/>
    </row>
    <row r="44" spans="1:30" x14ac:dyDescent="0.15">
      <c r="A44" s="130">
        <v>703</v>
      </c>
      <c r="B44" s="37" t="s">
        <v>677</v>
      </c>
      <c r="C44" s="1" t="s">
        <v>119</v>
      </c>
      <c r="D44" s="5">
        <v>45474</v>
      </c>
      <c r="E44" s="5">
        <v>45292</v>
      </c>
      <c r="F44" s="5">
        <v>45657</v>
      </c>
      <c r="G44" s="1">
        <v>39</v>
      </c>
      <c r="H44" s="1">
        <v>366</v>
      </c>
      <c r="I44" s="154">
        <v>14274</v>
      </c>
      <c r="J44" s="154">
        <v>12746</v>
      </c>
      <c r="K44" s="4">
        <f t="shared" si="10"/>
        <v>14274</v>
      </c>
      <c r="L44" s="4">
        <f t="shared" si="11"/>
        <v>12746</v>
      </c>
      <c r="M44" s="154">
        <v>6673347</v>
      </c>
      <c r="N44" s="154">
        <v>37500</v>
      </c>
      <c r="O44" s="154">
        <v>134737</v>
      </c>
      <c r="P44" s="4">
        <f t="shared" si="7"/>
        <v>8270584</v>
      </c>
      <c r="Q44" s="4">
        <f t="shared" si="8"/>
        <v>8270584</v>
      </c>
      <c r="R44" s="4">
        <f t="shared" si="9"/>
        <v>212066</v>
      </c>
      <c r="S44" s="4">
        <f t="shared" si="5"/>
        <v>513979</v>
      </c>
      <c r="T44" s="155">
        <f>IF(ISNA(VLOOKUP(A44&amp;F44,'Days Exceptions'!$C$2:$I$3,7,FALSE)),ROUND(MAX(K44*Min_Occ,L44),0),VLOOKUP(A44&amp;F44,'Days Exceptions'!$C$2:$I$3,7,FALSE))</f>
        <v>12746</v>
      </c>
      <c r="U44" s="6">
        <f t="shared" si="6"/>
        <v>40.32</v>
      </c>
      <c r="V44" s="154" t="s">
        <v>540</v>
      </c>
      <c r="W44" s="136"/>
      <c r="X44" s="37"/>
      <c r="Y44" s="37"/>
      <c r="Z44" s="37"/>
      <c r="AA44" s="37"/>
      <c r="AB44" s="37"/>
      <c r="AC44" s="37"/>
      <c r="AD44" s="82"/>
    </row>
    <row r="45" spans="1:30" x14ac:dyDescent="0.15">
      <c r="A45" s="130">
        <v>723</v>
      </c>
      <c r="B45" s="37" t="s">
        <v>188</v>
      </c>
      <c r="C45" s="1" t="s">
        <v>102</v>
      </c>
      <c r="D45" s="5">
        <v>45474</v>
      </c>
      <c r="E45" s="5">
        <v>45292</v>
      </c>
      <c r="F45" s="5">
        <v>45657</v>
      </c>
      <c r="G45" s="1">
        <v>109</v>
      </c>
      <c r="H45" s="1">
        <v>366</v>
      </c>
      <c r="I45" s="154">
        <v>39894</v>
      </c>
      <c r="J45" s="154">
        <v>36615</v>
      </c>
      <c r="K45" s="4">
        <f t="shared" si="10"/>
        <v>39894</v>
      </c>
      <c r="L45" s="4">
        <f t="shared" si="11"/>
        <v>36615</v>
      </c>
      <c r="M45" s="154">
        <v>11809152</v>
      </c>
      <c r="N45" s="154">
        <v>16000</v>
      </c>
      <c r="O45" s="154">
        <v>347521</v>
      </c>
      <c r="P45" s="4">
        <f t="shared" si="7"/>
        <v>13900673</v>
      </c>
      <c r="Q45" s="4">
        <f t="shared" si="8"/>
        <v>13900673</v>
      </c>
      <c r="R45" s="4">
        <f t="shared" si="9"/>
        <v>127529</v>
      </c>
      <c r="S45" s="4">
        <f t="shared" si="5"/>
        <v>1390066</v>
      </c>
      <c r="T45" s="155">
        <f>IF(ISNA(VLOOKUP(A45&amp;F45,'Days Exceptions'!$C$2:$I$3,7,FALSE)),ROUND(MAX(K45*Min_Occ,L45),0),VLOOKUP(A45&amp;F45,'Days Exceptions'!$C$2:$I$3,7,FALSE))</f>
        <v>36615</v>
      </c>
      <c r="U45" s="6">
        <f t="shared" si="6"/>
        <v>37.96</v>
      </c>
      <c r="V45" s="154" t="s">
        <v>540</v>
      </c>
      <c r="W45" s="136"/>
      <c r="X45" s="37"/>
      <c r="Y45" s="37"/>
      <c r="Z45" s="37"/>
      <c r="AA45" s="37"/>
      <c r="AB45" s="37"/>
      <c r="AC45" s="37"/>
      <c r="AD45" s="82"/>
    </row>
    <row r="46" spans="1:30" x14ac:dyDescent="0.15">
      <c r="A46" s="130">
        <v>737</v>
      </c>
      <c r="B46" s="37" t="s">
        <v>229</v>
      </c>
      <c r="C46" s="1" t="s">
        <v>111</v>
      </c>
      <c r="D46" s="5">
        <v>45474</v>
      </c>
      <c r="E46" s="5">
        <v>45108</v>
      </c>
      <c r="F46" s="5">
        <v>45473</v>
      </c>
      <c r="G46" s="1">
        <v>110</v>
      </c>
      <c r="H46" s="1">
        <v>366</v>
      </c>
      <c r="I46" s="154">
        <v>40260</v>
      </c>
      <c r="J46" s="154">
        <v>35104</v>
      </c>
      <c r="K46" s="4">
        <f t="shared" si="10"/>
        <v>40260</v>
      </c>
      <c r="L46" s="4">
        <f t="shared" si="11"/>
        <v>35104</v>
      </c>
      <c r="M46" s="154">
        <v>8860613</v>
      </c>
      <c r="N46" s="154">
        <v>14000</v>
      </c>
      <c r="O46" s="154">
        <v>146444</v>
      </c>
      <c r="P46" s="4">
        <f t="shared" si="7"/>
        <v>10547057</v>
      </c>
      <c r="Q46" s="4">
        <f t="shared" si="8"/>
        <v>10547057</v>
      </c>
      <c r="R46" s="4">
        <f t="shared" si="9"/>
        <v>95882</v>
      </c>
      <c r="S46" s="4">
        <f t="shared" si="5"/>
        <v>843762</v>
      </c>
      <c r="T46" s="155">
        <f>IF(ISNA(VLOOKUP(A46&amp;F46,'Days Exceptions'!$C$2:$I$3,7,FALSE)),ROUND(MAX(K46*Min_Occ,L46),0),VLOOKUP(A46&amp;F46,'Days Exceptions'!$C$2:$I$3,7,FALSE))</f>
        <v>35104</v>
      </c>
      <c r="U46" s="6">
        <f t="shared" si="6"/>
        <v>24.04</v>
      </c>
      <c r="V46" s="154" t="s">
        <v>540</v>
      </c>
      <c r="W46" s="136"/>
      <c r="X46" s="37"/>
      <c r="Y46" s="37"/>
      <c r="Z46" s="37"/>
      <c r="AA46" s="37"/>
      <c r="AB46" s="37"/>
      <c r="AC46" s="37"/>
      <c r="AD46" s="82"/>
    </row>
    <row r="47" spans="1:30" x14ac:dyDescent="0.15">
      <c r="A47" s="130">
        <v>741</v>
      </c>
      <c r="B47" s="37" t="s">
        <v>435</v>
      </c>
      <c r="C47" s="1" t="s">
        <v>102</v>
      </c>
      <c r="D47" s="5">
        <v>45474</v>
      </c>
      <c r="E47" s="5">
        <v>45292</v>
      </c>
      <c r="F47" s="5">
        <v>45657</v>
      </c>
      <c r="G47" s="1">
        <v>99</v>
      </c>
      <c r="H47" s="1">
        <v>366</v>
      </c>
      <c r="I47" s="154">
        <v>36234</v>
      </c>
      <c r="J47" s="154">
        <v>32015</v>
      </c>
      <c r="K47" s="4">
        <f t="shared" si="10"/>
        <v>36234</v>
      </c>
      <c r="L47" s="4">
        <f t="shared" si="11"/>
        <v>32015</v>
      </c>
      <c r="M47" s="154">
        <v>12302087</v>
      </c>
      <c r="N47" s="154">
        <v>16000</v>
      </c>
      <c r="O47" s="154">
        <v>219132</v>
      </c>
      <c r="P47" s="4">
        <f t="shared" si="7"/>
        <v>14105219</v>
      </c>
      <c r="Q47" s="4">
        <f t="shared" si="8"/>
        <v>14105219</v>
      </c>
      <c r="R47" s="4">
        <f t="shared" si="9"/>
        <v>142477</v>
      </c>
      <c r="S47" s="4">
        <f t="shared" si="5"/>
        <v>1410522</v>
      </c>
      <c r="T47" s="155">
        <f>IF(ISNA(VLOOKUP(A47&amp;F47,'Days Exceptions'!$C$2:$I$3,7,FALSE)),ROUND(MAX(K47*Min_Occ,L47),0),VLOOKUP(A47&amp;F47,'Days Exceptions'!$C$2:$I$3,7,FALSE))</f>
        <v>32015</v>
      </c>
      <c r="U47" s="6">
        <f t="shared" si="6"/>
        <v>44.06</v>
      </c>
      <c r="V47" s="154" t="s">
        <v>540</v>
      </c>
      <c r="W47" s="136"/>
      <c r="X47" s="37"/>
      <c r="Y47" s="37"/>
      <c r="Z47" s="37"/>
      <c r="AA47" s="37"/>
      <c r="AB47" s="37"/>
      <c r="AC47" s="37"/>
      <c r="AD47" s="82"/>
    </row>
    <row r="48" spans="1:30" x14ac:dyDescent="0.15">
      <c r="A48" s="130">
        <v>1132</v>
      </c>
      <c r="B48" s="37" t="s">
        <v>196</v>
      </c>
      <c r="C48" s="1" t="s">
        <v>117</v>
      </c>
      <c r="D48" s="5">
        <v>45474</v>
      </c>
      <c r="E48" s="5">
        <v>45292</v>
      </c>
      <c r="F48" s="5">
        <v>45657</v>
      </c>
      <c r="G48" s="1">
        <v>91</v>
      </c>
      <c r="H48" s="1">
        <v>366</v>
      </c>
      <c r="I48" s="154">
        <v>33306</v>
      </c>
      <c r="J48" s="154">
        <v>29965</v>
      </c>
      <c r="K48" s="4">
        <f t="shared" si="10"/>
        <v>33306</v>
      </c>
      <c r="L48" s="4">
        <f t="shared" si="11"/>
        <v>29965</v>
      </c>
      <c r="M48" s="154">
        <v>17791976</v>
      </c>
      <c r="N48" s="154">
        <v>22000</v>
      </c>
      <c r="O48" s="154">
        <v>245711</v>
      </c>
      <c r="P48" s="4">
        <f t="shared" si="7"/>
        <v>20039687</v>
      </c>
      <c r="Q48" s="4">
        <f t="shared" si="8"/>
        <v>20039687</v>
      </c>
      <c r="R48" s="4">
        <f t="shared" si="9"/>
        <v>220216</v>
      </c>
      <c r="S48" s="4">
        <f t="shared" si="5"/>
        <v>1199285</v>
      </c>
      <c r="T48" s="155">
        <f>IF(ISNA(VLOOKUP(A48&amp;F48,'Days Exceptions'!$C$2:$I$3,7,FALSE)),ROUND(MAX(K48*Min_Occ,L48),0),VLOOKUP(A48&amp;F48,'Days Exceptions'!$C$2:$I$3,7,FALSE))</f>
        <v>29965</v>
      </c>
      <c r="U48" s="6">
        <f t="shared" si="6"/>
        <v>40.020000000000003</v>
      </c>
      <c r="V48" s="154" t="s">
        <v>540</v>
      </c>
      <c r="W48" s="136"/>
      <c r="X48" s="37"/>
      <c r="Y48" s="37"/>
      <c r="Z48" s="37"/>
      <c r="AA48" s="37"/>
      <c r="AB48" s="37"/>
      <c r="AC48" s="37"/>
      <c r="AD48" s="82"/>
    </row>
    <row r="49" spans="1:30" x14ac:dyDescent="0.15">
      <c r="A49" s="130">
        <v>1194</v>
      </c>
      <c r="B49" s="37" t="s">
        <v>237</v>
      </c>
      <c r="C49" s="1" t="s">
        <v>119</v>
      </c>
      <c r="D49" s="5">
        <v>45474</v>
      </c>
      <c r="E49" s="5">
        <v>45292</v>
      </c>
      <c r="F49" s="5">
        <v>45657</v>
      </c>
      <c r="G49" s="1">
        <v>45</v>
      </c>
      <c r="H49" s="1">
        <v>366</v>
      </c>
      <c r="I49" s="154">
        <v>16470</v>
      </c>
      <c r="J49" s="154">
        <v>12237</v>
      </c>
      <c r="K49" s="4">
        <f t="shared" si="10"/>
        <v>16470</v>
      </c>
      <c r="L49" s="4">
        <f t="shared" si="11"/>
        <v>12237</v>
      </c>
      <c r="M49" s="154">
        <v>12403916</v>
      </c>
      <c r="N49" s="154">
        <v>45000</v>
      </c>
      <c r="O49" s="154">
        <v>199715</v>
      </c>
      <c r="P49" s="4">
        <f t="shared" si="7"/>
        <v>14628631</v>
      </c>
      <c r="Q49" s="4">
        <f t="shared" si="8"/>
        <v>14628631</v>
      </c>
      <c r="R49" s="4">
        <f t="shared" si="9"/>
        <v>325081</v>
      </c>
      <c r="S49" s="4">
        <f t="shared" si="5"/>
        <v>593053</v>
      </c>
      <c r="T49" s="155">
        <f>IF(ISNA(VLOOKUP(A49&amp;F49,'Days Exceptions'!$C$2:$I$3,7,FALSE)),ROUND(MAX(K49*Min_Occ,L49),0),VLOOKUP(A49&amp;F49,'Days Exceptions'!$C$2:$I$3,7,FALSE))</f>
        <v>13428</v>
      </c>
      <c r="U49" s="6">
        <f t="shared" si="6"/>
        <v>44.17</v>
      </c>
      <c r="V49" s="154" t="s">
        <v>540</v>
      </c>
      <c r="W49" s="136"/>
      <c r="X49" s="37"/>
      <c r="Y49" s="37"/>
      <c r="Z49" s="37"/>
      <c r="AA49" s="37"/>
      <c r="AB49" s="137"/>
      <c r="AC49" s="37"/>
      <c r="AD49" s="37"/>
    </row>
    <row r="50" spans="1:30" x14ac:dyDescent="0.15">
      <c r="A50" s="130">
        <v>1203</v>
      </c>
      <c r="B50" s="37" t="s">
        <v>407</v>
      </c>
      <c r="C50" s="1" t="s">
        <v>102</v>
      </c>
      <c r="D50" s="5">
        <v>45474</v>
      </c>
      <c r="E50" s="5">
        <v>45292</v>
      </c>
      <c r="F50" s="5">
        <v>45657</v>
      </c>
      <c r="G50" s="1">
        <v>53</v>
      </c>
      <c r="H50" s="1">
        <v>366</v>
      </c>
      <c r="I50" s="154">
        <v>19398</v>
      </c>
      <c r="J50" s="154">
        <v>17983</v>
      </c>
      <c r="K50" s="4">
        <f t="shared" si="10"/>
        <v>19398</v>
      </c>
      <c r="L50" s="4">
        <f t="shared" si="11"/>
        <v>17983</v>
      </c>
      <c r="M50" s="154">
        <v>10627944</v>
      </c>
      <c r="N50" s="154">
        <v>16000</v>
      </c>
      <c r="O50" s="154">
        <v>153049</v>
      </c>
      <c r="P50" s="4">
        <f t="shared" si="7"/>
        <v>11628993</v>
      </c>
      <c r="Q50" s="4">
        <f t="shared" si="8"/>
        <v>11628993</v>
      </c>
      <c r="R50" s="4">
        <f t="shared" si="9"/>
        <v>219415</v>
      </c>
      <c r="S50" s="4">
        <f t="shared" si="5"/>
        <v>873106</v>
      </c>
      <c r="T50" s="155">
        <f>IF(ISNA(VLOOKUP(A50&amp;F50,'Days Exceptions'!$C$2:$I$3,7,FALSE)),ROUND(MAX(K50*Min_Occ,L50),0),VLOOKUP(A50&amp;F50,'Days Exceptions'!$C$2:$I$3,7,FALSE))</f>
        <v>17983</v>
      </c>
      <c r="U50" s="6">
        <f t="shared" si="6"/>
        <v>48.55</v>
      </c>
      <c r="V50" s="154" t="s">
        <v>540</v>
      </c>
      <c r="W50" s="136"/>
      <c r="X50" s="37"/>
      <c r="Y50" s="37"/>
      <c r="Z50" s="37"/>
      <c r="AA50" s="37"/>
      <c r="AB50" s="137"/>
      <c r="AC50" s="37"/>
      <c r="AD50" s="37"/>
    </row>
    <row r="51" spans="1:30" x14ac:dyDescent="0.15">
      <c r="A51" s="130">
        <v>1209</v>
      </c>
      <c r="B51" s="37" t="s">
        <v>217</v>
      </c>
      <c r="C51" s="1" t="s">
        <v>117</v>
      </c>
      <c r="D51" s="5">
        <v>45474</v>
      </c>
      <c r="E51" s="5">
        <v>45292</v>
      </c>
      <c r="F51" s="5">
        <v>45657</v>
      </c>
      <c r="G51" s="1">
        <v>70</v>
      </c>
      <c r="H51" s="1">
        <v>366</v>
      </c>
      <c r="I51" s="154">
        <v>25620</v>
      </c>
      <c r="J51" s="154">
        <v>23482</v>
      </c>
      <c r="K51" s="4">
        <f t="shared" si="10"/>
        <v>25620</v>
      </c>
      <c r="L51" s="4">
        <f t="shared" si="11"/>
        <v>23482</v>
      </c>
      <c r="M51" s="154">
        <v>13721323</v>
      </c>
      <c r="N51" s="154">
        <v>32000</v>
      </c>
      <c r="O51" s="154">
        <v>351285</v>
      </c>
      <c r="P51" s="4">
        <f t="shared" si="7"/>
        <v>16312608</v>
      </c>
      <c r="Q51" s="4">
        <f t="shared" si="8"/>
        <v>16312608</v>
      </c>
      <c r="R51" s="4">
        <f t="shared" si="9"/>
        <v>233037</v>
      </c>
      <c r="S51" s="4">
        <f t="shared" si="5"/>
        <v>922527</v>
      </c>
      <c r="T51" s="155">
        <f>IF(ISNA(VLOOKUP(A51&amp;F51,'Days Exceptions'!$C$2:$I$3,7,FALSE)),ROUND(MAX(K51*Min_Occ,L51),0),VLOOKUP(A51&amp;F51,'Days Exceptions'!$C$2:$I$3,7,FALSE))</f>
        <v>23482</v>
      </c>
      <c r="U51" s="6">
        <f t="shared" si="6"/>
        <v>39.29</v>
      </c>
      <c r="V51" s="154" t="s">
        <v>540</v>
      </c>
      <c r="W51" s="136"/>
      <c r="X51" s="37"/>
      <c r="Y51" s="37"/>
      <c r="Z51" s="37"/>
      <c r="AA51" s="37"/>
      <c r="AB51" s="137"/>
      <c r="AC51" s="37"/>
      <c r="AD51" s="37"/>
    </row>
    <row r="52" spans="1:30" x14ac:dyDescent="0.15">
      <c r="A52" s="130">
        <v>1282</v>
      </c>
      <c r="B52" s="37" t="s">
        <v>328</v>
      </c>
      <c r="C52" s="1" t="s">
        <v>112</v>
      </c>
      <c r="D52" s="5">
        <v>45474</v>
      </c>
      <c r="E52" s="5">
        <v>45292</v>
      </c>
      <c r="F52" s="5">
        <v>45657</v>
      </c>
      <c r="G52" s="1">
        <v>80</v>
      </c>
      <c r="H52" s="1">
        <v>366</v>
      </c>
      <c r="I52" s="154">
        <v>29280</v>
      </c>
      <c r="J52" s="154">
        <v>22910</v>
      </c>
      <c r="K52" s="4">
        <f t="shared" si="10"/>
        <v>29280</v>
      </c>
      <c r="L52" s="4">
        <f t="shared" si="11"/>
        <v>22910</v>
      </c>
      <c r="M52" s="154">
        <v>13066343</v>
      </c>
      <c r="N52" s="154">
        <v>27000</v>
      </c>
      <c r="O52" s="154">
        <v>241183</v>
      </c>
      <c r="P52" s="4">
        <f t="shared" si="7"/>
        <v>15467526</v>
      </c>
      <c r="Q52" s="4">
        <f t="shared" si="8"/>
        <v>15467526</v>
      </c>
      <c r="R52" s="4">
        <f t="shared" si="9"/>
        <v>193344</v>
      </c>
      <c r="S52" s="4">
        <f t="shared" si="5"/>
        <v>1054317</v>
      </c>
      <c r="T52" s="155">
        <f>IF(ISNA(VLOOKUP(A52&amp;F52,'Days Exceptions'!$C$2:$I$3,7,FALSE)),ROUND(MAX(K52*Min_Occ,L52),0),VLOOKUP(A52&amp;F52,'Days Exceptions'!$C$2:$I$3,7,FALSE))</f>
        <v>23872</v>
      </c>
      <c r="U52" s="6">
        <f t="shared" si="6"/>
        <v>44.17</v>
      </c>
      <c r="V52" s="154" t="s">
        <v>540</v>
      </c>
      <c r="W52" s="136"/>
      <c r="X52" s="37"/>
      <c r="Y52" s="37"/>
      <c r="Z52" s="37"/>
      <c r="AA52" s="37"/>
      <c r="AB52" s="137"/>
      <c r="AC52" s="37"/>
      <c r="AD52" s="37"/>
    </row>
    <row r="53" spans="1:30" x14ac:dyDescent="0.15">
      <c r="A53" s="130">
        <v>1421</v>
      </c>
      <c r="B53" s="37" t="s">
        <v>713</v>
      </c>
      <c r="C53" s="1" t="s">
        <v>119</v>
      </c>
      <c r="D53" s="5">
        <v>45474</v>
      </c>
      <c r="E53" s="5">
        <v>45292</v>
      </c>
      <c r="F53" s="5">
        <v>45657</v>
      </c>
      <c r="G53" s="1">
        <v>108</v>
      </c>
      <c r="H53" s="1">
        <v>366</v>
      </c>
      <c r="I53" s="154">
        <v>39528</v>
      </c>
      <c r="J53" s="154">
        <v>34883</v>
      </c>
      <c r="K53" s="4">
        <f t="shared" si="10"/>
        <v>39528</v>
      </c>
      <c r="L53" s="4">
        <f t="shared" si="11"/>
        <v>34883</v>
      </c>
      <c r="M53" s="154">
        <v>10715953</v>
      </c>
      <c r="N53" s="154">
        <v>43000</v>
      </c>
      <c r="O53" s="154">
        <v>307574</v>
      </c>
      <c r="P53" s="4">
        <f t="shared" si="7"/>
        <v>15667527</v>
      </c>
      <c r="Q53" s="4">
        <f t="shared" ref="Q53" si="12">+P53</f>
        <v>15667527</v>
      </c>
      <c r="R53" s="4">
        <f t="shared" ref="R53" si="13">IF(Q53="","",ROUND(Q53/G53,0))</f>
        <v>145070</v>
      </c>
      <c r="S53" s="4">
        <f t="shared" si="5"/>
        <v>1253405</v>
      </c>
      <c r="T53" s="155">
        <f>IF(ISNA(VLOOKUP(A53&amp;F53,'Days Exceptions'!$C$2:$I$3,7,FALSE)),ROUND(MAX(K53*Min_Occ,L53),0),VLOOKUP(A53&amp;F53,'Days Exceptions'!$C$2:$I$3,7,FALSE))</f>
        <v>34883</v>
      </c>
      <c r="U53" s="6">
        <f t="shared" ref="U53" si="14">ROUND(S53/T53,2)</f>
        <v>35.93</v>
      </c>
      <c r="V53" s="154" t="s">
        <v>540</v>
      </c>
      <c r="W53" s="136"/>
      <c r="X53" s="37"/>
      <c r="Y53" s="37"/>
      <c r="Z53" s="37"/>
      <c r="AA53" s="37"/>
      <c r="AB53" s="137"/>
      <c r="AC53" s="37"/>
      <c r="AD53" s="37"/>
    </row>
    <row r="54" spans="1:30" x14ac:dyDescent="0.15">
      <c r="A54" s="130">
        <v>264</v>
      </c>
      <c r="B54" s="37" t="s">
        <v>400</v>
      </c>
      <c r="C54" s="1" t="s">
        <v>120</v>
      </c>
      <c r="D54" s="5">
        <v>45474</v>
      </c>
      <c r="E54" s="5" t="s">
        <v>254</v>
      </c>
      <c r="F54" s="5" t="s">
        <v>254</v>
      </c>
      <c r="G54" s="1">
        <v>120</v>
      </c>
      <c r="H54" s="1">
        <v>365</v>
      </c>
      <c r="I54" s="154">
        <v>43800</v>
      </c>
      <c r="J54" s="154">
        <v>24831</v>
      </c>
      <c r="K54" s="4">
        <f t="shared" si="10"/>
        <v>43800</v>
      </c>
      <c r="L54" s="4">
        <f t="shared" si="11"/>
        <v>24831</v>
      </c>
      <c r="M54" s="154">
        <v>15220265</v>
      </c>
      <c r="N54" s="154">
        <v>25000</v>
      </c>
      <c r="O54" s="154">
        <v>501925</v>
      </c>
      <c r="P54" s="4">
        <f>ROUND(M54+(N54*G54)+O54,0)</f>
        <v>18722190</v>
      </c>
      <c r="Q54" s="4">
        <f>+P54</f>
        <v>18722190</v>
      </c>
      <c r="R54" s="4">
        <f>IF(Q54="","",ROUND(Q54/G54,0))</f>
        <v>156018</v>
      </c>
      <c r="S54" s="4">
        <f t="shared" si="5"/>
        <v>1497773</v>
      </c>
      <c r="T54" s="155">
        <f>IF(ISNA(VLOOKUP(A54&amp;F54,'Days Exceptions'!$C$2:$I$3,7,FALSE)),ROUND(MAX(K54*Min_Occ,L54),0),VLOOKUP(A54&amp;F54,'Days Exceptions'!$C$2:$I$3,7,FALSE))</f>
        <v>35710</v>
      </c>
      <c r="U54" s="6">
        <f>ROUND(S54/T54,2)</f>
        <v>41.94</v>
      </c>
      <c r="V54" s="154" t="s">
        <v>540</v>
      </c>
      <c r="W54" s="136"/>
      <c r="X54" s="37"/>
      <c r="Y54" s="37"/>
      <c r="Z54" s="37"/>
      <c r="AA54" s="37"/>
      <c r="AB54" s="137"/>
      <c r="AC54" s="37"/>
      <c r="AD54" s="37"/>
    </row>
    <row r="55" spans="1:30" x14ac:dyDescent="0.15">
      <c r="A55" s="130">
        <v>26</v>
      </c>
      <c r="B55" s="37" t="s">
        <v>199</v>
      </c>
      <c r="C55" s="1" t="s">
        <v>119</v>
      </c>
      <c r="D55" s="5">
        <v>45108</v>
      </c>
      <c r="E55" s="5">
        <v>44927</v>
      </c>
      <c r="F55" s="5">
        <v>45291</v>
      </c>
      <c r="G55" s="1">
        <v>92</v>
      </c>
      <c r="H55" s="1">
        <v>365</v>
      </c>
      <c r="I55" s="154">
        <v>33580</v>
      </c>
      <c r="J55" s="154">
        <v>29732</v>
      </c>
      <c r="K55" s="4">
        <f t="shared" ref="K55:K86" si="15">IF(OR(H55=365,H55=366),I55,ROUND(I55*(365/$H55),0))</f>
        <v>33580</v>
      </c>
      <c r="L55" s="4">
        <f t="shared" ref="L55:L86" si="16">IF(OR(H55=365,H55=366),J55,ROUND(J55*(365/$H55),0))</f>
        <v>29732</v>
      </c>
      <c r="M55" s="154">
        <v>8790316</v>
      </c>
      <c r="N55" s="154">
        <v>27500</v>
      </c>
      <c r="O55" s="154">
        <v>181428</v>
      </c>
      <c r="P55" s="4">
        <f t="shared" ref="P55:P86" si="17">ROUND(M55+(N55*G55)+O55,0)</f>
        <v>11501744</v>
      </c>
      <c r="Q55" s="4">
        <f t="shared" ref="Q55:Q69" si="18">+P55</f>
        <v>11501744</v>
      </c>
      <c r="R55" s="4">
        <f t="shared" ref="R55:R86" si="19">IF(Q55="","",ROUND(Q55/G55,0))</f>
        <v>125019</v>
      </c>
      <c r="S55" s="4">
        <f t="shared" si="5"/>
        <v>920140</v>
      </c>
      <c r="T55" s="155">
        <f>IF(ISNA(VLOOKUP(A55&amp;F55,'Days Exceptions'!$C$2:$I$3,7,FALSE)),ROUND(MAX(K55*Min_Occ,L55),0),VLOOKUP(A55&amp;F55,'Days Exceptions'!$C$2:$I$3,7,FALSE))</f>
        <v>29732</v>
      </c>
      <c r="U55" s="6">
        <f t="shared" ref="U55:U69" si="20">ROUND(S55/T55,2)</f>
        <v>30.95</v>
      </c>
      <c r="W55" s="136"/>
      <c r="X55" s="37"/>
      <c r="Y55" s="37"/>
      <c r="Z55" s="37"/>
      <c r="AA55" s="37"/>
      <c r="AB55" s="137"/>
      <c r="AC55" s="37"/>
      <c r="AD55" s="37"/>
    </row>
    <row r="56" spans="1:30" x14ac:dyDescent="0.15">
      <c r="A56" s="130">
        <v>32</v>
      </c>
      <c r="B56" s="37" t="s">
        <v>349</v>
      </c>
      <c r="C56" s="1" t="s">
        <v>102</v>
      </c>
      <c r="D56" s="5">
        <v>45108</v>
      </c>
      <c r="E56" s="5">
        <v>44927</v>
      </c>
      <c r="F56" s="5">
        <v>45291</v>
      </c>
      <c r="G56" s="1">
        <v>105</v>
      </c>
      <c r="H56" s="1">
        <v>365</v>
      </c>
      <c r="I56" s="154">
        <v>38325</v>
      </c>
      <c r="J56" s="154">
        <v>31298</v>
      </c>
      <c r="K56" s="4">
        <f t="shared" si="15"/>
        <v>38325</v>
      </c>
      <c r="L56" s="4">
        <f t="shared" si="16"/>
        <v>31298</v>
      </c>
      <c r="M56" s="154">
        <v>9811466</v>
      </c>
      <c r="N56" s="154">
        <v>20000</v>
      </c>
      <c r="O56" s="154">
        <v>121738</v>
      </c>
      <c r="P56" s="4">
        <f t="shared" si="17"/>
        <v>12033204</v>
      </c>
      <c r="Q56" s="4">
        <f t="shared" si="18"/>
        <v>12033204</v>
      </c>
      <c r="R56" s="4">
        <f t="shared" si="19"/>
        <v>114602</v>
      </c>
      <c r="S56" s="4">
        <f t="shared" si="5"/>
        <v>1203321</v>
      </c>
      <c r="T56" s="155">
        <f>IF(ISNA(VLOOKUP(A56&amp;F56,'Days Exceptions'!$C$2:$I$3,7,FALSE)),ROUND(MAX(K56*Min_Occ,L56),0),VLOOKUP(A56&amp;F56,'Days Exceptions'!$C$2:$I$3,7,FALSE))</f>
        <v>31298</v>
      </c>
      <c r="U56" s="6">
        <f t="shared" si="20"/>
        <v>38.450000000000003</v>
      </c>
      <c r="V56" s="154"/>
      <c r="W56" s="136"/>
      <c r="X56" s="37"/>
      <c r="Y56" s="37"/>
      <c r="Z56" s="37"/>
      <c r="AA56" s="37"/>
      <c r="AB56" s="137"/>
      <c r="AC56" s="37"/>
      <c r="AD56" s="37"/>
    </row>
    <row r="57" spans="1:30" x14ac:dyDescent="0.15">
      <c r="A57" s="130">
        <v>36</v>
      </c>
      <c r="B57" s="37" t="s">
        <v>197</v>
      </c>
      <c r="C57" s="1" t="s">
        <v>119</v>
      </c>
      <c r="D57" s="5">
        <v>45108</v>
      </c>
      <c r="E57" s="5">
        <v>44927</v>
      </c>
      <c r="F57" s="5">
        <v>45291</v>
      </c>
      <c r="G57" s="1">
        <v>50</v>
      </c>
      <c r="H57" s="1">
        <v>365</v>
      </c>
      <c r="I57" s="154">
        <v>18250</v>
      </c>
      <c r="J57" s="154">
        <v>16729</v>
      </c>
      <c r="K57" s="4">
        <f t="shared" si="15"/>
        <v>18250</v>
      </c>
      <c r="L57" s="4">
        <f t="shared" si="16"/>
        <v>16729</v>
      </c>
      <c r="M57" s="154">
        <v>5324760</v>
      </c>
      <c r="N57" s="154">
        <v>32000</v>
      </c>
      <c r="O57" s="154">
        <v>109242</v>
      </c>
      <c r="P57" s="4">
        <f t="shared" si="17"/>
        <v>7034002</v>
      </c>
      <c r="Q57" s="4">
        <f t="shared" si="18"/>
        <v>7034002</v>
      </c>
      <c r="R57" s="4">
        <f t="shared" si="19"/>
        <v>140680</v>
      </c>
      <c r="S57" s="4">
        <f t="shared" si="5"/>
        <v>562720</v>
      </c>
      <c r="T57" s="155">
        <f>IF(ISNA(VLOOKUP(A57&amp;F57,'Days Exceptions'!$C$2:$I$3,7,FALSE)),ROUND(MAX(K57*Min_Occ,L57),0),VLOOKUP(A57&amp;F57,'Days Exceptions'!$C$2:$I$3,7,FALSE))</f>
        <v>16729</v>
      </c>
      <c r="U57" s="6">
        <f t="shared" si="20"/>
        <v>33.64</v>
      </c>
      <c r="V57" s="154"/>
      <c r="W57" s="136"/>
      <c r="X57" s="37"/>
      <c r="Y57" s="37"/>
      <c r="Z57" s="37"/>
      <c r="AA57" s="37"/>
      <c r="AB57" s="137"/>
      <c r="AC57" s="37"/>
      <c r="AD57" s="37"/>
    </row>
    <row r="58" spans="1:30" x14ac:dyDescent="0.15">
      <c r="A58" s="130">
        <v>38</v>
      </c>
      <c r="B58" s="37" t="s">
        <v>240</v>
      </c>
      <c r="C58" s="1" t="s">
        <v>126</v>
      </c>
      <c r="D58" s="5">
        <v>45108</v>
      </c>
      <c r="E58" s="5">
        <v>44743</v>
      </c>
      <c r="F58" s="5">
        <v>45107</v>
      </c>
      <c r="G58" s="1">
        <v>126</v>
      </c>
      <c r="H58" s="1">
        <v>365</v>
      </c>
      <c r="I58" s="154">
        <v>45990</v>
      </c>
      <c r="J58" s="154">
        <v>34929</v>
      </c>
      <c r="K58" s="4">
        <f t="shared" si="15"/>
        <v>45990</v>
      </c>
      <c r="L58" s="4">
        <f t="shared" si="16"/>
        <v>34929</v>
      </c>
      <c r="M58" s="154">
        <v>11854292</v>
      </c>
      <c r="N58" s="154">
        <v>17500</v>
      </c>
      <c r="O58" s="154">
        <v>298177</v>
      </c>
      <c r="P58" s="4">
        <f t="shared" si="17"/>
        <v>14357469</v>
      </c>
      <c r="Q58" s="4">
        <f t="shared" si="18"/>
        <v>14357469</v>
      </c>
      <c r="R58" s="4">
        <f t="shared" si="19"/>
        <v>113948</v>
      </c>
      <c r="S58" s="4">
        <f t="shared" si="5"/>
        <v>1148596</v>
      </c>
      <c r="T58" s="155">
        <f>IF(ISNA(VLOOKUP(A58&amp;F58,'Days Exceptions'!$C$2:$I$3,7,FALSE)),ROUND(MAX(K58*Min_Occ,L58),0),VLOOKUP(A58&amp;F58,'Days Exceptions'!$C$2:$I$3,7,FALSE))</f>
        <v>37496</v>
      </c>
      <c r="U58" s="6">
        <f t="shared" si="20"/>
        <v>30.63</v>
      </c>
      <c r="V58" s="154"/>
      <c r="W58" s="136"/>
      <c r="X58" s="37"/>
      <c r="Y58" s="37"/>
      <c r="Z58" s="37"/>
      <c r="AA58" s="37"/>
      <c r="AB58" s="137"/>
      <c r="AC58" s="37"/>
      <c r="AD58" s="37"/>
    </row>
    <row r="59" spans="1:30" x14ac:dyDescent="0.15">
      <c r="A59" s="130">
        <v>48</v>
      </c>
      <c r="B59" s="37" t="s">
        <v>647</v>
      </c>
      <c r="C59" s="1" t="s">
        <v>125</v>
      </c>
      <c r="D59" s="5">
        <v>45108</v>
      </c>
      <c r="E59" s="5">
        <v>44958</v>
      </c>
      <c r="F59" s="5">
        <v>45291</v>
      </c>
      <c r="G59" s="1">
        <v>172</v>
      </c>
      <c r="H59" s="1">
        <v>334</v>
      </c>
      <c r="I59" s="154">
        <v>57448</v>
      </c>
      <c r="J59" s="154">
        <v>26521</v>
      </c>
      <c r="K59" s="4">
        <f t="shared" si="15"/>
        <v>62780</v>
      </c>
      <c r="L59" s="4">
        <f t="shared" si="16"/>
        <v>28983</v>
      </c>
      <c r="M59" s="154">
        <v>23410389</v>
      </c>
      <c r="N59" s="154">
        <v>24000</v>
      </c>
      <c r="O59" s="154">
        <v>381879</v>
      </c>
      <c r="P59" s="4">
        <f t="shared" si="17"/>
        <v>27920268</v>
      </c>
      <c r="Q59" s="4">
        <f t="shared" si="18"/>
        <v>27920268</v>
      </c>
      <c r="R59" s="4">
        <f t="shared" si="19"/>
        <v>162327</v>
      </c>
      <c r="S59" s="4">
        <f t="shared" si="5"/>
        <v>2233620</v>
      </c>
      <c r="T59" s="155">
        <f>IF(ISNA(VLOOKUP(A59&amp;F59,'Days Exceptions'!$C$2:$I$3,7,FALSE)),ROUND(MAX(K59*Min_Occ,L59),0),VLOOKUP(A59&amp;F59,'Days Exceptions'!$C$2:$I$3,7,FALSE))</f>
        <v>51185</v>
      </c>
      <c r="U59" s="6">
        <f t="shared" si="20"/>
        <v>43.64</v>
      </c>
      <c r="V59" s="154"/>
      <c r="W59" s="136"/>
      <c r="X59" s="37"/>
      <c r="Y59" s="37"/>
      <c r="Z59" s="37"/>
      <c r="AA59" s="37"/>
      <c r="AB59" s="137"/>
      <c r="AC59" s="37"/>
      <c r="AD59" s="37"/>
    </row>
    <row r="60" spans="1:30" x14ac:dyDescent="0.15">
      <c r="A60" s="130">
        <v>74</v>
      </c>
      <c r="B60" s="37" t="s">
        <v>205</v>
      </c>
      <c r="C60" s="1" t="s">
        <v>119</v>
      </c>
      <c r="D60" s="5">
        <v>45108</v>
      </c>
      <c r="E60" s="5">
        <v>44743</v>
      </c>
      <c r="F60" s="5">
        <v>45107</v>
      </c>
      <c r="G60" s="1">
        <v>190</v>
      </c>
      <c r="H60" s="1">
        <v>365</v>
      </c>
      <c r="I60" s="154">
        <v>69350</v>
      </c>
      <c r="J60" s="154">
        <v>59580</v>
      </c>
      <c r="K60" s="4">
        <f t="shared" si="15"/>
        <v>69350</v>
      </c>
      <c r="L60" s="4">
        <f t="shared" si="16"/>
        <v>59580</v>
      </c>
      <c r="M60" s="154">
        <v>54317350</v>
      </c>
      <c r="N60" s="154">
        <v>32500</v>
      </c>
      <c r="O60" s="154">
        <v>526317</v>
      </c>
      <c r="P60" s="4">
        <f t="shared" si="17"/>
        <v>61018667</v>
      </c>
      <c r="Q60" s="4">
        <f t="shared" si="18"/>
        <v>61018667</v>
      </c>
      <c r="R60" s="4">
        <f t="shared" si="19"/>
        <v>321151</v>
      </c>
      <c r="S60" s="4">
        <f t="shared" si="5"/>
        <v>2504002</v>
      </c>
      <c r="T60" s="155">
        <f>IF(ISNA(VLOOKUP(A60&amp;F60,'Days Exceptions'!$C$2:$I$3,7,FALSE)),ROUND(MAX(K60*Min_Occ,L60),0),VLOOKUP(A60&amp;F60,'Days Exceptions'!$C$2:$I$3,7,FALSE))</f>
        <v>59580</v>
      </c>
      <c r="U60" s="6">
        <f t="shared" si="20"/>
        <v>42.03</v>
      </c>
      <c r="V60" s="154"/>
      <c r="W60" s="136"/>
      <c r="X60" s="37"/>
      <c r="Y60" s="37"/>
      <c r="Z60" s="37"/>
      <c r="AA60" s="37"/>
      <c r="AB60" s="137"/>
      <c r="AC60" s="37"/>
      <c r="AD60" s="37"/>
    </row>
    <row r="61" spans="1:30" x14ac:dyDescent="0.15">
      <c r="A61" s="130">
        <v>78</v>
      </c>
      <c r="B61" s="37" t="s">
        <v>636</v>
      </c>
      <c r="C61" s="1" t="s">
        <v>111</v>
      </c>
      <c r="D61" s="5">
        <v>45108</v>
      </c>
      <c r="E61" s="5">
        <v>44927</v>
      </c>
      <c r="F61" s="5">
        <v>45291</v>
      </c>
      <c r="G61" s="1">
        <v>144</v>
      </c>
      <c r="H61" s="1">
        <v>365</v>
      </c>
      <c r="I61" s="154">
        <v>52560</v>
      </c>
      <c r="J61" s="154">
        <v>50277</v>
      </c>
      <c r="K61" s="4">
        <f t="shared" si="15"/>
        <v>52560</v>
      </c>
      <c r="L61" s="4">
        <f t="shared" si="16"/>
        <v>50277</v>
      </c>
      <c r="M61" s="154">
        <v>13467944</v>
      </c>
      <c r="N61" s="154">
        <v>17500</v>
      </c>
      <c r="O61" s="154">
        <v>92038</v>
      </c>
      <c r="P61" s="4">
        <f t="shared" si="17"/>
        <v>16079982</v>
      </c>
      <c r="Q61" s="4">
        <f t="shared" si="18"/>
        <v>16079982</v>
      </c>
      <c r="R61" s="4">
        <f t="shared" si="19"/>
        <v>111667</v>
      </c>
      <c r="S61" s="4">
        <f t="shared" si="5"/>
        <v>1286404</v>
      </c>
      <c r="T61" s="155">
        <f>IF(ISNA(VLOOKUP(A61&amp;F61,'Days Exceptions'!$C$2:$I$3,7,FALSE)),ROUND(MAX(K61*Min_Occ,L61),0),VLOOKUP(A61&amp;F61,'Days Exceptions'!$C$2:$I$3,7,FALSE))</f>
        <v>50277</v>
      </c>
      <c r="U61" s="6">
        <f t="shared" si="20"/>
        <v>25.59</v>
      </c>
      <c r="V61" s="154"/>
      <c r="W61" s="136"/>
      <c r="X61" s="37"/>
      <c r="Y61" s="37"/>
      <c r="Z61" s="37"/>
      <c r="AA61" s="37"/>
      <c r="AB61" s="137"/>
      <c r="AC61" s="37"/>
      <c r="AD61" s="37"/>
    </row>
    <row r="62" spans="1:30" x14ac:dyDescent="0.15">
      <c r="A62" s="130">
        <v>82</v>
      </c>
      <c r="B62" s="37" t="s">
        <v>638</v>
      </c>
      <c r="C62" s="1" t="s">
        <v>109</v>
      </c>
      <c r="D62" s="5">
        <v>45108</v>
      </c>
      <c r="E62" s="5">
        <v>44927</v>
      </c>
      <c r="F62" s="5">
        <v>45291</v>
      </c>
      <c r="G62" s="1">
        <v>93</v>
      </c>
      <c r="H62" s="1">
        <v>365</v>
      </c>
      <c r="I62" s="154">
        <v>33945</v>
      </c>
      <c r="J62" s="154">
        <v>29360</v>
      </c>
      <c r="K62" s="4">
        <f t="shared" si="15"/>
        <v>33945</v>
      </c>
      <c r="L62" s="4">
        <f t="shared" si="16"/>
        <v>29360</v>
      </c>
      <c r="M62" s="154">
        <v>9415658</v>
      </c>
      <c r="N62" s="154">
        <v>18500</v>
      </c>
      <c r="O62" s="154">
        <v>172806</v>
      </c>
      <c r="P62" s="4">
        <f t="shared" si="17"/>
        <v>11308964</v>
      </c>
      <c r="Q62" s="4">
        <f t="shared" si="18"/>
        <v>11308964</v>
      </c>
      <c r="R62" s="4">
        <f t="shared" si="19"/>
        <v>121602</v>
      </c>
      <c r="S62" s="4">
        <f t="shared" si="5"/>
        <v>904719</v>
      </c>
      <c r="T62" s="155">
        <f>IF(ISNA(VLOOKUP(A62&amp;F62,'Days Exceptions'!$C$2:$I$3,7,FALSE)),ROUND(MAX(K62*Min_Occ,L62),0),VLOOKUP(A62&amp;F62,'Days Exceptions'!$C$2:$I$3,7,FALSE))</f>
        <v>29360</v>
      </c>
      <c r="U62" s="6">
        <f t="shared" si="20"/>
        <v>30.81</v>
      </c>
      <c r="V62" s="154"/>
      <c r="W62" s="136"/>
      <c r="X62" s="37"/>
      <c r="Y62" s="37"/>
      <c r="Z62" s="37"/>
      <c r="AA62" s="37"/>
      <c r="AB62" s="137"/>
      <c r="AC62" s="37"/>
      <c r="AD62" s="37"/>
    </row>
    <row r="63" spans="1:30" x14ac:dyDescent="0.15">
      <c r="A63" s="130">
        <v>84</v>
      </c>
      <c r="B63" s="37" t="s">
        <v>201</v>
      </c>
      <c r="C63" s="1" t="s">
        <v>110</v>
      </c>
      <c r="D63" s="5">
        <v>45108</v>
      </c>
      <c r="E63" s="5">
        <v>44743</v>
      </c>
      <c r="F63" s="5">
        <v>45107</v>
      </c>
      <c r="G63" s="1">
        <v>103</v>
      </c>
      <c r="H63" s="1">
        <v>365</v>
      </c>
      <c r="I63" s="154">
        <v>37595</v>
      </c>
      <c r="J63" s="154">
        <v>23839</v>
      </c>
      <c r="K63" s="4">
        <f t="shared" si="15"/>
        <v>37595</v>
      </c>
      <c r="L63" s="4">
        <f t="shared" si="16"/>
        <v>23839</v>
      </c>
      <c r="M63" s="154">
        <v>15755437</v>
      </c>
      <c r="N63" s="154">
        <v>21000</v>
      </c>
      <c r="O63" s="154">
        <v>298088</v>
      </c>
      <c r="P63" s="4">
        <f t="shared" si="17"/>
        <v>18216525</v>
      </c>
      <c r="Q63" s="4">
        <f t="shared" si="18"/>
        <v>18216525</v>
      </c>
      <c r="R63" s="4">
        <f t="shared" si="19"/>
        <v>176859</v>
      </c>
      <c r="S63" s="4">
        <f t="shared" si="5"/>
        <v>1357433</v>
      </c>
      <c r="T63" s="155">
        <f>IF(ISNA(VLOOKUP(A63&amp;F63,'Days Exceptions'!$C$2:$I$3,7,FALSE)),ROUND(MAX(K63*Min_Occ,L63),0),VLOOKUP(A63&amp;F63,'Days Exceptions'!$C$2:$I$3,7,FALSE))</f>
        <v>30651</v>
      </c>
      <c r="U63" s="6">
        <f t="shared" si="20"/>
        <v>44.29</v>
      </c>
      <c r="V63" s="154"/>
      <c r="W63" s="136"/>
      <c r="X63" s="37"/>
      <c r="Y63" s="37"/>
      <c r="Z63" s="37"/>
      <c r="AA63" s="37"/>
      <c r="AB63" s="137"/>
      <c r="AC63" s="37"/>
      <c r="AD63" s="37"/>
    </row>
    <row r="64" spans="1:30" x14ac:dyDescent="0.15">
      <c r="A64" s="130">
        <v>90</v>
      </c>
      <c r="B64" s="37" t="s">
        <v>379</v>
      </c>
      <c r="C64" s="1" t="s">
        <v>107</v>
      </c>
      <c r="D64" s="5">
        <v>45108</v>
      </c>
      <c r="E64" s="5">
        <v>44927</v>
      </c>
      <c r="F64" s="5">
        <v>45291</v>
      </c>
      <c r="G64" s="1">
        <v>63</v>
      </c>
      <c r="H64" s="1">
        <v>365</v>
      </c>
      <c r="I64" s="154">
        <v>22995</v>
      </c>
      <c r="J64" s="154">
        <v>19045</v>
      </c>
      <c r="K64" s="4">
        <f t="shared" si="15"/>
        <v>22995</v>
      </c>
      <c r="L64" s="4">
        <f t="shared" si="16"/>
        <v>19045</v>
      </c>
      <c r="M64" s="154">
        <v>6586650</v>
      </c>
      <c r="N64" s="154">
        <v>21000</v>
      </c>
      <c r="O64" s="154">
        <v>84467</v>
      </c>
      <c r="P64" s="4">
        <f t="shared" si="17"/>
        <v>7994117</v>
      </c>
      <c r="Q64" s="4">
        <f t="shared" si="18"/>
        <v>7994117</v>
      </c>
      <c r="R64" s="4">
        <f t="shared" si="19"/>
        <v>126891</v>
      </c>
      <c r="S64" s="4">
        <f t="shared" si="5"/>
        <v>639531</v>
      </c>
      <c r="T64" s="155">
        <f>IF(ISNA(VLOOKUP(A64&amp;F64,'Days Exceptions'!$C$2:$I$3,7,FALSE)),ROUND(MAX(K64*Min_Occ,L64),0),VLOOKUP(A64&amp;F64,'Days Exceptions'!$C$2:$I$3,7,FALSE))</f>
        <v>19045</v>
      </c>
      <c r="U64" s="6">
        <f t="shared" si="20"/>
        <v>33.58</v>
      </c>
      <c r="V64" s="154"/>
      <c r="W64" s="136"/>
      <c r="X64" s="37"/>
      <c r="Y64" s="37"/>
      <c r="Z64" s="37"/>
      <c r="AA64" s="37"/>
      <c r="AB64" s="137"/>
      <c r="AC64" s="37"/>
      <c r="AD64" s="37"/>
    </row>
    <row r="65" spans="1:30" x14ac:dyDescent="0.15">
      <c r="A65" s="130">
        <v>92</v>
      </c>
      <c r="B65" s="37" t="s">
        <v>739</v>
      </c>
      <c r="C65" s="1" t="s">
        <v>112</v>
      </c>
      <c r="D65" s="5">
        <v>45108</v>
      </c>
      <c r="E65" s="5">
        <v>44743</v>
      </c>
      <c r="F65" s="5">
        <v>45107</v>
      </c>
      <c r="G65" s="1">
        <v>170</v>
      </c>
      <c r="H65" s="1">
        <v>365</v>
      </c>
      <c r="I65" s="154">
        <v>62050</v>
      </c>
      <c r="J65" s="154">
        <v>44768</v>
      </c>
      <c r="K65" s="4">
        <f t="shared" si="15"/>
        <v>62050</v>
      </c>
      <c r="L65" s="4">
        <f t="shared" si="16"/>
        <v>44768</v>
      </c>
      <c r="M65" s="154">
        <v>17818378</v>
      </c>
      <c r="N65" s="154">
        <v>17500</v>
      </c>
      <c r="O65" s="154">
        <v>511480</v>
      </c>
      <c r="P65" s="4">
        <f t="shared" si="17"/>
        <v>21304858</v>
      </c>
      <c r="Q65" s="4">
        <f t="shared" si="18"/>
        <v>21304858</v>
      </c>
      <c r="R65" s="4">
        <f t="shared" si="19"/>
        <v>125323</v>
      </c>
      <c r="S65" s="4">
        <f t="shared" si="5"/>
        <v>1704393</v>
      </c>
      <c r="T65" s="155">
        <f>IF(ISNA(VLOOKUP(A65&amp;F65,'Days Exceptions'!$C$2:$I$3,7,FALSE)),ROUND(MAX(K65*Min_Occ,L65),0),VLOOKUP(A65&amp;F65,'Days Exceptions'!$C$2:$I$3,7,FALSE))</f>
        <v>50589</v>
      </c>
      <c r="U65" s="6">
        <f t="shared" si="20"/>
        <v>33.69</v>
      </c>
      <c r="V65" s="154"/>
      <c r="W65" s="136"/>
      <c r="X65" s="37"/>
      <c r="Y65" s="37"/>
      <c r="Z65" s="37"/>
      <c r="AA65" s="37"/>
      <c r="AB65" s="137"/>
      <c r="AC65" s="37"/>
      <c r="AD65" s="37"/>
    </row>
    <row r="66" spans="1:30" x14ac:dyDescent="0.15">
      <c r="A66" s="130">
        <v>104</v>
      </c>
      <c r="B66" s="37" t="s">
        <v>678</v>
      </c>
      <c r="C66" s="1" t="s">
        <v>118</v>
      </c>
      <c r="D66" s="5">
        <v>45108</v>
      </c>
      <c r="E66" s="5">
        <v>45017</v>
      </c>
      <c r="F66" s="5">
        <v>45291</v>
      </c>
      <c r="G66" s="1">
        <v>92</v>
      </c>
      <c r="H66" s="1">
        <v>275</v>
      </c>
      <c r="I66" s="154">
        <v>25300</v>
      </c>
      <c r="J66" s="154">
        <v>19870</v>
      </c>
      <c r="K66" s="4">
        <f t="shared" si="15"/>
        <v>33580</v>
      </c>
      <c r="L66" s="4">
        <f t="shared" si="16"/>
        <v>26373</v>
      </c>
      <c r="M66" s="154">
        <v>8936554</v>
      </c>
      <c r="N66" s="154">
        <v>22000</v>
      </c>
      <c r="O66" s="154">
        <v>364170</v>
      </c>
      <c r="P66" s="4">
        <f t="shared" si="17"/>
        <v>11324724</v>
      </c>
      <c r="Q66" s="4">
        <f t="shared" si="18"/>
        <v>11324724</v>
      </c>
      <c r="R66" s="4">
        <f t="shared" si="19"/>
        <v>123095</v>
      </c>
      <c r="S66" s="4">
        <f t="shared" si="5"/>
        <v>905979</v>
      </c>
      <c r="T66" s="155">
        <f>IF(ISNA(VLOOKUP(A66&amp;F66,'Days Exceptions'!$C$2:$I$3,7,FALSE)),ROUND(MAX(K66*Min_Occ,L66),0),VLOOKUP(A66&amp;F66,'Days Exceptions'!$C$2:$I$3,7,FALSE))</f>
        <v>27378</v>
      </c>
      <c r="U66" s="6">
        <f t="shared" si="20"/>
        <v>33.090000000000003</v>
      </c>
      <c r="V66" s="154"/>
      <c r="W66" s="136"/>
      <c r="X66" s="37"/>
      <c r="Y66" s="37"/>
      <c r="Z66" s="37"/>
      <c r="AA66" s="37"/>
      <c r="AB66" s="137"/>
      <c r="AC66" s="37"/>
      <c r="AD66" s="37"/>
    </row>
    <row r="67" spans="1:30" x14ac:dyDescent="0.15">
      <c r="A67" s="130">
        <v>106</v>
      </c>
      <c r="B67" s="37" t="s">
        <v>203</v>
      </c>
      <c r="C67" s="1" t="s">
        <v>116</v>
      </c>
      <c r="D67" s="5">
        <v>45108</v>
      </c>
      <c r="E67" s="5">
        <v>44743</v>
      </c>
      <c r="F67" s="5">
        <v>45107</v>
      </c>
      <c r="G67" s="1">
        <v>184</v>
      </c>
      <c r="H67" s="1">
        <v>365</v>
      </c>
      <c r="I67" s="154">
        <v>67160</v>
      </c>
      <c r="J67" s="154">
        <v>38933</v>
      </c>
      <c r="K67" s="4">
        <f t="shared" si="15"/>
        <v>67160</v>
      </c>
      <c r="L67" s="4">
        <f t="shared" si="16"/>
        <v>38933</v>
      </c>
      <c r="M67" s="154">
        <v>20193245</v>
      </c>
      <c r="N67" s="154">
        <v>20000</v>
      </c>
      <c r="O67" s="154">
        <v>549050</v>
      </c>
      <c r="P67" s="4">
        <f t="shared" si="17"/>
        <v>24422295</v>
      </c>
      <c r="Q67" s="4">
        <f t="shared" si="18"/>
        <v>24422295</v>
      </c>
      <c r="R67" s="4">
        <f t="shared" si="19"/>
        <v>132730</v>
      </c>
      <c r="S67" s="4">
        <f t="shared" si="5"/>
        <v>1953786</v>
      </c>
      <c r="T67" s="155">
        <f>IF(ISNA(VLOOKUP(A67&amp;F67,'Days Exceptions'!$C$2:$I$3,7,FALSE)),ROUND(MAX(K67*Min_Occ,L67),0),VLOOKUP(A67&amp;F67,'Days Exceptions'!$C$2:$I$3,7,FALSE))</f>
        <v>54756</v>
      </c>
      <c r="U67" s="6">
        <f t="shared" si="20"/>
        <v>35.68</v>
      </c>
      <c r="V67" s="154"/>
      <c r="W67" s="136"/>
      <c r="X67" s="37"/>
      <c r="Y67" s="37"/>
      <c r="Z67" s="37"/>
      <c r="AA67" s="37"/>
      <c r="AB67" s="137"/>
      <c r="AC67" s="37"/>
      <c r="AD67" s="37"/>
    </row>
    <row r="68" spans="1:30" x14ac:dyDescent="0.15">
      <c r="A68" s="130">
        <v>108</v>
      </c>
      <c r="B68" s="37" t="s">
        <v>364</v>
      </c>
      <c r="C68" s="1" t="s">
        <v>114</v>
      </c>
      <c r="D68" s="5">
        <v>45108</v>
      </c>
      <c r="E68" s="5">
        <v>44743</v>
      </c>
      <c r="F68" s="5">
        <v>45107</v>
      </c>
      <c r="G68" s="1">
        <v>172</v>
      </c>
      <c r="H68" s="1">
        <v>365</v>
      </c>
      <c r="I68" s="154">
        <v>62780</v>
      </c>
      <c r="J68" s="154">
        <v>58244</v>
      </c>
      <c r="K68" s="4">
        <f t="shared" si="15"/>
        <v>62780</v>
      </c>
      <c r="L68" s="4">
        <f t="shared" si="16"/>
        <v>58244</v>
      </c>
      <c r="M68" s="154">
        <v>38040114</v>
      </c>
      <c r="N68" s="154">
        <v>20000</v>
      </c>
      <c r="O68" s="154">
        <v>793315</v>
      </c>
      <c r="P68" s="4">
        <f t="shared" si="17"/>
        <v>42273429</v>
      </c>
      <c r="Q68" s="4">
        <f t="shared" si="18"/>
        <v>42273429</v>
      </c>
      <c r="R68" s="4">
        <f t="shared" si="19"/>
        <v>245776</v>
      </c>
      <c r="S68" s="4">
        <f t="shared" ref="S68:S131" si="21">IF(C68="baltimore city",IF(R68&gt;FRV_amt,ROUND(FRV_amt*G68*0.1,0),ROUND(R68*G68*0.1,0)),IF(R68&gt;FRV_amt,ROUND(FRV_amt*G68*0.08,0),ROUND(R68*G68*0.08,0)))</f>
        <v>2266781</v>
      </c>
      <c r="T68" s="155">
        <f>IF(ISNA(VLOOKUP(A68&amp;F68,'Days Exceptions'!$C$2:$I$3,7,FALSE)),ROUND(MAX(K68*Min_Occ,L68),0),VLOOKUP(A68&amp;F68,'Days Exceptions'!$C$2:$I$3,7,FALSE))</f>
        <v>58244</v>
      </c>
      <c r="U68" s="6">
        <f t="shared" si="20"/>
        <v>38.92</v>
      </c>
      <c r="V68" s="154"/>
      <c r="W68" s="136"/>
      <c r="X68" s="37"/>
      <c r="Y68" s="37"/>
      <c r="Z68" s="37"/>
      <c r="AA68" s="37"/>
      <c r="AB68" s="137"/>
      <c r="AC68" s="37"/>
      <c r="AD68" s="37"/>
    </row>
    <row r="69" spans="1:30" x14ac:dyDescent="0.15">
      <c r="A69" s="130">
        <v>116</v>
      </c>
      <c r="B69" s="37" t="s">
        <v>586</v>
      </c>
      <c r="C69" s="1" t="s">
        <v>114</v>
      </c>
      <c r="D69" s="5">
        <v>45108</v>
      </c>
      <c r="E69" s="5">
        <v>44927</v>
      </c>
      <c r="F69" s="5">
        <v>45291</v>
      </c>
      <c r="G69" s="1">
        <v>130</v>
      </c>
      <c r="H69" s="1">
        <v>365</v>
      </c>
      <c r="I69" s="154">
        <v>47450</v>
      </c>
      <c r="J69" s="154">
        <v>41510</v>
      </c>
      <c r="K69" s="4">
        <f t="shared" si="15"/>
        <v>47450</v>
      </c>
      <c r="L69" s="4">
        <f t="shared" si="16"/>
        <v>41510</v>
      </c>
      <c r="M69" s="154">
        <v>20250232</v>
      </c>
      <c r="N69" s="154">
        <v>20000</v>
      </c>
      <c r="O69" s="154">
        <v>378502</v>
      </c>
      <c r="P69" s="4">
        <f t="shared" si="17"/>
        <v>23228734</v>
      </c>
      <c r="Q69" s="4">
        <f t="shared" si="18"/>
        <v>23228734</v>
      </c>
      <c r="R69" s="4">
        <f t="shared" si="19"/>
        <v>178683</v>
      </c>
      <c r="S69" s="4">
        <f t="shared" si="21"/>
        <v>1713265</v>
      </c>
      <c r="T69" s="155">
        <f>IF(ISNA(VLOOKUP(A69&amp;F69,'Days Exceptions'!$C$2:$I$3,7,FALSE)),ROUND(MAX(K69*Min_Occ,L69),0),VLOOKUP(A69&amp;F69,'Days Exceptions'!$C$2:$I$3,7,FALSE))</f>
        <v>41510</v>
      </c>
      <c r="U69" s="6">
        <f t="shared" si="20"/>
        <v>41.27</v>
      </c>
      <c r="V69" s="154"/>
      <c r="W69" s="136"/>
      <c r="X69" s="37"/>
      <c r="Y69" s="37"/>
      <c r="Z69" s="37"/>
      <c r="AA69" s="37"/>
      <c r="AB69" s="137"/>
      <c r="AC69" s="37"/>
      <c r="AD69" s="37"/>
    </row>
    <row r="70" spans="1:30" x14ac:dyDescent="0.15">
      <c r="A70" s="130">
        <v>118</v>
      </c>
      <c r="B70" s="37" t="s">
        <v>470</v>
      </c>
      <c r="C70" s="1" t="s">
        <v>119</v>
      </c>
      <c r="D70" s="5">
        <v>45108</v>
      </c>
      <c r="E70" s="5">
        <v>44927</v>
      </c>
      <c r="F70" s="5">
        <v>45291</v>
      </c>
      <c r="G70" s="1">
        <v>160</v>
      </c>
      <c r="H70" s="1">
        <v>365</v>
      </c>
      <c r="I70" s="154">
        <v>58400</v>
      </c>
      <c r="J70" s="154">
        <v>53915</v>
      </c>
      <c r="K70" s="4">
        <f t="shared" si="15"/>
        <v>58400</v>
      </c>
      <c r="L70" s="4">
        <f t="shared" si="16"/>
        <v>53915</v>
      </c>
      <c r="M70" s="154">
        <v>17656286</v>
      </c>
      <c r="N70" s="154">
        <v>27500</v>
      </c>
      <c r="O70" s="154">
        <v>155527</v>
      </c>
      <c r="P70" s="4">
        <f t="shared" si="17"/>
        <v>22211813</v>
      </c>
      <c r="Q70" s="4">
        <f t="shared" ref="Q70:Q132" si="22">+P70</f>
        <v>22211813</v>
      </c>
      <c r="R70" s="4">
        <f t="shared" si="19"/>
        <v>138824</v>
      </c>
      <c r="S70" s="4">
        <f t="shared" si="21"/>
        <v>1776947</v>
      </c>
      <c r="T70" s="155">
        <f>IF(ISNA(VLOOKUP(A70&amp;F70,'Days Exceptions'!$C$2:$I$3,7,FALSE)),ROUND(MAX(K70*Min_Occ,L70),0),VLOOKUP(A70&amp;F70,'Days Exceptions'!$C$2:$I$3,7,FALSE))</f>
        <v>53915</v>
      </c>
      <c r="U70" s="6">
        <f t="shared" ref="U70:U132" si="23">ROUND(S70/T70,2)</f>
        <v>32.96</v>
      </c>
      <c r="V70" s="154"/>
      <c r="W70" s="136"/>
      <c r="X70" s="37"/>
      <c r="Y70" s="37"/>
      <c r="Z70" s="37"/>
      <c r="AA70" s="37"/>
      <c r="AB70" s="137"/>
      <c r="AC70" s="37"/>
      <c r="AD70" s="37"/>
    </row>
    <row r="71" spans="1:30" x14ac:dyDescent="0.15">
      <c r="A71" s="130">
        <v>122</v>
      </c>
      <c r="B71" s="37" t="s">
        <v>634</v>
      </c>
      <c r="C71" s="1" t="s">
        <v>110</v>
      </c>
      <c r="D71" s="5">
        <v>45108</v>
      </c>
      <c r="E71" s="5">
        <v>44927</v>
      </c>
      <c r="F71" s="5">
        <v>45291</v>
      </c>
      <c r="G71" s="1">
        <v>118</v>
      </c>
      <c r="H71" s="1">
        <v>365</v>
      </c>
      <c r="I71" s="154">
        <v>43070</v>
      </c>
      <c r="J71" s="154">
        <v>37522</v>
      </c>
      <c r="K71" s="4">
        <f t="shared" si="15"/>
        <v>43070</v>
      </c>
      <c r="L71" s="4">
        <f t="shared" si="16"/>
        <v>37522</v>
      </c>
      <c r="M71" s="154">
        <v>11406843</v>
      </c>
      <c r="N71" s="154">
        <v>20000</v>
      </c>
      <c r="O71" s="154">
        <v>160076</v>
      </c>
      <c r="P71" s="4">
        <f t="shared" si="17"/>
        <v>13926919</v>
      </c>
      <c r="Q71" s="4">
        <f t="shared" si="22"/>
        <v>13926919</v>
      </c>
      <c r="R71" s="4">
        <f t="shared" si="19"/>
        <v>118025</v>
      </c>
      <c r="S71" s="4">
        <f t="shared" si="21"/>
        <v>1114156</v>
      </c>
      <c r="T71" s="155">
        <f>IF(ISNA(VLOOKUP(A71&amp;F71,'Days Exceptions'!$C$2:$I$3,7,FALSE)),ROUND(MAX(K71*Min_Occ,L71),0),VLOOKUP(A71&amp;F71,'Days Exceptions'!$C$2:$I$3,7,FALSE))</f>
        <v>37522</v>
      </c>
      <c r="U71" s="6">
        <f t="shared" si="23"/>
        <v>29.69</v>
      </c>
      <c r="V71" s="154"/>
      <c r="W71" s="136"/>
      <c r="X71" s="37"/>
      <c r="Y71" s="37"/>
      <c r="Z71" s="37"/>
      <c r="AA71" s="37"/>
      <c r="AB71" s="137"/>
      <c r="AC71" s="37"/>
      <c r="AD71" s="37"/>
    </row>
    <row r="72" spans="1:30" x14ac:dyDescent="0.15">
      <c r="A72" s="130">
        <v>124</v>
      </c>
      <c r="B72" s="37" t="s">
        <v>499</v>
      </c>
      <c r="C72" s="1" t="s">
        <v>110</v>
      </c>
      <c r="D72" s="5">
        <v>45108</v>
      </c>
      <c r="E72" s="5">
        <v>44927</v>
      </c>
      <c r="F72" s="5">
        <v>45351</v>
      </c>
      <c r="G72" s="1">
        <v>66</v>
      </c>
      <c r="H72" s="1">
        <v>425</v>
      </c>
      <c r="I72" s="154">
        <v>28050</v>
      </c>
      <c r="J72" s="154">
        <v>26313</v>
      </c>
      <c r="K72" s="4">
        <f t="shared" si="15"/>
        <v>24090</v>
      </c>
      <c r="L72" s="4">
        <f t="shared" si="16"/>
        <v>22598</v>
      </c>
      <c r="M72" s="154">
        <v>11876138</v>
      </c>
      <c r="N72" s="154">
        <v>22000</v>
      </c>
      <c r="O72" s="154">
        <v>164383</v>
      </c>
      <c r="P72" s="4">
        <f t="shared" si="17"/>
        <v>13492521</v>
      </c>
      <c r="Q72" s="4">
        <f t="shared" si="22"/>
        <v>13492521</v>
      </c>
      <c r="R72" s="4">
        <f t="shared" si="19"/>
        <v>204432</v>
      </c>
      <c r="S72" s="4">
        <f t="shared" si="21"/>
        <v>869811</v>
      </c>
      <c r="T72" s="155">
        <f>IF(ISNA(VLOOKUP(A72&amp;F72,'Days Exceptions'!$C$2:$I$3,7,FALSE)),ROUND(MAX(K72*Min_Occ,L72),0),VLOOKUP(A72&amp;F72,'Days Exceptions'!$C$2:$I$3,7,FALSE))</f>
        <v>22598</v>
      </c>
      <c r="U72" s="6">
        <f t="shared" si="23"/>
        <v>38.49</v>
      </c>
      <c r="V72" s="154"/>
      <c r="W72" s="136"/>
      <c r="X72" s="37"/>
      <c r="Y72" s="37"/>
      <c r="Z72" s="37"/>
      <c r="AA72" s="37"/>
      <c r="AB72" s="137"/>
      <c r="AC72" s="37"/>
      <c r="AD72" s="37"/>
    </row>
    <row r="73" spans="1:30" x14ac:dyDescent="0.15">
      <c r="A73" s="130">
        <v>126</v>
      </c>
      <c r="B73" s="37" t="s">
        <v>548</v>
      </c>
      <c r="C73" s="1" t="s">
        <v>121</v>
      </c>
      <c r="D73" s="5">
        <v>45108</v>
      </c>
      <c r="E73" s="5">
        <v>44927</v>
      </c>
      <c r="F73" s="5">
        <v>45291</v>
      </c>
      <c r="G73" s="1">
        <v>120</v>
      </c>
      <c r="H73" s="1">
        <v>365</v>
      </c>
      <c r="I73" s="154">
        <v>43800</v>
      </c>
      <c r="J73" s="154">
        <v>36811</v>
      </c>
      <c r="K73" s="4">
        <f t="shared" si="15"/>
        <v>43800</v>
      </c>
      <c r="L73" s="4">
        <f t="shared" si="16"/>
        <v>36811</v>
      </c>
      <c r="M73" s="154">
        <v>12215905</v>
      </c>
      <c r="N73" s="154">
        <v>22000</v>
      </c>
      <c r="O73" s="154">
        <v>288693</v>
      </c>
      <c r="P73" s="4">
        <f t="shared" si="17"/>
        <v>15144598</v>
      </c>
      <c r="Q73" s="4">
        <f t="shared" si="22"/>
        <v>15144598</v>
      </c>
      <c r="R73" s="4">
        <f t="shared" si="19"/>
        <v>126205</v>
      </c>
      <c r="S73" s="4">
        <f t="shared" si="21"/>
        <v>1211568</v>
      </c>
      <c r="T73" s="155">
        <f>IF(ISNA(VLOOKUP(A73&amp;F73,'Days Exceptions'!$C$2:$I$3,7,FALSE)),ROUND(MAX(K73*Min_Occ,L73),0),VLOOKUP(A73&amp;F73,'Days Exceptions'!$C$2:$I$3,7,FALSE))</f>
        <v>36811</v>
      </c>
      <c r="U73" s="6">
        <f t="shared" si="23"/>
        <v>32.909999999999997</v>
      </c>
      <c r="V73" s="154"/>
      <c r="W73" s="136"/>
      <c r="X73" s="37"/>
      <c r="Y73" s="37"/>
      <c r="Z73" s="37"/>
      <c r="AA73" s="37"/>
      <c r="AB73" s="137"/>
      <c r="AC73" s="37"/>
      <c r="AD73" s="37"/>
    </row>
    <row r="74" spans="1:30" x14ac:dyDescent="0.15">
      <c r="A74" s="130">
        <v>146</v>
      </c>
      <c r="B74" s="37" t="s">
        <v>176</v>
      </c>
      <c r="C74" s="1" t="s">
        <v>105</v>
      </c>
      <c r="D74" s="5">
        <v>45108</v>
      </c>
      <c r="E74" s="5">
        <v>44927</v>
      </c>
      <c r="F74" s="5">
        <v>45291</v>
      </c>
      <c r="G74" s="1">
        <v>66</v>
      </c>
      <c r="H74" s="1">
        <v>365</v>
      </c>
      <c r="I74" s="154">
        <v>24090</v>
      </c>
      <c r="J74" s="154">
        <v>23419</v>
      </c>
      <c r="K74" s="4">
        <f t="shared" si="15"/>
        <v>24090</v>
      </c>
      <c r="L74" s="4">
        <f t="shared" si="16"/>
        <v>23419</v>
      </c>
      <c r="M74" s="154">
        <v>11266982</v>
      </c>
      <c r="N74" s="154">
        <v>11000</v>
      </c>
      <c r="O74" s="154">
        <v>167069</v>
      </c>
      <c r="P74" s="4">
        <f t="shared" si="17"/>
        <v>12160051</v>
      </c>
      <c r="Q74" s="4">
        <f t="shared" si="22"/>
        <v>12160051</v>
      </c>
      <c r="R74" s="4">
        <f t="shared" si="19"/>
        <v>184243</v>
      </c>
      <c r="S74" s="4">
        <f t="shared" si="21"/>
        <v>869811</v>
      </c>
      <c r="T74" s="155">
        <f>IF(ISNA(VLOOKUP(A74&amp;F74,'Days Exceptions'!$C$2:$I$3,7,FALSE)),ROUND(MAX(K74*Min_Occ,L74),0),VLOOKUP(A74&amp;F74,'Days Exceptions'!$C$2:$I$3,7,FALSE))</f>
        <v>23419</v>
      </c>
      <c r="U74" s="6">
        <f t="shared" si="23"/>
        <v>37.14</v>
      </c>
      <c r="V74" s="154"/>
      <c r="W74" s="136"/>
      <c r="X74" s="37"/>
      <c r="Y74" s="37"/>
      <c r="Z74" s="37"/>
      <c r="AA74" s="37"/>
      <c r="AB74" s="137"/>
      <c r="AC74" s="37"/>
      <c r="AD74" s="37"/>
    </row>
    <row r="75" spans="1:30" x14ac:dyDescent="0.15">
      <c r="A75" s="130">
        <v>150</v>
      </c>
      <c r="B75" s="37" t="s">
        <v>224</v>
      </c>
      <c r="C75" s="1" t="s">
        <v>125</v>
      </c>
      <c r="D75" s="5">
        <v>45108</v>
      </c>
      <c r="E75" s="5">
        <v>44927</v>
      </c>
      <c r="F75" s="5">
        <v>45291</v>
      </c>
      <c r="G75" s="1">
        <v>101</v>
      </c>
      <c r="H75" s="1">
        <v>365</v>
      </c>
      <c r="I75" s="154">
        <v>36412</v>
      </c>
      <c r="J75" s="154">
        <v>27573</v>
      </c>
      <c r="K75" s="4">
        <f t="shared" si="15"/>
        <v>36412</v>
      </c>
      <c r="L75" s="4">
        <f t="shared" si="16"/>
        <v>27573</v>
      </c>
      <c r="M75" s="154">
        <v>10982585</v>
      </c>
      <c r="N75" s="154">
        <v>17500</v>
      </c>
      <c r="O75" s="154">
        <v>149434</v>
      </c>
      <c r="P75" s="4">
        <f t="shared" si="17"/>
        <v>12899519</v>
      </c>
      <c r="Q75" s="4">
        <f t="shared" si="22"/>
        <v>12899519</v>
      </c>
      <c r="R75" s="4">
        <f t="shared" si="19"/>
        <v>127718</v>
      </c>
      <c r="S75" s="4">
        <f t="shared" si="21"/>
        <v>1031961</v>
      </c>
      <c r="T75" s="155">
        <f>IF(ISNA(VLOOKUP(A75&amp;F75,'Days Exceptions'!$C$2:$I$3,7,FALSE)),ROUND(MAX(K75*Min_Occ,L75),0),VLOOKUP(A75&amp;F75,'Days Exceptions'!$C$2:$I$3,7,FALSE))</f>
        <v>29687</v>
      </c>
      <c r="U75" s="6">
        <f t="shared" si="23"/>
        <v>34.76</v>
      </c>
      <c r="V75" s="154"/>
      <c r="W75" s="136"/>
      <c r="X75" s="37"/>
      <c r="Y75" s="37"/>
      <c r="Z75" s="37"/>
      <c r="AA75" s="37"/>
      <c r="AB75" s="137"/>
      <c r="AC75" s="37"/>
      <c r="AD75" s="37"/>
    </row>
    <row r="76" spans="1:30" x14ac:dyDescent="0.15">
      <c r="A76" s="130">
        <v>154</v>
      </c>
      <c r="B76" s="37" t="s">
        <v>491</v>
      </c>
      <c r="C76" s="1" t="s">
        <v>119</v>
      </c>
      <c r="D76" s="5">
        <v>45108</v>
      </c>
      <c r="E76" s="5">
        <v>44927</v>
      </c>
      <c r="F76" s="5">
        <v>45291</v>
      </c>
      <c r="G76" s="1">
        <v>138</v>
      </c>
      <c r="H76" s="1">
        <v>365</v>
      </c>
      <c r="I76" s="154">
        <v>50370</v>
      </c>
      <c r="J76" s="154">
        <v>42395</v>
      </c>
      <c r="K76" s="4">
        <f t="shared" si="15"/>
        <v>50370</v>
      </c>
      <c r="L76" s="4">
        <f t="shared" si="16"/>
        <v>42395</v>
      </c>
      <c r="M76" s="154">
        <v>11522126</v>
      </c>
      <c r="N76" s="154">
        <v>28000</v>
      </c>
      <c r="O76" s="154">
        <v>246487</v>
      </c>
      <c r="P76" s="4">
        <f t="shared" si="17"/>
        <v>15632613</v>
      </c>
      <c r="Q76" s="4">
        <f t="shared" si="22"/>
        <v>15632613</v>
      </c>
      <c r="R76" s="4">
        <f t="shared" si="19"/>
        <v>113280</v>
      </c>
      <c r="S76" s="4">
        <f t="shared" si="21"/>
        <v>1250611</v>
      </c>
      <c r="T76" s="155">
        <f>IF(ISNA(VLOOKUP(A76&amp;F76,'Days Exceptions'!$C$2:$I$3,7,FALSE)),ROUND(MAX(K76*Min_Occ,L76),0),VLOOKUP(A76&amp;F76,'Days Exceptions'!$C$2:$I$3,7,FALSE))</f>
        <v>42395</v>
      </c>
      <c r="U76" s="6">
        <f t="shared" si="23"/>
        <v>29.5</v>
      </c>
      <c r="V76" s="154"/>
      <c r="W76" s="136"/>
      <c r="X76" s="37"/>
      <c r="Y76" s="37"/>
      <c r="Z76" s="37"/>
      <c r="AA76" s="37"/>
      <c r="AB76" s="137"/>
      <c r="AC76" s="37"/>
      <c r="AD76" s="37"/>
    </row>
    <row r="77" spans="1:30" x14ac:dyDescent="0.15">
      <c r="A77" s="130">
        <v>174</v>
      </c>
      <c r="B77" s="37" t="s">
        <v>221</v>
      </c>
      <c r="C77" s="1" t="s">
        <v>119</v>
      </c>
      <c r="D77" s="5">
        <v>45108</v>
      </c>
      <c r="E77" s="5">
        <v>44743</v>
      </c>
      <c r="F77" s="5">
        <v>45107</v>
      </c>
      <c r="G77" s="1">
        <v>82</v>
      </c>
      <c r="H77" s="1">
        <v>365</v>
      </c>
      <c r="I77" s="154">
        <v>29930</v>
      </c>
      <c r="J77" s="154">
        <v>20772</v>
      </c>
      <c r="K77" s="4">
        <f t="shared" si="15"/>
        <v>29930</v>
      </c>
      <c r="L77" s="4">
        <f t="shared" si="16"/>
        <v>20772</v>
      </c>
      <c r="M77" s="154">
        <v>11161830</v>
      </c>
      <c r="N77" s="154">
        <v>35000</v>
      </c>
      <c r="O77" s="154">
        <v>216637</v>
      </c>
      <c r="P77" s="4">
        <f t="shared" si="17"/>
        <v>14248467</v>
      </c>
      <c r="Q77" s="4">
        <f t="shared" si="22"/>
        <v>14248467</v>
      </c>
      <c r="R77" s="4">
        <f t="shared" si="19"/>
        <v>173762</v>
      </c>
      <c r="S77" s="4">
        <f t="shared" si="21"/>
        <v>1080675</v>
      </c>
      <c r="T77" s="155">
        <f>IF(ISNA(VLOOKUP(A77&amp;F77,'Days Exceptions'!$C$2:$I$3,7,FALSE)),ROUND(MAX(K77*Min_Occ,L77),0),VLOOKUP(A77&amp;F77,'Days Exceptions'!$C$2:$I$3,7,FALSE))</f>
        <v>24402</v>
      </c>
      <c r="U77" s="6">
        <f t="shared" si="23"/>
        <v>44.29</v>
      </c>
      <c r="V77" s="154"/>
      <c r="W77" s="136"/>
      <c r="X77" s="37"/>
      <c r="Y77" s="37"/>
      <c r="Z77" s="37"/>
      <c r="AA77" s="37"/>
      <c r="AB77" s="137"/>
      <c r="AC77" s="37"/>
      <c r="AD77" s="37"/>
    </row>
    <row r="78" spans="1:30" x14ac:dyDescent="0.15">
      <c r="A78" s="130">
        <v>184</v>
      </c>
      <c r="B78" s="37" t="s">
        <v>175</v>
      </c>
      <c r="C78" s="1" t="s">
        <v>106</v>
      </c>
      <c r="D78" s="5">
        <v>45108</v>
      </c>
      <c r="E78" s="5">
        <v>44927</v>
      </c>
      <c r="F78" s="5">
        <v>45291</v>
      </c>
      <c r="G78" s="1">
        <v>152</v>
      </c>
      <c r="H78" s="1">
        <v>365</v>
      </c>
      <c r="I78" s="154">
        <v>55480</v>
      </c>
      <c r="J78" s="154">
        <v>51072</v>
      </c>
      <c r="K78" s="4">
        <f t="shared" si="15"/>
        <v>55480</v>
      </c>
      <c r="L78" s="4">
        <f t="shared" si="16"/>
        <v>51072</v>
      </c>
      <c r="M78" s="154">
        <v>13169920</v>
      </c>
      <c r="N78" s="154">
        <v>24000</v>
      </c>
      <c r="O78" s="154">
        <v>383898</v>
      </c>
      <c r="P78" s="4">
        <f t="shared" si="17"/>
        <v>17201818</v>
      </c>
      <c r="Q78" s="4">
        <f t="shared" si="22"/>
        <v>17201818</v>
      </c>
      <c r="R78" s="4">
        <f t="shared" si="19"/>
        <v>113170</v>
      </c>
      <c r="S78" s="4">
        <f t="shared" si="21"/>
        <v>1376147</v>
      </c>
      <c r="T78" s="155">
        <f>IF(ISNA(VLOOKUP(A78&amp;F78,'Days Exceptions'!$C$2:$I$3,7,FALSE)),ROUND(MAX(K78*Min_Occ,L78),0),VLOOKUP(A78&amp;F78,'Days Exceptions'!$C$2:$I$3,7,FALSE))</f>
        <v>51072</v>
      </c>
      <c r="U78" s="6">
        <f t="shared" si="23"/>
        <v>26.95</v>
      </c>
      <c r="V78" s="154"/>
      <c r="W78" s="136"/>
      <c r="X78" s="37"/>
      <c r="Y78" s="37"/>
      <c r="Z78" s="37"/>
      <c r="AA78" s="37"/>
      <c r="AB78" s="137"/>
      <c r="AC78" s="37"/>
      <c r="AD78" s="37"/>
    </row>
    <row r="79" spans="1:30" x14ac:dyDescent="0.15">
      <c r="A79" s="130">
        <v>192</v>
      </c>
      <c r="B79" s="37" t="s">
        <v>39</v>
      </c>
      <c r="C79" s="1" t="s">
        <v>120</v>
      </c>
      <c r="D79" s="5">
        <v>45108</v>
      </c>
      <c r="E79" s="5">
        <v>44927</v>
      </c>
      <c r="F79" s="5">
        <v>45291</v>
      </c>
      <c r="G79" s="1">
        <v>180</v>
      </c>
      <c r="H79" s="1">
        <v>365</v>
      </c>
      <c r="I79" s="154">
        <v>65700</v>
      </c>
      <c r="J79" s="154">
        <v>58454</v>
      </c>
      <c r="K79" s="4">
        <f t="shared" si="15"/>
        <v>65700</v>
      </c>
      <c r="L79" s="4">
        <f t="shared" si="16"/>
        <v>58454</v>
      </c>
      <c r="M79" s="154">
        <v>20092820</v>
      </c>
      <c r="N79" s="154">
        <v>20000</v>
      </c>
      <c r="O79" s="154">
        <v>626570</v>
      </c>
      <c r="P79" s="4">
        <f t="shared" si="17"/>
        <v>24319390</v>
      </c>
      <c r="Q79" s="4">
        <f t="shared" si="22"/>
        <v>24319390</v>
      </c>
      <c r="R79" s="4">
        <f t="shared" si="19"/>
        <v>135108</v>
      </c>
      <c r="S79" s="4">
        <f t="shared" si="21"/>
        <v>1945555</v>
      </c>
      <c r="T79" s="155">
        <f>IF(ISNA(VLOOKUP(A79&amp;F79,'Days Exceptions'!$C$2:$I$3,7,FALSE)),ROUND(MAX(K79*Min_Occ,L79),0),VLOOKUP(A79&amp;F79,'Days Exceptions'!$C$2:$I$3,7,FALSE))</f>
        <v>58454</v>
      </c>
      <c r="U79" s="6">
        <f t="shared" si="23"/>
        <v>33.28</v>
      </c>
      <c r="V79" s="154"/>
      <c r="W79" s="136"/>
      <c r="X79" s="37"/>
      <c r="Y79" s="37"/>
      <c r="Z79" s="37"/>
      <c r="AA79" s="37"/>
      <c r="AB79" s="137"/>
      <c r="AC79" s="37"/>
      <c r="AD79" s="37"/>
    </row>
    <row r="80" spans="1:30" x14ac:dyDescent="0.15">
      <c r="A80" s="130">
        <v>198</v>
      </c>
      <c r="B80" s="37" t="s">
        <v>551</v>
      </c>
      <c r="C80" s="1" t="s">
        <v>114</v>
      </c>
      <c r="D80" s="5">
        <v>45108</v>
      </c>
      <c r="E80" s="5">
        <v>44927</v>
      </c>
      <c r="F80" s="5">
        <v>45291</v>
      </c>
      <c r="G80" s="1">
        <v>124</v>
      </c>
      <c r="H80" s="1">
        <v>365</v>
      </c>
      <c r="I80" s="154">
        <v>45260</v>
      </c>
      <c r="J80" s="154">
        <v>40399</v>
      </c>
      <c r="K80" s="4">
        <f t="shared" si="15"/>
        <v>45260</v>
      </c>
      <c r="L80" s="4">
        <f t="shared" si="16"/>
        <v>40399</v>
      </c>
      <c r="M80" s="154">
        <v>18103226</v>
      </c>
      <c r="N80" s="154">
        <v>20000</v>
      </c>
      <c r="O80" s="154">
        <v>270199</v>
      </c>
      <c r="P80" s="4">
        <f t="shared" si="17"/>
        <v>20853425</v>
      </c>
      <c r="Q80" s="4">
        <f t="shared" si="22"/>
        <v>20853425</v>
      </c>
      <c r="R80" s="4">
        <f t="shared" si="19"/>
        <v>168173</v>
      </c>
      <c r="S80" s="4">
        <f t="shared" si="21"/>
        <v>1634191</v>
      </c>
      <c r="T80" s="155">
        <f>IF(ISNA(VLOOKUP(A80&amp;F80,'Days Exceptions'!$C$2:$I$3,7,FALSE)),ROUND(MAX(K80*Min_Occ,L80),0),VLOOKUP(A80&amp;F80,'Days Exceptions'!$C$2:$I$3,7,FALSE))</f>
        <v>40399</v>
      </c>
      <c r="U80" s="6">
        <f t="shared" si="23"/>
        <v>40.450000000000003</v>
      </c>
      <c r="V80" s="154"/>
      <c r="W80" s="136"/>
      <c r="X80" s="37"/>
      <c r="Y80" s="37"/>
      <c r="Z80" s="37"/>
      <c r="AA80" s="37"/>
      <c r="AB80" s="137"/>
      <c r="AC80" s="37"/>
      <c r="AD80" s="37"/>
    </row>
    <row r="81" spans="1:30" x14ac:dyDescent="0.15">
      <c r="A81" s="130">
        <v>208</v>
      </c>
      <c r="B81" s="37" t="s">
        <v>367</v>
      </c>
      <c r="C81" s="1" t="s">
        <v>102</v>
      </c>
      <c r="D81" s="5">
        <v>45108</v>
      </c>
      <c r="E81" s="5">
        <v>44927</v>
      </c>
      <c r="F81" s="5">
        <v>45291</v>
      </c>
      <c r="G81" s="1">
        <v>146</v>
      </c>
      <c r="H81" s="1">
        <v>365</v>
      </c>
      <c r="I81" s="154">
        <v>53290</v>
      </c>
      <c r="J81" s="154">
        <v>48710</v>
      </c>
      <c r="K81" s="4">
        <f t="shared" si="15"/>
        <v>53290</v>
      </c>
      <c r="L81" s="4">
        <f t="shared" si="16"/>
        <v>48710</v>
      </c>
      <c r="M81" s="154">
        <v>16743086</v>
      </c>
      <c r="N81" s="154">
        <v>19000</v>
      </c>
      <c r="O81" s="154">
        <v>237684</v>
      </c>
      <c r="P81" s="4">
        <f t="shared" si="17"/>
        <v>19754770</v>
      </c>
      <c r="Q81" s="4">
        <f t="shared" si="22"/>
        <v>19754770</v>
      </c>
      <c r="R81" s="4">
        <f t="shared" si="19"/>
        <v>135307</v>
      </c>
      <c r="S81" s="4">
        <f t="shared" si="21"/>
        <v>1975482</v>
      </c>
      <c r="T81" s="155">
        <f>IF(ISNA(VLOOKUP(A81&amp;F81,'Days Exceptions'!$C$2:$I$3,7,FALSE)),ROUND(MAX(K81*Min_Occ,L81),0),VLOOKUP(A81&amp;F81,'Days Exceptions'!$C$2:$I$3,7,FALSE))</f>
        <v>48710</v>
      </c>
      <c r="U81" s="6">
        <f t="shared" si="23"/>
        <v>40.56</v>
      </c>
      <c r="V81" s="154"/>
      <c r="W81" s="136"/>
      <c r="X81" s="37"/>
      <c r="Y81" s="37"/>
      <c r="Z81" s="37"/>
      <c r="AA81" s="37"/>
      <c r="AB81" s="137"/>
      <c r="AC81" s="37"/>
      <c r="AD81" s="37"/>
    </row>
    <row r="82" spans="1:30" x14ac:dyDescent="0.15">
      <c r="A82" s="130">
        <v>210</v>
      </c>
      <c r="B82" s="37" t="s">
        <v>173</v>
      </c>
      <c r="C82" s="1" t="s">
        <v>115</v>
      </c>
      <c r="D82" s="5">
        <v>45108</v>
      </c>
      <c r="E82" s="5">
        <v>44652</v>
      </c>
      <c r="F82" s="5">
        <v>45016</v>
      </c>
      <c r="G82" s="1">
        <v>108</v>
      </c>
      <c r="H82" s="1">
        <v>365</v>
      </c>
      <c r="I82" s="154">
        <v>39420</v>
      </c>
      <c r="J82" s="154">
        <v>37182</v>
      </c>
      <c r="K82" s="4">
        <f t="shared" si="15"/>
        <v>39420</v>
      </c>
      <c r="L82" s="4">
        <f t="shared" si="16"/>
        <v>37182</v>
      </c>
      <c r="M82" s="154">
        <v>16454341</v>
      </c>
      <c r="N82" s="154">
        <v>14500</v>
      </c>
      <c r="O82" s="154">
        <v>258970</v>
      </c>
      <c r="P82" s="4">
        <f t="shared" si="17"/>
        <v>18279311</v>
      </c>
      <c r="Q82" s="4">
        <f t="shared" si="22"/>
        <v>18279311</v>
      </c>
      <c r="R82" s="4">
        <f t="shared" si="19"/>
        <v>169253</v>
      </c>
      <c r="S82" s="4">
        <f t="shared" si="21"/>
        <v>1423328</v>
      </c>
      <c r="T82" s="155">
        <f>IF(ISNA(VLOOKUP(A82&amp;F82,'Days Exceptions'!$C$2:$I$3,7,FALSE)),ROUND(MAX(K82*Min_Occ,L82),0),VLOOKUP(A82&amp;F82,'Days Exceptions'!$C$2:$I$3,7,FALSE))</f>
        <v>37182</v>
      </c>
      <c r="U82" s="6">
        <f t="shared" si="23"/>
        <v>38.28</v>
      </c>
      <c r="V82" s="154"/>
      <c r="W82" s="136"/>
      <c r="X82" s="37"/>
      <c r="Y82" s="37"/>
      <c r="Z82" s="37"/>
      <c r="AA82" s="37"/>
      <c r="AB82" s="137"/>
      <c r="AC82" s="37"/>
      <c r="AD82" s="37"/>
    </row>
    <row r="83" spans="1:30" x14ac:dyDescent="0.15">
      <c r="A83" s="130">
        <v>224</v>
      </c>
      <c r="B83" s="37" t="s">
        <v>466</v>
      </c>
      <c r="C83" s="1" t="s">
        <v>102</v>
      </c>
      <c r="D83" s="5">
        <v>45108</v>
      </c>
      <c r="E83" s="5">
        <v>44927</v>
      </c>
      <c r="F83" s="5">
        <v>45291</v>
      </c>
      <c r="G83" s="1">
        <v>82</v>
      </c>
      <c r="H83" s="1">
        <v>365</v>
      </c>
      <c r="I83" s="154">
        <v>29930</v>
      </c>
      <c r="J83" s="154">
        <v>28074</v>
      </c>
      <c r="K83" s="4">
        <f t="shared" si="15"/>
        <v>29930</v>
      </c>
      <c r="L83" s="4">
        <f t="shared" si="16"/>
        <v>28074</v>
      </c>
      <c r="M83" s="154">
        <v>8329256</v>
      </c>
      <c r="N83" s="154">
        <v>21000</v>
      </c>
      <c r="O83" s="154">
        <v>185065</v>
      </c>
      <c r="P83" s="4">
        <f t="shared" si="17"/>
        <v>10236321</v>
      </c>
      <c r="Q83" s="4">
        <f t="shared" si="22"/>
        <v>10236321</v>
      </c>
      <c r="R83" s="4">
        <f t="shared" si="19"/>
        <v>124833</v>
      </c>
      <c r="S83" s="4">
        <f t="shared" si="21"/>
        <v>1023631</v>
      </c>
      <c r="T83" s="155">
        <f>IF(ISNA(VLOOKUP(A83&amp;F83,'Days Exceptions'!$C$2:$I$3,7,FALSE)),ROUND(MAX(K83*Min_Occ,L83),0),VLOOKUP(A83&amp;F83,'Days Exceptions'!$C$2:$I$3,7,FALSE))</f>
        <v>28074</v>
      </c>
      <c r="U83" s="6">
        <f t="shared" si="23"/>
        <v>36.46</v>
      </c>
      <c r="V83" s="154"/>
      <c r="W83" s="136"/>
      <c r="X83" s="37"/>
      <c r="Y83" s="37"/>
      <c r="Z83" s="37"/>
      <c r="AA83" s="37"/>
      <c r="AB83" s="137"/>
      <c r="AC83" s="37"/>
      <c r="AD83" s="37"/>
    </row>
    <row r="84" spans="1:30" x14ac:dyDescent="0.15">
      <c r="A84" s="130">
        <v>226</v>
      </c>
      <c r="B84" s="37" t="s">
        <v>496</v>
      </c>
      <c r="C84" s="1" t="s">
        <v>120</v>
      </c>
      <c r="D84" s="5">
        <v>45108</v>
      </c>
      <c r="E84" s="5">
        <v>44927</v>
      </c>
      <c r="F84" s="5">
        <v>45291</v>
      </c>
      <c r="G84" s="1">
        <v>160</v>
      </c>
      <c r="H84" s="1">
        <v>365</v>
      </c>
      <c r="I84" s="154">
        <v>58400</v>
      </c>
      <c r="J84" s="154">
        <v>56547</v>
      </c>
      <c r="K84" s="4">
        <f t="shared" si="15"/>
        <v>58400</v>
      </c>
      <c r="L84" s="4">
        <f t="shared" si="16"/>
        <v>56547</v>
      </c>
      <c r="M84" s="154">
        <v>13124197</v>
      </c>
      <c r="N84" s="154">
        <v>21000</v>
      </c>
      <c r="O84" s="154">
        <v>306044</v>
      </c>
      <c r="P84" s="4">
        <f t="shared" si="17"/>
        <v>16790241</v>
      </c>
      <c r="Q84" s="4">
        <f t="shared" si="22"/>
        <v>16790241</v>
      </c>
      <c r="R84" s="4">
        <f t="shared" si="19"/>
        <v>104939</v>
      </c>
      <c r="S84" s="4">
        <f t="shared" si="21"/>
        <v>1343219</v>
      </c>
      <c r="T84" s="155">
        <f>IF(ISNA(VLOOKUP(A84&amp;F84,'Days Exceptions'!$C$2:$I$3,7,FALSE)),ROUND(MAX(K84*Min_Occ,L84),0),VLOOKUP(A84&amp;F84,'Days Exceptions'!$C$2:$I$3,7,FALSE))</f>
        <v>56547</v>
      </c>
      <c r="U84" s="6">
        <f t="shared" si="23"/>
        <v>23.75</v>
      </c>
      <c r="V84" s="154"/>
      <c r="W84" s="136"/>
      <c r="X84" s="37"/>
      <c r="Y84" s="37"/>
      <c r="Z84" s="37"/>
      <c r="AA84" s="37"/>
      <c r="AB84" s="137"/>
      <c r="AC84" s="37"/>
      <c r="AD84" s="37"/>
    </row>
    <row r="85" spans="1:30" x14ac:dyDescent="0.15">
      <c r="A85" s="130">
        <v>228</v>
      </c>
      <c r="B85" s="37" t="s">
        <v>495</v>
      </c>
      <c r="C85" s="1" t="s">
        <v>120</v>
      </c>
      <c r="D85" s="5">
        <v>45108</v>
      </c>
      <c r="E85" s="5">
        <v>44927</v>
      </c>
      <c r="F85" s="5">
        <v>45291</v>
      </c>
      <c r="G85" s="1">
        <v>170</v>
      </c>
      <c r="H85" s="1">
        <v>365</v>
      </c>
      <c r="I85" s="154">
        <v>62050</v>
      </c>
      <c r="J85" s="154">
        <v>59639</v>
      </c>
      <c r="K85" s="4">
        <f t="shared" si="15"/>
        <v>62050</v>
      </c>
      <c r="L85" s="4">
        <f t="shared" si="16"/>
        <v>59639</v>
      </c>
      <c r="M85" s="154">
        <v>15167074</v>
      </c>
      <c r="N85" s="154">
        <v>22000</v>
      </c>
      <c r="O85" s="154">
        <v>394609</v>
      </c>
      <c r="P85" s="4">
        <f t="shared" si="17"/>
        <v>19301683</v>
      </c>
      <c r="Q85" s="4">
        <f t="shared" si="22"/>
        <v>19301683</v>
      </c>
      <c r="R85" s="4">
        <f t="shared" si="19"/>
        <v>113539</v>
      </c>
      <c r="S85" s="4">
        <f t="shared" si="21"/>
        <v>1544130</v>
      </c>
      <c r="T85" s="155">
        <f>IF(ISNA(VLOOKUP(A85&amp;F85,'Days Exceptions'!$C$2:$I$3,7,FALSE)),ROUND(MAX(K85*Min_Occ,L85),0),VLOOKUP(A85&amp;F85,'Days Exceptions'!$C$2:$I$3,7,FALSE))</f>
        <v>59639</v>
      </c>
      <c r="U85" s="6">
        <f t="shared" si="23"/>
        <v>25.89</v>
      </c>
      <c r="V85" s="154"/>
      <c r="W85" s="136"/>
      <c r="X85" s="37"/>
      <c r="Y85" s="37"/>
      <c r="Z85" s="37"/>
      <c r="AA85" s="37"/>
      <c r="AB85" s="137"/>
      <c r="AC85" s="37"/>
      <c r="AD85" s="37"/>
    </row>
    <row r="86" spans="1:30" x14ac:dyDescent="0.15">
      <c r="A86" s="130">
        <v>242</v>
      </c>
      <c r="B86" s="37" t="s">
        <v>200</v>
      </c>
      <c r="C86" s="1" t="s">
        <v>114</v>
      </c>
      <c r="D86" s="5">
        <v>45108</v>
      </c>
      <c r="E86" s="5">
        <v>44927</v>
      </c>
      <c r="F86" s="5">
        <v>45291</v>
      </c>
      <c r="G86" s="1">
        <v>120</v>
      </c>
      <c r="H86" s="1">
        <v>365</v>
      </c>
      <c r="I86" s="154">
        <v>43800</v>
      </c>
      <c r="J86" s="154">
        <v>30788</v>
      </c>
      <c r="K86" s="4">
        <f t="shared" si="15"/>
        <v>43800</v>
      </c>
      <c r="L86" s="4">
        <f t="shared" si="16"/>
        <v>30788</v>
      </c>
      <c r="M86" s="154">
        <v>19518014</v>
      </c>
      <c r="N86" s="154">
        <v>21000</v>
      </c>
      <c r="O86" s="154">
        <v>416501</v>
      </c>
      <c r="P86" s="4">
        <f t="shared" si="17"/>
        <v>22454515</v>
      </c>
      <c r="Q86" s="4">
        <f t="shared" si="22"/>
        <v>22454515</v>
      </c>
      <c r="R86" s="4">
        <f t="shared" si="19"/>
        <v>187121</v>
      </c>
      <c r="S86" s="4">
        <f t="shared" si="21"/>
        <v>1581475</v>
      </c>
      <c r="T86" s="155">
        <f>IF(ISNA(VLOOKUP(A86&amp;F86,'Days Exceptions'!$C$2:$I$3,7,FALSE)),ROUND(MAX(K86*Min_Occ,L86),0),VLOOKUP(A86&amp;F86,'Days Exceptions'!$C$2:$I$3,7,FALSE))</f>
        <v>35710</v>
      </c>
      <c r="U86" s="6">
        <f t="shared" si="23"/>
        <v>44.29</v>
      </c>
      <c r="V86" s="154"/>
      <c r="W86" s="136"/>
      <c r="X86" s="37"/>
      <c r="Y86" s="37"/>
      <c r="Z86" s="37"/>
      <c r="AA86" s="37"/>
      <c r="AB86" s="137"/>
      <c r="AC86" s="37"/>
      <c r="AD86" s="37"/>
    </row>
    <row r="87" spans="1:30" x14ac:dyDescent="0.15">
      <c r="A87" s="130">
        <v>248</v>
      </c>
      <c r="B87" s="37" t="s">
        <v>592</v>
      </c>
      <c r="C87" s="1" t="s">
        <v>107</v>
      </c>
      <c r="D87" s="5">
        <v>45108</v>
      </c>
      <c r="E87" s="5">
        <v>44743</v>
      </c>
      <c r="F87" s="5">
        <v>45107</v>
      </c>
      <c r="G87" s="1">
        <v>130</v>
      </c>
      <c r="H87" s="1">
        <v>365</v>
      </c>
      <c r="I87" s="154">
        <v>47450</v>
      </c>
      <c r="J87" s="154">
        <v>41995</v>
      </c>
      <c r="K87" s="4">
        <f t="shared" ref="K87:K118" si="24">IF(OR(H87=365,H87=366),I87,ROUND(I87*(365/$H87),0))</f>
        <v>47450</v>
      </c>
      <c r="L87" s="4">
        <f t="shared" ref="L87:L118" si="25">IF(OR(H87=365,H87=366),J87,ROUND(J87*(365/$H87),0))</f>
        <v>41995</v>
      </c>
      <c r="M87" s="154">
        <v>9761352</v>
      </c>
      <c r="N87" s="154">
        <v>17500</v>
      </c>
      <c r="O87" s="154">
        <v>156309</v>
      </c>
      <c r="P87" s="4">
        <f t="shared" ref="P87:P118" si="26">ROUND(M87+(N87*G87)+O87,0)</f>
        <v>12192661</v>
      </c>
      <c r="Q87" s="4">
        <f t="shared" si="22"/>
        <v>12192661</v>
      </c>
      <c r="R87" s="4">
        <f t="shared" ref="R87:R118" si="27">IF(Q87="","",ROUND(Q87/G87,0))</f>
        <v>93790</v>
      </c>
      <c r="S87" s="4">
        <f t="shared" si="21"/>
        <v>975416</v>
      </c>
      <c r="T87" s="155">
        <f>IF(ISNA(VLOOKUP(A87&amp;F87,'Days Exceptions'!$C$2:$I$3,7,FALSE)),ROUND(MAX(K87*Min_Occ,L87),0),VLOOKUP(A87&amp;F87,'Days Exceptions'!$C$2:$I$3,7,FALSE))</f>
        <v>41995</v>
      </c>
      <c r="U87" s="6">
        <f t="shared" si="23"/>
        <v>23.23</v>
      </c>
      <c r="V87" s="154"/>
      <c r="W87" s="136"/>
      <c r="X87" s="37"/>
      <c r="Y87" s="37"/>
      <c r="Z87" s="37"/>
      <c r="AA87" s="37"/>
      <c r="AB87" s="137"/>
      <c r="AC87" s="37"/>
      <c r="AD87" s="37"/>
    </row>
    <row r="88" spans="1:30" x14ac:dyDescent="0.15">
      <c r="A88" s="130">
        <v>250</v>
      </c>
      <c r="B88" s="37" t="s">
        <v>319</v>
      </c>
      <c r="C88" s="1" t="s">
        <v>107</v>
      </c>
      <c r="D88" s="5">
        <v>45108</v>
      </c>
      <c r="E88" s="5">
        <v>44927</v>
      </c>
      <c r="F88" s="5">
        <v>45291</v>
      </c>
      <c r="G88" s="1">
        <v>151</v>
      </c>
      <c r="H88" s="1">
        <v>365</v>
      </c>
      <c r="I88" s="154">
        <v>55115</v>
      </c>
      <c r="J88" s="154">
        <v>50774</v>
      </c>
      <c r="K88" s="4">
        <f t="shared" si="24"/>
        <v>55115</v>
      </c>
      <c r="L88" s="4">
        <f t="shared" si="25"/>
        <v>50774</v>
      </c>
      <c r="M88" s="154">
        <v>19473610</v>
      </c>
      <c r="N88" s="154">
        <v>21000</v>
      </c>
      <c r="O88" s="154">
        <v>506775</v>
      </c>
      <c r="P88" s="4">
        <f t="shared" si="26"/>
        <v>23151385</v>
      </c>
      <c r="Q88" s="4">
        <f t="shared" si="22"/>
        <v>23151385</v>
      </c>
      <c r="R88" s="4">
        <f t="shared" si="27"/>
        <v>153320</v>
      </c>
      <c r="S88" s="4">
        <f t="shared" si="21"/>
        <v>1852106</v>
      </c>
      <c r="T88" s="155">
        <f>IF(ISNA(VLOOKUP(A88&amp;F88,'Days Exceptions'!$C$2:$I$3,7,FALSE)),ROUND(MAX(K88*Min_Occ,L88),0),VLOOKUP(A88&amp;F88,'Days Exceptions'!$C$2:$I$3,7,FALSE))</f>
        <v>50774</v>
      </c>
      <c r="U88" s="6">
        <f t="shared" si="23"/>
        <v>36.479999999999997</v>
      </c>
      <c r="V88" s="154"/>
      <c r="W88" s="136"/>
      <c r="X88" s="37"/>
      <c r="Y88" s="37"/>
      <c r="Z88" s="37"/>
      <c r="AA88" s="37"/>
      <c r="AB88" s="137"/>
      <c r="AC88" s="37"/>
      <c r="AD88" s="37"/>
    </row>
    <row r="89" spans="1:30" x14ac:dyDescent="0.15">
      <c r="A89" s="130">
        <v>254</v>
      </c>
      <c r="B89" s="37" t="s">
        <v>378</v>
      </c>
      <c r="C89" s="1" t="s">
        <v>125</v>
      </c>
      <c r="D89" s="5">
        <v>45108</v>
      </c>
      <c r="E89" s="5">
        <v>44927</v>
      </c>
      <c r="F89" s="5">
        <v>45291</v>
      </c>
      <c r="G89" s="1">
        <v>131</v>
      </c>
      <c r="H89" s="1">
        <v>365</v>
      </c>
      <c r="I89" s="154">
        <v>47815</v>
      </c>
      <c r="J89" s="154">
        <v>35423</v>
      </c>
      <c r="K89" s="4">
        <f t="shared" si="24"/>
        <v>47815</v>
      </c>
      <c r="L89" s="4">
        <f t="shared" si="25"/>
        <v>35423</v>
      </c>
      <c r="M89" s="154">
        <v>16781157</v>
      </c>
      <c r="N89" s="154">
        <v>17000</v>
      </c>
      <c r="O89" s="154">
        <v>301426</v>
      </c>
      <c r="P89" s="4">
        <f t="shared" si="26"/>
        <v>19309583</v>
      </c>
      <c r="Q89" s="4">
        <f t="shared" si="22"/>
        <v>19309583</v>
      </c>
      <c r="R89" s="4">
        <f t="shared" si="27"/>
        <v>147401</v>
      </c>
      <c r="S89" s="4">
        <f t="shared" si="21"/>
        <v>1544762</v>
      </c>
      <c r="T89" s="155">
        <f>IF(ISNA(VLOOKUP(A89&amp;F89,'Days Exceptions'!$C$2:$I$3,7,FALSE)),ROUND(MAX(K89*Min_Occ,L89),0),VLOOKUP(A89&amp;F89,'Days Exceptions'!$C$2:$I$3,7,FALSE))</f>
        <v>38984</v>
      </c>
      <c r="U89" s="6">
        <f t="shared" si="23"/>
        <v>39.630000000000003</v>
      </c>
      <c r="V89" s="154"/>
      <c r="W89" s="136"/>
      <c r="X89" s="37"/>
      <c r="Y89" s="37"/>
      <c r="Z89" s="37"/>
      <c r="AA89" s="37"/>
      <c r="AB89" s="137"/>
      <c r="AC89" s="37"/>
      <c r="AD89" s="37"/>
    </row>
    <row r="90" spans="1:30" x14ac:dyDescent="0.15">
      <c r="A90" s="130">
        <v>256</v>
      </c>
      <c r="B90" s="37" t="s">
        <v>228</v>
      </c>
      <c r="C90" s="1" t="s">
        <v>119</v>
      </c>
      <c r="D90" s="5">
        <v>45108</v>
      </c>
      <c r="E90" s="5">
        <v>44743</v>
      </c>
      <c r="F90" s="5">
        <v>45107</v>
      </c>
      <c r="G90" s="1">
        <v>140</v>
      </c>
      <c r="H90" s="1">
        <v>365</v>
      </c>
      <c r="I90" s="154">
        <v>51100</v>
      </c>
      <c r="J90" s="154">
        <v>48004</v>
      </c>
      <c r="K90" s="4">
        <f t="shared" si="24"/>
        <v>51100</v>
      </c>
      <c r="L90" s="4">
        <f t="shared" si="25"/>
        <v>48004</v>
      </c>
      <c r="M90" s="154">
        <v>13132945</v>
      </c>
      <c r="N90" s="154">
        <v>28500</v>
      </c>
      <c r="O90" s="154">
        <v>295399</v>
      </c>
      <c r="P90" s="4">
        <f t="shared" si="26"/>
        <v>17418344</v>
      </c>
      <c r="Q90" s="4">
        <f t="shared" si="22"/>
        <v>17418344</v>
      </c>
      <c r="R90" s="4">
        <f t="shared" si="27"/>
        <v>124417</v>
      </c>
      <c r="S90" s="4">
        <f t="shared" si="21"/>
        <v>1393470</v>
      </c>
      <c r="T90" s="155">
        <f>IF(ISNA(VLOOKUP(A90&amp;F90,'Days Exceptions'!$C$2:$I$3,7,FALSE)),ROUND(MAX(K90*Min_Occ,L90),0),VLOOKUP(A90&amp;F90,'Days Exceptions'!$C$2:$I$3,7,FALSE))</f>
        <v>48004</v>
      </c>
      <c r="U90" s="6">
        <f t="shared" si="23"/>
        <v>29.03</v>
      </c>
      <c r="V90" s="154"/>
      <c r="W90" s="136"/>
      <c r="X90" s="37"/>
      <c r="Y90" s="37"/>
      <c r="Z90" s="37"/>
      <c r="AA90" s="37"/>
      <c r="AB90" s="137"/>
      <c r="AC90" s="37"/>
      <c r="AD90" s="37"/>
    </row>
    <row r="91" spans="1:30" x14ac:dyDescent="0.15">
      <c r="A91" s="130">
        <v>258</v>
      </c>
      <c r="B91" s="37" t="s">
        <v>204</v>
      </c>
      <c r="C91" s="1" t="s">
        <v>102</v>
      </c>
      <c r="D91" s="5">
        <v>45108</v>
      </c>
      <c r="E91" s="5">
        <v>44743</v>
      </c>
      <c r="F91" s="5">
        <v>45107</v>
      </c>
      <c r="G91" s="1">
        <v>242</v>
      </c>
      <c r="H91" s="1">
        <v>365</v>
      </c>
      <c r="I91" s="154">
        <v>88330</v>
      </c>
      <c r="J91" s="154">
        <v>60437</v>
      </c>
      <c r="K91" s="4">
        <f t="shared" si="24"/>
        <v>88330</v>
      </c>
      <c r="L91" s="4">
        <f t="shared" si="25"/>
        <v>60437</v>
      </c>
      <c r="M91" s="154">
        <v>44323647</v>
      </c>
      <c r="N91" s="154">
        <v>18000</v>
      </c>
      <c r="O91" s="154">
        <v>430044</v>
      </c>
      <c r="P91" s="4">
        <f t="shared" si="26"/>
        <v>49109691</v>
      </c>
      <c r="Q91" s="4">
        <f t="shared" si="22"/>
        <v>49109691</v>
      </c>
      <c r="R91" s="4">
        <f t="shared" si="27"/>
        <v>202933</v>
      </c>
      <c r="S91" s="4">
        <f t="shared" si="21"/>
        <v>3986635</v>
      </c>
      <c r="T91" s="155">
        <f>IF(ISNA(VLOOKUP(A91&amp;F91,'Days Exceptions'!$C$2:$I$3,7,FALSE)),ROUND(MAX(K91*Min_Occ,L91),0),VLOOKUP(A91&amp;F91,'Days Exceptions'!$C$2:$I$3,7,FALSE))</f>
        <v>72015</v>
      </c>
      <c r="U91" s="6">
        <f t="shared" si="23"/>
        <v>55.36</v>
      </c>
      <c r="V91" s="154"/>
      <c r="W91" s="136"/>
      <c r="X91" s="37"/>
      <c r="Y91" s="37"/>
      <c r="Z91" s="37"/>
      <c r="AA91" s="37"/>
      <c r="AB91" s="137"/>
      <c r="AC91" s="37"/>
      <c r="AD91" s="37"/>
    </row>
    <row r="92" spans="1:30" x14ac:dyDescent="0.15">
      <c r="A92" s="130">
        <v>282</v>
      </c>
      <c r="B92" s="37" t="s">
        <v>555</v>
      </c>
      <c r="C92" s="1" t="s">
        <v>102</v>
      </c>
      <c r="D92" s="5">
        <v>45108</v>
      </c>
      <c r="E92" s="5">
        <v>44927</v>
      </c>
      <c r="F92" s="5">
        <v>45291</v>
      </c>
      <c r="G92" s="1">
        <v>135</v>
      </c>
      <c r="H92" s="1">
        <v>365</v>
      </c>
      <c r="I92" s="154">
        <v>49275</v>
      </c>
      <c r="J92" s="154">
        <v>37059</v>
      </c>
      <c r="K92" s="4">
        <f t="shared" si="24"/>
        <v>49275</v>
      </c>
      <c r="L92" s="4">
        <f t="shared" si="25"/>
        <v>37059</v>
      </c>
      <c r="M92" s="154">
        <v>11134821</v>
      </c>
      <c r="N92" s="154">
        <v>22000</v>
      </c>
      <c r="O92" s="154">
        <v>203327</v>
      </c>
      <c r="P92" s="4">
        <f t="shared" si="26"/>
        <v>14308148</v>
      </c>
      <c r="Q92" s="4">
        <f t="shared" si="22"/>
        <v>14308148</v>
      </c>
      <c r="R92" s="4">
        <f t="shared" si="27"/>
        <v>105986</v>
      </c>
      <c r="S92" s="4">
        <f t="shared" si="21"/>
        <v>1430811</v>
      </c>
      <c r="T92" s="155">
        <f>IF(ISNA(VLOOKUP(A92&amp;F92,'Days Exceptions'!$C$2:$I$3,7,FALSE)),ROUND(MAX(K92*Min_Occ,L92),0),VLOOKUP(A92&amp;F92,'Days Exceptions'!$C$2:$I$3,7,FALSE))</f>
        <v>40174</v>
      </c>
      <c r="U92" s="6">
        <f t="shared" si="23"/>
        <v>35.619999999999997</v>
      </c>
      <c r="V92" s="154"/>
      <c r="W92" s="136"/>
      <c r="X92" s="37"/>
      <c r="Y92" s="37"/>
      <c r="Z92" s="37"/>
      <c r="AA92" s="37"/>
      <c r="AB92" s="137"/>
      <c r="AC92" s="37"/>
      <c r="AD92" s="37"/>
    </row>
    <row r="93" spans="1:30" x14ac:dyDescent="0.15">
      <c r="A93" s="130">
        <v>286</v>
      </c>
      <c r="B93" s="37" t="s">
        <v>37</v>
      </c>
      <c r="C93" s="1" t="s">
        <v>117</v>
      </c>
      <c r="D93" s="5">
        <v>45108</v>
      </c>
      <c r="E93" s="5">
        <v>44743</v>
      </c>
      <c r="F93" s="5">
        <v>45107</v>
      </c>
      <c r="G93" s="1">
        <v>205</v>
      </c>
      <c r="H93" s="1">
        <v>365</v>
      </c>
      <c r="I93" s="154">
        <v>74825</v>
      </c>
      <c r="J93" s="154">
        <v>59138</v>
      </c>
      <c r="K93" s="4">
        <f t="shared" si="24"/>
        <v>74825</v>
      </c>
      <c r="L93" s="4">
        <f t="shared" si="25"/>
        <v>59138</v>
      </c>
      <c r="M93" s="154">
        <v>29012548</v>
      </c>
      <c r="N93" s="154">
        <v>24000</v>
      </c>
      <c r="O93" s="154">
        <v>619261</v>
      </c>
      <c r="P93" s="4">
        <f t="shared" si="26"/>
        <v>34551809</v>
      </c>
      <c r="Q93" s="4">
        <f t="shared" si="22"/>
        <v>34551809</v>
      </c>
      <c r="R93" s="4">
        <f t="shared" si="27"/>
        <v>168545</v>
      </c>
      <c r="S93" s="4">
        <f t="shared" si="21"/>
        <v>2701687</v>
      </c>
      <c r="T93" s="155">
        <f>IF(ISNA(VLOOKUP(A93&amp;F93,'Days Exceptions'!$C$2:$I$3,7,FALSE)),ROUND(MAX(K93*Min_Occ,L93),0),VLOOKUP(A93&amp;F93,'Days Exceptions'!$C$2:$I$3,7,FALSE))</f>
        <v>61005</v>
      </c>
      <c r="U93" s="6">
        <f t="shared" si="23"/>
        <v>44.29</v>
      </c>
      <c r="V93" s="154"/>
      <c r="W93" s="136"/>
      <c r="X93" s="37"/>
      <c r="Y93" s="37"/>
      <c r="Z93" s="37"/>
      <c r="AA93" s="37"/>
      <c r="AB93" s="137"/>
      <c r="AC93" s="37"/>
      <c r="AD93" s="37"/>
    </row>
    <row r="94" spans="1:30" x14ac:dyDescent="0.15">
      <c r="A94" s="130">
        <v>294</v>
      </c>
      <c r="B94" s="37" t="s">
        <v>468</v>
      </c>
      <c r="C94" s="1" t="s">
        <v>102</v>
      </c>
      <c r="D94" s="5">
        <v>45108</v>
      </c>
      <c r="E94" s="5">
        <v>44927</v>
      </c>
      <c r="F94" s="5">
        <v>45291</v>
      </c>
      <c r="G94" s="1">
        <v>225</v>
      </c>
      <c r="H94" s="1">
        <v>365</v>
      </c>
      <c r="I94" s="154">
        <v>82125</v>
      </c>
      <c r="J94" s="154">
        <v>75694</v>
      </c>
      <c r="K94" s="4">
        <f t="shared" si="24"/>
        <v>82125</v>
      </c>
      <c r="L94" s="4">
        <f t="shared" si="25"/>
        <v>75694</v>
      </c>
      <c r="M94" s="154">
        <v>25086294</v>
      </c>
      <c r="N94" s="154">
        <v>20000</v>
      </c>
      <c r="O94" s="154">
        <v>470031</v>
      </c>
      <c r="P94" s="4">
        <f t="shared" si="26"/>
        <v>30056325</v>
      </c>
      <c r="Q94" s="4">
        <f t="shared" si="22"/>
        <v>30056325</v>
      </c>
      <c r="R94" s="4">
        <f t="shared" si="27"/>
        <v>133584</v>
      </c>
      <c r="S94" s="4">
        <f t="shared" si="21"/>
        <v>3005640</v>
      </c>
      <c r="T94" s="155">
        <f>IF(ISNA(VLOOKUP(A94&amp;F94,'Days Exceptions'!$C$2:$I$3,7,FALSE)),ROUND(MAX(K94*Min_Occ,L94),0),VLOOKUP(A94&amp;F94,'Days Exceptions'!$C$2:$I$3,7,FALSE))</f>
        <v>75694</v>
      </c>
      <c r="U94" s="6">
        <f t="shared" si="23"/>
        <v>39.71</v>
      </c>
      <c r="V94" s="154"/>
      <c r="W94" s="136"/>
      <c r="X94" s="37"/>
      <c r="Y94" s="37"/>
      <c r="Z94" s="37"/>
      <c r="AA94" s="37"/>
      <c r="AB94" s="137"/>
      <c r="AC94" s="37"/>
      <c r="AD94" s="37"/>
    </row>
    <row r="95" spans="1:30" x14ac:dyDescent="0.15">
      <c r="A95" s="130">
        <v>306</v>
      </c>
      <c r="B95" s="37" t="s">
        <v>701</v>
      </c>
      <c r="C95" s="1" t="s">
        <v>119</v>
      </c>
      <c r="D95" s="5">
        <v>45108</v>
      </c>
      <c r="E95" s="5">
        <v>45170</v>
      </c>
      <c r="F95" s="5">
        <v>45291</v>
      </c>
      <c r="G95" s="1">
        <v>158</v>
      </c>
      <c r="H95" s="1">
        <v>122</v>
      </c>
      <c r="I95" s="154">
        <v>19276</v>
      </c>
      <c r="J95" s="154">
        <v>17683</v>
      </c>
      <c r="K95" s="4">
        <f t="shared" si="24"/>
        <v>57670</v>
      </c>
      <c r="L95" s="4">
        <f t="shared" si="25"/>
        <v>52904</v>
      </c>
      <c r="M95" s="154">
        <v>26102973</v>
      </c>
      <c r="N95" s="154">
        <v>29500</v>
      </c>
      <c r="O95" s="154">
        <v>313397</v>
      </c>
      <c r="P95" s="4">
        <f t="shared" si="26"/>
        <v>31077370</v>
      </c>
      <c r="Q95" s="4">
        <f t="shared" si="22"/>
        <v>31077370</v>
      </c>
      <c r="R95" s="4">
        <f t="shared" si="27"/>
        <v>196692</v>
      </c>
      <c r="S95" s="4">
        <f t="shared" si="21"/>
        <v>2082276</v>
      </c>
      <c r="T95" s="155">
        <f>IF(ISNA(VLOOKUP(A95&amp;F95,'Days Exceptions'!$C$2:$I$3,7,FALSE)),ROUND(MAX(K95*Min_Occ,L95),0),VLOOKUP(A95&amp;F95,'Days Exceptions'!$C$2:$I$3,7,FALSE))</f>
        <v>52904</v>
      </c>
      <c r="U95" s="6">
        <f t="shared" si="23"/>
        <v>39.36</v>
      </c>
      <c r="V95" s="154"/>
      <c r="W95" s="136"/>
      <c r="X95" s="37"/>
      <c r="Y95" s="37"/>
      <c r="Z95" s="37"/>
      <c r="AA95" s="37"/>
      <c r="AB95" s="137"/>
      <c r="AC95" s="37"/>
      <c r="AD95" s="37"/>
    </row>
    <row r="96" spans="1:30" x14ac:dyDescent="0.15">
      <c r="A96" s="130">
        <v>310</v>
      </c>
      <c r="B96" s="37" t="s">
        <v>693</v>
      </c>
      <c r="C96" s="1" t="s">
        <v>119</v>
      </c>
      <c r="D96" s="5">
        <v>45108</v>
      </c>
      <c r="E96" s="5">
        <v>45078</v>
      </c>
      <c r="F96" s="5">
        <v>45291</v>
      </c>
      <c r="G96" s="1">
        <v>172</v>
      </c>
      <c r="H96" s="1">
        <v>214</v>
      </c>
      <c r="I96" s="154">
        <v>36808</v>
      </c>
      <c r="J96" s="154">
        <v>29836</v>
      </c>
      <c r="K96" s="4">
        <f t="shared" si="24"/>
        <v>62780</v>
      </c>
      <c r="L96" s="4">
        <f t="shared" si="25"/>
        <v>50889</v>
      </c>
      <c r="M96" s="154">
        <v>16265171</v>
      </c>
      <c r="N96" s="154">
        <v>32500</v>
      </c>
      <c r="O96" s="154">
        <v>420611</v>
      </c>
      <c r="P96" s="4">
        <f t="shared" si="26"/>
        <v>22275782</v>
      </c>
      <c r="Q96" s="4">
        <f t="shared" si="22"/>
        <v>22275782</v>
      </c>
      <c r="R96" s="4">
        <f t="shared" si="27"/>
        <v>129510</v>
      </c>
      <c r="S96" s="4">
        <f t="shared" si="21"/>
        <v>1782058</v>
      </c>
      <c r="T96" s="155">
        <f>IF(ISNA(VLOOKUP(A96&amp;F96,'Days Exceptions'!$C$2:$I$3,7,FALSE)),ROUND(MAX(K96*Min_Occ,L96),0),VLOOKUP(A96&amp;F96,'Days Exceptions'!$C$2:$I$3,7,FALSE))</f>
        <v>51185</v>
      </c>
      <c r="U96" s="6">
        <f t="shared" si="23"/>
        <v>34.82</v>
      </c>
      <c r="V96" s="154"/>
      <c r="W96" s="136"/>
      <c r="X96" s="37"/>
      <c r="Y96" s="37"/>
      <c r="Z96" s="37"/>
      <c r="AA96" s="37"/>
      <c r="AB96" s="137"/>
      <c r="AC96" s="37"/>
      <c r="AD96" s="37"/>
    </row>
    <row r="97" spans="1:30" x14ac:dyDescent="0.15">
      <c r="A97" s="130">
        <v>312</v>
      </c>
      <c r="B97" s="37" t="s">
        <v>497</v>
      </c>
      <c r="C97" s="1" t="s">
        <v>120</v>
      </c>
      <c r="D97" s="5">
        <v>45108</v>
      </c>
      <c r="E97" s="5">
        <v>44927</v>
      </c>
      <c r="F97" s="5">
        <v>45291</v>
      </c>
      <c r="G97" s="1">
        <v>130</v>
      </c>
      <c r="H97" s="1">
        <v>365</v>
      </c>
      <c r="I97" s="154">
        <v>47450</v>
      </c>
      <c r="J97" s="154">
        <v>45938</v>
      </c>
      <c r="K97" s="4">
        <f t="shared" si="24"/>
        <v>47450</v>
      </c>
      <c r="L97" s="4">
        <f t="shared" si="25"/>
        <v>45938</v>
      </c>
      <c r="M97" s="154">
        <v>10658465</v>
      </c>
      <c r="N97" s="154">
        <v>22000</v>
      </c>
      <c r="O97" s="154">
        <v>241807</v>
      </c>
      <c r="P97" s="4">
        <f t="shared" si="26"/>
        <v>13760272</v>
      </c>
      <c r="Q97" s="4">
        <f t="shared" si="22"/>
        <v>13760272</v>
      </c>
      <c r="R97" s="4">
        <f t="shared" si="27"/>
        <v>105848</v>
      </c>
      <c r="S97" s="4">
        <f t="shared" si="21"/>
        <v>1100819</v>
      </c>
      <c r="T97" s="155">
        <f>IF(ISNA(VLOOKUP(A97&amp;F97,'Days Exceptions'!$C$2:$I$3,7,FALSE)),ROUND(MAX(K97*Min_Occ,L97),0),VLOOKUP(A97&amp;F97,'Days Exceptions'!$C$2:$I$3,7,FALSE))</f>
        <v>45938</v>
      </c>
      <c r="U97" s="6">
        <f t="shared" si="23"/>
        <v>23.96</v>
      </c>
      <c r="V97" s="154"/>
      <c r="W97" s="136"/>
      <c r="X97" s="37"/>
      <c r="Y97" s="37"/>
      <c r="Z97" s="37"/>
      <c r="AA97" s="37"/>
      <c r="AB97" s="137"/>
      <c r="AC97" s="37"/>
      <c r="AD97" s="37"/>
    </row>
    <row r="98" spans="1:30" x14ac:dyDescent="0.15">
      <c r="A98" s="130">
        <v>314</v>
      </c>
      <c r="B98" s="37" t="s">
        <v>691</v>
      </c>
      <c r="C98" s="1" t="s">
        <v>107</v>
      </c>
      <c r="D98" s="5">
        <v>45108</v>
      </c>
      <c r="E98" s="5">
        <v>45078</v>
      </c>
      <c r="F98" s="5">
        <v>45291</v>
      </c>
      <c r="G98" s="1">
        <v>179</v>
      </c>
      <c r="H98" s="1">
        <v>214</v>
      </c>
      <c r="I98" s="154">
        <v>38306</v>
      </c>
      <c r="J98" s="154">
        <v>29986</v>
      </c>
      <c r="K98" s="4">
        <f t="shared" si="24"/>
        <v>65335</v>
      </c>
      <c r="L98" s="4">
        <f t="shared" si="25"/>
        <v>51144</v>
      </c>
      <c r="M98" s="154">
        <v>21304849</v>
      </c>
      <c r="N98" s="154">
        <v>23000</v>
      </c>
      <c r="O98" s="154">
        <v>655039</v>
      </c>
      <c r="P98" s="4">
        <f t="shared" si="26"/>
        <v>26076888</v>
      </c>
      <c r="Q98" s="4">
        <f t="shared" si="22"/>
        <v>26076888</v>
      </c>
      <c r="R98" s="4">
        <f t="shared" si="27"/>
        <v>145681</v>
      </c>
      <c r="S98" s="4">
        <f t="shared" si="21"/>
        <v>2086152</v>
      </c>
      <c r="T98" s="155">
        <f>IF(ISNA(VLOOKUP(A98&amp;F98,'Days Exceptions'!$C$2:$I$3,7,FALSE)),ROUND(MAX(K98*Min_Occ,L98),0),VLOOKUP(A98&amp;F98,'Days Exceptions'!$C$2:$I$3,7,FALSE))</f>
        <v>53268</v>
      </c>
      <c r="U98" s="6">
        <f t="shared" si="23"/>
        <v>39.159999999999997</v>
      </c>
      <c r="V98" s="154"/>
      <c r="W98" s="136"/>
      <c r="X98" s="37"/>
      <c r="Y98" s="37"/>
      <c r="Z98" s="37"/>
      <c r="AA98" s="37"/>
      <c r="AB98" s="137"/>
      <c r="AC98" s="37"/>
      <c r="AD98" s="37"/>
    </row>
    <row r="99" spans="1:30" x14ac:dyDescent="0.15">
      <c r="A99" s="130">
        <v>316</v>
      </c>
      <c r="B99" s="37" t="s">
        <v>740</v>
      </c>
      <c r="C99" s="1" t="s">
        <v>107</v>
      </c>
      <c r="D99" s="5">
        <v>45108</v>
      </c>
      <c r="E99" s="5">
        <v>45078</v>
      </c>
      <c r="F99" s="5">
        <v>45260</v>
      </c>
      <c r="G99" s="1">
        <v>127</v>
      </c>
      <c r="H99" s="1">
        <v>183</v>
      </c>
      <c r="I99" s="154">
        <v>23241</v>
      </c>
      <c r="J99" s="154">
        <v>18844</v>
      </c>
      <c r="K99" s="4">
        <f t="shared" si="24"/>
        <v>46355</v>
      </c>
      <c r="L99" s="4">
        <f t="shared" si="25"/>
        <v>37585</v>
      </c>
      <c r="M99" s="154">
        <v>9963838</v>
      </c>
      <c r="N99" s="154">
        <v>22000</v>
      </c>
      <c r="O99" s="154">
        <v>219729</v>
      </c>
      <c r="P99" s="4">
        <f t="shared" si="26"/>
        <v>12977567</v>
      </c>
      <c r="Q99" s="4">
        <f t="shared" si="22"/>
        <v>12977567</v>
      </c>
      <c r="R99" s="4">
        <f t="shared" si="27"/>
        <v>102186</v>
      </c>
      <c r="S99" s="4">
        <f t="shared" si="21"/>
        <v>1038210</v>
      </c>
      <c r="T99" s="155">
        <f>IF(ISNA(VLOOKUP(A99&amp;F99,'Days Exceptions'!$C$2:$I$3,7,FALSE)),ROUND(MAX(K99*Min_Occ,L99),0),VLOOKUP(A99&amp;F99,'Days Exceptions'!$C$2:$I$3,7,FALSE))</f>
        <v>37793</v>
      </c>
      <c r="U99" s="6">
        <f t="shared" si="23"/>
        <v>27.47</v>
      </c>
      <c r="V99" s="154"/>
      <c r="W99" s="136"/>
      <c r="X99" s="37"/>
      <c r="Y99" s="37"/>
      <c r="Z99" s="37"/>
      <c r="AA99" s="37"/>
      <c r="AB99" s="137"/>
      <c r="AC99" s="37"/>
      <c r="AD99" s="37"/>
    </row>
    <row r="100" spans="1:30" x14ac:dyDescent="0.15">
      <c r="A100" s="130">
        <v>322</v>
      </c>
      <c r="B100" s="37" t="s">
        <v>741</v>
      </c>
      <c r="C100" s="1" t="s">
        <v>107</v>
      </c>
      <c r="D100" s="5">
        <v>45108</v>
      </c>
      <c r="E100" s="5">
        <v>45108</v>
      </c>
      <c r="F100" s="5">
        <v>45260</v>
      </c>
      <c r="G100" s="1">
        <v>172</v>
      </c>
      <c r="H100" s="1">
        <v>153</v>
      </c>
      <c r="I100" s="154">
        <v>26316</v>
      </c>
      <c r="J100" s="154">
        <v>21122</v>
      </c>
      <c r="K100" s="4">
        <f t="shared" si="24"/>
        <v>62780</v>
      </c>
      <c r="L100" s="4">
        <f t="shared" si="25"/>
        <v>50389</v>
      </c>
      <c r="M100" s="154">
        <v>13190463</v>
      </c>
      <c r="N100" s="154">
        <v>18500</v>
      </c>
      <c r="O100" s="154">
        <v>171239</v>
      </c>
      <c r="P100" s="4">
        <f t="shared" si="26"/>
        <v>16543702</v>
      </c>
      <c r="Q100" s="4">
        <f t="shared" si="22"/>
        <v>16543702</v>
      </c>
      <c r="R100" s="4">
        <f t="shared" si="27"/>
        <v>96184</v>
      </c>
      <c r="S100" s="4">
        <f t="shared" si="21"/>
        <v>1323492</v>
      </c>
      <c r="T100" s="155">
        <f>IF(ISNA(VLOOKUP(A100&amp;F100,'Days Exceptions'!$C$2:$I$3,7,FALSE)),ROUND(MAX(K100*Min_Occ,L100),0),VLOOKUP(A100&amp;F100,'Days Exceptions'!$C$2:$I$3,7,FALSE))</f>
        <v>51185</v>
      </c>
      <c r="U100" s="6">
        <f t="shared" si="23"/>
        <v>25.86</v>
      </c>
      <c r="V100" s="154"/>
      <c r="W100" s="136"/>
      <c r="X100" s="37"/>
      <c r="Y100" s="37"/>
      <c r="Z100" s="37"/>
      <c r="AA100" s="37"/>
      <c r="AB100" s="137"/>
      <c r="AC100" s="37"/>
      <c r="AD100" s="37"/>
    </row>
    <row r="101" spans="1:30" x14ac:dyDescent="0.15">
      <c r="A101" s="130">
        <v>332</v>
      </c>
      <c r="B101" s="37" t="s">
        <v>172</v>
      </c>
      <c r="C101" s="1" t="s">
        <v>102</v>
      </c>
      <c r="D101" s="5">
        <v>45108</v>
      </c>
      <c r="E101" s="5">
        <v>44621</v>
      </c>
      <c r="F101" s="5">
        <v>44985</v>
      </c>
      <c r="G101" s="1">
        <v>29</v>
      </c>
      <c r="H101" s="1">
        <v>365</v>
      </c>
      <c r="I101" s="154">
        <v>10585</v>
      </c>
      <c r="J101" s="154">
        <v>8854</v>
      </c>
      <c r="K101" s="4">
        <f t="shared" si="24"/>
        <v>10585</v>
      </c>
      <c r="L101" s="4">
        <f t="shared" si="25"/>
        <v>8854</v>
      </c>
      <c r="M101" s="154">
        <v>988040</v>
      </c>
      <c r="N101" s="154">
        <v>12500</v>
      </c>
      <c r="O101" s="154">
        <v>16914</v>
      </c>
      <c r="P101" s="4">
        <f t="shared" si="26"/>
        <v>1367454</v>
      </c>
      <c r="Q101" s="4">
        <f t="shared" si="22"/>
        <v>1367454</v>
      </c>
      <c r="R101" s="4">
        <f t="shared" si="27"/>
        <v>47154</v>
      </c>
      <c r="S101" s="4">
        <f t="shared" si="21"/>
        <v>136747</v>
      </c>
      <c r="T101" s="155">
        <f>IF(ISNA(VLOOKUP(A101&amp;F101,'Days Exceptions'!$C$2:$I$3,7,FALSE)),ROUND(MAX(K101*Min_Occ,L101),0),VLOOKUP(A101&amp;F101,'Days Exceptions'!$C$2:$I$3,7,FALSE))</f>
        <v>8854</v>
      </c>
      <c r="U101" s="6">
        <f t="shared" si="23"/>
        <v>15.44</v>
      </c>
      <c r="V101" s="154"/>
      <c r="W101" s="136"/>
      <c r="X101" s="37"/>
      <c r="Y101" s="37"/>
      <c r="Z101" s="37"/>
      <c r="AA101" s="37"/>
      <c r="AB101" s="137"/>
      <c r="AC101" s="37"/>
      <c r="AD101" s="37"/>
    </row>
    <row r="102" spans="1:30" x14ac:dyDescent="0.15">
      <c r="A102" s="130">
        <v>354</v>
      </c>
      <c r="B102" s="37" t="s">
        <v>222</v>
      </c>
      <c r="C102" s="1" t="s">
        <v>107</v>
      </c>
      <c r="D102" s="5">
        <v>45108</v>
      </c>
      <c r="E102" s="5">
        <v>44927</v>
      </c>
      <c r="F102" s="5">
        <v>45291</v>
      </c>
      <c r="G102" s="1">
        <v>160</v>
      </c>
      <c r="H102" s="1">
        <v>365</v>
      </c>
      <c r="I102" s="154">
        <v>58400</v>
      </c>
      <c r="J102" s="154">
        <v>37320</v>
      </c>
      <c r="K102" s="4">
        <f t="shared" si="24"/>
        <v>58400</v>
      </c>
      <c r="L102" s="4">
        <f t="shared" si="25"/>
        <v>37320</v>
      </c>
      <c r="M102" s="154">
        <v>30654464</v>
      </c>
      <c r="N102" s="154">
        <v>19500</v>
      </c>
      <c r="O102" s="154">
        <v>169845</v>
      </c>
      <c r="P102" s="4">
        <f t="shared" si="26"/>
        <v>33944309</v>
      </c>
      <c r="Q102" s="4">
        <f t="shared" si="22"/>
        <v>33944309</v>
      </c>
      <c r="R102" s="4">
        <f t="shared" si="27"/>
        <v>212152</v>
      </c>
      <c r="S102" s="4">
        <f t="shared" si="21"/>
        <v>2108634</v>
      </c>
      <c r="T102" s="155">
        <f>IF(ISNA(VLOOKUP(A102&amp;F102,'Days Exceptions'!$C$2:$I$3,7,FALSE)),ROUND(MAX(K102*Min_Occ,L102),0),VLOOKUP(A102&amp;F102,'Days Exceptions'!$C$2:$I$3,7,FALSE))</f>
        <v>47614</v>
      </c>
      <c r="U102" s="6">
        <f t="shared" si="23"/>
        <v>44.29</v>
      </c>
      <c r="V102" s="154"/>
      <c r="W102" s="136"/>
      <c r="X102" s="37"/>
      <c r="Y102" s="37"/>
      <c r="Z102" s="37"/>
      <c r="AA102" s="37"/>
      <c r="AB102" s="137"/>
      <c r="AC102" s="37"/>
      <c r="AD102" s="37"/>
    </row>
    <row r="103" spans="1:30" x14ac:dyDescent="0.15">
      <c r="A103" s="130">
        <v>358</v>
      </c>
      <c r="B103" s="37" t="s">
        <v>619</v>
      </c>
      <c r="C103" s="1" t="s">
        <v>102</v>
      </c>
      <c r="D103" s="5">
        <v>45108</v>
      </c>
      <c r="E103" s="5">
        <v>44927</v>
      </c>
      <c r="F103" s="5">
        <v>45291</v>
      </c>
      <c r="G103" s="1">
        <v>150</v>
      </c>
      <c r="H103" s="1">
        <v>365</v>
      </c>
      <c r="I103" s="154">
        <v>54750</v>
      </c>
      <c r="J103" s="154">
        <v>43228</v>
      </c>
      <c r="K103" s="4">
        <f t="shared" si="24"/>
        <v>54750</v>
      </c>
      <c r="L103" s="4">
        <f t="shared" si="25"/>
        <v>43228</v>
      </c>
      <c r="M103" s="154">
        <v>12469701</v>
      </c>
      <c r="N103" s="154">
        <v>17500</v>
      </c>
      <c r="O103" s="154">
        <v>351184</v>
      </c>
      <c r="P103" s="4">
        <f t="shared" si="26"/>
        <v>15445885</v>
      </c>
      <c r="Q103" s="4">
        <f t="shared" si="22"/>
        <v>15445885</v>
      </c>
      <c r="R103" s="4">
        <f t="shared" si="27"/>
        <v>102973</v>
      </c>
      <c r="S103" s="4">
        <f t="shared" si="21"/>
        <v>1544595</v>
      </c>
      <c r="T103" s="155">
        <f>IF(ISNA(VLOOKUP(A103&amp;F103,'Days Exceptions'!$C$2:$I$3,7,FALSE)),ROUND(MAX(K103*Min_Occ,L103),0),VLOOKUP(A103&amp;F103,'Days Exceptions'!$C$2:$I$3,7,FALSE))</f>
        <v>44638</v>
      </c>
      <c r="U103" s="6">
        <f t="shared" si="23"/>
        <v>34.6</v>
      </c>
      <c r="V103" s="154"/>
      <c r="W103" s="136"/>
      <c r="X103" s="37"/>
      <c r="Y103" s="37"/>
      <c r="Z103" s="37"/>
      <c r="AA103" s="37"/>
      <c r="AB103" s="137"/>
      <c r="AC103" s="37"/>
      <c r="AD103" s="37"/>
    </row>
    <row r="104" spans="1:30" x14ac:dyDescent="0.15">
      <c r="A104" s="130">
        <v>382</v>
      </c>
      <c r="B104" s="37" t="s">
        <v>668</v>
      </c>
      <c r="C104" s="1" t="s">
        <v>107</v>
      </c>
      <c r="D104" s="5">
        <v>45108</v>
      </c>
      <c r="E104" s="5">
        <v>44927</v>
      </c>
      <c r="F104" s="5">
        <v>45291</v>
      </c>
      <c r="G104" s="1">
        <v>61</v>
      </c>
      <c r="H104" s="1">
        <v>365</v>
      </c>
      <c r="I104" s="154">
        <v>22265</v>
      </c>
      <c r="J104" s="154">
        <v>19158</v>
      </c>
      <c r="K104" s="4">
        <f t="shared" si="24"/>
        <v>22265</v>
      </c>
      <c r="L104" s="4">
        <f t="shared" si="25"/>
        <v>19158</v>
      </c>
      <c r="M104" s="154">
        <v>5042680</v>
      </c>
      <c r="N104" s="154">
        <v>20000</v>
      </c>
      <c r="O104" s="154">
        <v>254272</v>
      </c>
      <c r="P104" s="4">
        <f t="shared" si="26"/>
        <v>6516952</v>
      </c>
      <c r="Q104" s="4">
        <f t="shared" si="22"/>
        <v>6516952</v>
      </c>
      <c r="R104" s="4">
        <f t="shared" si="27"/>
        <v>106835</v>
      </c>
      <c r="S104" s="4">
        <f t="shared" si="21"/>
        <v>521355</v>
      </c>
      <c r="T104" s="155">
        <f>IF(ISNA(VLOOKUP(A104&amp;F104,'Days Exceptions'!$C$2:$I$3,7,FALSE)),ROUND(MAX(K104*Min_Occ,L104),0),VLOOKUP(A104&amp;F104,'Days Exceptions'!$C$2:$I$3,7,FALSE))</f>
        <v>19158</v>
      </c>
      <c r="U104" s="6">
        <f t="shared" si="23"/>
        <v>27.21</v>
      </c>
      <c r="V104" s="154"/>
      <c r="W104" s="136"/>
      <c r="X104" s="37"/>
      <c r="Y104" s="37"/>
      <c r="Z104" s="37"/>
      <c r="AA104" s="37"/>
      <c r="AB104" s="137"/>
      <c r="AC104" s="37"/>
      <c r="AD104" s="37"/>
    </row>
    <row r="105" spans="1:30" x14ac:dyDescent="0.15">
      <c r="A105" s="130">
        <v>384</v>
      </c>
      <c r="B105" s="37" t="s">
        <v>493</v>
      </c>
      <c r="C105" s="1" t="s">
        <v>107</v>
      </c>
      <c r="D105" s="5">
        <v>45108</v>
      </c>
      <c r="E105" s="5">
        <v>44927</v>
      </c>
      <c r="F105" s="5">
        <v>45291</v>
      </c>
      <c r="G105" s="1">
        <v>238</v>
      </c>
      <c r="H105" s="1">
        <v>365</v>
      </c>
      <c r="I105" s="154">
        <v>86870</v>
      </c>
      <c r="J105" s="154">
        <v>80224</v>
      </c>
      <c r="K105" s="4">
        <f t="shared" si="24"/>
        <v>86870</v>
      </c>
      <c r="L105" s="4">
        <f t="shared" si="25"/>
        <v>80224</v>
      </c>
      <c r="M105" s="154">
        <v>24277517</v>
      </c>
      <c r="N105" s="154">
        <v>20000</v>
      </c>
      <c r="O105" s="154">
        <v>397123</v>
      </c>
      <c r="P105" s="4">
        <f t="shared" si="26"/>
        <v>29434640</v>
      </c>
      <c r="Q105" s="4">
        <f t="shared" si="22"/>
        <v>29434640</v>
      </c>
      <c r="R105" s="4">
        <f t="shared" si="27"/>
        <v>123675</v>
      </c>
      <c r="S105" s="4">
        <f t="shared" si="21"/>
        <v>2354772</v>
      </c>
      <c r="T105" s="155">
        <f>IF(ISNA(VLOOKUP(A105&amp;F105,'Days Exceptions'!$C$2:$I$3,7,FALSE)),ROUND(MAX(K105*Min_Occ,L105),0),VLOOKUP(A105&amp;F105,'Days Exceptions'!$C$2:$I$3,7,FALSE))</f>
        <v>80224</v>
      </c>
      <c r="U105" s="6">
        <f t="shared" si="23"/>
        <v>29.35</v>
      </c>
      <c r="V105" s="154"/>
      <c r="W105" s="136"/>
      <c r="X105" s="37"/>
      <c r="Y105" s="37"/>
      <c r="Z105" s="37"/>
      <c r="AA105" s="37"/>
      <c r="AB105" s="137"/>
      <c r="AC105" s="37"/>
      <c r="AD105" s="37"/>
    </row>
    <row r="106" spans="1:30" x14ac:dyDescent="0.15">
      <c r="A106" s="130">
        <v>388</v>
      </c>
      <c r="B106" s="37" t="s">
        <v>532</v>
      </c>
      <c r="C106" s="1" t="s">
        <v>119</v>
      </c>
      <c r="D106" s="5">
        <v>45108</v>
      </c>
      <c r="E106" s="5">
        <v>44927</v>
      </c>
      <c r="F106" s="5">
        <v>45291</v>
      </c>
      <c r="G106" s="1">
        <v>100</v>
      </c>
      <c r="H106" s="1">
        <v>365</v>
      </c>
      <c r="I106" s="154">
        <v>36500</v>
      </c>
      <c r="J106" s="154">
        <v>31374</v>
      </c>
      <c r="K106" s="4">
        <f t="shared" si="24"/>
        <v>36500</v>
      </c>
      <c r="L106" s="4">
        <f t="shared" si="25"/>
        <v>31374</v>
      </c>
      <c r="M106" s="154">
        <v>14521211</v>
      </c>
      <c r="N106" s="154">
        <v>28500</v>
      </c>
      <c r="O106" s="154">
        <v>160513</v>
      </c>
      <c r="P106" s="4">
        <f t="shared" si="26"/>
        <v>17531724</v>
      </c>
      <c r="Q106" s="4">
        <f t="shared" si="22"/>
        <v>17531724</v>
      </c>
      <c r="R106" s="4">
        <f t="shared" si="27"/>
        <v>175317</v>
      </c>
      <c r="S106" s="4">
        <f t="shared" si="21"/>
        <v>1317896</v>
      </c>
      <c r="T106" s="155">
        <f>IF(ISNA(VLOOKUP(A106&amp;F106,'Days Exceptions'!$C$2:$I$3,7,FALSE)),ROUND(MAX(K106*Min_Occ,L106),0),VLOOKUP(A106&amp;F106,'Days Exceptions'!$C$2:$I$3,7,FALSE))</f>
        <v>31374</v>
      </c>
      <c r="U106" s="6">
        <f t="shared" si="23"/>
        <v>42.01</v>
      </c>
      <c r="V106" s="154"/>
      <c r="W106" s="136"/>
      <c r="X106" s="37"/>
      <c r="Y106" s="37"/>
      <c r="Z106" s="37"/>
      <c r="AA106" s="37"/>
      <c r="AB106" s="137"/>
      <c r="AC106" s="37"/>
      <c r="AD106" s="37"/>
    </row>
    <row r="107" spans="1:30" x14ac:dyDescent="0.15">
      <c r="A107" s="130">
        <v>400</v>
      </c>
      <c r="B107" s="37" t="s">
        <v>599</v>
      </c>
      <c r="C107" s="1" t="s">
        <v>106</v>
      </c>
      <c r="D107" s="5">
        <v>45108</v>
      </c>
      <c r="E107" s="5">
        <v>44927</v>
      </c>
      <c r="F107" s="5">
        <v>45291</v>
      </c>
      <c r="G107" s="1">
        <v>138</v>
      </c>
      <c r="H107" s="1">
        <v>365</v>
      </c>
      <c r="I107" s="154">
        <v>50370</v>
      </c>
      <c r="J107" s="154">
        <v>42222</v>
      </c>
      <c r="K107" s="4">
        <f t="shared" si="24"/>
        <v>50370</v>
      </c>
      <c r="L107" s="4">
        <f t="shared" si="25"/>
        <v>42222</v>
      </c>
      <c r="M107" s="154">
        <v>9717427</v>
      </c>
      <c r="N107" s="154">
        <v>22000</v>
      </c>
      <c r="O107" s="154">
        <v>233539</v>
      </c>
      <c r="P107" s="4">
        <f t="shared" si="26"/>
        <v>12986966</v>
      </c>
      <c r="Q107" s="4">
        <f t="shared" si="22"/>
        <v>12986966</v>
      </c>
      <c r="R107" s="4">
        <f t="shared" si="27"/>
        <v>94108</v>
      </c>
      <c r="S107" s="4">
        <f t="shared" si="21"/>
        <v>1038952</v>
      </c>
      <c r="T107" s="155">
        <f>IF(ISNA(VLOOKUP(A107&amp;F107,'Days Exceptions'!$C$2:$I$3,7,FALSE)),ROUND(MAX(K107*Min_Occ,L107),0),VLOOKUP(A107&amp;F107,'Days Exceptions'!$C$2:$I$3,7,FALSE))</f>
        <v>42222</v>
      </c>
      <c r="U107" s="6">
        <f t="shared" si="23"/>
        <v>24.61</v>
      </c>
      <c r="V107" s="154"/>
      <c r="W107" s="136"/>
      <c r="X107" s="37"/>
      <c r="Y107" s="37"/>
      <c r="Z107" s="37"/>
      <c r="AA107" s="37"/>
      <c r="AB107" s="137"/>
      <c r="AC107" s="37"/>
      <c r="AD107" s="37"/>
    </row>
    <row r="108" spans="1:30" x14ac:dyDescent="0.15">
      <c r="A108" s="130">
        <v>402</v>
      </c>
      <c r="B108" s="37" t="s">
        <v>458</v>
      </c>
      <c r="C108" s="1" t="s">
        <v>119</v>
      </c>
      <c r="D108" s="5">
        <v>45108</v>
      </c>
      <c r="E108" s="5">
        <v>44927</v>
      </c>
      <c r="F108" s="5">
        <v>45291</v>
      </c>
      <c r="G108" s="1">
        <v>144</v>
      </c>
      <c r="H108" s="1">
        <v>365</v>
      </c>
      <c r="I108" s="154">
        <v>52560</v>
      </c>
      <c r="J108" s="154">
        <v>49969</v>
      </c>
      <c r="K108" s="4">
        <f t="shared" si="24"/>
        <v>52560</v>
      </c>
      <c r="L108" s="4">
        <f t="shared" si="25"/>
        <v>49969</v>
      </c>
      <c r="M108" s="154">
        <v>13842474</v>
      </c>
      <c r="N108" s="154">
        <v>31500</v>
      </c>
      <c r="O108" s="154">
        <v>368300</v>
      </c>
      <c r="P108" s="4">
        <f t="shared" si="26"/>
        <v>18746774</v>
      </c>
      <c r="Q108" s="4">
        <f t="shared" si="22"/>
        <v>18746774</v>
      </c>
      <c r="R108" s="4">
        <f t="shared" si="27"/>
        <v>130186</v>
      </c>
      <c r="S108" s="4">
        <f t="shared" si="21"/>
        <v>1499743</v>
      </c>
      <c r="T108" s="155">
        <f>IF(ISNA(VLOOKUP(A108&amp;F108,'Days Exceptions'!$C$2:$I$3,7,FALSE)),ROUND(MAX(K108*Min_Occ,L108),0),VLOOKUP(A108&amp;F108,'Days Exceptions'!$C$2:$I$3,7,FALSE))</f>
        <v>49969</v>
      </c>
      <c r="U108" s="6">
        <f t="shared" si="23"/>
        <v>30.01</v>
      </c>
      <c r="V108" s="154"/>
      <c r="W108" s="136"/>
      <c r="X108" s="37"/>
      <c r="Y108" s="37"/>
      <c r="Z108" s="37"/>
      <c r="AA108" s="37"/>
      <c r="AB108" s="137"/>
      <c r="AC108" s="37"/>
      <c r="AD108" s="37"/>
    </row>
    <row r="109" spans="1:30" x14ac:dyDescent="0.15">
      <c r="A109" s="130">
        <v>406</v>
      </c>
      <c r="B109" s="37" t="s">
        <v>500</v>
      </c>
      <c r="C109" s="1" t="s">
        <v>108</v>
      </c>
      <c r="D109" s="5">
        <v>45108</v>
      </c>
      <c r="E109" s="5">
        <v>44927</v>
      </c>
      <c r="F109" s="5">
        <v>45291</v>
      </c>
      <c r="G109" s="1">
        <v>95</v>
      </c>
      <c r="H109" s="1">
        <v>365</v>
      </c>
      <c r="I109" s="154">
        <v>34675</v>
      </c>
      <c r="J109" s="154">
        <v>32623</v>
      </c>
      <c r="K109" s="4">
        <f t="shared" si="24"/>
        <v>34675</v>
      </c>
      <c r="L109" s="4">
        <f t="shared" si="25"/>
        <v>32623</v>
      </c>
      <c r="M109" s="154">
        <v>10173228</v>
      </c>
      <c r="N109" s="154">
        <v>22000</v>
      </c>
      <c r="O109" s="154">
        <v>191530</v>
      </c>
      <c r="P109" s="4">
        <f t="shared" si="26"/>
        <v>12454758</v>
      </c>
      <c r="Q109" s="4">
        <f t="shared" si="22"/>
        <v>12454758</v>
      </c>
      <c r="R109" s="4">
        <f t="shared" si="27"/>
        <v>131103</v>
      </c>
      <c r="S109" s="4">
        <f t="shared" si="21"/>
        <v>996383</v>
      </c>
      <c r="T109" s="155">
        <f>IF(ISNA(VLOOKUP(A109&amp;F109,'Days Exceptions'!$C$2:$I$3,7,FALSE)),ROUND(MAX(K109*Min_Occ,L109),0),VLOOKUP(A109&amp;F109,'Days Exceptions'!$C$2:$I$3,7,FALSE))</f>
        <v>32623</v>
      </c>
      <c r="U109" s="6">
        <f t="shared" si="23"/>
        <v>30.54</v>
      </c>
      <c r="V109" s="154"/>
      <c r="W109" s="136"/>
      <c r="X109" s="37"/>
      <c r="Y109" s="37"/>
      <c r="Z109" s="37"/>
      <c r="AA109" s="37"/>
      <c r="AB109" s="137"/>
      <c r="AC109" s="37"/>
      <c r="AD109" s="37"/>
    </row>
    <row r="110" spans="1:30" x14ac:dyDescent="0.15">
      <c r="A110" s="130">
        <v>412</v>
      </c>
      <c r="B110" s="37" t="s">
        <v>651</v>
      </c>
      <c r="C110" s="1" t="s">
        <v>119</v>
      </c>
      <c r="D110" s="5">
        <v>45108</v>
      </c>
      <c r="E110" s="5">
        <v>44958</v>
      </c>
      <c r="F110" s="5">
        <v>45291</v>
      </c>
      <c r="G110" s="1">
        <v>93</v>
      </c>
      <c r="H110" s="1">
        <v>334</v>
      </c>
      <c r="I110" s="154">
        <v>31062</v>
      </c>
      <c r="J110" s="154">
        <v>27215</v>
      </c>
      <c r="K110" s="4">
        <f t="shared" si="24"/>
        <v>33945</v>
      </c>
      <c r="L110" s="4">
        <f t="shared" si="25"/>
        <v>29741</v>
      </c>
      <c r="M110" s="154">
        <v>8326851</v>
      </c>
      <c r="N110" s="154">
        <v>27500</v>
      </c>
      <c r="O110" s="154">
        <v>98587</v>
      </c>
      <c r="P110" s="4">
        <f t="shared" si="26"/>
        <v>10982938</v>
      </c>
      <c r="Q110" s="4">
        <f t="shared" si="22"/>
        <v>10982938</v>
      </c>
      <c r="R110" s="4">
        <f t="shared" si="27"/>
        <v>118096</v>
      </c>
      <c r="S110" s="4">
        <f t="shared" si="21"/>
        <v>878634</v>
      </c>
      <c r="T110" s="155">
        <f>IF(ISNA(VLOOKUP(A110&amp;F110,'Days Exceptions'!$C$2:$I$3,7,FALSE)),ROUND(MAX(K110*Min_Occ,L110),0),VLOOKUP(A110&amp;F110,'Days Exceptions'!$C$2:$I$3,7,FALSE))</f>
        <v>29741</v>
      </c>
      <c r="U110" s="6">
        <f t="shared" si="23"/>
        <v>29.54</v>
      </c>
      <c r="V110" s="154"/>
      <c r="W110" s="136"/>
      <c r="X110" s="37"/>
      <c r="Y110" s="37"/>
      <c r="Z110" s="37"/>
      <c r="AA110" s="37"/>
      <c r="AB110" s="137"/>
      <c r="AC110" s="37"/>
      <c r="AD110" s="37"/>
    </row>
    <row r="111" spans="1:30" x14ac:dyDescent="0.15">
      <c r="A111" s="130">
        <v>416</v>
      </c>
      <c r="B111" s="37" t="s">
        <v>208</v>
      </c>
      <c r="C111" s="1" t="s">
        <v>102</v>
      </c>
      <c r="D111" s="5">
        <v>45108</v>
      </c>
      <c r="E111" s="5">
        <v>44743</v>
      </c>
      <c r="F111" s="5">
        <v>45107</v>
      </c>
      <c r="G111" s="1">
        <v>162</v>
      </c>
      <c r="H111" s="1">
        <v>365</v>
      </c>
      <c r="I111" s="154">
        <v>59130</v>
      </c>
      <c r="J111" s="154">
        <v>51629</v>
      </c>
      <c r="K111" s="4">
        <f t="shared" si="24"/>
        <v>59130</v>
      </c>
      <c r="L111" s="4">
        <f t="shared" si="25"/>
        <v>51629</v>
      </c>
      <c r="M111" s="154">
        <v>25814422</v>
      </c>
      <c r="N111" s="154">
        <v>18500</v>
      </c>
      <c r="O111" s="154">
        <v>359981</v>
      </c>
      <c r="P111" s="4">
        <f t="shared" si="26"/>
        <v>29171403</v>
      </c>
      <c r="Q111" s="4">
        <f t="shared" si="22"/>
        <v>29171403</v>
      </c>
      <c r="R111" s="4">
        <f t="shared" si="27"/>
        <v>180070</v>
      </c>
      <c r="S111" s="4">
        <f t="shared" si="21"/>
        <v>2668739</v>
      </c>
      <c r="T111" s="155">
        <f>IF(ISNA(VLOOKUP(A111&amp;F111,'Days Exceptions'!$C$2:$I$3,7,FALSE)),ROUND(MAX(K111*Min_Occ,L111),0),VLOOKUP(A111&amp;F111,'Days Exceptions'!$C$2:$I$3,7,FALSE))</f>
        <v>51629</v>
      </c>
      <c r="U111" s="6">
        <f t="shared" si="23"/>
        <v>51.69</v>
      </c>
      <c r="V111" s="154"/>
      <c r="W111" s="136"/>
      <c r="X111" s="37"/>
      <c r="Y111" s="37"/>
      <c r="Z111" s="37"/>
      <c r="AA111" s="37"/>
      <c r="AB111" s="137"/>
      <c r="AC111" s="37"/>
      <c r="AD111" s="37"/>
    </row>
    <row r="112" spans="1:30" x14ac:dyDescent="0.15">
      <c r="A112" s="130">
        <v>426</v>
      </c>
      <c r="B112" s="37" t="s">
        <v>664</v>
      </c>
      <c r="C112" s="1" t="s">
        <v>105</v>
      </c>
      <c r="D112" s="5">
        <v>45108</v>
      </c>
      <c r="E112" s="5">
        <v>44927</v>
      </c>
      <c r="F112" s="5">
        <v>45291</v>
      </c>
      <c r="G112" s="1">
        <v>88</v>
      </c>
      <c r="H112" s="1">
        <v>365</v>
      </c>
      <c r="I112" s="154">
        <v>32120</v>
      </c>
      <c r="J112" s="154">
        <v>28060</v>
      </c>
      <c r="K112" s="4">
        <f t="shared" si="24"/>
        <v>32120</v>
      </c>
      <c r="L112" s="4">
        <f t="shared" si="25"/>
        <v>28060</v>
      </c>
      <c r="M112" s="154">
        <v>15829975</v>
      </c>
      <c r="N112" s="154">
        <v>12000</v>
      </c>
      <c r="O112" s="154">
        <v>147437</v>
      </c>
      <c r="P112" s="4">
        <f t="shared" si="26"/>
        <v>17033412</v>
      </c>
      <c r="Q112" s="4">
        <f t="shared" si="22"/>
        <v>17033412</v>
      </c>
      <c r="R112" s="4">
        <f t="shared" si="27"/>
        <v>193562</v>
      </c>
      <c r="S112" s="4">
        <f t="shared" si="21"/>
        <v>1159748</v>
      </c>
      <c r="T112" s="155">
        <f>IF(ISNA(VLOOKUP(A112&amp;F112,'Days Exceptions'!$C$2:$I$3,7,FALSE)),ROUND(MAX(K112*Min_Occ,L112),0),VLOOKUP(A112&amp;F112,'Days Exceptions'!$C$2:$I$3,7,FALSE))</f>
        <v>28060</v>
      </c>
      <c r="U112" s="6">
        <f t="shared" si="23"/>
        <v>41.33</v>
      </c>
      <c r="V112" s="154"/>
      <c r="W112" s="136"/>
      <c r="X112" s="37"/>
      <c r="Y112" s="37"/>
      <c r="Z112" s="37"/>
      <c r="AA112" s="37"/>
      <c r="AB112" s="137"/>
      <c r="AC112" s="37"/>
      <c r="AD112" s="37"/>
    </row>
    <row r="113" spans="1:30" x14ac:dyDescent="0.15">
      <c r="A113" s="130">
        <v>428</v>
      </c>
      <c r="B113" s="37" t="s">
        <v>241</v>
      </c>
      <c r="C113" s="1" t="s">
        <v>107</v>
      </c>
      <c r="D113" s="5">
        <v>45108</v>
      </c>
      <c r="E113" s="5">
        <v>44743</v>
      </c>
      <c r="F113" s="5">
        <v>45107</v>
      </c>
      <c r="G113" s="1">
        <v>390</v>
      </c>
      <c r="H113" s="1">
        <v>365</v>
      </c>
      <c r="I113" s="154">
        <v>142350</v>
      </c>
      <c r="J113" s="154">
        <v>123944</v>
      </c>
      <c r="K113" s="4">
        <f t="shared" si="24"/>
        <v>142350</v>
      </c>
      <c r="L113" s="4">
        <f t="shared" si="25"/>
        <v>123944</v>
      </c>
      <c r="M113" s="154">
        <v>82205168</v>
      </c>
      <c r="N113" s="154">
        <v>21000</v>
      </c>
      <c r="O113" s="154">
        <v>509784</v>
      </c>
      <c r="P113" s="4">
        <f t="shared" si="26"/>
        <v>90904952</v>
      </c>
      <c r="Q113" s="4">
        <f t="shared" si="22"/>
        <v>90904952</v>
      </c>
      <c r="R113" s="4">
        <f t="shared" si="27"/>
        <v>233090</v>
      </c>
      <c r="S113" s="4">
        <f t="shared" si="21"/>
        <v>5139794</v>
      </c>
      <c r="T113" s="155">
        <f>IF(ISNA(VLOOKUP(A113&amp;F113,'Days Exceptions'!$C$2:$I$3,7,FALSE)),ROUND(MAX(K113*Min_Occ,L113),0),VLOOKUP(A113&amp;F113,'Days Exceptions'!$C$2:$I$3,7,FALSE))</f>
        <v>123944</v>
      </c>
      <c r="U113" s="6">
        <f t="shared" si="23"/>
        <v>41.47</v>
      </c>
      <c r="V113" s="154"/>
      <c r="W113" s="136"/>
      <c r="X113" s="37"/>
      <c r="Y113" s="37"/>
      <c r="Z113" s="37"/>
      <c r="AA113" s="37"/>
      <c r="AB113" s="137"/>
      <c r="AC113" s="37"/>
      <c r="AD113" s="37"/>
    </row>
    <row r="114" spans="1:30" x14ac:dyDescent="0.15">
      <c r="A114" s="130">
        <v>434</v>
      </c>
      <c r="B114" s="37" t="s">
        <v>464</v>
      </c>
      <c r="C114" s="1" t="s">
        <v>111</v>
      </c>
      <c r="D114" s="5">
        <v>45108</v>
      </c>
      <c r="E114" s="5">
        <v>44927</v>
      </c>
      <c r="F114" s="5">
        <v>45291</v>
      </c>
      <c r="G114" s="1">
        <v>177</v>
      </c>
      <c r="H114" s="1">
        <v>365</v>
      </c>
      <c r="I114" s="154">
        <v>64605</v>
      </c>
      <c r="J114" s="154">
        <v>61298</v>
      </c>
      <c r="K114" s="4">
        <f t="shared" si="24"/>
        <v>64605</v>
      </c>
      <c r="L114" s="4">
        <f t="shared" si="25"/>
        <v>61298</v>
      </c>
      <c r="M114" s="154">
        <v>17754164</v>
      </c>
      <c r="N114" s="154">
        <v>18500</v>
      </c>
      <c r="O114" s="154">
        <v>365686</v>
      </c>
      <c r="P114" s="4">
        <f t="shared" si="26"/>
        <v>21394350</v>
      </c>
      <c r="Q114" s="4">
        <f t="shared" si="22"/>
        <v>21394350</v>
      </c>
      <c r="R114" s="4">
        <f t="shared" si="27"/>
        <v>120872</v>
      </c>
      <c r="S114" s="4">
        <f t="shared" si="21"/>
        <v>1711548</v>
      </c>
      <c r="T114" s="155">
        <f>IF(ISNA(VLOOKUP(A114&amp;F114,'Days Exceptions'!$C$2:$I$3,7,FALSE)),ROUND(MAX(K114*Min_Occ,L114),0),VLOOKUP(A114&amp;F114,'Days Exceptions'!$C$2:$I$3,7,FALSE))</f>
        <v>61298</v>
      </c>
      <c r="U114" s="6">
        <f t="shared" si="23"/>
        <v>27.92</v>
      </c>
      <c r="V114" s="154"/>
      <c r="W114" s="136"/>
      <c r="X114" s="37"/>
      <c r="Y114" s="37"/>
      <c r="Z114" s="37"/>
      <c r="AA114" s="37"/>
      <c r="AB114" s="137"/>
      <c r="AC114" s="37"/>
      <c r="AD114" s="37"/>
    </row>
    <row r="115" spans="1:30" x14ac:dyDescent="0.15">
      <c r="A115" s="130">
        <v>446</v>
      </c>
      <c r="B115" s="37" t="s">
        <v>674</v>
      </c>
      <c r="C115" s="1" t="s">
        <v>114</v>
      </c>
      <c r="D115" s="5">
        <v>45108</v>
      </c>
      <c r="E115" s="5">
        <v>44927</v>
      </c>
      <c r="F115" s="5">
        <v>45291</v>
      </c>
      <c r="G115" s="1">
        <v>65</v>
      </c>
      <c r="H115" s="1">
        <v>365</v>
      </c>
      <c r="I115" s="154">
        <v>23725</v>
      </c>
      <c r="J115" s="154">
        <v>17494</v>
      </c>
      <c r="K115" s="4">
        <f t="shared" si="24"/>
        <v>23725</v>
      </c>
      <c r="L115" s="4">
        <f t="shared" si="25"/>
        <v>17494</v>
      </c>
      <c r="M115" s="154">
        <v>4691623</v>
      </c>
      <c r="N115" s="154">
        <v>17500</v>
      </c>
      <c r="O115" s="154">
        <v>71280</v>
      </c>
      <c r="P115" s="4">
        <f t="shared" si="26"/>
        <v>5900403</v>
      </c>
      <c r="Q115" s="4">
        <f t="shared" si="22"/>
        <v>5900403</v>
      </c>
      <c r="R115" s="4">
        <f t="shared" si="27"/>
        <v>90775</v>
      </c>
      <c r="S115" s="4">
        <f t="shared" si="21"/>
        <v>472030</v>
      </c>
      <c r="T115" s="155">
        <f>IF(ISNA(VLOOKUP(A115&amp;F115,'Days Exceptions'!$C$2:$I$3,7,FALSE)),ROUND(MAX(K115*Min_Occ,L115),0),VLOOKUP(A115&amp;F115,'Days Exceptions'!$C$2:$I$3,7,FALSE))</f>
        <v>19343</v>
      </c>
      <c r="U115" s="6">
        <f t="shared" si="23"/>
        <v>24.4</v>
      </c>
      <c r="V115" s="154"/>
      <c r="W115" s="136"/>
      <c r="X115" s="37"/>
      <c r="Y115" s="37"/>
      <c r="Z115" s="37"/>
      <c r="AA115" s="37"/>
      <c r="AB115" s="137"/>
      <c r="AC115" s="37"/>
      <c r="AD115" s="37"/>
    </row>
    <row r="116" spans="1:30" x14ac:dyDescent="0.15">
      <c r="A116" s="130">
        <v>677</v>
      </c>
      <c r="B116" s="37" t="s">
        <v>655</v>
      </c>
      <c r="C116" s="1" t="s">
        <v>122</v>
      </c>
      <c r="D116" s="5">
        <v>45108</v>
      </c>
      <c r="E116" s="5">
        <v>44866</v>
      </c>
      <c r="F116" s="5">
        <v>45291</v>
      </c>
      <c r="G116" s="1">
        <v>125</v>
      </c>
      <c r="H116" s="1">
        <v>426</v>
      </c>
      <c r="I116" s="154">
        <v>53250</v>
      </c>
      <c r="J116" s="154">
        <v>39815</v>
      </c>
      <c r="K116" s="4">
        <f t="shared" si="24"/>
        <v>45625</v>
      </c>
      <c r="L116" s="4">
        <f t="shared" si="25"/>
        <v>34114</v>
      </c>
      <c r="M116" s="154">
        <v>6446882</v>
      </c>
      <c r="N116" s="154">
        <v>18500</v>
      </c>
      <c r="O116" s="154">
        <v>235231</v>
      </c>
      <c r="P116" s="4">
        <f t="shared" si="26"/>
        <v>8994613</v>
      </c>
      <c r="Q116" s="4">
        <f t="shared" si="22"/>
        <v>8994613</v>
      </c>
      <c r="R116" s="4">
        <f t="shared" si="27"/>
        <v>71957</v>
      </c>
      <c r="S116" s="4">
        <f t="shared" si="21"/>
        <v>719570</v>
      </c>
      <c r="T116" s="155">
        <f>IF(ISNA(VLOOKUP(A116&amp;F116,'Days Exceptions'!$C$2:$I$3,7,FALSE)),ROUND(MAX(K116*Min_Occ,L116),0),VLOOKUP(A116&amp;F116,'Days Exceptions'!$C$2:$I$3,7,FALSE))</f>
        <v>37198</v>
      </c>
      <c r="U116" s="6">
        <f t="shared" si="23"/>
        <v>19.34</v>
      </c>
      <c r="V116" s="154"/>
      <c r="W116" s="136"/>
      <c r="X116" s="37"/>
      <c r="Y116" s="37"/>
      <c r="Z116" s="37"/>
      <c r="AA116" s="37"/>
      <c r="AB116" s="137"/>
      <c r="AC116" s="37"/>
      <c r="AD116" s="37"/>
    </row>
    <row r="117" spans="1:30" x14ac:dyDescent="0.15">
      <c r="A117" s="130">
        <v>685</v>
      </c>
      <c r="B117" s="37" t="s">
        <v>607</v>
      </c>
      <c r="C117" s="1" t="s">
        <v>119</v>
      </c>
      <c r="D117" s="5">
        <v>45108</v>
      </c>
      <c r="E117" s="5">
        <v>44927</v>
      </c>
      <c r="F117" s="5">
        <v>45291</v>
      </c>
      <c r="G117" s="1">
        <v>147</v>
      </c>
      <c r="H117" s="1">
        <v>365</v>
      </c>
      <c r="I117" s="154">
        <v>53655</v>
      </c>
      <c r="J117" s="154">
        <v>52048</v>
      </c>
      <c r="K117" s="4">
        <f t="shared" si="24"/>
        <v>53655</v>
      </c>
      <c r="L117" s="4">
        <f t="shared" si="25"/>
        <v>52048</v>
      </c>
      <c r="M117" s="154">
        <v>23279469</v>
      </c>
      <c r="N117" s="154">
        <v>24000</v>
      </c>
      <c r="O117" s="154">
        <v>385237</v>
      </c>
      <c r="P117" s="4">
        <f t="shared" si="26"/>
        <v>27192706</v>
      </c>
      <c r="Q117" s="4">
        <f t="shared" si="22"/>
        <v>27192706</v>
      </c>
      <c r="R117" s="4">
        <f t="shared" si="27"/>
        <v>184984</v>
      </c>
      <c r="S117" s="4">
        <f t="shared" si="21"/>
        <v>1937307</v>
      </c>
      <c r="T117" s="155">
        <f>IF(ISNA(VLOOKUP(A117&amp;F117,'Days Exceptions'!$C$2:$I$3,7,FALSE)),ROUND(MAX(K117*Min_Occ,L117),0),VLOOKUP(A117&amp;F117,'Days Exceptions'!$C$2:$I$3,7,FALSE))</f>
        <v>52048</v>
      </c>
      <c r="U117" s="6">
        <f t="shared" si="23"/>
        <v>37.22</v>
      </c>
      <c r="V117" s="154"/>
      <c r="W117" s="136"/>
      <c r="X117" s="37"/>
      <c r="Y117" s="37"/>
      <c r="Z117" s="37"/>
      <c r="AA117" s="37"/>
      <c r="AB117" s="137"/>
      <c r="AC117" s="37"/>
      <c r="AD117" s="37"/>
    </row>
    <row r="118" spans="1:30" x14ac:dyDescent="0.15">
      <c r="A118" s="130">
        <v>687</v>
      </c>
      <c r="B118" s="37" t="s">
        <v>621</v>
      </c>
      <c r="C118" s="1" t="s">
        <v>106</v>
      </c>
      <c r="D118" s="5">
        <v>45108</v>
      </c>
      <c r="E118" s="5">
        <v>44927</v>
      </c>
      <c r="F118" s="5">
        <v>45291</v>
      </c>
      <c r="G118" s="1">
        <v>190</v>
      </c>
      <c r="H118" s="1">
        <v>365</v>
      </c>
      <c r="I118" s="154">
        <v>69350</v>
      </c>
      <c r="J118" s="154">
        <v>61401</v>
      </c>
      <c r="K118" s="4">
        <f t="shared" si="24"/>
        <v>69350</v>
      </c>
      <c r="L118" s="4">
        <f t="shared" si="25"/>
        <v>61401</v>
      </c>
      <c r="M118" s="154">
        <v>19586659</v>
      </c>
      <c r="N118" s="154">
        <v>24000</v>
      </c>
      <c r="O118" s="154">
        <v>441389</v>
      </c>
      <c r="P118" s="4">
        <f t="shared" si="26"/>
        <v>24588048</v>
      </c>
      <c r="Q118" s="4">
        <f t="shared" si="22"/>
        <v>24588048</v>
      </c>
      <c r="R118" s="4">
        <f t="shared" si="27"/>
        <v>129411</v>
      </c>
      <c r="S118" s="4">
        <f t="shared" si="21"/>
        <v>1967047</v>
      </c>
      <c r="T118" s="155">
        <f>IF(ISNA(VLOOKUP(A118&amp;F118,'Days Exceptions'!$C$2:$I$3,7,FALSE)),ROUND(MAX(K118*Min_Occ,L118),0),VLOOKUP(A118&amp;F118,'Days Exceptions'!$C$2:$I$3,7,FALSE))</f>
        <v>61401</v>
      </c>
      <c r="U118" s="6">
        <f t="shared" si="23"/>
        <v>32.04</v>
      </c>
      <c r="V118" s="154"/>
      <c r="W118" s="136"/>
      <c r="X118" s="37"/>
      <c r="Y118" s="37"/>
      <c r="Z118" s="37"/>
      <c r="AA118" s="37"/>
      <c r="AB118" s="137"/>
      <c r="AC118" s="37"/>
      <c r="AD118" s="37"/>
    </row>
    <row r="119" spans="1:30" x14ac:dyDescent="0.15">
      <c r="A119" s="130">
        <v>699</v>
      </c>
      <c r="B119" s="37" t="s">
        <v>239</v>
      </c>
      <c r="C119" s="1" t="s">
        <v>102</v>
      </c>
      <c r="D119" s="5">
        <v>45108</v>
      </c>
      <c r="E119" s="5">
        <v>44743</v>
      </c>
      <c r="F119" s="5">
        <v>45107</v>
      </c>
      <c r="G119" s="1">
        <v>135</v>
      </c>
      <c r="H119" s="1">
        <v>365</v>
      </c>
      <c r="I119" s="154">
        <v>49275</v>
      </c>
      <c r="J119" s="154">
        <v>46146</v>
      </c>
      <c r="K119" s="4">
        <f t="shared" ref="K119:K132" si="28">IF(OR(H119=365,H119=366),I119,ROUND(I119*(365/$H119),0))</f>
        <v>49275</v>
      </c>
      <c r="L119" s="4">
        <f t="shared" ref="L119:L132" si="29">IF(OR(H119=365,H119=366),J119,ROUND(J119*(365/$H119),0))</f>
        <v>46146</v>
      </c>
      <c r="M119" s="154">
        <v>10314680</v>
      </c>
      <c r="N119" s="154">
        <v>17000</v>
      </c>
      <c r="O119" s="154">
        <v>271401</v>
      </c>
      <c r="P119" s="4">
        <f t="shared" ref="P119:P132" si="30">ROUND(M119+(N119*G119)+O119,0)</f>
        <v>12881081</v>
      </c>
      <c r="Q119" s="4">
        <f t="shared" si="22"/>
        <v>12881081</v>
      </c>
      <c r="R119" s="4">
        <f t="shared" ref="R119:R132" si="31">IF(Q119="","",ROUND(Q119/G119,0))</f>
        <v>95415</v>
      </c>
      <c r="S119" s="4">
        <f t="shared" si="21"/>
        <v>1288103</v>
      </c>
      <c r="T119" s="155">
        <f>IF(ISNA(VLOOKUP(A119&amp;F119,'Days Exceptions'!$C$2:$I$3,7,FALSE)),ROUND(MAX(K119*Min_Occ,L119),0),VLOOKUP(A119&amp;F119,'Days Exceptions'!$C$2:$I$3,7,FALSE))</f>
        <v>46146</v>
      </c>
      <c r="U119" s="6">
        <f t="shared" si="23"/>
        <v>27.91</v>
      </c>
      <c r="V119" s="154"/>
      <c r="AA119" s="37"/>
      <c r="AB119" s="137"/>
      <c r="AC119" s="37"/>
      <c r="AD119" s="37"/>
    </row>
    <row r="120" spans="1:30" x14ac:dyDescent="0.15">
      <c r="A120" s="130">
        <v>709</v>
      </c>
      <c r="B120" s="37" t="s">
        <v>225</v>
      </c>
      <c r="C120" s="1" t="s">
        <v>127</v>
      </c>
      <c r="D120" s="5">
        <v>45108</v>
      </c>
      <c r="E120" s="5">
        <v>44927</v>
      </c>
      <c r="F120" s="5">
        <v>45291</v>
      </c>
      <c r="G120" s="1">
        <v>69</v>
      </c>
      <c r="H120" s="1">
        <v>365</v>
      </c>
      <c r="I120" s="154">
        <v>25185</v>
      </c>
      <c r="J120" s="154">
        <v>20186</v>
      </c>
      <c r="K120" s="4">
        <f t="shared" si="28"/>
        <v>25185</v>
      </c>
      <c r="L120" s="4">
        <f t="shared" si="29"/>
        <v>20186</v>
      </c>
      <c r="M120" s="154">
        <v>4904295</v>
      </c>
      <c r="N120" s="154">
        <v>13500</v>
      </c>
      <c r="O120" s="154">
        <v>93477</v>
      </c>
      <c r="P120" s="4">
        <f t="shared" si="30"/>
        <v>5929272</v>
      </c>
      <c r="Q120" s="4">
        <f t="shared" si="22"/>
        <v>5929272</v>
      </c>
      <c r="R120" s="4">
        <f t="shared" si="31"/>
        <v>85931</v>
      </c>
      <c r="S120" s="4">
        <f t="shared" si="21"/>
        <v>474339</v>
      </c>
      <c r="T120" s="155">
        <f>IF(ISNA(VLOOKUP(A120&amp;F120,'Days Exceptions'!$C$2:$I$3,7,FALSE)),ROUND(MAX(K120*Min_Occ,L120),0),VLOOKUP(A120&amp;F120,'Days Exceptions'!$C$2:$I$3,7,FALSE))</f>
        <v>20533</v>
      </c>
      <c r="U120" s="6">
        <f t="shared" si="23"/>
        <v>23.1</v>
      </c>
      <c r="V120" s="154"/>
      <c r="AA120" s="37"/>
      <c r="AB120" s="137"/>
      <c r="AC120" s="37"/>
      <c r="AD120" s="37"/>
    </row>
    <row r="121" spans="1:30" x14ac:dyDescent="0.15">
      <c r="A121" s="130">
        <v>713</v>
      </c>
      <c r="B121" s="37" t="s">
        <v>41</v>
      </c>
      <c r="C121" s="1" t="s">
        <v>102</v>
      </c>
      <c r="D121" s="5">
        <v>45108</v>
      </c>
      <c r="E121" s="5">
        <v>44927</v>
      </c>
      <c r="F121" s="5">
        <v>45291</v>
      </c>
      <c r="G121" s="1">
        <v>200</v>
      </c>
      <c r="H121" s="1">
        <v>365</v>
      </c>
      <c r="I121" s="154">
        <v>73000</v>
      </c>
      <c r="J121" s="154">
        <v>63680</v>
      </c>
      <c r="K121" s="4">
        <f t="shared" si="28"/>
        <v>73000</v>
      </c>
      <c r="L121" s="4">
        <f t="shared" si="29"/>
        <v>63680</v>
      </c>
      <c r="M121" s="154">
        <v>27285839</v>
      </c>
      <c r="N121" s="154">
        <v>21000</v>
      </c>
      <c r="O121" s="154">
        <v>431728</v>
      </c>
      <c r="P121" s="4">
        <f t="shared" si="30"/>
        <v>31917567</v>
      </c>
      <c r="Q121" s="4">
        <f t="shared" si="22"/>
        <v>31917567</v>
      </c>
      <c r="R121" s="4">
        <f t="shared" si="31"/>
        <v>159588</v>
      </c>
      <c r="S121" s="4">
        <f t="shared" si="21"/>
        <v>3191760</v>
      </c>
      <c r="T121" s="155">
        <f>IF(ISNA(VLOOKUP(A121&amp;F121,'Days Exceptions'!$C$2:$I$3,7,FALSE)),ROUND(MAX(K121*Min_Occ,L121),0),VLOOKUP(A121&amp;F121,'Days Exceptions'!$C$2:$I$3,7,FALSE))</f>
        <v>63680</v>
      </c>
      <c r="U121" s="6">
        <f t="shared" si="23"/>
        <v>50.12</v>
      </c>
      <c r="V121" s="154"/>
      <c r="AA121" s="37"/>
      <c r="AB121" s="137"/>
      <c r="AC121" s="37"/>
      <c r="AD121" s="37"/>
    </row>
    <row r="122" spans="1:30" x14ac:dyDescent="0.15">
      <c r="A122" s="130">
        <v>715</v>
      </c>
      <c r="B122" s="37" t="s">
        <v>210</v>
      </c>
      <c r="C122" s="1" t="s">
        <v>106</v>
      </c>
      <c r="D122" s="5">
        <v>45108</v>
      </c>
      <c r="E122" s="5">
        <v>44743</v>
      </c>
      <c r="F122" s="5">
        <v>45107</v>
      </c>
      <c r="G122" s="1">
        <v>111</v>
      </c>
      <c r="H122" s="1">
        <v>365</v>
      </c>
      <c r="I122" s="154">
        <v>40515</v>
      </c>
      <c r="J122" s="154">
        <v>37262</v>
      </c>
      <c r="K122" s="4">
        <f t="shared" si="28"/>
        <v>40515</v>
      </c>
      <c r="L122" s="4">
        <f t="shared" si="29"/>
        <v>37262</v>
      </c>
      <c r="M122" s="154">
        <v>8983782</v>
      </c>
      <c r="N122" s="154">
        <v>32500</v>
      </c>
      <c r="O122" s="154">
        <v>290463</v>
      </c>
      <c r="P122" s="4">
        <f t="shared" si="30"/>
        <v>12881745</v>
      </c>
      <c r="Q122" s="4">
        <f t="shared" si="22"/>
        <v>12881745</v>
      </c>
      <c r="R122" s="4">
        <f t="shared" si="31"/>
        <v>116052</v>
      </c>
      <c r="S122" s="4">
        <f t="shared" si="21"/>
        <v>1030542</v>
      </c>
      <c r="T122" s="155">
        <f>IF(ISNA(VLOOKUP(A122&amp;F122,'Days Exceptions'!$C$2:$I$3,7,FALSE)),ROUND(MAX(K122*Min_Occ,L122),0),VLOOKUP(A122&amp;F122,'Days Exceptions'!$C$2:$I$3,7,FALSE))</f>
        <v>37262</v>
      </c>
      <c r="U122" s="6">
        <f t="shared" si="23"/>
        <v>27.66</v>
      </c>
      <c r="V122" s="154"/>
      <c r="AA122" s="37"/>
      <c r="AB122" s="137"/>
      <c r="AC122" s="37"/>
      <c r="AD122" s="37"/>
    </row>
    <row r="123" spans="1:30" x14ac:dyDescent="0.15">
      <c r="A123" s="130">
        <v>719</v>
      </c>
      <c r="B123" s="37" t="s">
        <v>238</v>
      </c>
      <c r="C123" s="1" t="s">
        <v>102</v>
      </c>
      <c r="D123" s="5">
        <v>45108</v>
      </c>
      <c r="E123" s="5">
        <v>44743</v>
      </c>
      <c r="F123" s="5">
        <v>45107</v>
      </c>
      <c r="G123" s="1">
        <v>91</v>
      </c>
      <c r="H123" s="1">
        <v>365</v>
      </c>
      <c r="I123" s="154">
        <v>33215</v>
      </c>
      <c r="J123" s="154">
        <v>25580</v>
      </c>
      <c r="K123" s="4">
        <f t="shared" si="28"/>
        <v>33215</v>
      </c>
      <c r="L123" s="4">
        <f t="shared" si="29"/>
        <v>25580</v>
      </c>
      <c r="M123" s="154">
        <v>7476845</v>
      </c>
      <c r="N123" s="154">
        <v>20000</v>
      </c>
      <c r="O123" s="154">
        <v>178593</v>
      </c>
      <c r="P123" s="4">
        <f t="shared" si="30"/>
        <v>9475438</v>
      </c>
      <c r="Q123" s="4">
        <f t="shared" si="22"/>
        <v>9475438</v>
      </c>
      <c r="R123" s="4">
        <f t="shared" si="31"/>
        <v>104126</v>
      </c>
      <c r="S123" s="4">
        <f t="shared" si="21"/>
        <v>947547</v>
      </c>
      <c r="T123" s="155">
        <f>IF(ISNA(VLOOKUP(A123&amp;F123,'Days Exceptions'!$C$2:$I$3,7,FALSE)),ROUND(MAX(K123*Min_Occ,L123),0),VLOOKUP(A123&amp;F123,'Days Exceptions'!$C$2:$I$3,7,FALSE))</f>
        <v>27080</v>
      </c>
      <c r="U123" s="6">
        <f t="shared" si="23"/>
        <v>34.99</v>
      </c>
      <c r="V123" s="154"/>
      <c r="AA123" s="37"/>
      <c r="AB123" s="137"/>
      <c r="AC123" s="37"/>
      <c r="AD123" s="37"/>
    </row>
    <row r="124" spans="1:30" x14ac:dyDescent="0.15">
      <c r="A124" s="130">
        <v>725</v>
      </c>
      <c r="B124" s="37" t="s">
        <v>624</v>
      </c>
      <c r="C124" s="1" t="s">
        <v>106</v>
      </c>
      <c r="D124" s="5">
        <v>45108</v>
      </c>
      <c r="E124" s="5">
        <v>44927</v>
      </c>
      <c r="F124" s="5">
        <v>45291</v>
      </c>
      <c r="G124" s="1">
        <v>116</v>
      </c>
      <c r="H124" s="1">
        <v>365</v>
      </c>
      <c r="I124" s="154">
        <v>42340</v>
      </c>
      <c r="J124" s="154">
        <v>34651</v>
      </c>
      <c r="K124" s="4">
        <f t="shared" si="28"/>
        <v>42340</v>
      </c>
      <c r="L124" s="4">
        <f t="shared" si="29"/>
        <v>34651</v>
      </c>
      <c r="M124" s="154">
        <v>7700526</v>
      </c>
      <c r="N124" s="154">
        <v>26000</v>
      </c>
      <c r="O124" s="154">
        <v>548183</v>
      </c>
      <c r="P124" s="4">
        <f t="shared" si="30"/>
        <v>11264709</v>
      </c>
      <c r="Q124" s="4">
        <f t="shared" si="22"/>
        <v>11264709</v>
      </c>
      <c r="R124" s="4">
        <f t="shared" si="31"/>
        <v>97110</v>
      </c>
      <c r="S124" s="4">
        <f t="shared" si="21"/>
        <v>901181</v>
      </c>
      <c r="T124" s="155">
        <f>IF(ISNA(VLOOKUP(A124&amp;F124,'Days Exceptions'!$C$2:$I$3,7,FALSE)),ROUND(MAX(K124*Min_Occ,L124),0),VLOOKUP(A124&amp;F124,'Days Exceptions'!$C$2:$I$3,7,FALSE))</f>
        <v>34651</v>
      </c>
      <c r="U124" s="6">
        <f t="shared" si="23"/>
        <v>26.01</v>
      </c>
      <c r="V124" s="154"/>
      <c r="AA124" s="37"/>
      <c r="AB124" s="137"/>
      <c r="AC124" s="37"/>
      <c r="AD124" s="37"/>
    </row>
    <row r="125" spans="1:30" x14ac:dyDescent="0.15">
      <c r="A125" s="130">
        <v>727</v>
      </c>
      <c r="B125" s="37" t="s">
        <v>214</v>
      </c>
      <c r="C125" s="1" t="s">
        <v>120</v>
      </c>
      <c r="D125" s="5">
        <v>45108</v>
      </c>
      <c r="E125" s="5">
        <v>44743</v>
      </c>
      <c r="F125" s="5">
        <v>45107</v>
      </c>
      <c r="G125" s="1">
        <v>150</v>
      </c>
      <c r="H125" s="1">
        <v>365</v>
      </c>
      <c r="I125" s="154">
        <v>54750</v>
      </c>
      <c r="J125" s="154">
        <v>52538</v>
      </c>
      <c r="K125" s="4">
        <f t="shared" si="28"/>
        <v>54750</v>
      </c>
      <c r="L125" s="4">
        <f t="shared" si="29"/>
        <v>52538</v>
      </c>
      <c r="M125" s="154">
        <v>13884254</v>
      </c>
      <c r="N125" s="154">
        <v>22000</v>
      </c>
      <c r="O125" s="154">
        <v>227728</v>
      </c>
      <c r="P125" s="4">
        <f t="shared" si="30"/>
        <v>17411982</v>
      </c>
      <c r="Q125" s="4">
        <f t="shared" si="22"/>
        <v>17411982</v>
      </c>
      <c r="R125" s="4">
        <f t="shared" si="31"/>
        <v>116080</v>
      </c>
      <c r="S125" s="4">
        <f t="shared" si="21"/>
        <v>1392960</v>
      </c>
      <c r="T125" s="155">
        <f>IF(ISNA(VLOOKUP(A125&amp;F125,'Days Exceptions'!$C$2:$I$3,7,FALSE)),ROUND(MAX(K125*Min_Occ,L125),0),VLOOKUP(A125&amp;F125,'Days Exceptions'!$C$2:$I$3,7,FALSE))</f>
        <v>52538</v>
      </c>
      <c r="U125" s="6">
        <f t="shared" si="23"/>
        <v>26.51</v>
      </c>
      <c r="V125" s="154"/>
      <c r="AA125" s="37"/>
      <c r="AB125" s="137"/>
      <c r="AC125" s="37"/>
      <c r="AD125" s="37"/>
    </row>
    <row r="126" spans="1:30" x14ac:dyDescent="0.15">
      <c r="A126" s="130">
        <v>733</v>
      </c>
      <c r="B126" s="37" t="s">
        <v>211</v>
      </c>
      <c r="C126" s="1" t="s">
        <v>117</v>
      </c>
      <c r="D126" s="5">
        <v>45108</v>
      </c>
      <c r="E126" s="5">
        <v>44743</v>
      </c>
      <c r="F126" s="5">
        <v>45107</v>
      </c>
      <c r="G126" s="1">
        <v>182</v>
      </c>
      <c r="H126" s="1">
        <v>365</v>
      </c>
      <c r="I126" s="154">
        <v>66430</v>
      </c>
      <c r="J126" s="154">
        <v>55149</v>
      </c>
      <c r="K126" s="4">
        <f t="shared" si="28"/>
        <v>66430</v>
      </c>
      <c r="L126" s="4">
        <f t="shared" si="29"/>
        <v>55149</v>
      </c>
      <c r="M126" s="154">
        <v>18369117</v>
      </c>
      <c r="N126" s="154">
        <v>22000</v>
      </c>
      <c r="O126" s="154">
        <v>324032</v>
      </c>
      <c r="P126" s="4">
        <f t="shared" si="30"/>
        <v>22697149</v>
      </c>
      <c r="Q126" s="4">
        <f t="shared" si="22"/>
        <v>22697149</v>
      </c>
      <c r="R126" s="4">
        <f t="shared" si="31"/>
        <v>124710</v>
      </c>
      <c r="S126" s="4">
        <f t="shared" si="21"/>
        <v>1815778</v>
      </c>
      <c r="T126" s="155">
        <f>IF(ISNA(VLOOKUP(A126&amp;F126,'Days Exceptions'!$C$2:$I$3,7,FALSE)),ROUND(MAX(K126*Min_Occ,L126),0),VLOOKUP(A126&amp;F126,'Days Exceptions'!$C$2:$I$3,7,FALSE))</f>
        <v>55149</v>
      </c>
      <c r="U126" s="6">
        <f t="shared" si="23"/>
        <v>32.92</v>
      </c>
      <c r="V126" s="154"/>
      <c r="AA126" s="37"/>
      <c r="AB126" s="137"/>
      <c r="AC126" s="37"/>
      <c r="AD126" s="37"/>
    </row>
    <row r="127" spans="1:30" x14ac:dyDescent="0.15">
      <c r="A127" s="130">
        <v>739</v>
      </c>
      <c r="B127" s="37" t="s">
        <v>212</v>
      </c>
      <c r="C127" s="1" t="s">
        <v>106</v>
      </c>
      <c r="D127" s="5">
        <v>45108</v>
      </c>
      <c r="E127" s="5">
        <v>44743</v>
      </c>
      <c r="F127" s="5">
        <v>45107</v>
      </c>
      <c r="G127" s="1">
        <v>95</v>
      </c>
      <c r="H127" s="1">
        <v>365</v>
      </c>
      <c r="I127" s="154">
        <v>34675</v>
      </c>
      <c r="J127" s="154">
        <v>33078</v>
      </c>
      <c r="K127" s="4">
        <f t="shared" si="28"/>
        <v>34675</v>
      </c>
      <c r="L127" s="4">
        <f t="shared" si="29"/>
        <v>33078</v>
      </c>
      <c r="M127" s="154">
        <v>7110013</v>
      </c>
      <c r="N127" s="154">
        <v>16500</v>
      </c>
      <c r="O127" s="154">
        <v>183447</v>
      </c>
      <c r="P127" s="4">
        <f t="shared" si="30"/>
        <v>8860960</v>
      </c>
      <c r="Q127" s="4">
        <f t="shared" si="22"/>
        <v>8860960</v>
      </c>
      <c r="R127" s="4">
        <f t="shared" si="31"/>
        <v>93273</v>
      </c>
      <c r="S127" s="4">
        <f t="shared" si="21"/>
        <v>708875</v>
      </c>
      <c r="T127" s="155">
        <f>IF(ISNA(VLOOKUP(A127&amp;F127,'Days Exceptions'!$C$2:$I$3,7,FALSE)),ROUND(MAX(K127*Min_Occ,L127),0),VLOOKUP(A127&amp;F127,'Days Exceptions'!$C$2:$I$3,7,FALSE))</f>
        <v>33078</v>
      </c>
      <c r="U127" s="6">
        <f t="shared" si="23"/>
        <v>21.43</v>
      </c>
      <c r="V127" s="154"/>
      <c r="AA127" s="37"/>
      <c r="AB127" s="137"/>
      <c r="AC127" s="37"/>
      <c r="AD127" s="37"/>
    </row>
    <row r="128" spans="1:30" x14ac:dyDescent="0.15">
      <c r="A128" s="130">
        <v>785</v>
      </c>
      <c r="B128" s="37" t="s">
        <v>504</v>
      </c>
      <c r="C128" s="1" t="s">
        <v>114</v>
      </c>
      <c r="D128" s="5">
        <v>45108</v>
      </c>
      <c r="E128" s="5">
        <v>44927</v>
      </c>
      <c r="F128" s="5">
        <v>45291</v>
      </c>
      <c r="G128" s="1">
        <v>42</v>
      </c>
      <c r="H128" s="1">
        <v>365</v>
      </c>
      <c r="I128" s="154">
        <v>15330</v>
      </c>
      <c r="J128" s="154">
        <v>8762</v>
      </c>
      <c r="K128" s="4">
        <f t="shared" si="28"/>
        <v>15330</v>
      </c>
      <c r="L128" s="4">
        <f t="shared" si="29"/>
        <v>8762</v>
      </c>
      <c r="M128" s="154">
        <v>8611651</v>
      </c>
      <c r="N128" s="154">
        <v>20000</v>
      </c>
      <c r="O128" s="154">
        <v>454480</v>
      </c>
      <c r="P128" s="4">
        <f t="shared" si="30"/>
        <v>9906131</v>
      </c>
      <c r="Q128" s="4">
        <f t="shared" si="22"/>
        <v>9906131</v>
      </c>
      <c r="R128" s="4">
        <f t="shared" si="31"/>
        <v>235860</v>
      </c>
      <c r="S128" s="4">
        <f t="shared" si="21"/>
        <v>553516</v>
      </c>
      <c r="T128" s="155">
        <f>IF(ISNA(VLOOKUP(A128&amp;F128,'Days Exceptions'!$C$2:$I$3,7,FALSE)),ROUND(MAX(K128*Min_Occ,L128),0),VLOOKUP(A128&amp;F128,'Days Exceptions'!$C$2:$I$3,7,FALSE))</f>
        <v>12499</v>
      </c>
      <c r="U128" s="6">
        <f t="shared" si="23"/>
        <v>44.28</v>
      </c>
      <c r="V128" s="154"/>
      <c r="W128" s="136"/>
      <c r="X128" s="37"/>
      <c r="Y128" s="37"/>
      <c r="Z128" s="37"/>
      <c r="AA128" s="37"/>
      <c r="AB128" s="137"/>
      <c r="AC128" s="37"/>
      <c r="AD128" s="37"/>
    </row>
    <row r="129" spans="1:30" x14ac:dyDescent="0.15">
      <c r="A129" s="130">
        <v>940</v>
      </c>
      <c r="B129" s="37" t="s">
        <v>43</v>
      </c>
      <c r="C129" s="1" t="s">
        <v>107</v>
      </c>
      <c r="D129" s="5">
        <v>45108</v>
      </c>
      <c r="E129" s="5">
        <v>44927</v>
      </c>
      <c r="F129" s="5">
        <v>45291</v>
      </c>
      <c r="G129" s="1">
        <v>93</v>
      </c>
      <c r="H129" s="1">
        <v>365</v>
      </c>
      <c r="I129" s="154">
        <v>33945</v>
      </c>
      <c r="J129" s="154">
        <v>30549</v>
      </c>
      <c r="K129" s="4">
        <f t="shared" si="28"/>
        <v>33945</v>
      </c>
      <c r="L129" s="4">
        <f t="shared" si="29"/>
        <v>30549</v>
      </c>
      <c r="M129" s="154">
        <v>11872046</v>
      </c>
      <c r="N129" s="154">
        <v>24000</v>
      </c>
      <c r="O129" s="154">
        <v>280675</v>
      </c>
      <c r="P129" s="4">
        <f t="shared" si="30"/>
        <v>14384721</v>
      </c>
      <c r="Q129" s="4">
        <f t="shared" si="22"/>
        <v>14384721</v>
      </c>
      <c r="R129" s="4">
        <f t="shared" si="31"/>
        <v>154674</v>
      </c>
      <c r="S129" s="4">
        <f t="shared" si="21"/>
        <v>1150775</v>
      </c>
      <c r="T129" s="155">
        <f>IF(ISNA(VLOOKUP(A129&amp;F129,'Days Exceptions'!$C$2:$I$3,7,FALSE)),ROUND(MAX(K129*Min_Occ,L129),0),VLOOKUP(A129&amp;F129,'Days Exceptions'!$C$2:$I$3,7,FALSE))</f>
        <v>30549</v>
      </c>
      <c r="U129" s="6">
        <f t="shared" si="23"/>
        <v>37.67</v>
      </c>
      <c r="V129" s="154"/>
      <c r="W129" s="136"/>
      <c r="X129" s="37"/>
      <c r="Y129" s="37"/>
      <c r="Z129" s="37"/>
      <c r="AA129" s="37"/>
      <c r="AB129" s="137"/>
      <c r="AC129" s="37"/>
      <c r="AD129" s="37"/>
    </row>
    <row r="130" spans="1:30" x14ac:dyDescent="0.15">
      <c r="A130" s="130">
        <v>1324</v>
      </c>
      <c r="B130" s="37" t="s">
        <v>477</v>
      </c>
      <c r="C130" s="1" t="s">
        <v>110</v>
      </c>
      <c r="D130" s="5">
        <v>45108</v>
      </c>
      <c r="E130" s="5">
        <v>44927</v>
      </c>
      <c r="F130" s="5">
        <v>45291</v>
      </c>
      <c r="G130" s="1">
        <v>79</v>
      </c>
      <c r="H130" s="1">
        <v>365</v>
      </c>
      <c r="I130" s="154">
        <v>28835</v>
      </c>
      <c r="J130" s="154">
        <v>15164</v>
      </c>
      <c r="K130" s="4">
        <f t="shared" si="28"/>
        <v>28835</v>
      </c>
      <c r="L130" s="4">
        <f t="shared" si="29"/>
        <v>15164</v>
      </c>
      <c r="M130" s="154">
        <v>8154529</v>
      </c>
      <c r="N130" s="154">
        <v>21000</v>
      </c>
      <c r="O130" s="154">
        <v>158162</v>
      </c>
      <c r="P130" s="4">
        <f t="shared" si="30"/>
        <v>9971691</v>
      </c>
      <c r="Q130" s="4">
        <f t="shared" si="22"/>
        <v>9971691</v>
      </c>
      <c r="R130" s="4">
        <f t="shared" si="31"/>
        <v>126224</v>
      </c>
      <c r="S130" s="4">
        <f t="shared" si="21"/>
        <v>797736</v>
      </c>
      <c r="T130" s="155">
        <f>IF(ISNA(VLOOKUP(A130&amp;F130,'Days Exceptions'!$C$2:$I$3,7,FALSE)),ROUND(MAX(K130*Min_Occ,L130),0),VLOOKUP(A130&amp;F130,'Days Exceptions'!$C$2:$I$3,7,FALSE))</f>
        <v>23509</v>
      </c>
      <c r="U130" s="6">
        <f t="shared" si="23"/>
        <v>33.93</v>
      </c>
      <c r="V130" s="154"/>
      <c r="W130" s="136"/>
      <c r="X130" s="37"/>
      <c r="Y130" s="37"/>
      <c r="Z130" s="37"/>
      <c r="AA130" s="37"/>
      <c r="AB130" s="137"/>
      <c r="AC130" s="37"/>
      <c r="AD130" s="37"/>
    </row>
    <row r="131" spans="1:30" x14ac:dyDescent="0.15">
      <c r="A131" s="130">
        <v>1326</v>
      </c>
      <c r="B131" s="37" t="s">
        <v>675</v>
      </c>
      <c r="C131" s="1" t="s">
        <v>107</v>
      </c>
      <c r="D131" s="5">
        <v>45108</v>
      </c>
      <c r="E131" s="5">
        <v>44927</v>
      </c>
      <c r="F131" s="5">
        <v>45291</v>
      </c>
      <c r="G131" s="1">
        <v>88</v>
      </c>
      <c r="H131" s="1">
        <v>365</v>
      </c>
      <c r="I131" s="154">
        <v>32120</v>
      </c>
      <c r="J131" s="154">
        <v>20885</v>
      </c>
      <c r="K131" s="4">
        <f t="shared" si="28"/>
        <v>32120</v>
      </c>
      <c r="L131" s="4">
        <f t="shared" si="29"/>
        <v>20885</v>
      </c>
      <c r="M131" s="154">
        <v>15824579</v>
      </c>
      <c r="N131" s="154">
        <v>29500</v>
      </c>
      <c r="O131" s="154">
        <v>432484</v>
      </c>
      <c r="P131" s="4">
        <f t="shared" si="30"/>
        <v>18853063</v>
      </c>
      <c r="Q131" s="4">
        <f t="shared" si="22"/>
        <v>18853063</v>
      </c>
      <c r="R131" s="4">
        <f t="shared" si="31"/>
        <v>214239</v>
      </c>
      <c r="S131" s="4">
        <f t="shared" si="21"/>
        <v>1159748</v>
      </c>
      <c r="T131" s="155">
        <f>IF(ISNA(VLOOKUP(A131&amp;F131,'Days Exceptions'!$C$2:$I$3,7,FALSE)),ROUND(MAX(K131*Min_Occ,L131),0),VLOOKUP(A131&amp;F131,'Days Exceptions'!$C$2:$I$3,7,FALSE))</f>
        <v>26187</v>
      </c>
      <c r="U131" s="6">
        <f t="shared" si="23"/>
        <v>44.29</v>
      </c>
      <c r="V131" s="154"/>
      <c r="W131" s="136"/>
      <c r="X131" s="37"/>
      <c r="Y131" s="37"/>
      <c r="Z131" s="37"/>
      <c r="AA131" s="37"/>
      <c r="AB131" s="137"/>
      <c r="AC131" s="37"/>
      <c r="AD131" s="37"/>
    </row>
    <row r="132" spans="1:30" x14ac:dyDescent="0.15">
      <c r="A132" s="130">
        <v>1366</v>
      </c>
      <c r="B132" s="37" t="s">
        <v>438</v>
      </c>
      <c r="C132" s="1" t="s">
        <v>120</v>
      </c>
      <c r="D132" s="5">
        <v>45108</v>
      </c>
      <c r="E132" s="5">
        <v>44927</v>
      </c>
      <c r="F132" s="5">
        <v>45291</v>
      </c>
      <c r="G132" s="1">
        <v>150</v>
      </c>
      <c r="H132" s="1">
        <v>365</v>
      </c>
      <c r="I132" s="154">
        <v>54750</v>
      </c>
      <c r="J132" s="154">
        <v>51160</v>
      </c>
      <c r="K132" s="4">
        <f t="shared" si="28"/>
        <v>54750</v>
      </c>
      <c r="L132" s="4">
        <f t="shared" si="29"/>
        <v>51160</v>
      </c>
      <c r="M132" s="154">
        <v>24449721</v>
      </c>
      <c r="N132" s="154">
        <v>22000</v>
      </c>
      <c r="O132" s="154">
        <v>413174</v>
      </c>
      <c r="P132" s="4">
        <f t="shared" si="30"/>
        <v>28162895</v>
      </c>
      <c r="Q132" s="4">
        <f t="shared" si="22"/>
        <v>28162895</v>
      </c>
      <c r="R132" s="4">
        <f t="shared" si="31"/>
        <v>187753</v>
      </c>
      <c r="S132" s="4">
        <f t="shared" ref="S132:S195" si="32">IF(C132="baltimore city",IF(R132&gt;FRV_amt,ROUND(FRV_amt*G132*0.1,0),ROUND(R132*G132*0.1,0)),IF(R132&gt;FRV_amt,ROUND(FRV_amt*G132*0.08,0),ROUND(R132*G132*0.08,0)))</f>
        <v>1976844</v>
      </c>
      <c r="T132" s="155">
        <f>IF(ISNA(VLOOKUP(A132&amp;F132,'Days Exceptions'!$C$2:$I$3,7,FALSE)),ROUND(MAX(K132*Min_Occ,L132),0),VLOOKUP(A132&amp;F132,'Days Exceptions'!$C$2:$I$3,7,FALSE))</f>
        <v>51160</v>
      </c>
      <c r="U132" s="6">
        <f t="shared" si="23"/>
        <v>38.64</v>
      </c>
      <c r="V132" s="154"/>
      <c r="W132" s="136"/>
      <c r="X132" s="37"/>
      <c r="Y132" s="37"/>
      <c r="Z132" s="37"/>
      <c r="AA132" s="37"/>
      <c r="AB132" s="137"/>
      <c r="AC132" s="37"/>
      <c r="AD132" s="37"/>
    </row>
    <row r="133" spans="1:30" x14ac:dyDescent="0.15">
      <c r="A133" s="130">
        <v>28</v>
      </c>
      <c r="B133" s="37" t="s">
        <v>502</v>
      </c>
      <c r="C133" s="1" t="s">
        <v>119</v>
      </c>
      <c r="D133" s="5">
        <v>44743</v>
      </c>
      <c r="E133" s="5">
        <v>44562</v>
      </c>
      <c r="F133" s="5">
        <v>44926</v>
      </c>
      <c r="G133" s="1">
        <v>102</v>
      </c>
      <c r="H133" s="1">
        <v>365</v>
      </c>
      <c r="I133" s="154">
        <v>37230</v>
      </c>
      <c r="J133" s="154">
        <v>32874</v>
      </c>
      <c r="K133" s="4">
        <f t="shared" ref="K133:K163" si="33">IF(OR(H133=365,H133=366),I133,ROUND(I133*(365/$H133),0))</f>
        <v>37230</v>
      </c>
      <c r="L133" s="4">
        <f t="shared" ref="L133:L163" si="34">IF(OR(H133=365,H133=366),J133,ROUND(J133*(365/$H133),0))</f>
        <v>32874</v>
      </c>
      <c r="M133" s="154">
        <v>9835028</v>
      </c>
      <c r="N133" s="154">
        <v>40000</v>
      </c>
      <c r="O133" s="154">
        <v>180471</v>
      </c>
      <c r="P133" s="4">
        <f t="shared" ref="P133:P194" si="35">ROUND(M133+(N133*G133)+O133,0)</f>
        <v>14095499</v>
      </c>
      <c r="Q133" s="4">
        <f t="shared" ref="Q133:Q194" si="36">+P133</f>
        <v>14095499</v>
      </c>
      <c r="R133" s="4">
        <f t="shared" ref="R133:R194" si="37">IF(Q133="","",ROUND(Q133/G133,0))</f>
        <v>138191</v>
      </c>
      <c r="S133" s="4">
        <f t="shared" si="32"/>
        <v>1127639</v>
      </c>
      <c r="T133" s="155">
        <f>IF(ISNA(VLOOKUP(A133&amp;F133,'Days Exceptions'!$C$2:$I$3,7,FALSE)),ROUND(MAX(K133*Min_Occ,L133),0),VLOOKUP(A133&amp;F133,'Days Exceptions'!$C$2:$I$3,7,FALSE))</f>
        <v>32874</v>
      </c>
      <c r="U133" s="6">
        <f t="shared" ref="U133:U194" si="38">ROUND(S133/T133,2)</f>
        <v>34.299999999999997</v>
      </c>
      <c r="W133" s="131"/>
      <c r="X133" s="37"/>
      <c r="Y133" s="37"/>
      <c r="Z133" s="37"/>
      <c r="AA133" s="37"/>
      <c r="AB133" s="37"/>
      <c r="AC133" s="37"/>
      <c r="AD133" s="37"/>
    </row>
    <row r="134" spans="1:30" x14ac:dyDescent="0.15">
      <c r="A134" s="130">
        <v>34</v>
      </c>
      <c r="B134" s="37" t="s">
        <v>381</v>
      </c>
      <c r="C134" s="1" t="s">
        <v>105</v>
      </c>
      <c r="D134" s="5">
        <v>44743</v>
      </c>
      <c r="E134" s="5">
        <v>44562</v>
      </c>
      <c r="F134" s="5">
        <v>44926</v>
      </c>
      <c r="G134" s="1">
        <v>153</v>
      </c>
      <c r="H134" s="1">
        <v>365</v>
      </c>
      <c r="I134" s="154">
        <v>55845</v>
      </c>
      <c r="J134" s="154">
        <v>35399</v>
      </c>
      <c r="K134" s="4">
        <f t="shared" si="33"/>
        <v>55845</v>
      </c>
      <c r="L134" s="4">
        <f t="shared" si="34"/>
        <v>35399</v>
      </c>
      <c r="M134" s="154">
        <v>17017786</v>
      </c>
      <c r="N134" s="154">
        <v>13000</v>
      </c>
      <c r="O134" s="154">
        <v>573466</v>
      </c>
      <c r="P134" s="4">
        <f t="shared" si="35"/>
        <v>19580252</v>
      </c>
      <c r="Q134" s="4">
        <f t="shared" si="36"/>
        <v>19580252</v>
      </c>
      <c r="R134" s="4">
        <f t="shared" si="37"/>
        <v>127976</v>
      </c>
      <c r="S134" s="4">
        <f t="shared" si="32"/>
        <v>1566426</v>
      </c>
      <c r="T134" s="155">
        <f>IF(ISNA(VLOOKUP(A134&amp;F134,'Days Exceptions'!$C$2:$I$3,7,FALSE)),ROUND(MAX(K134*Min_Occ,L134),0),VLOOKUP(A134&amp;F134,'Days Exceptions'!$C$2:$I$3,7,FALSE))</f>
        <v>45530</v>
      </c>
      <c r="U134" s="6">
        <f t="shared" si="38"/>
        <v>34.4</v>
      </c>
      <c r="W134" s="131"/>
      <c r="X134" s="37"/>
      <c r="Y134" s="37"/>
      <c r="Z134" s="37"/>
      <c r="AA134" s="37"/>
      <c r="AB134" s="37"/>
      <c r="AC134" s="37"/>
      <c r="AD134" s="37"/>
    </row>
    <row r="135" spans="1:30" x14ac:dyDescent="0.15">
      <c r="A135" s="130">
        <v>52</v>
      </c>
      <c r="B135" s="37" t="s">
        <v>447</v>
      </c>
      <c r="C135" s="1" t="s">
        <v>119</v>
      </c>
      <c r="D135" s="5">
        <v>44743</v>
      </c>
      <c r="E135" s="5">
        <v>44562</v>
      </c>
      <c r="F135" s="5">
        <v>44926</v>
      </c>
      <c r="G135" s="1">
        <v>60</v>
      </c>
      <c r="H135" s="1">
        <v>365</v>
      </c>
      <c r="I135" s="154">
        <v>21900</v>
      </c>
      <c r="J135" s="154">
        <v>14858</v>
      </c>
      <c r="K135" s="4">
        <f t="shared" si="33"/>
        <v>21900</v>
      </c>
      <c r="L135" s="4">
        <f t="shared" si="34"/>
        <v>14858</v>
      </c>
      <c r="M135" s="154">
        <v>9513922</v>
      </c>
      <c r="N135" s="154">
        <v>38000</v>
      </c>
      <c r="O135" s="154">
        <v>237775</v>
      </c>
      <c r="P135" s="4">
        <f t="shared" si="35"/>
        <v>12031697</v>
      </c>
      <c r="Q135" s="4">
        <f t="shared" si="36"/>
        <v>12031697</v>
      </c>
      <c r="R135" s="4">
        <f t="shared" si="37"/>
        <v>200528</v>
      </c>
      <c r="S135" s="4">
        <f t="shared" si="32"/>
        <v>790738</v>
      </c>
      <c r="T135" s="155">
        <f>IF(ISNA(VLOOKUP(A135&amp;F135,'Days Exceptions'!$C$2:$I$3,7,FALSE)),ROUND(MAX(K135*Min_Occ,L135),0),VLOOKUP(A135&amp;F135,'Days Exceptions'!$C$2:$I$3,7,FALSE))</f>
        <v>17855</v>
      </c>
      <c r="U135" s="6">
        <f t="shared" si="38"/>
        <v>44.29</v>
      </c>
      <c r="W135" s="131"/>
      <c r="X135" s="37"/>
      <c r="Y135" s="37"/>
      <c r="Z135" s="37"/>
      <c r="AA135" s="37"/>
      <c r="AB135" s="37"/>
      <c r="AC135" s="37"/>
      <c r="AD135" s="37"/>
    </row>
    <row r="136" spans="1:30" x14ac:dyDescent="0.15">
      <c r="A136" s="130">
        <v>58</v>
      </c>
      <c r="B136" s="37" t="s">
        <v>42</v>
      </c>
      <c r="C136" s="1" t="s">
        <v>127</v>
      </c>
      <c r="D136" s="5">
        <v>44743</v>
      </c>
      <c r="E136" s="5">
        <v>44562</v>
      </c>
      <c r="F136" s="5">
        <v>44926</v>
      </c>
      <c r="G136" s="1">
        <v>157</v>
      </c>
      <c r="H136" s="1">
        <v>365</v>
      </c>
      <c r="I136" s="154">
        <v>57305</v>
      </c>
      <c r="J136" s="154">
        <v>29996</v>
      </c>
      <c r="K136" s="4">
        <f t="shared" si="33"/>
        <v>57305</v>
      </c>
      <c r="L136" s="4">
        <f t="shared" si="34"/>
        <v>29996</v>
      </c>
      <c r="M136" s="154">
        <v>24918427</v>
      </c>
      <c r="N136" s="154">
        <v>18000</v>
      </c>
      <c r="O136" s="154">
        <v>375641</v>
      </c>
      <c r="P136" s="4">
        <f t="shared" si="35"/>
        <v>28120068</v>
      </c>
      <c r="Q136" s="4">
        <f t="shared" si="36"/>
        <v>28120068</v>
      </c>
      <c r="R136" s="4">
        <f t="shared" si="37"/>
        <v>179109</v>
      </c>
      <c r="S136" s="4">
        <f t="shared" si="32"/>
        <v>2069097</v>
      </c>
      <c r="T136" s="155">
        <f>IF(ISNA(VLOOKUP(A136&amp;F136,'Days Exceptions'!$C$2:$I$3,7,FALSE)),ROUND(MAX(K136*Min_Occ,L136),0),VLOOKUP(A136&amp;F136,'Days Exceptions'!$C$2:$I$3,7,FALSE))</f>
        <v>46721</v>
      </c>
      <c r="U136" s="6">
        <f t="shared" si="38"/>
        <v>44.29</v>
      </c>
      <c r="W136" s="131"/>
      <c r="X136" s="37"/>
      <c r="Y136" s="37"/>
      <c r="Z136" s="37"/>
      <c r="AA136" s="37"/>
      <c r="AB136" s="37"/>
      <c r="AC136" s="37"/>
      <c r="AD136" s="37"/>
    </row>
    <row r="137" spans="1:30" x14ac:dyDescent="0.15">
      <c r="A137" s="130">
        <v>60</v>
      </c>
      <c r="B137" s="37" t="s">
        <v>618</v>
      </c>
      <c r="C137" s="1" t="s">
        <v>119</v>
      </c>
      <c r="D137" s="5">
        <v>44743</v>
      </c>
      <c r="E137" s="5">
        <v>44713</v>
      </c>
      <c r="F137" s="5">
        <v>44926</v>
      </c>
      <c r="G137" s="1">
        <v>195</v>
      </c>
      <c r="H137" s="1">
        <v>214</v>
      </c>
      <c r="I137" s="154">
        <v>41730</v>
      </c>
      <c r="J137" s="154">
        <v>35031</v>
      </c>
      <c r="K137" s="4">
        <f t="shared" si="33"/>
        <v>71175</v>
      </c>
      <c r="L137" s="4">
        <f t="shared" si="34"/>
        <v>59749</v>
      </c>
      <c r="M137" s="154">
        <v>20367905</v>
      </c>
      <c r="N137" s="154">
        <v>45000</v>
      </c>
      <c r="O137" s="154">
        <v>396879</v>
      </c>
      <c r="P137" s="4">
        <f t="shared" si="35"/>
        <v>29539784</v>
      </c>
      <c r="Q137" s="4">
        <f t="shared" si="36"/>
        <v>29539784</v>
      </c>
      <c r="R137" s="4">
        <f t="shared" si="37"/>
        <v>151486</v>
      </c>
      <c r="S137" s="4">
        <f t="shared" si="32"/>
        <v>2363182</v>
      </c>
      <c r="T137" s="155">
        <f>IF(ISNA(VLOOKUP(A137&amp;F137,'Days Exceptions'!$C$2:$I$3,7,FALSE)),ROUND(MAX(K137*Min_Occ,L137),0),VLOOKUP(A137&amp;F137,'Days Exceptions'!$C$2:$I$3,7,FALSE))</f>
        <v>59749</v>
      </c>
      <c r="U137" s="6">
        <f t="shared" si="38"/>
        <v>39.549999999999997</v>
      </c>
      <c r="W137" s="131"/>
      <c r="X137" s="37"/>
      <c r="Y137" s="37"/>
      <c r="Z137" s="37"/>
      <c r="AA137" s="37"/>
      <c r="AB137" s="37"/>
      <c r="AC137" s="37"/>
      <c r="AD137" s="37"/>
    </row>
    <row r="138" spans="1:30" x14ac:dyDescent="0.15">
      <c r="A138" s="130">
        <v>62</v>
      </c>
      <c r="B138" s="37" t="s">
        <v>604</v>
      </c>
      <c r="C138" s="1" t="s">
        <v>114</v>
      </c>
      <c r="D138" s="5">
        <v>44743</v>
      </c>
      <c r="E138" s="5">
        <v>44593</v>
      </c>
      <c r="F138" s="5">
        <v>44926</v>
      </c>
      <c r="G138" s="1">
        <v>120</v>
      </c>
      <c r="H138" s="1">
        <v>334</v>
      </c>
      <c r="I138" s="154">
        <v>40080</v>
      </c>
      <c r="J138" s="154">
        <v>33065</v>
      </c>
      <c r="K138" s="4">
        <f t="shared" si="33"/>
        <v>43800</v>
      </c>
      <c r="L138" s="4">
        <f t="shared" si="34"/>
        <v>36134</v>
      </c>
      <c r="M138" s="154">
        <v>9339530</v>
      </c>
      <c r="N138" s="154">
        <v>20000</v>
      </c>
      <c r="O138" s="154">
        <v>300861</v>
      </c>
      <c r="P138" s="4">
        <f t="shared" si="35"/>
        <v>12040391</v>
      </c>
      <c r="Q138" s="4">
        <f t="shared" si="36"/>
        <v>12040391</v>
      </c>
      <c r="R138" s="4">
        <f t="shared" si="37"/>
        <v>100337</v>
      </c>
      <c r="S138" s="4">
        <f t="shared" si="32"/>
        <v>963235</v>
      </c>
      <c r="T138" s="155">
        <f>IF(ISNA(VLOOKUP(A138&amp;F138,'Days Exceptions'!$C$2:$I$3,7,FALSE)),ROUND(MAX(K138*Min_Occ,L138),0),VLOOKUP(A138&amp;F138,'Days Exceptions'!$C$2:$I$3,7,FALSE))</f>
        <v>36134</v>
      </c>
      <c r="U138" s="6">
        <f t="shared" si="38"/>
        <v>26.66</v>
      </c>
      <c r="W138" s="131"/>
      <c r="X138" s="37"/>
      <c r="Y138" s="37"/>
      <c r="Z138" s="37"/>
      <c r="AA138" s="37"/>
      <c r="AB138" s="37"/>
      <c r="AC138" s="37"/>
      <c r="AD138" s="37"/>
    </row>
    <row r="139" spans="1:30" x14ac:dyDescent="0.15">
      <c r="A139" s="130">
        <v>70</v>
      </c>
      <c r="B139" s="37" t="s">
        <v>593</v>
      </c>
      <c r="C139" s="1" t="s">
        <v>107</v>
      </c>
      <c r="D139" s="5">
        <v>44743</v>
      </c>
      <c r="E139" s="5">
        <v>44562</v>
      </c>
      <c r="F139" s="5">
        <v>44926</v>
      </c>
      <c r="G139" s="1">
        <v>110</v>
      </c>
      <c r="H139" s="1">
        <v>365</v>
      </c>
      <c r="I139" s="154">
        <v>40150</v>
      </c>
      <c r="J139" s="154">
        <v>28102</v>
      </c>
      <c r="K139" s="4">
        <f t="shared" si="33"/>
        <v>40150</v>
      </c>
      <c r="L139" s="4">
        <f t="shared" si="34"/>
        <v>28102</v>
      </c>
      <c r="M139" s="154">
        <v>16915364</v>
      </c>
      <c r="N139" s="154">
        <v>25000</v>
      </c>
      <c r="O139" s="154">
        <v>424113</v>
      </c>
      <c r="P139" s="4">
        <f t="shared" si="35"/>
        <v>20089477</v>
      </c>
      <c r="Q139" s="4">
        <f t="shared" si="36"/>
        <v>20089477</v>
      </c>
      <c r="R139" s="4">
        <f t="shared" si="37"/>
        <v>182632</v>
      </c>
      <c r="S139" s="4">
        <f t="shared" si="32"/>
        <v>1449686</v>
      </c>
      <c r="T139" s="155">
        <f>IF(ISNA(VLOOKUP(A139&amp;F139,'Days Exceptions'!$C$2:$I$3,7,FALSE)),ROUND(MAX(K139*Min_Occ,L139),0),VLOOKUP(A139&amp;F139,'Days Exceptions'!$C$2:$I$3,7,FALSE))</f>
        <v>32734</v>
      </c>
      <c r="U139" s="6">
        <f t="shared" si="38"/>
        <v>44.29</v>
      </c>
      <c r="W139" s="131"/>
      <c r="X139" s="37"/>
      <c r="Y139" s="37"/>
      <c r="Z139" s="37"/>
      <c r="AA139" s="37"/>
      <c r="AB139" s="37"/>
      <c r="AC139" s="37"/>
      <c r="AD139" s="37"/>
    </row>
    <row r="140" spans="1:30" x14ac:dyDescent="0.15">
      <c r="A140" s="130">
        <v>76</v>
      </c>
      <c r="B140" s="37" t="s">
        <v>462</v>
      </c>
      <c r="C140" s="1" t="s">
        <v>108</v>
      </c>
      <c r="D140" s="5">
        <v>44743</v>
      </c>
      <c r="E140" s="5">
        <v>44562</v>
      </c>
      <c r="F140" s="5">
        <v>44926</v>
      </c>
      <c r="G140" s="1">
        <v>149</v>
      </c>
      <c r="H140" s="1">
        <v>365</v>
      </c>
      <c r="I140" s="154">
        <v>54385</v>
      </c>
      <c r="J140" s="154">
        <v>42233</v>
      </c>
      <c r="K140" s="4">
        <f t="shared" si="33"/>
        <v>54385</v>
      </c>
      <c r="L140" s="4">
        <f t="shared" si="34"/>
        <v>42233</v>
      </c>
      <c r="M140" s="154">
        <v>17840404</v>
      </c>
      <c r="N140" s="154">
        <v>20000</v>
      </c>
      <c r="O140" s="154">
        <v>354805</v>
      </c>
      <c r="P140" s="4">
        <f t="shared" si="35"/>
        <v>21175209</v>
      </c>
      <c r="Q140" s="4">
        <f t="shared" si="36"/>
        <v>21175209</v>
      </c>
      <c r="R140" s="4">
        <f t="shared" si="37"/>
        <v>142115</v>
      </c>
      <c r="S140" s="4">
        <f t="shared" si="32"/>
        <v>1694011</v>
      </c>
      <c r="T140" s="155">
        <f>IF(ISNA(VLOOKUP(A140&amp;F140,'Days Exceptions'!$C$2:$I$3,7,FALSE)),ROUND(MAX(K140*Min_Occ,L140),0),VLOOKUP(A140&amp;F140,'Days Exceptions'!$C$2:$I$3,7,FALSE))</f>
        <v>44340</v>
      </c>
      <c r="U140" s="6">
        <f t="shared" si="38"/>
        <v>38.21</v>
      </c>
      <c r="W140" s="131"/>
      <c r="X140" s="37"/>
      <c r="Y140" s="37"/>
      <c r="Z140" s="37"/>
      <c r="AA140" s="37"/>
      <c r="AB140" s="37"/>
      <c r="AC140" s="37"/>
      <c r="AD140" s="37"/>
    </row>
    <row r="141" spans="1:30" x14ac:dyDescent="0.15">
      <c r="A141" s="130">
        <v>88</v>
      </c>
      <c r="B141" s="37" t="s">
        <v>544</v>
      </c>
      <c r="C141" s="1" t="s">
        <v>107</v>
      </c>
      <c r="D141" s="5">
        <v>44743</v>
      </c>
      <c r="E141" s="5">
        <v>44562</v>
      </c>
      <c r="F141" s="5">
        <v>44926</v>
      </c>
      <c r="G141" s="1">
        <v>136</v>
      </c>
      <c r="H141" s="1">
        <v>365</v>
      </c>
      <c r="I141" s="154">
        <v>49640</v>
      </c>
      <c r="J141" s="154">
        <v>39904</v>
      </c>
      <c r="K141" s="4">
        <f t="shared" si="33"/>
        <v>49640</v>
      </c>
      <c r="L141" s="4">
        <f t="shared" si="34"/>
        <v>39904</v>
      </c>
      <c r="M141" s="154">
        <v>10218029</v>
      </c>
      <c r="N141" s="154">
        <v>20000</v>
      </c>
      <c r="O141" s="154">
        <v>248211</v>
      </c>
      <c r="P141" s="4">
        <f t="shared" si="35"/>
        <v>13186240</v>
      </c>
      <c r="Q141" s="4">
        <f t="shared" si="36"/>
        <v>13186240</v>
      </c>
      <c r="R141" s="4">
        <f t="shared" si="37"/>
        <v>96958</v>
      </c>
      <c r="S141" s="4">
        <f t="shared" si="32"/>
        <v>1054903</v>
      </c>
      <c r="T141" s="155">
        <f>IF(ISNA(VLOOKUP(A141&amp;F141,'Days Exceptions'!$C$2:$I$3,7,FALSE)),ROUND(MAX(K141*Min_Occ,L141),0),VLOOKUP(A141&amp;F141,'Days Exceptions'!$C$2:$I$3,7,FALSE))</f>
        <v>40471</v>
      </c>
      <c r="U141" s="6">
        <f t="shared" si="38"/>
        <v>26.07</v>
      </c>
      <c r="W141" s="131"/>
      <c r="X141" s="37"/>
      <c r="Y141" s="37"/>
      <c r="Z141" s="37"/>
      <c r="AA141" s="37"/>
      <c r="AB141" s="37"/>
      <c r="AC141" s="37"/>
      <c r="AD141" s="37"/>
    </row>
    <row r="142" spans="1:30" x14ac:dyDescent="0.15">
      <c r="A142" s="130">
        <v>94</v>
      </c>
      <c r="B142" s="37" t="s">
        <v>220</v>
      </c>
      <c r="C142" s="1" t="s">
        <v>107</v>
      </c>
      <c r="D142" s="5">
        <v>44743</v>
      </c>
      <c r="E142" s="5">
        <v>44562</v>
      </c>
      <c r="F142" s="5">
        <v>44926</v>
      </c>
      <c r="G142" s="1">
        <v>103</v>
      </c>
      <c r="H142" s="1">
        <v>365</v>
      </c>
      <c r="I142" s="154">
        <v>37595</v>
      </c>
      <c r="J142" s="154">
        <v>33572</v>
      </c>
      <c r="K142" s="4">
        <f t="shared" si="33"/>
        <v>37595</v>
      </c>
      <c r="L142" s="4">
        <f t="shared" si="34"/>
        <v>33572</v>
      </c>
      <c r="M142" s="154">
        <v>34847462</v>
      </c>
      <c r="N142" s="154">
        <v>22500</v>
      </c>
      <c r="O142" s="154">
        <v>249627</v>
      </c>
      <c r="P142" s="4">
        <f t="shared" si="35"/>
        <v>37414589</v>
      </c>
      <c r="Q142" s="4">
        <f t="shared" si="36"/>
        <v>37414589</v>
      </c>
      <c r="R142" s="4">
        <f t="shared" si="37"/>
        <v>363248</v>
      </c>
      <c r="S142" s="4">
        <f t="shared" si="32"/>
        <v>1357433</v>
      </c>
      <c r="T142" s="155">
        <f>IF(ISNA(VLOOKUP(A142&amp;F142,'Days Exceptions'!$C$2:$I$3,7,FALSE)),ROUND(MAX(K142*Min_Occ,L142),0),VLOOKUP(A142&amp;F142,'Days Exceptions'!$C$2:$I$3,7,FALSE))</f>
        <v>33572</v>
      </c>
      <c r="U142" s="6">
        <f t="shared" si="38"/>
        <v>40.43</v>
      </c>
      <c r="W142" s="131"/>
      <c r="X142" s="37"/>
      <c r="Y142" s="37"/>
      <c r="Z142" s="37"/>
      <c r="AA142" s="37"/>
      <c r="AB142" s="37"/>
      <c r="AC142" s="37"/>
      <c r="AD142" s="37"/>
    </row>
    <row r="143" spans="1:30" x14ac:dyDescent="0.15">
      <c r="A143" s="130">
        <v>98</v>
      </c>
      <c r="B143" s="37" t="s">
        <v>494</v>
      </c>
      <c r="C143" s="1" t="s">
        <v>120</v>
      </c>
      <c r="D143" s="5">
        <v>44743</v>
      </c>
      <c r="E143" s="5">
        <v>44562</v>
      </c>
      <c r="F143" s="5">
        <v>44926</v>
      </c>
      <c r="G143" s="1">
        <v>155</v>
      </c>
      <c r="H143" s="1">
        <v>365</v>
      </c>
      <c r="I143" s="154">
        <v>56575</v>
      </c>
      <c r="J143" s="154">
        <v>54013</v>
      </c>
      <c r="K143" s="4">
        <f t="shared" si="33"/>
        <v>56575</v>
      </c>
      <c r="L143" s="4">
        <f t="shared" si="34"/>
        <v>54013</v>
      </c>
      <c r="M143" s="154">
        <v>17003017</v>
      </c>
      <c r="N143" s="154">
        <v>27000</v>
      </c>
      <c r="O143" s="154">
        <v>471700</v>
      </c>
      <c r="P143" s="4">
        <f t="shared" si="35"/>
        <v>21659717</v>
      </c>
      <c r="Q143" s="4">
        <f t="shared" si="36"/>
        <v>21659717</v>
      </c>
      <c r="R143" s="4">
        <f t="shared" si="37"/>
        <v>139740</v>
      </c>
      <c r="S143" s="4">
        <f t="shared" si="32"/>
        <v>1732776</v>
      </c>
      <c r="T143" s="155">
        <f>IF(ISNA(VLOOKUP(A143&amp;F143,'Days Exceptions'!$C$2:$I$3,7,FALSE)),ROUND(MAX(K143*Min_Occ,L143),0),VLOOKUP(A143&amp;F143,'Days Exceptions'!$C$2:$I$3,7,FALSE))</f>
        <v>54013</v>
      </c>
      <c r="U143" s="6">
        <f t="shared" si="38"/>
        <v>32.08</v>
      </c>
      <c r="W143" s="131"/>
      <c r="X143" s="37"/>
      <c r="Y143" s="37"/>
      <c r="Z143" s="37"/>
      <c r="AA143" s="37"/>
      <c r="AB143" s="37"/>
      <c r="AC143" s="37"/>
      <c r="AD143" s="37"/>
    </row>
    <row r="144" spans="1:30" x14ac:dyDescent="0.15">
      <c r="A144" s="130">
        <v>100</v>
      </c>
      <c r="B144" s="37" t="s">
        <v>546</v>
      </c>
      <c r="C144" s="1" t="s">
        <v>113</v>
      </c>
      <c r="D144" s="5">
        <v>44743</v>
      </c>
      <c r="E144" s="5">
        <v>44562</v>
      </c>
      <c r="F144" s="5">
        <v>44926</v>
      </c>
      <c r="G144" s="1">
        <v>98</v>
      </c>
      <c r="H144" s="1">
        <v>365</v>
      </c>
      <c r="I144" s="154">
        <v>35770</v>
      </c>
      <c r="J144" s="154">
        <v>32673</v>
      </c>
      <c r="K144" s="4">
        <f t="shared" si="33"/>
        <v>35770</v>
      </c>
      <c r="L144" s="4">
        <f t="shared" si="34"/>
        <v>32673</v>
      </c>
      <c r="M144" s="154">
        <v>9668293</v>
      </c>
      <c r="N144" s="154">
        <v>15000</v>
      </c>
      <c r="O144" s="154">
        <v>310409</v>
      </c>
      <c r="P144" s="4">
        <f t="shared" si="35"/>
        <v>11448702</v>
      </c>
      <c r="Q144" s="4">
        <f t="shared" si="36"/>
        <v>11448702</v>
      </c>
      <c r="R144" s="4">
        <f t="shared" si="37"/>
        <v>116823</v>
      </c>
      <c r="S144" s="4">
        <f t="shared" si="32"/>
        <v>915892</v>
      </c>
      <c r="T144" s="155">
        <f>IF(ISNA(VLOOKUP(A144&amp;F144,'Days Exceptions'!$C$2:$I$3,7,FALSE)),ROUND(MAX(K144*Min_Occ,L144),0),VLOOKUP(A144&amp;F144,'Days Exceptions'!$C$2:$I$3,7,FALSE))</f>
        <v>32673</v>
      </c>
      <c r="U144" s="6">
        <f t="shared" si="38"/>
        <v>28.03</v>
      </c>
      <c r="W144" s="131"/>
      <c r="X144" s="37"/>
      <c r="Y144" s="37"/>
      <c r="Z144" s="37"/>
      <c r="AA144" s="37"/>
      <c r="AB144" s="37"/>
      <c r="AC144" s="37"/>
      <c r="AD144" s="37"/>
    </row>
    <row r="145" spans="1:30" x14ac:dyDescent="0.15">
      <c r="A145" s="130">
        <v>102</v>
      </c>
      <c r="B145" s="37" t="s">
        <v>445</v>
      </c>
      <c r="C145" s="1" t="s">
        <v>118</v>
      </c>
      <c r="D145" s="5">
        <v>44743</v>
      </c>
      <c r="E145" s="5">
        <v>44562</v>
      </c>
      <c r="F145" s="5">
        <v>44926</v>
      </c>
      <c r="G145" s="1">
        <v>98</v>
      </c>
      <c r="H145" s="1">
        <v>365</v>
      </c>
      <c r="I145" s="154">
        <v>35770</v>
      </c>
      <c r="J145" s="154">
        <v>32233</v>
      </c>
      <c r="K145" s="4">
        <f t="shared" si="33"/>
        <v>35770</v>
      </c>
      <c r="L145" s="4">
        <f t="shared" si="34"/>
        <v>32233</v>
      </c>
      <c r="M145" s="154">
        <v>10712831</v>
      </c>
      <c r="N145" s="154">
        <v>15000</v>
      </c>
      <c r="O145" s="154">
        <v>488229</v>
      </c>
      <c r="P145" s="4">
        <f t="shared" si="35"/>
        <v>12671060</v>
      </c>
      <c r="Q145" s="4">
        <f t="shared" si="36"/>
        <v>12671060</v>
      </c>
      <c r="R145" s="4">
        <f t="shared" si="37"/>
        <v>129297</v>
      </c>
      <c r="S145" s="4">
        <f t="shared" si="32"/>
        <v>1013688</v>
      </c>
      <c r="T145" s="155">
        <f>IF(ISNA(VLOOKUP(A145&amp;F145,'Days Exceptions'!$C$2:$I$3,7,FALSE)),ROUND(MAX(K145*Min_Occ,L145),0),VLOOKUP(A145&amp;F145,'Days Exceptions'!$C$2:$I$3,7,FALSE))</f>
        <v>32233</v>
      </c>
      <c r="U145" s="6">
        <f t="shared" si="38"/>
        <v>31.45</v>
      </c>
      <c r="W145" s="131"/>
      <c r="X145" s="37"/>
      <c r="Y145" s="37"/>
      <c r="Z145" s="37"/>
      <c r="AA145" s="37"/>
      <c r="AB145" s="37"/>
      <c r="AC145" s="37"/>
      <c r="AD145" s="37"/>
    </row>
    <row r="146" spans="1:30" x14ac:dyDescent="0.15">
      <c r="A146" s="130">
        <v>112</v>
      </c>
      <c r="B146" s="37" t="s">
        <v>227</v>
      </c>
      <c r="C146" s="1" t="s">
        <v>120</v>
      </c>
      <c r="D146" s="5">
        <v>44743</v>
      </c>
      <c r="E146" s="5">
        <v>44378</v>
      </c>
      <c r="F146" s="5">
        <v>44742</v>
      </c>
      <c r="G146" s="1">
        <v>267</v>
      </c>
      <c r="H146" s="1">
        <v>365</v>
      </c>
      <c r="I146" s="154">
        <v>97455</v>
      </c>
      <c r="J146" s="154">
        <v>85865</v>
      </c>
      <c r="K146" s="4">
        <f t="shared" si="33"/>
        <v>97455</v>
      </c>
      <c r="L146" s="4">
        <f t="shared" si="34"/>
        <v>85865</v>
      </c>
      <c r="M146" s="154">
        <v>19832112</v>
      </c>
      <c r="N146" s="154">
        <v>18000</v>
      </c>
      <c r="O146" s="154">
        <v>357198</v>
      </c>
      <c r="P146" s="4">
        <f t="shared" si="35"/>
        <v>24995310</v>
      </c>
      <c r="Q146" s="4">
        <f t="shared" si="36"/>
        <v>24995310</v>
      </c>
      <c r="R146" s="4">
        <f t="shared" si="37"/>
        <v>93615</v>
      </c>
      <c r="S146" s="4">
        <f t="shared" si="32"/>
        <v>1999616</v>
      </c>
      <c r="T146" s="155">
        <f>IF(ISNA(VLOOKUP(A146&amp;F146,'Days Exceptions'!$C$2:$I$3,7,FALSE)),ROUND(MAX(K146*Min_Occ,L146),0),VLOOKUP(A146&amp;F146,'Days Exceptions'!$C$2:$I$3,7,FALSE))</f>
        <v>85865</v>
      </c>
      <c r="U146" s="6">
        <f t="shared" si="38"/>
        <v>23.29</v>
      </c>
      <c r="W146" s="131"/>
      <c r="X146" s="37"/>
      <c r="Y146" s="37"/>
      <c r="Z146" s="37"/>
      <c r="AA146" s="37"/>
      <c r="AB146" s="37"/>
      <c r="AC146" s="37"/>
      <c r="AD146" s="37"/>
    </row>
    <row r="147" spans="1:30" x14ac:dyDescent="0.15">
      <c r="A147" s="130">
        <v>114</v>
      </c>
      <c r="B147" s="37" t="s">
        <v>657</v>
      </c>
      <c r="C147" s="1" t="s">
        <v>125</v>
      </c>
      <c r="D147" s="5">
        <v>44743</v>
      </c>
      <c r="E147" s="5">
        <v>44743</v>
      </c>
      <c r="F147" s="5">
        <v>44865</v>
      </c>
      <c r="G147" s="1">
        <v>59</v>
      </c>
      <c r="H147" s="1">
        <v>123</v>
      </c>
      <c r="I147" s="154">
        <v>7257</v>
      </c>
      <c r="J147" s="154">
        <v>5710</v>
      </c>
      <c r="K147" s="4">
        <f t="shared" si="33"/>
        <v>21535</v>
      </c>
      <c r="L147" s="4">
        <f t="shared" si="34"/>
        <v>16944</v>
      </c>
      <c r="M147" s="154">
        <v>8956217</v>
      </c>
      <c r="N147" s="154">
        <v>18000</v>
      </c>
      <c r="O147" s="154">
        <v>265270</v>
      </c>
      <c r="P147" s="4">
        <f t="shared" si="35"/>
        <v>10283487</v>
      </c>
      <c r="Q147" s="4">
        <f t="shared" si="36"/>
        <v>10283487</v>
      </c>
      <c r="R147" s="4">
        <f t="shared" si="37"/>
        <v>174296</v>
      </c>
      <c r="S147" s="4">
        <f t="shared" si="32"/>
        <v>777559</v>
      </c>
      <c r="T147" s="155">
        <f>IF(ISNA(VLOOKUP(A147&amp;F147,'Days Exceptions'!$C$2:$I$3,7,FALSE)),ROUND(MAX(K147*Min_Occ,L147),0),VLOOKUP(A147&amp;F147,'Days Exceptions'!$C$2:$I$3,7,FALSE))</f>
        <v>17557</v>
      </c>
      <c r="U147" s="6">
        <f t="shared" si="38"/>
        <v>44.29</v>
      </c>
      <c r="W147" s="131"/>
      <c r="X147" s="37"/>
      <c r="Y147" s="37"/>
      <c r="Z147" s="37"/>
      <c r="AA147" s="37"/>
      <c r="AB147" s="37"/>
      <c r="AC147" s="37"/>
      <c r="AD147" s="37"/>
    </row>
    <row r="148" spans="1:30" x14ac:dyDescent="0.15">
      <c r="A148" s="130">
        <v>134</v>
      </c>
      <c r="B148" s="37" t="s">
        <v>581</v>
      </c>
      <c r="C148" s="1" t="s">
        <v>107</v>
      </c>
      <c r="D148" s="5">
        <v>44743</v>
      </c>
      <c r="E148" s="5">
        <v>44562</v>
      </c>
      <c r="F148" s="5">
        <v>44926</v>
      </c>
      <c r="G148" s="1">
        <v>135</v>
      </c>
      <c r="H148" s="1">
        <v>365</v>
      </c>
      <c r="I148" s="154">
        <v>49275</v>
      </c>
      <c r="J148" s="154">
        <v>40594</v>
      </c>
      <c r="K148" s="4">
        <f t="shared" si="33"/>
        <v>49275</v>
      </c>
      <c r="L148" s="4">
        <f t="shared" si="34"/>
        <v>40594</v>
      </c>
      <c r="M148" s="154">
        <v>12985731</v>
      </c>
      <c r="N148" s="154">
        <v>22500</v>
      </c>
      <c r="O148" s="154">
        <v>429883</v>
      </c>
      <c r="P148" s="4">
        <f t="shared" si="35"/>
        <v>16453114</v>
      </c>
      <c r="Q148" s="4">
        <f t="shared" si="36"/>
        <v>16453114</v>
      </c>
      <c r="R148" s="4">
        <f t="shared" si="37"/>
        <v>121875</v>
      </c>
      <c r="S148" s="4">
        <f t="shared" si="32"/>
        <v>1316250</v>
      </c>
      <c r="T148" s="155">
        <f>IF(ISNA(VLOOKUP(A148&amp;F148,'Days Exceptions'!$C$2:$I$3,7,FALSE)),ROUND(MAX(K148*Min_Occ,L148),0),VLOOKUP(A148&amp;F148,'Days Exceptions'!$C$2:$I$3,7,FALSE))</f>
        <v>40594</v>
      </c>
      <c r="U148" s="6">
        <f t="shared" si="38"/>
        <v>32.42</v>
      </c>
      <c r="W148" s="131"/>
      <c r="X148" s="37"/>
      <c r="Y148" s="37"/>
      <c r="Z148" s="37"/>
      <c r="AA148" s="37"/>
      <c r="AB148" s="37"/>
      <c r="AC148" s="37"/>
      <c r="AD148" s="37"/>
    </row>
    <row r="149" spans="1:30" x14ac:dyDescent="0.15">
      <c r="A149" s="130">
        <v>136</v>
      </c>
      <c r="B149" s="37" t="s">
        <v>397</v>
      </c>
      <c r="C149" s="1" t="s">
        <v>105</v>
      </c>
      <c r="D149" s="5">
        <v>44743</v>
      </c>
      <c r="E149" s="5">
        <v>44378</v>
      </c>
      <c r="F149" s="5">
        <v>44742</v>
      </c>
      <c r="G149" s="1">
        <v>134</v>
      </c>
      <c r="H149" s="1">
        <v>365</v>
      </c>
      <c r="I149" s="154">
        <v>48910</v>
      </c>
      <c r="J149" s="154">
        <v>32782</v>
      </c>
      <c r="K149" s="4">
        <f t="shared" si="33"/>
        <v>48910</v>
      </c>
      <c r="L149" s="4">
        <f t="shared" si="34"/>
        <v>32782</v>
      </c>
      <c r="M149" s="154">
        <v>9030523</v>
      </c>
      <c r="N149" s="154">
        <v>14000</v>
      </c>
      <c r="O149" s="154">
        <v>266076</v>
      </c>
      <c r="P149" s="4">
        <f t="shared" si="35"/>
        <v>11172599</v>
      </c>
      <c r="Q149" s="4">
        <f t="shared" si="36"/>
        <v>11172599</v>
      </c>
      <c r="R149" s="4">
        <f t="shared" si="37"/>
        <v>83378</v>
      </c>
      <c r="S149" s="4">
        <f t="shared" si="32"/>
        <v>893812</v>
      </c>
      <c r="T149" s="155">
        <f>IF(ISNA(VLOOKUP(A149&amp;F149,'Days Exceptions'!$C$2:$I$3,7,FALSE)),ROUND(MAX(K149*Min_Occ,L149),0),VLOOKUP(A149&amp;F149,'Days Exceptions'!$C$2:$I$3,7,FALSE))</f>
        <v>39876</v>
      </c>
      <c r="U149" s="6">
        <f t="shared" si="38"/>
        <v>22.41</v>
      </c>
      <c r="W149" s="131"/>
      <c r="X149" s="37"/>
      <c r="Y149" s="37"/>
      <c r="Z149" s="37"/>
      <c r="AA149" s="37"/>
      <c r="AB149" s="37"/>
      <c r="AC149" s="37"/>
      <c r="AD149" s="37"/>
    </row>
    <row r="150" spans="1:30" x14ac:dyDescent="0.15">
      <c r="A150" s="130">
        <v>140</v>
      </c>
      <c r="B150" s="37" t="s">
        <v>659</v>
      </c>
      <c r="C150" s="1" t="s">
        <v>115</v>
      </c>
      <c r="D150" s="5">
        <v>44743</v>
      </c>
      <c r="E150" s="5">
        <v>44774</v>
      </c>
      <c r="F150" s="5">
        <v>44926</v>
      </c>
      <c r="G150" s="1">
        <v>99</v>
      </c>
      <c r="H150" s="1">
        <v>153</v>
      </c>
      <c r="I150" s="154">
        <v>15147</v>
      </c>
      <c r="J150" s="154">
        <v>13172</v>
      </c>
      <c r="K150" s="4">
        <f t="shared" si="33"/>
        <v>36135</v>
      </c>
      <c r="L150" s="4">
        <f t="shared" si="34"/>
        <v>31423</v>
      </c>
      <c r="M150" s="154">
        <v>8892750</v>
      </c>
      <c r="N150" s="154">
        <v>10000</v>
      </c>
      <c r="O150" s="154">
        <v>285901</v>
      </c>
      <c r="P150" s="4">
        <f t="shared" si="35"/>
        <v>10168651</v>
      </c>
      <c r="Q150" s="4">
        <f t="shared" si="36"/>
        <v>10168651</v>
      </c>
      <c r="R150" s="4">
        <f t="shared" si="37"/>
        <v>102714</v>
      </c>
      <c r="S150" s="4">
        <f t="shared" si="32"/>
        <v>813495</v>
      </c>
      <c r="T150" s="155">
        <f>IF(ISNA(VLOOKUP(A150&amp;F150,'Days Exceptions'!$C$2:$I$3,7,FALSE)),ROUND(MAX(K150*Min_Occ,L150),0),VLOOKUP(A150&amp;F150,'Days Exceptions'!$C$2:$I$3,7,FALSE))</f>
        <v>31423</v>
      </c>
      <c r="U150" s="6">
        <f t="shared" si="38"/>
        <v>25.89</v>
      </c>
      <c r="W150" s="131"/>
      <c r="X150" s="37"/>
      <c r="Y150" s="37"/>
      <c r="Z150" s="37"/>
      <c r="AA150" s="37"/>
      <c r="AB150" s="37"/>
      <c r="AC150" s="37"/>
      <c r="AD150" s="37"/>
    </row>
    <row r="151" spans="1:30" x14ac:dyDescent="0.15">
      <c r="A151" s="130">
        <v>152</v>
      </c>
      <c r="B151" s="37" t="s">
        <v>383</v>
      </c>
      <c r="C151" s="1" t="s">
        <v>106</v>
      </c>
      <c r="D151" s="5">
        <v>44743</v>
      </c>
      <c r="E151" s="5">
        <v>44562</v>
      </c>
      <c r="F151" s="5">
        <v>44926</v>
      </c>
      <c r="G151" s="1">
        <v>96</v>
      </c>
      <c r="H151" s="1">
        <v>365</v>
      </c>
      <c r="I151" s="154">
        <v>35040</v>
      </c>
      <c r="J151" s="154">
        <v>27349</v>
      </c>
      <c r="K151" s="4">
        <f t="shared" si="33"/>
        <v>35040</v>
      </c>
      <c r="L151" s="4">
        <f t="shared" si="34"/>
        <v>27349</v>
      </c>
      <c r="M151" s="154">
        <v>13409251</v>
      </c>
      <c r="N151" s="154">
        <v>30000</v>
      </c>
      <c r="O151" s="154">
        <v>305973</v>
      </c>
      <c r="P151" s="4">
        <f t="shared" si="35"/>
        <v>16595224</v>
      </c>
      <c r="Q151" s="4">
        <f t="shared" si="36"/>
        <v>16595224</v>
      </c>
      <c r="R151" s="4">
        <f t="shared" si="37"/>
        <v>172867</v>
      </c>
      <c r="S151" s="4">
        <f t="shared" si="32"/>
        <v>1265180</v>
      </c>
      <c r="T151" s="155">
        <f>IF(ISNA(VLOOKUP(A151&amp;F151,'Days Exceptions'!$C$2:$I$3,7,FALSE)),ROUND(MAX(K151*Min_Occ,L151),0),VLOOKUP(A151&amp;F151,'Days Exceptions'!$C$2:$I$3,7,FALSE))</f>
        <v>28568</v>
      </c>
      <c r="U151" s="6">
        <f t="shared" si="38"/>
        <v>44.29</v>
      </c>
      <c r="W151" s="131"/>
      <c r="X151" s="37"/>
      <c r="Y151" s="37"/>
      <c r="Z151" s="37"/>
      <c r="AA151" s="37"/>
      <c r="AB151" s="37"/>
      <c r="AC151" s="37"/>
      <c r="AD151" s="37"/>
    </row>
    <row r="152" spans="1:30" x14ac:dyDescent="0.15">
      <c r="A152" s="130">
        <v>156</v>
      </c>
      <c r="B152" s="37" t="s">
        <v>413</v>
      </c>
      <c r="C152" s="1" t="s">
        <v>107</v>
      </c>
      <c r="D152" s="5">
        <v>44743</v>
      </c>
      <c r="E152" s="5">
        <v>44562</v>
      </c>
      <c r="F152" s="5">
        <v>44926</v>
      </c>
      <c r="G152" s="1">
        <v>167</v>
      </c>
      <c r="H152" s="1">
        <v>365</v>
      </c>
      <c r="I152" s="154">
        <v>60955</v>
      </c>
      <c r="J152" s="154">
        <v>45458</v>
      </c>
      <c r="K152" s="4">
        <f t="shared" si="33"/>
        <v>60955</v>
      </c>
      <c r="L152" s="4">
        <f t="shared" si="34"/>
        <v>45458</v>
      </c>
      <c r="M152" s="154">
        <v>13496556</v>
      </c>
      <c r="N152" s="154">
        <v>20000</v>
      </c>
      <c r="O152" s="154">
        <v>412849</v>
      </c>
      <c r="P152" s="4">
        <f t="shared" si="35"/>
        <v>17249405</v>
      </c>
      <c r="Q152" s="4">
        <f t="shared" si="36"/>
        <v>17249405</v>
      </c>
      <c r="R152" s="4">
        <f t="shared" si="37"/>
        <v>103290</v>
      </c>
      <c r="S152" s="4">
        <f t="shared" si="32"/>
        <v>1379954</v>
      </c>
      <c r="T152" s="155">
        <f>IF(ISNA(VLOOKUP(A152&amp;F152,'Days Exceptions'!$C$2:$I$3,7,FALSE)),ROUND(MAX(K152*Min_Occ,L152),0),VLOOKUP(A152&amp;F152,'Days Exceptions'!$C$2:$I$3,7,FALSE))</f>
        <v>49697</v>
      </c>
      <c r="U152" s="6">
        <f t="shared" si="38"/>
        <v>27.77</v>
      </c>
      <c r="W152" s="131"/>
      <c r="X152" s="37"/>
      <c r="Y152" s="37"/>
      <c r="Z152" s="37"/>
      <c r="AA152" s="37"/>
      <c r="AB152" s="37"/>
      <c r="AC152" s="37"/>
      <c r="AD152" s="37"/>
    </row>
    <row r="153" spans="1:30" x14ac:dyDescent="0.15">
      <c r="A153" s="130">
        <v>168</v>
      </c>
      <c r="B153" s="37" t="s">
        <v>177</v>
      </c>
      <c r="C153" s="1" t="s">
        <v>107</v>
      </c>
      <c r="D153" s="5">
        <v>44743</v>
      </c>
      <c r="E153" s="5">
        <v>44562</v>
      </c>
      <c r="F153" s="5">
        <v>44926</v>
      </c>
      <c r="G153" s="1">
        <v>117</v>
      </c>
      <c r="H153" s="1">
        <v>365</v>
      </c>
      <c r="I153" s="154">
        <v>42705</v>
      </c>
      <c r="J153" s="154">
        <v>39895</v>
      </c>
      <c r="K153" s="4">
        <f t="shared" si="33"/>
        <v>42705</v>
      </c>
      <c r="L153" s="4">
        <f t="shared" si="34"/>
        <v>39895</v>
      </c>
      <c r="M153" s="154">
        <v>16681426</v>
      </c>
      <c r="N153" s="154">
        <v>25000</v>
      </c>
      <c r="O153" s="154">
        <v>338921</v>
      </c>
      <c r="P153" s="4">
        <f t="shared" si="35"/>
        <v>19945347</v>
      </c>
      <c r="Q153" s="4">
        <f t="shared" si="36"/>
        <v>19945347</v>
      </c>
      <c r="R153" s="4">
        <f t="shared" si="37"/>
        <v>170473</v>
      </c>
      <c r="S153" s="4">
        <f t="shared" si="32"/>
        <v>1541938</v>
      </c>
      <c r="T153" s="155">
        <f>IF(ISNA(VLOOKUP(A153&amp;F153,'Days Exceptions'!$C$2:$I$3,7,FALSE)),ROUND(MAX(K153*Min_Occ,L153),0),VLOOKUP(A153&amp;F153,'Days Exceptions'!$C$2:$I$3,7,FALSE))</f>
        <v>39895</v>
      </c>
      <c r="U153" s="6">
        <f t="shared" si="38"/>
        <v>38.65</v>
      </c>
      <c r="W153" s="131"/>
      <c r="X153" s="37"/>
      <c r="Y153" s="37"/>
      <c r="Z153" s="37"/>
      <c r="AA153" s="37"/>
      <c r="AB153" s="37"/>
      <c r="AC153" s="37"/>
      <c r="AD153" s="37"/>
    </row>
    <row r="154" spans="1:30" x14ac:dyDescent="0.15">
      <c r="A154" s="130">
        <v>172</v>
      </c>
      <c r="B154" s="37" t="s">
        <v>549</v>
      </c>
      <c r="C154" s="1" t="s">
        <v>107</v>
      </c>
      <c r="D154" s="5">
        <v>44743</v>
      </c>
      <c r="E154" s="5">
        <v>44562</v>
      </c>
      <c r="F154" s="5">
        <v>44926</v>
      </c>
      <c r="G154" s="1">
        <v>125</v>
      </c>
      <c r="H154" s="1">
        <v>365</v>
      </c>
      <c r="I154" s="154">
        <v>45625</v>
      </c>
      <c r="J154" s="154">
        <v>36262</v>
      </c>
      <c r="K154" s="4">
        <f t="shared" si="33"/>
        <v>45625</v>
      </c>
      <c r="L154" s="4">
        <f t="shared" si="34"/>
        <v>36262</v>
      </c>
      <c r="M154" s="154">
        <v>9464605</v>
      </c>
      <c r="N154" s="154">
        <v>22500</v>
      </c>
      <c r="O154" s="154">
        <v>303726</v>
      </c>
      <c r="P154" s="4">
        <f t="shared" si="35"/>
        <v>12580831</v>
      </c>
      <c r="Q154" s="4">
        <f t="shared" si="36"/>
        <v>12580831</v>
      </c>
      <c r="R154" s="4">
        <f t="shared" si="37"/>
        <v>100647</v>
      </c>
      <c r="S154" s="4">
        <f t="shared" si="32"/>
        <v>1006470</v>
      </c>
      <c r="T154" s="155">
        <f>IF(ISNA(VLOOKUP(A154&amp;F154,'Days Exceptions'!$C$2:$I$3,7,FALSE)),ROUND(MAX(K154*Min_Occ,L154),0),VLOOKUP(A154&amp;F154,'Days Exceptions'!$C$2:$I$3,7,FALSE))</f>
        <v>37198</v>
      </c>
      <c r="U154" s="6">
        <f t="shared" si="38"/>
        <v>27.06</v>
      </c>
      <c r="W154" s="131"/>
      <c r="X154" s="37"/>
      <c r="Y154" s="37"/>
      <c r="Z154" s="37"/>
      <c r="AA154" s="37"/>
      <c r="AB154" s="37"/>
      <c r="AC154" s="37"/>
      <c r="AD154" s="37"/>
    </row>
    <row r="155" spans="1:30" x14ac:dyDescent="0.15">
      <c r="A155" s="130">
        <v>178</v>
      </c>
      <c r="B155" s="37" t="s">
        <v>185</v>
      </c>
      <c r="C155" s="1" t="s">
        <v>102</v>
      </c>
      <c r="D155" s="5">
        <v>44743</v>
      </c>
      <c r="E155" s="5">
        <v>44562</v>
      </c>
      <c r="F155" s="5">
        <v>44926</v>
      </c>
      <c r="G155" s="1">
        <v>160</v>
      </c>
      <c r="H155" s="1">
        <v>365</v>
      </c>
      <c r="I155" s="154">
        <v>58400</v>
      </c>
      <c r="J155" s="154">
        <v>50482</v>
      </c>
      <c r="K155" s="4">
        <f t="shared" si="33"/>
        <v>58400</v>
      </c>
      <c r="L155" s="4">
        <f t="shared" si="34"/>
        <v>50482</v>
      </c>
      <c r="M155" s="154">
        <v>17802403</v>
      </c>
      <c r="N155" s="154">
        <v>32000</v>
      </c>
      <c r="O155" s="154">
        <v>584417</v>
      </c>
      <c r="P155" s="4">
        <f t="shared" si="35"/>
        <v>23506820</v>
      </c>
      <c r="Q155" s="4">
        <f t="shared" si="36"/>
        <v>23506820</v>
      </c>
      <c r="R155" s="4">
        <f t="shared" si="37"/>
        <v>146918</v>
      </c>
      <c r="S155" s="4">
        <f t="shared" si="32"/>
        <v>2350688</v>
      </c>
      <c r="T155" s="155">
        <f>IF(ISNA(VLOOKUP(A155&amp;F155,'Days Exceptions'!$C$2:$I$3,7,FALSE)),ROUND(MAX(K155*Min_Occ,L155),0),VLOOKUP(A155&amp;F155,'Days Exceptions'!$C$2:$I$3,7,FALSE))</f>
        <v>50482</v>
      </c>
      <c r="U155" s="6">
        <f t="shared" si="38"/>
        <v>46.56</v>
      </c>
      <c r="W155" s="131"/>
      <c r="X155" s="37"/>
      <c r="Y155" s="37"/>
      <c r="Z155" s="37"/>
      <c r="AA155" s="37"/>
      <c r="AB155" s="37"/>
      <c r="AC155" s="37"/>
      <c r="AD155" s="37"/>
    </row>
    <row r="156" spans="1:30" x14ac:dyDescent="0.15">
      <c r="A156" s="130">
        <v>182</v>
      </c>
      <c r="B156" s="37" t="s">
        <v>219</v>
      </c>
      <c r="C156" s="1" t="s">
        <v>107</v>
      </c>
      <c r="D156" s="5">
        <v>44743</v>
      </c>
      <c r="E156" s="5">
        <v>44562</v>
      </c>
      <c r="F156" s="5">
        <v>44926</v>
      </c>
      <c r="G156" s="1">
        <v>167</v>
      </c>
      <c r="H156" s="1">
        <v>365</v>
      </c>
      <c r="I156" s="154">
        <v>60955</v>
      </c>
      <c r="J156" s="154">
        <v>49974</v>
      </c>
      <c r="K156" s="4">
        <f t="shared" si="33"/>
        <v>60955</v>
      </c>
      <c r="L156" s="4">
        <f t="shared" si="34"/>
        <v>49974</v>
      </c>
      <c r="M156" s="154">
        <v>16001964</v>
      </c>
      <c r="N156" s="154">
        <v>20000</v>
      </c>
      <c r="O156" s="154">
        <v>515417</v>
      </c>
      <c r="P156" s="4">
        <f t="shared" si="35"/>
        <v>19857381</v>
      </c>
      <c r="Q156" s="4">
        <f t="shared" si="36"/>
        <v>19857381</v>
      </c>
      <c r="R156" s="4">
        <f t="shared" si="37"/>
        <v>118906</v>
      </c>
      <c r="S156" s="4">
        <f t="shared" si="32"/>
        <v>1588584</v>
      </c>
      <c r="T156" s="155">
        <f>IF(ISNA(VLOOKUP(A156&amp;F156,'Days Exceptions'!$C$2:$I$3,7,FALSE)),ROUND(MAX(K156*Min_Occ,L156),0),VLOOKUP(A156&amp;F156,'Days Exceptions'!$C$2:$I$3,7,FALSE))</f>
        <v>49974</v>
      </c>
      <c r="U156" s="6">
        <f t="shared" si="38"/>
        <v>31.79</v>
      </c>
      <c r="W156" s="131"/>
      <c r="X156" s="37"/>
      <c r="Y156" s="37"/>
      <c r="Z156" s="37"/>
      <c r="AA156" s="37"/>
      <c r="AB156" s="37"/>
      <c r="AC156" s="37"/>
      <c r="AD156" s="37"/>
    </row>
    <row r="157" spans="1:30" x14ac:dyDescent="0.15">
      <c r="A157" s="130">
        <v>186</v>
      </c>
      <c r="B157" s="37" t="s">
        <v>44</v>
      </c>
      <c r="C157" s="1" t="s">
        <v>102</v>
      </c>
      <c r="D157" s="5">
        <v>44743</v>
      </c>
      <c r="E157" s="5">
        <v>44562</v>
      </c>
      <c r="F157" s="5">
        <v>44926</v>
      </c>
      <c r="G157" s="1">
        <v>148</v>
      </c>
      <c r="H157" s="1">
        <v>365</v>
      </c>
      <c r="I157" s="154">
        <v>54020</v>
      </c>
      <c r="J157" s="154">
        <v>45129</v>
      </c>
      <c r="K157" s="4">
        <f t="shared" si="33"/>
        <v>54020</v>
      </c>
      <c r="L157" s="4">
        <f t="shared" si="34"/>
        <v>45129</v>
      </c>
      <c r="M157" s="154">
        <v>30009337</v>
      </c>
      <c r="N157" s="154">
        <v>20500</v>
      </c>
      <c r="O157" s="154">
        <v>601383</v>
      </c>
      <c r="P157" s="4">
        <f t="shared" si="35"/>
        <v>33644720</v>
      </c>
      <c r="Q157" s="4">
        <f t="shared" si="36"/>
        <v>33644720</v>
      </c>
      <c r="R157" s="4">
        <f t="shared" si="37"/>
        <v>227329</v>
      </c>
      <c r="S157" s="4">
        <f t="shared" si="32"/>
        <v>2438108</v>
      </c>
      <c r="T157" s="155">
        <f>IF(ISNA(VLOOKUP(A157&amp;F157,'Days Exceptions'!$C$2:$I$3,7,FALSE)),ROUND(MAX(K157*Min_Occ,L157),0),VLOOKUP(A157&amp;F157,'Days Exceptions'!$C$2:$I$3,7,FALSE))</f>
        <v>45129</v>
      </c>
      <c r="U157" s="6">
        <f t="shared" si="38"/>
        <v>54.03</v>
      </c>
      <c r="W157" s="131"/>
      <c r="X157" s="37"/>
      <c r="Y157" s="37"/>
      <c r="Z157" s="37"/>
      <c r="AA157" s="37"/>
      <c r="AB157" s="37"/>
      <c r="AC157" s="37"/>
      <c r="AD157" s="37"/>
    </row>
    <row r="158" spans="1:30" x14ac:dyDescent="0.15">
      <c r="A158" s="130">
        <v>190</v>
      </c>
      <c r="B158" s="37" t="s">
        <v>376</v>
      </c>
      <c r="C158" s="1" t="s">
        <v>107</v>
      </c>
      <c r="D158" s="5">
        <v>44743</v>
      </c>
      <c r="E158" s="5">
        <v>44562</v>
      </c>
      <c r="F158" s="5">
        <v>44926</v>
      </c>
      <c r="G158" s="1">
        <v>141</v>
      </c>
      <c r="H158" s="1">
        <v>365</v>
      </c>
      <c r="I158" s="154">
        <v>51465</v>
      </c>
      <c r="J158" s="154">
        <v>46753</v>
      </c>
      <c r="K158" s="4">
        <f t="shared" si="33"/>
        <v>51465</v>
      </c>
      <c r="L158" s="4">
        <f t="shared" si="34"/>
        <v>46753</v>
      </c>
      <c r="M158" s="154">
        <v>9656509</v>
      </c>
      <c r="N158" s="154">
        <v>21000</v>
      </c>
      <c r="O158" s="154">
        <v>408353</v>
      </c>
      <c r="P158" s="4">
        <f t="shared" si="35"/>
        <v>13025862</v>
      </c>
      <c r="Q158" s="4">
        <f t="shared" si="36"/>
        <v>13025862</v>
      </c>
      <c r="R158" s="4">
        <f t="shared" si="37"/>
        <v>92382</v>
      </c>
      <c r="S158" s="4">
        <f t="shared" si="32"/>
        <v>1042069</v>
      </c>
      <c r="T158" s="155">
        <f>IF(ISNA(VLOOKUP(A158&amp;F158,'Days Exceptions'!$C$2:$I$3,7,FALSE)),ROUND(MAX(K158*Min_Occ,L158),0),VLOOKUP(A158&amp;F158,'Days Exceptions'!$C$2:$I$3,7,FALSE))</f>
        <v>46753</v>
      </c>
      <c r="U158" s="6">
        <f t="shared" si="38"/>
        <v>22.29</v>
      </c>
      <c r="W158" s="131"/>
      <c r="X158" s="37"/>
      <c r="Y158" s="37"/>
      <c r="Z158" s="37"/>
      <c r="AA158" s="37"/>
      <c r="AB158" s="37"/>
      <c r="AC158" s="37"/>
      <c r="AD158" s="37"/>
    </row>
    <row r="159" spans="1:30" x14ac:dyDescent="0.15">
      <c r="A159" s="130">
        <v>204</v>
      </c>
      <c r="B159" s="37" t="s">
        <v>181</v>
      </c>
      <c r="C159" s="1" t="s">
        <v>107</v>
      </c>
      <c r="D159" s="5">
        <v>44743</v>
      </c>
      <c r="E159" s="5">
        <v>44562</v>
      </c>
      <c r="F159" s="5">
        <v>44926</v>
      </c>
      <c r="G159" s="1">
        <v>31</v>
      </c>
      <c r="H159" s="1">
        <v>365</v>
      </c>
      <c r="I159" s="154">
        <v>11315</v>
      </c>
      <c r="J159" s="154">
        <v>7247</v>
      </c>
      <c r="K159" s="4">
        <f t="shared" si="33"/>
        <v>11315</v>
      </c>
      <c r="L159" s="4">
        <f t="shared" si="34"/>
        <v>7247</v>
      </c>
      <c r="M159" s="154">
        <v>6285338</v>
      </c>
      <c r="N159" s="154">
        <v>20000</v>
      </c>
      <c r="O159" s="154">
        <v>149691</v>
      </c>
      <c r="P159" s="4">
        <f t="shared" si="35"/>
        <v>7055029</v>
      </c>
      <c r="Q159" s="4">
        <f t="shared" si="36"/>
        <v>7055029</v>
      </c>
      <c r="R159" s="4">
        <f t="shared" si="37"/>
        <v>227582</v>
      </c>
      <c r="S159" s="4">
        <f t="shared" si="32"/>
        <v>408548</v>
      </c>
      <c r="T159" s="155">
        <f>IF(ISNA(VLOOKUP(A159&amp;F159,'Days Exceptions'!$C$2:$I$3,7,FALSE)),ROUND(MAX(K159*Min_Occ,L159),0),VLOOKUP(A159&amp;F159,'Days Exceptions'!$C$2:$I$3,7,FALSE))</f>
        <v>9225</v>
      </c>
      <c r="U159" s="6">
        <f t="shared" si="38"/>
        <v>44.29</v>
      </c>
      <c r="W159" s="131"/>
      <c r="X159" s="37"/>
      <c r="Y159" s="37"/>
      <c r="Z159" s="37"/>
      <c r="AA159" s="37"/>
      <c r="AB159" s="37"/>
      <c r="AC159" s="37"/>
      <c r="AD159" s="37"/>
    </row>
    <row r="160" spans="1:30" x14ac:dyDescent="0.15">
      <c r="A160" s="130">
        <v>218</v>
      </c>
      <c r="B160" s="37" t="s">
        <v>195</v>
      </c>
      <c r="C160" s="1" t="s">
        <v>106</v>
      </c>
      <c r="D160" s="5">
        <v>44743</v>
      </c>
      <c r="E160" s="5">
        <v>44562</v>
      </c>
      <c r="F160" s="5">
        <v>44926</v>
      </c>
      <c r="G160" s="1">
        <v>113</v>
      </c>
      <c r="H160" s="1">
        <v>365</v>
      </c>
      <c r="I160" s="154">
        <v>41245</v>
      </c>
      <c r="J160" s="154">
        <v>36172</v>
      </c>
      <c r="K160" s="4">
        <f t="shared" si="33"/>
        <v>41245</v>
      </c>
      <c r="L160" s="4">
        <f t="shared" si="34"/>
        <v>36172</v>
      </c>
      <c r="M160" s="154">
        <v>8500593</v>
      </c>
      <c r="N160" s="154">
        <v>20000</v>
      </c>
      <c r="O160" s="154">
        <v>251553</v>
      </c>
      <c r="P160" s="4">
        <f t="shared" si="35"/>
        <v>11012146</v>
      </c>
      <c r="Q160" s="4">
        <f t="shared" si="36"/>
        <v>11012146</v>
      </c>
      <c r="R160" s="4">
        <f t="shared" si="37"/>
        <v>97453</v>
      </c>
      <c r="S160" s="4">
        <f t="shared" si="32"/>
        <v>880975</v>
      </c>
      <c r="T160" s="155">
        <f>IF(ISNA(VLOOKUP(A160&amp;F160,'Days Exceptions'!$C$2:$I$3,7,FALSE)),ROUND(MAX(K160*Min_Occ,L160),0),VLOOKUP(A160&amp;F160,'Days Exceptions'!$C$2:$I$3,7,FALSE))</f>
        <v>36172</v>
      </c>
      <c r="U160" s="6">
        <f t="shared" si="38"/>
        <v>24.36</v>
      </c>
      <c r="W160" s="131"/>
      <c r="X160" s="37"/>
      <c r="Y160" s="37"/>
      <c r="Z160" s="37"/>
      <c r="AA160" s="37"/>
      <c r="AB160" s="37"/>
      <c r="AC160" s="37"/>
      <c r="AD160" s="37"/>
    </row>
    <row r="161" spans="1:30" x14ac:dyDescent="0.15">
      <c r="A161" s="130">
        <v>220</v>
      </c>
      <c r="B161" s="37" t="s">
        <v>198</v>
      </c>
      <c r="C161" s="1" t="s">
        <v>102</v>
      </c>
      <c r="D161" s="5">
        <v>44743</v>
      </c>
      <c r="E161" s="5">
        <v>44562</v>
      </c>
      <c r="F161" s="5">
        <v>44926</v>
      </c>
      <c r="G161" s="1">
        <v>137</v>
      </c>
      <c r="H161" s="1">
        <v>365</v>
      </c>
      <c r="I161" s="154">
        <v>50005</v>
      </c>
      <c r="J161" s="154">
        <v>44233</v>
      </c>
      <c r="K161" s="4">
        <f t="shared" si="33"/>
        <v>50005</v>
      </c>
      <c r="L161" s="4">
        <f t="shared" si="34"/>
        <v>44233</v>
      </c>
      <c r="M161" s="154">
        <v>14171789</v>
      </c>
      <c r="N161" s="154">
        <v>20000</v>
      </c>
      <c r="O161" s="154">
        <v>365170</v>
      </c>
      <c r="P161" s="4">
        <f t="shared" si="35"/>
        <v>17276959</v>
      </c>
      <c r="Q161" s="4">
        <f t="shared" si="36"/>
        <v>17276959</v>
      </c>
      <c r="R161" s="4">
        <f t="shared" si="37"/>
        <v>126109</v>
      </c>
      <c r="S161" s="4">
        <f t="shared" si="32"/>
        <v>1727693</v>
      </c>
      <c r="T161" s="155">
        <f>IF(ISNA(VLOOKUP(A161&amp;F161,'Days Exceptions'!$C$2:$I$3,7,FALSE)),ROUND(MAX(K161*Min_Occ,L161),0),VLOOKUP(A161&amp;F161,'Days Exceptions'!$C$2:$I$3,7,FALSE))</f>
        <v>44233</v>
      </c>
      <c r="U161" s="6">
        <f t="shared" si="38"/>
        <v>39.06</v>
      </c>
      <c r="W161" s="131"/>
      <c r="X161" s="37"/>
      <c r="Y161" s="37"/>
      <c r="Z161" s="37"/>
      <c r="AA161" s="37"/>
      <c r="AB161" s="37"/>
      <c r="AC161" s="37"/>
      <c r="AD161" s="37"/>
    </row>
    <row r="162" spans="1:30" x14ac:dyDescent="0.15">
      <c r="A162" s="130">
        <v>222</v>
      </c>
      <c r="B162" s="37" t="s">
        <v>501</v>
      </c>
      <c r="C162" s="1" t="s">
        <v>127</v>
      </c>
      <c r="D162" s="5">
        <v>44743</v>
      </c>
      <c r="E162" s="5">
        <v>44562</v>
      </c>
      <c r="F162" s="5">
        <v>44926</v>
      </c>
      <c r="G162" s="1">
        <v>73</v>
      </c>
      <c r="H162" s="1">
        <v>365</v>
      </c>
      <c r="I162" s="154">
        <v>26645</v>
      </c>
      <c r="J162" s="154">
        <v>21888</v>
      </c>
      <c r="K162" s="4">
        <f t="shared" si="33"/>
        <v>26645</v>
      </c>
      <c r="L162" s="4">
        <f t="shared" si="34"/>
        <v>21888</v>
      </c>
      <c r="M162" s="154">
        <v>7893237</v>
      </c>
      <c r="N162" s="154">
        <v>15000</v>
      </c>
      <c r="O162" s="154">
        <v>281983</v>
      </c>
      <c r="P162" s="4">
        <f t="shared" si="35"/>
        <v>9270220</v>
      </c>
      <c r="Q162" s="4">
        <f t="shared" si="36"/>
        <v>9270220</v>
      </c>
      <c r="R162" s="4">
        <f t="shared" si="37"/>
        <v>126989</v>
      </c>
      <c r="S162" s="4">
        <f t="shared" si="32"/>
        <v>741616</v>
      </c>
      <c r="T162" s="155">
        <f>IF(ISNA(VLOOKUP(A162&amp;F162,'Days Exceptions'!$C$2:$I$3,7,FALSE)),ROUND(MAX(K162*Min_Occ,L162),0),VLOOKUP(A162&amp;F162,'Days Exceptions'!$C$2:$I$3,7,FALSE))</f>
        <v>21888</v>
      </c>
      <c r="U162" s="6">
        <f t="shared" si="38"/>
        <v>33.880000000000003</v>
      </c>
      <c r="W162" s="131"/>
      <c r="X162" s="37"/>
      <c r="Y162" s="37"/>
      <c r="Z162" s="37"/>
      <c r="AA162" s="37"/>
      <c r="AB162" s="37"/>
      <c r="AC162" s="37"/>
      <c r="AD162" s="37"/>
    </row>
    <row r="163" spans="1:30" x14ac:dyDescent="0.15">
      <c r="A163" s="130">
        <v>230</v>
      </c>
      <c r="B163" s="37" t="s">
        <v>183</v>
      </c>
      <c r="C163" s="1" t="s">
        <v>119</v>
      </c>
      <c r="D163" s="5">
        <v>44743</v>
      </c>
      <c r="E163" s="5">
        <v>44562</v>
      </c>
      <c r="F163" s="5">
        <v>44926</v>
      </c>
      <c r="G163" s="1">
        <v>556</v>
      </c>
      <c r="H163" s="1">
        <v>365</v>
      </c>
      <c r="I163" s="154">
        <v>202940</v>
      </c>
      <c r="J163" s="154">
        <v>135428</v>
      </c>
      <c r="K163" s="4">
        <f t="shared" si="33"/>
        <v>202940</v>
      </c>
      <c r="L163" s="4">
        <f t="shared" si="34"/>
        <v>135428</v>
      </c>
      <c r="M163" s="154">
        <v>108368988</v>
      </c>
      <c r="N163" s="154">
        <v>35000</v>
      </c>
      <c r="O163" s="154">
        <v>1546467</v>
      </c>
      <c r="P163" s="4">
        <f t="shared" si="35"/>
        <v>129375455</v>
      </c>
      <c r="Q163" s="4">
        <f t="shared" si="36"/>
        <v>129375455</v>
      </c>
      <c r="R163" s="4">
        <f t="shared" si="37"/>
        <v>232690</v>
      </c>
      <c r="S163" s="4">
        <f t="shared" si="32"/>
        <v>7327502</v>
      </c>
      <c r="T163" s="155">
        <f>IF(ISNA(VLOOKUP(A163&amp;F163,'Days Exceptions'!$C$2:$I$3,7,FALSE)),ROUND(MAX(K163*Min_Occ,L163),0),VLOOKUP(A163&amp;F163,'Days Exceptions'!$C$2:$I$3,7,FALSE))</f>
        <v>165457</v>
      </c>
      <c r="U163" s="6">
        <f t="shared" si="38"/>
        <v>44.29</v>
      </c>
      <c r="W163" s="131"/>
      <c r="X163" s="37"/>
      <c r="Y163" s="37"/>
      <c r="Z163" s="37"/>
      <c r="AA163" s="37"/>
      <c r="AB163" s="37"/>
      <c r="AC163" s="37"/>
      <c r="AD163" s="37"/>
    </row>
    <row r="164" spans="1:30" x14ac:dyDescent="0.15">
      <c r="A164" s="130">
        <v>238</v>
      </c>
      <c r="B164" s="37" t="s">
        <v>235</v>
      </c>
      <c r="C164" s="1" t="s">
        <v>107</v>
      </c>
      <c r="D164" s="5">
        <v>44743</v>
      </c>
      <c r="E164" s="5">
        <v>44378</v>
      </c>
      <c r="F164" s="5">
        <v>44742</v>
      </c>
      <c r="G164" s="1">
        <v>75</v>
      </c>
      <c r="H164" s="1">
        <v>365</v>
      </c>
      <c r="I164" s="154">
        <v>27375</v>
      </c>
      <c r="J164" s="154">
        <v>24362</v>
      </c>
      <c r="K164" s="4">
        <f t="shared" ref="K164:K195" si="39">IF(OR(H164=365,H164=366),I164,ROUND(I164*(365/$H164),0))</f>
        <v>27375</v>
      </c>
      <c r="L164" s="4">
        <f t="shared" ref="L164:L195" si="40">IF(OR(H164=365,H164=366),J164,ROUND(J164*(365/$H164),0))</f>
        <v>24362</v>
      </c>
      <c r="M164" s="154">
        <v>13499960</v>
      </c>
      <c r="N164" s="154">
        <v>22500</v>
      </c>
      <c r="O164" s="154">
        <v>196202</v>
      </c>
      <c r="P164" s="4">
        <f t="shared" si="35"/>
        <v>15383662</v>
      </c>
      <c r="Q164" s="4">
        <f t="shared" si="36"/>
        <v>15383662</v>
      </c>
      <c r="R164" s="4">
        <f t="shared" si="37"/>
        <v>205115</v>
      </c>
      <c r="S164" s="4">
        <f t="shared" si="32"/>
        <v>988422</v>
      </c>
      <c r="T164" s="155">
        <f>IF(ISNA(VLOOKUP(A164&amp;F164,'Days Exceptions'!$C$2:$I$3,7,FALSE)),ROUND(MAX(K164*Min_Occ,L164),0),VLOOKUP(A164&amp;F164,'Days Exceptions'!$C$2:$I$3,7,FALSE))</f>
        <v>24362</v>
      </c>
      <c r="U164" s="6">
        <f t="shared" si="38"/>
        <v>40.57</v>
      </c>
      <c r="W164" s="131"/>
      <c r="X164" s="37"/>
      <c r="Y164" s="37"/>
      <c r="Z164" s="37"/>
      <c r="AA164" s="37"/>
      <c r="AB164" s="37"/>
      <c r="AC164" s="37"/>
      <c r="AD164" s="37"/>
    </row>
    <row r="165" spans="1:30" x14ac:dyDescent="0.15">
      <c r="A165" s="130">
        <v>244</v>
      </c>
      <c r="B165" s="37" t="s">
        <v>186</v>
      </c>
      <c r="C165" s="1" t="s">
        <v>125</v>
      </c>
      <c r="D165" s="5">
        <v>44743</v>
      </c>
      <c r="E165" s="5">
        <v>44562</v>
      </c>
      <c r="F165" s="5">
        <v>44926</v>
      </c>
      <c r="G165" s="1">
        <v>82</v>
      </c>
      <c r="H165" s="1">
        <v>365</v>
      </c>
      <c r="I165" s="154">
        <v>29930</v>
      </c>
      <c r="J165" s="154">
        <v>23626</v>
      </c>
      <c r="K165" s="4">
        <f t="shared" si="39"/>
        <v>29930</v>
      </c>
      <c r="L165" s="4">
        <f t="shared" si="40"/>
        <v>23626</v>
      </c>
      <c r="M165" s="154">
        <v>15370010</v>
      </c>
      <c r="N165" s="154">
        <v>15000</v>
      </c>
      <c r="O165" s="154">
        <v>693612</v>
      </c>
      <c r="P165" s="4">
        <f t="shared" si="35"/>
        <v>17293622</v>
      </c>
      <c r="Q165" s="4">
        <f t="shared" si="36"/>
        <v>17293622</v>
      </c>
      <c r="R165" s="4">
        <f t="shared" si="37"/>
        <v>210898</v>
      </c>
      <c r="S165" s="4">
        <f t="shared" si="32"/>
        <v>1080675</v>
      </c>
      <c r="T165" s="155">
        <f>IF(ISNA(VLOOKUP(A165&amp;F165,'Days Exceptions'!$C$2:$I$3,7,FALSE)),ROUND(MAX(K165*Min_Occ,L165),0),VLOOKUP(A165&amp;F165,'Days Exceptions'!$C$2:$I$3,7,FALSE))</f>
        <v>24402</v>
      </c>
      <c r="U165" s="6">
        <f t="shared" si="38"/>
        <v>44.29</v>
      </c>
      <c r="W165" s="131"/>
      <c r="X165" s="37"/>
      <c r="Y165" s="37"/>
      <c r="Z165" s="37"/>
      <c r="AA165" s="37"/>
      <c r="AB165" s="37"/>
      <c r="AC165" s="37"/>
      <c r="AD165" s="37"/>
    </row>
    <row r="166" spans="1:30" x14ac:dyDescent="0.15">
      <c r="A166" s="130">
        <v>262</v>
      </c>
      <c r="B166" s="37" t="s">
        <v>601</v>
      </c>
      <c r="C166" s="1" t="s">
        <v>112</v>
      </c>
      <c r="D166" s="5">
        <v>44743</v>
      </c>
      <c r="E166" s="5">
        <v>44562</v>
      </c>
      <c r="F166" s="5">
        <v>44926</v>
      </c>
      <c r="G166" s="1">
        <v>142</v>
      </c>
      <c r="H166" s="1">
        <v>365</v>
      </c>
      <c r="I166" s="154">
        <v>51830</v>
      </c>
      <c r="J166" s="154">
        <v>46741</v>
      </c>
      <c r="K166" s="4">
        <f t="shared" si="39"/>
        <v>51830</v>
      </c>
      <c r="L166" s="4">
        <f t="shared" si="40"/>
        <v>46741</v>
      </c>
      <c r="M166" s="154">
        <v>10639149</v>
      </c>
      <c r="N166" s="154">
        <v>20000</v>
      </c>
      <c r="O166" s="154">
        <v>241897</v>
      </c>
      <c r="P166" s="4">
        <f t="shared" si="35"/>
        <v>13721046</v>
      </c>
      <c r="Q166" s="4">
        <f t="shared" si="36"/>
        <v>13721046</v>
      </c>
      <c r="R166" s="4">
        <f t="shared" si="37"/>
        <v>96627</v>
      </c>
      <c r="S166" s="4">
        <f t="shared" si="32"/>
        <v>1097683</v>
      </c>
      <c r="T166" s="155">
        <f>IF(ISNA(VLOOKUP(A166&amp;F166,'Days Exceptions'!$C$2:$I$3,7,FALSE)),ROUND(MAX(K166*Min_Occ,L166),0),VLOOKUP(A166&amp;F166,'Days Exceptions'!$C$2:$I$3,7,FALSE))</f>
        <v>46741</v>
      </c>
      <c r="U166" s="6">
        <f t="shared" si="38"/>
        <v>23.48</v>
      </c>
      <c r="W166" s="131"/>
      <c r="X166" s="37"/>
      <c r="Y166" s="37"/>
      <c r="Z166" s="37"/>
      <c r="AA166" s="37"/>
      <c r="AB166" s="37"/>
      <c r="AC166" s="37"/>
      <c r="AD166" s="37"/>
    </row>
    <row r="167" spans="1:30" x14ac:dyDescent="0.15">
      <c r="A167" s="130">
        <v>268</v>
      </c>
      <c r="B167" s="37" t="s">
        <v>452</v>
      </c>
      <c r="C167" s="1" t="s">
        <v>119</v>
      </c>
      <c r="D167" s="5">
        <v>44743</v>
      </c>
      <c r="E167" s="5">
        <v>44562</v>
      </c>
      <c r="F167" s="5">
        <v>44926</v>
      </c>
      <c r="G167" s="1">
        <v>128</v>
      </c>
      <c r="H167" s="1">
        <v>365</v>
      </c>
      <c r="I167" s="154">
        <v>46720</v>
      </c>
      <c r="J167" s="154">
        <v>43787</v>
      </c>
      <c r="K167" s="4">
        <f t="shared" si="39"/>
        <v>46720</v>
      </c>
      <c r="L167" s="4">
        <f t="shared" si="40"/>
        <v>43787</v>
      </c>
      <c r="M167" s="154">
        <v>16100861</v>
      </c>
      <c r="N167" s="154">
        <v>40000</v>
      </c>
      <c r="O167" s="154">
        <v>253168</v>
      </c>
      <c r="P167" s="4">
        <f t="shared" si="35"/>
        <v>21474029</v>
      </c>
      <c r="Q167" s="4">
        <f t="shared" si="36"/>
        <v>21474029</v>
      </c>
      <c r="R167" s="4">
        <f t="shared" si="37"/>
        <v>167766</v>
      </c>
      <c r="S167" s="4">
        <f t="shared" si="32"/>
        <v>1686907</v>
      </c>
      <c r="T167" s="155">
        <f>IF(ISNA(VLOOKUP(A167&amp;F167,'Days Exceptions'!$C$2:$I$3,7,FALSE)),ROUND(MAX(K167*Min_Occ,L167),0),VLOOKUP(A167&amp;F167,'Days Exceptions'!$C$2:$I$3,7,FALSE))</f>
        <v>43787</v>
      </c>
      <c r="U167" s="6">
        <f t="shared" si="38"/>
        <v>38.53</v>
      </c>
      <c r="W167" s="131"/>
      <c r="X167" s="37"/>
      <c r="Y167" s="37"/>
      <c r="Z167" s="37"/>
      <c r="AA167" s="37"/>
      <c r="AB167" s="37"/>
      <c r="AC167" s="37"/>
      <c r="AD167" s="37"/>
    </row>
    <row r="168" spans="1:30" x14ac:dyDescent="0.15">
      <c r="A168" s="130">
        <v>276</v>
      </c>
      <c r="B168" s="37" t="s">
        <v>180</v>
      </c>
      <c r="C168" s="1" t="s">
        <v>107</v>
      </c>
      <c r="D168" s="5">
        <v>44743</v>
      </c>
      <c r="E168" s="5">
        <v>44562</v>
      </c>
      <c r="F168" s="5">
        <v>44926</v>
      </c>
      <c r="G168" s="1">
        <v>20</v>
      </c>
      <c r="H168" s="1">
        <v>365</v>
      </c>
      <c r="I168" s="154">
        <v>10666</v>
      </c>
      <c r="J168" s="154">
        <v>6812</v>
      </c>
      <c r="K168" s="4">
        <f t="shared" si="39"/>
        <v>10666</v>
      </c>
      <c r="L168" s="4">
        <f t="shared" si="40"/>
        <v>6812</v>
      </c>
      <c r="M168" s="154">
        <v>7795690</v>
      </c>
      <c r="N168" s="154">
        <v>22500</v>
      </c>
      <c r="O168" s="154">
        <v>460406</v>
      </c>
      <c r="P168" s="4">
        <f t="shared" si="35"/>
        <v>8706096</v>
      </c>
      <c r="Q168" s="4">
        <f t="shared" si="36"/>
        <v>8706096</v>
      </c>
      <c r="R168" s="4">
        <f t="shared" si="37"/>
        <v>435305</v>
      </c>
      <c r="S168" s="4">
        <f t="shared" si="32"/>
        <v>263579</v>
      </c>
      <c r="T168" s="155">
        <f>IF(ISNA(VLOOKUP(A168&amp;F168,'Days Exceptions'!$C$2:$I$3,7,FALSE)),ROUND(MAX(K168*Min_Occ,L168),0),VLOOKUP(A168&amp;F168,'Days Exceptions'!$C$2:$I$3,7,FALSE))</f>
        <v>8696</v>
      </c>
      <c r="U168" s="6">
        <f t="shared" si="38"/>
        <v>30.31</v>
      </c>
      <c r="W168" s="131"/>
      <c r="X168" s="37"/>
      <c r="Y168" s="37"/>
      <c r="Z168" s="37"/>
      <c r="AA168" s="37"/>
      <c r="AB168" s="37"/>
      <c r="AC168" s="37"/>
      <c r="AD168" s="37"/>
    </row>
    <row r="169" spans="1:30" x14ac:dyDescent="0.15">
      <c r="A169" s="130">
        <v>284</v>
      </c>
      <c r="B169" s="37" t="s">
        <v>639</v>
      </c>
      <c r="C169" s="1" t="s">
        <v>110</v>
      </c>
      <c r="D169" s="5">
        <v>44743</v>
      </c>
      <c r="E169" s="5">
        <v>44774</v>
      </c>
      <c r="F169" s="5">
        <v>44926</v>
      </c>
      <c r="G169" s="1">
        <v>108</v>
      </c>
      <c r="H169" s="1">
        <v>153</v>
      </c>
      <c r="I169" s="154">
        <v>16524</v>
      </c>
      <c r="J169" s="154">
        <v>15146</v>
      </c>
      <c r="K169" s="4">
        <f t="shared" si="39"/>
        <v>39420</v>
      </c>
      <c r="L169" s="4">
        <f t="shared" si="40"/>
        <v>36133</v>
      </c>
      <c r="M169" s="154">
        <v>14846094</v>
      </c>
      <c r="N169" s="154">
        <v>15000</v>
      </c>
      <c r="O169" s="154">
        <v>258555</v>
      </c>
      <c r="P169" s="4">
        <f t="shared" si="35"/>
        <v>16724649</v>
      </c>
      <c r="Q169" s="4">
        <f t="shared" si="36"/>
        <v>16724649</v>
      </c>
      <c r="R169" s="4">
        <f t="shared" si="37"/>
        <v>154858</v>
      </c>
      <c r="S169" s="4">
        <f t="shared" si="32"/>
        <v>1337973</v>
      </c>
      <c r="T169" s="155">
        <f>IF(ISNA(VLOOKUP(A169&amp;F169,'Days Exceptions'!$C$2:$I$3,7,FALSE)),ROUND(MAX(K169*Min_Occ,L169),0),VLOOKUP(A169&amp;F169,'Days Exceptions'!$C$2:$I$3,7,FALSE))</f>
        <v>36133</v>
      </c>
      <c r="U169" s="6">
        <f t="shared" si="38"/>
        <v>37.03</v>
      </c>
      <c r="W169" s="131"/>
      <c r="X169" s="37"/>
      <c r="Y169" s="37"/>
      <c r="Z169" s="37"/>
      <c r="AA169" s="37"/>
      <c r="AB169" s="37"/>
      <c r="AC169" s="37"/>
      <c r="AD169" s="37"/>
    </row>
    <row r="170" spans="1:30" x14ac:dyDescent="0.15">
      <c r="A170" s="130">
        <v>290</v>
      </c>
      <c r="B170" s="37" t="s">
        <v>40</v>
      </c>
      <c r="C170" s="1" t="s">
        <v>110</v>
      </c>
      <c r="D170" s="5">
        <v>44743</v>
      </c>
      <c r="E170" s="5">
        <v>44562</v>
      </c>
      <c r="F170" s="5">
        <v>44926</v>
      </c>
      <c r="G170" s="1">
        <v>62</v>
      </c>
      <c r="H170" s="1">
        <v>365</v>
      </c>
      <c r="I170" s="154">
        <v>22630</v>
      </c>
      <c r="J170" s="154">
        <v>19656</v>
      </c>
      <c r="K170" s="4">
        <f t="shared" si="39"/>
        <v>22630</v>
      </c>
      <c r="L170" s="4">
        <f t="shared" si="40"/>
        <v>19656</v>
      </c>
      <c r="M170" s="154">
        <v>9302945</v>
      </c>
      <c r="N170" s="154">
        <v>18500</v>
      </c>
      <c r="O170" s="154">
        <v>295962</v>
      </c>
      <c r="P170" s="4">
        <f t="shared" si="35"/>
        <v>10745907</v>
      </c>
      <c r="Q170" s="4">
        <f t="shared" si="36"/>
        <v>10745907</v>
      </c>
      <c r="R170" s="4">
        <f t="shared" si="37"/>
        <v>173321</v>
      </c>
      <c r="S170" s="4">
        <f t="shared" si="32"/>
        <v>817096</v>
      </c>
      <c r="T170" s="155">
        <f>IF(ISNA(VLOOKUP(A170&amp;F170,'Days Exceptions'!$C$2:$I$3,7,FALSE)),ROUND(MAX(K170*Min_Occ,L170),0),VLOOKUP(A170&amp;F170,'Days Exceptions'!$C$2:$I$3,7,FALSE))</f>
        <v>19656</v>
      </c>
      <c r="U170" s="6">
        <f t="shared" si="38"/>
        <v>41.57</v>
      </c>
      <c r="W170" s="131"/>
      <c r="X170" s="37"/>
      <c r="Y170" s="37"/>
      <c r="Z170" s="37"/>
      <c r="AA170" s="37"/>
      <c r="AB170" s="37"/>
      <c r="AC170" s="37"/>
      <c r="AD170" s="37"/>
    </row>
    <row r="171" spans="1:30" x14ac:dyDescent="0.15">
      <c r="A171" s="130">
        <v>292</v>
      </c>
      <c r="B171" s="37" t="s">
        <v>191</v>
      </c>
      <c r="C171" s="1" t="s">
        <v>116</v>
      </c>
      <c r="D171" s="5">
        <v>44743</v>
      </c>
      <c r="E171" s="5">
        <v>44562</v>
      </c>
      <c r="F171" s="5">
        <v>44926</v>
      </c>
      <c r="G171" s="1">
        <v>117</v>
      </c>
      <c r="H171" s="1">
        <v>365</v>
      </c>
      <c r="I171" s="154">
        <v>42705</v>
      </c>
      <c r="J171" s="154">
        <v>30324</v>
      </c>
      <c r="K171" s="4">
        <f t="shared" si="39"/>
        <v>42705</v>
      </c>
      <c r="L171" s="4">
        <f t="shared" si="40"/>
        <v>30324</v>
      </c>
      <c r="M171" s="154">
        <v>19894993</v>
      </c>
      <c r="N171" s="154">
        <v>22500</v>
      </c>
      <c r="O171" s="154">
        <v>449821</v>
      </c>
      <c r="P171" s="4">
        <f t="shared" si="35"/>
        <v>22977314</v>
      </c>
      <c r="Q171" s="4">
        <f t="shared" si="36"/>
        <v>22977314</v>
      </c>
      <c r="R171" s="4">
        <f t="shared" si="37"/>
        <v>196387</v>
      </c>
      <c r="S171" s="4">
        <f t="shared" si="32"/>
        <v>1541938</v>
      </c>
      <c r="T171" s="155">
        <f>IF(ISNA(VLOOKUP(A171&amp;F171,'Days Exceptions'!$C$2:$I$3,7,FALSE)),ROUND(MAX(K171*Min_Occ,L171),0),VLOOKUP(A171&amp;F171,'Days Exceptions'!$C$2:$I$3,7,FALSE))</f>
        <v>34817</v>
      </c>
      <c r="U171" s="6">
        <f t="shared" si="38"/>
        <v>44.29</v>
      </c>
      <c r="W171" s="131"/>
      <c r="X171" s="37"/>
      <c r="Y171" s="37"/>
      <c r="Z171" s="37"/>
      <c r="AA171" s="37"/>
      <c r="AB171" s="37"/>
      <c r="AC171" s="37"/>
      <c r="AD171" s="37"/>
    </row>
    <row r="172" spans="1:30" x14ac:dyDescent="0.15">
      <c r="A172" s="130">
        <v>302</v>
      </c>
      <c r="B172" s="37" t="s">
        <v>662</v>
      </c>
      <c r="C172" s="1" t="s">
        <v>123</v>
      </c>
      <c r="D172" s="5">
        <v>44743</v>
      </c>
      <c r="E172" s="5">
        <v>44774</v>
      </c>
      <c r="F172" s="5">
        <v>44926</v>
      </c>
      <c r="G172" s="1">
        <v>135</v>
      </c>
      <c r="H172" s="1">
        <v>153</v>
      </c>
      <c r="I172" s="154">
        <v>20655</v>
      </c>
      <c r="J172" s="154">
        <v>18775</v>
      </c>
      <c r="K172" s="4">
        <f t="shared" si="39"/>
        <v>49275</v>
      </c>
      <c r="L172" s="4">
        <f t="shared" si="40"/>
        <v>44790</v>
      </c>
      <c r="M172" s="154">
        <v>12512750</v>
      </c>
      <c r="N172" s="154">
        <v>15000</v>
      </c>
      <c r="O172" s="154">
        <v>352194</v>
      </c>
      <c r="P172" s="4">
        <f t="shared" si="35"/>
        <v>14889944</v>
      </c>
      <c r="Q172" s="4">
        <f t="shared" si="36"/>
        <v>14889944</v>
      </c>
      <c r="R172" s="4">
        <f t="shared" si="37"/>
        <v>110296</v>
      </c>
      <c r="S172" s="4">
        <f t="shared" si="32"/>
        <v>1191197</v>
      </c>
      <c r="T172" s="155">
        <f>IF(ISNA(VLOOKUP(A172&amp;F172,'Days Exceptions'!$C$2:$I$3,7,FALSE)),ROUND(MAX(K172*Min_Occ,L172),0),VLOOKUP(A172&amp;F172,'Days Exceptions'!$C$2:$I$3,7,FALSE))</f>
        <v>44790</v>
      </c>
      <c r="U172" s="6">
        <f t="shared" si="38"/>
        <v>26.6</v>
      </c>
      <c r="W172" s="131"/>
      <c r="X172" s="37"/>
      <c r="Y172" s="37"/>
      <c r="Z172" s="37"/>
      <c r="AA172" s="37"/>
      <c r="AB172" s="37"/>
      <c r="AC172" s="37"/>
      <c r="AD172" s="37"/>
    </row>
    <row r="173" spans="1:30" x14ac:dyDescent="0.15">
      <c r="A173" s="130">
        <v>308</v>
      </c>
      <c r="B173" s="37" t="s">
        <v>230</v>
      </c>
      <c r="C173" s="1" t="s">
        <v>119</v>
      </c>
      <c r="D173" s="5">
        <v>44743</v>
      </c>
      <c r="E173" s="5">
        <v>44348</v>
      </c>
      <c r="F173" s="5">
        <v>44712</v>
      </c>
      <c r="G173" s="1">
        <v>94</v>
      </c>
      <c r="H173" s="1">
        <v>365</v>
      </c>
      <c r="I173" s="154">
        <v>34310</v>
      </c>
      <c r="J173" s="154">
        <v>28604</v>
      </c>
      <c r="K173" s="4">
        <f t="shared" si="39"/>
        <v>34310</v>
      </c>
      <c r="L173" s="4">
        <f t="shared" si="40"/>
        <v>28604</v>
      </c>
      <c r="M173" s="154">
        <v>10217076</v>
      </c>
      <c r="N173" s="154">
        <v>45000</v>
      </c>
      <c r="O173" s="154">
        <v>327161</v>
      </c>
      <c r="P173" s="4">
        <f t="shared" si="35"/>
        <v>14774237</v>
      </c>
      <c r="Q173" s="4">
        <f t="shared" si="36"/>
        <v>14774237</v>
      </c>
      <c r="R173" s="4">
        <f t="shared" si="37"/>
        <v>157173</v>
      </c>
      <c r="S173" s="4">
        <f t="shared" si="32"/>
        <v>1181941</v>
      </c>
      <c r="T173" s="155">
        <f>IF(ISNA(VLOOKUP(A173&amp;F173,'Days Exceptions'!$C$2:$I$3,7,FALSE)),ROUND(MAX(K173*Min_Occ,L173),0),VLOOKUP(A173&amp;F173,'Days Exceptions'!$C$2:$I$3,7,FALSE))</f>
        <v>28604</v>
      </c>
      <c r="U173" s="6">
        <f t="shared" si="38"/>
        <v>41.32</v>
      </c>
      <c r="W173" s="131"/>
      <c r="X173" s="37"/>
      <c r="Y173" s="37"/>
      <c r="Z173" s="37"/>
      <c r="AA173" s="37"/>
      <c r="AB173" s="37"/>
      <c r="AC173" s="37"/>
      <c r="AD173" s="37"/>
    </row>
    <row r="174" spans="1:30" x14ac:dyDescent="0.15">
      <c r="A174" s="130">
        <v>320</v>
      </c>
      <c r="B174" s="37" t="s">
        <v>233</v>
      </c>
      <c r="C174" s="1" t="s">
        <v>102</v>
      </c>
      <c r="D174" s="5">
        <v>44743</v>
      </c>
      <c r="E174" s="5">
        <v>44348</v>
      </c>
      <c r="F174" s="5">
        <v>44712</v>
      </c>
      <c r="G174" s="1">
        <v>120</v>
      </c>
      <c r="H174" s="1">
        <v>365</v>
      </c>
      <c r="I174" s="154">
        <v>43800</v>
      </c>
      <c r="J174" s="154">
        <v>35826</v>
      </c>
      <c r="K174" s="4">
        <f t="shared" si="39"/>
        <v>43800</v>
      </c>
      <c r="L174" s="4">
        <f t="shared" si="40"/>
        <v>35826</v>
      </c>
      <c r="M174" s="154">
        <v>14920776</v>
      </c>
      <c r="N174" s="154">
        <v>25000</v>
      </c>
      <c r="O174" s="154">
        <v>379823</v>
      </c>
      <c r="P174" s="4">
        <f t="shared" si="35"/>
        <v>18300599</v>
      </c>
      <c r="Q174" s="4">
        <f t="shared" si="36"/>
        <v>18300599</v>
      </c>
      <c r="R174" s="4">
        <f t="shared" si="37"/>
        <v>152505</v>
      </c>
      <c r="S174" s="4">
        <f t="shared" si="32"/>
        <v>1830060</v>
      </c>
      <c r="T174" s="155">
        <f>IF(ISNA(VLOOKUP(A174&amp;F174,'Days Exceptions'!$C$2:$I$3,7,FALSE)),ROUND(MAX(K174*Min_Occ,L174),0),VLOOKUP(A174&amp;F174,'Days Exceptions'!$C$2:$I$3,7,FALSE))</f>
        <v>35826</v>
      </c>
      <c r="U174" s="6">
        <f t="shared" si="38"/>
        <v>51.08</v>
      </c>
      <c r="W174" s="131"/>
      <c r="X174" s="37"/>
      <c r="Y174" s="37"/>
      <c r="Z174" s="37"/>
      <c r="AA174" s="37"/>
      <c r="AB174" s="37"/>
      <c r="AC174" s="37"/>
      <c r="AD174" s="37"/>
    </row>
    <row r="175" spans="1:30" x14ac:dyDescent="0.15">
      <c r="A175" s="130">
        <v>324</v>
      </c>
      <c r="B175" s="37" t="s">
        <v>234</v>
      </c>
      <c r="C175" s="1" t="s">
        <v>119</v>
      </c>
      <c r="D175" s="5">
        <v>44743</v>
      </c>
      <c r="E175" s="5">
        <v>44348</v>
      </c>
      <c r="F175" s="5">
        <v>44712</v>
      </c>
      <c r="G175" s="1">
        <v>148</v>
      </c>
      <c r="H175" s="1">
        <v>365</v>
      </c>
      <c r="I175" s="154">
        <v>54020</v>
      </c>
      <c r="J175" s="154">
        <v>48790</v>
      </c>
      <c r="K175" s="4">
        <f t="shared" si="39"/>
        <v>54020</v>
      </c>
      <c r="L175" s="4">
        <f t="shared" si="40"/>
        <v>48790</v>
      </c>
      <c r="M175" s="154">
        <v>14622582</v>
      </c>
      <c r="N175" s="154">
        <v>42000</v>
      </c>
      <c r="O175" s="154">
        <v>326276</v>
      </c>
      <c r="P175" s="4">
        <f t="shared" si="35"/>
        <v>21164858</v>
      </c>
      <c r="Q175" s="4">
        <f t="shared" si="36"/>
        <v>21164858</v>
      </c>
      <c r="R175" s="4">
        <f t="shared" si="37"/>
        <v>143006</v>
      </c>
      <c r="S175" s="4">
        <f t="shared" si="32"/>
        <v>1693191</v>
      </c>
      <c r="T175" s="155">
        <f>IF(ISNA(VLOOKUP(A175&amp;F175,'Days Exceptions'!$C$2:$I$3,7,FALSE)),ROUND(MAX(K175*Min_Occ,L175),0),VLOOKUP(A175&amp;F175,'Days Exceptions'!$C$2:$I$3,7,FALSE))</f>
        <v>48790</v>
      </c>
      <c r="U175" s="6">
        <f t="shared" si="38"/>
        <v>34.700000000000003</v>
      </c>
      <c r="W175" s="131"/>
      <c r="X175" s="37"/>
      <c r="Y175" s="37"/>
      <c r="Z175" s="37"/>
      <c r="AA175" s="37"/>
      <c r="AB175" s="37"/>
      <c r="AC175" s="37"/>
      <c r="AD175" s="37"/>
    </row>
    <row r="176" spans="1:30" x14ac:dyDescent="0.15">
      <c r="A176" s="130">
        <v>342</v>
      </c>
      <c r="B176" s="37" t="s">
        <v>602</v>
      </c>
      <c r="C176" s="1" t="s">
        <v>107</v>
      </c>
      <c r="D176" s="5">
        <v>44743</v>
      </c>
      <c r="E176" s="5">
        <v>44562</v>
      </c>
      <c r="F176" s="5">
        <v>44926</v>
      </c>
      <c r="G176" s="1">
        <v>118</v>
      </c>
      <c r="H176" s="1">
        <v>365</v>
      </c>
      <c r="I176" s="154">
        <v>43070</v>
      </c>
      <c r="J176" s="154">
        <v>37659</v>
      </c>
      <c r="K176" s="4">
        <f t="shared" si="39"/>
        <v>43070</v>
      </c>
      <c r="L176" s="4">
        <f t="shared" si="40"/>
        <v>37659</v>
      </c>
      <c r="M176" s="154">
        <v>11665522</v>
      </c>
      <c r="N176" s="154">
        <v>22500</v>
      </c>
      <c r="O176" s="154">
        <v>260400</v>
      </c>
      <c r="P176" s="4">
        <f t="shared" si="35"/>
        <v>14580922</v>
      </c>
      <c r="Q176" s="4">
        <f t="shared" si="36"/>
        <v>14580922</v>
      </c>
      <c r="R176" s="4">
        <f t="shared" si="37"/>
        <v>123567</v>
      </c>
      <c r="S176" s="4">
        <f t="shared" si="32"/>
        <v>1166472</v>
      </c>
      <c r="T176" s="155">
        <f>IF(ISNA(VLOOKUP(A176&amp;F176,'Days Exceptions'!$C$2:$I$3,7,FALSE)),ROUND(MAX(K176*Min_Occ,L176),0),VLOOKUP(A176&amp;F176,'Days Exceptions'!$C$2:$I$3,7,FALSE))</f>
        <v>37659</v>
      </c>
      <c r="U176" s="6">
        <f t="shared" si="38"/>
        <v>30.97</v>
      </c>
      <c r="W176" s="131"/>
      <c r="X176" s="37"/>
      <c r="Y176" s="37"/>
      <c r="Z176" s="37"/>
      <c r="AA176" s="37"/>
      <c r="AB176" s="37"/>
      <c r="AC176" s="37"/>
      <c r="AD176" s="37"/>
    </row>
    <row r="177" spans="1:30" x14ac:dyDescent="0.15">
      <c r="A177" s="130">
        <v>344</v>
      </c>
      <c r="B177" s="37" t="s">
        <v>348</v>
      </c>
      <c r="C177" s="1" t="s">
        <v>119</v>
      </c>
      <c r="D177" s="5">
        <v>44743</v>
      </c>
      <c r="E177" s="5">
        <v>44562</v>
      </c>
      <c r="F177" s="5">
        <v>44926</v>
      </c>
      <c r="G177" s="1">
        <v>160</v>
      </c>
      <c r="H177" s="1">
        <v>365</v>
      </c>
      <c r="I177" s="154">
        <v>58400</v>
      </c>
      <c r="J177" s="154">
        <v>46240</v>
      </c>
      <c r="K177" s="4">
        <f t="shared" si="39"/>
        <v>58400</v>
      </c>
      <c r="L177" s="4">
        <f t="shared" si="40"/>
        <v>46240</v>
      </c>
      <c r="M177" s="154">
        <v>35457400</v>
      </c>
      <c r="N177" s="154">
        <v>45000</v>
      </c>
      <c r="O177" s="154">
        <v>723820</v>
      </c>
      <c r="P177" s="4">
        <f t="shared" si="35"/>
        <v>43381220</v>
      </c>
      <c r="Q177" s="4">
        <f t="shared" si="36"/>
        <v>43381220</v>
      </c>
      <c r="R177" s="4">
        <f t="shared" si="37"/>
        <v>271133</v>
      </c>
      <c r="S177" s="4">
        <f t="shared" si="32"/>
        <v>2108634</v>
      </c>
      <c r="T177" s="155">
        <f>IF(ISNA(VLOOKUP(A177&amp;F177,'Days Exceptions'!$C$2:$I$3,7,FALSE)),ROUND(MAX(K177*Min_Occ,L177),0),VLOOKUP(A177&amp;F177,'Days Exceptions'!$C$2:$I$3,7,FALSE))</f>
        <v>47614</v>
      </c>
      <c r="U177" s="6">
        <f t="shared" si="38"/>
        <v>44.29</v>
      </c>
      <c r="W177" s="131"/>
      <c r="X177" s="37"/>
      <c r="Y177" s="37"/>
      <c r="Z177" s="37"/>
      <c r="AA177" s="37"/>
      <c r="AB177" s="37"/>
      <c r="AC177" s="37"/>
      <c r="AD177" s="37"/>
    </row>
    <row r="178" spans="1:30" x14ac:dyDescent="0.15">
      <c r="A178" s="130">
        <v>348</v>
      </c>
      <c r="B178" s="37" t="s">
        <v>436</v>
      </c>
      <c r="C178" s="1" t="s">
        <v>114</v>
      </c>
      <c r="D178" s="5">
        <v>44743</v>
      </c>
      <c r="E178" s="5">
        <v>44562</v>
      </c>
      <c r="F178" s="5">
        <v>44926</v>
      </c>
      <c r="G178" s="1">
        <v>196</v>
      </c>
      <c r="H178" s="1">
        <v>365</v>
      </c>
      <c r="I178" s="154">
        <v>71540</v>
      </c>
      <c r="J178" s="154">
        <v>36944</v>
      </c>
      <c r="K178" s="4">
        <f t="shared" si="39"/>
        <v>71540</v>
      </c>
      <c r="L178" s="4">
        <f t="shared" si="40"/>
        <v>36944</v>
      </c>
      <c r="M178" s="154">
        <v>21792366</v>
      </c>
      <c r="N178" s="154">
        <v>25000</v>
      </c>
      <c r="O178" s="154">
        <v>369634</v>
      </c>
      <c r="P178" s="4">
        <f t="shared" si="35"/>
        <v>27062000</v>
      </c>
      <c r="Q178" s="4">
        <f t="shared" si="36"/>
        <v>27062000</v>
      </c>
      <c r="R178" s="4">
        <f t="shared" si="37"/>
        <v>138071</v>
      </c>
      <c r="S178" s="4">
        <f t="shared" si="32"/>
        <v>2164953</v>
      </c>
      <c r="T178" s="155">
        <f>IF(ISNA(VLOOKUP(A178&amp;F178,'Days Exceptions'!$C$2:$I$3,7,FALSE)),ROUND(MAX(K178*Min_Occ,L178),0),VLOOKUP(A178&amp;F178,'Days Exceptions'!$C$2:$I$3,7,FALSE))</f>
        <v>58327</v>
      </c>
      <c r="U178" s="6">
        <f t="shared" si="38"/>
        <v>37.119999999999997</v>
      </c>
      <c r="W178" s="131"/>
      <c r="X178" s="37"/>
      <c r="Y178" s="37"/>
      <c r="Z178" s="37"/>
      <c r="AA178" s="37"/>
      <c r="AB178" s="37"/>
      <c r="AC178" s="37"/>
      <c r="AD178" s="37"/>
    </row>
    <row r="179" spans="1:30" x14ac:dyDescent="0.15">
      <c r="A179" s="130">
        <v>364</v>
      </c>
      <c r="B179" s="37" t="s">
        <v>178</v>
      </c>
      <c r="C179" s="1" t="s">
        <v>107</v>
      </c>
      <c r="D179" s="5">
        <v>44743</v>
      </c>
      <c r="E179" s="5">
        <v>44562</v>
      </c>
      <c r="F179" s="5">
        <v>44926</v>
      </c>
      <c r="G179" s="1">
        <v>35</v>
      </c>
      <c r="H179" s="1">
        <v>365</v>
      </c>
      <c r="I179" s="154">
        <v>12775</v>
      </c>
      <c r="J179" s="154">
        <v>12456</v>
      </c>
      <c r="K179" s="4">
        <f t="shared" si="39"/>
        <v>12775</v>
      </c>
      <c r="L179" s="4">
        <f t="shared" si="40"/>
        <v>12456</v>
      </c>
      <c r="M179" s="154">
        <v>5785517</v>
      </c>
      <c r="N179" s="154">
        <v>25000</v>
      </c>
      <c r="O179" s="154">
        <v>158552</v>
      </c>
      <c r="P179" s="4">
        <f t="shared" si="35"/>
        <v>6819069</v>
      </c>
      <c r="Q179" s="4">
        <f t="shared" si="36"/>
        <v>6819069</v>
      </c>
      <c r="R179" s="4">
        <f t="shared" si="37"/>
        <v>194831</v>
      </c>
      <c r="S179" s="4">
        <f t="shared" si="32"/>
        <v>461264</v>
      </c>
      <c r="T179" s="155">
        <f>IF(ISNA(VLOOKUP(A179&amp;F179,'Days Exceptions'!$C$2:$I$3,7,FALSE)),ROUND(MAX(K179*Min_Occ,L179),0),VLOOKUP(A179&amp;F179,'Days Exceptions'!$C$2:$I$3,7,FALSE))</f>
        <v>12456</v>
      </c>
      <c r="U179" s="6">
        <f t="shared" si="38"/>
        <v>37.03</v>
      </c>
      <c r="W179" s="131"/>
      <c r="X179" s="37"/>
      <c r="Y179" s="37"/>
      <c r="Z179" s="37"/>
      <c r="AA179" s="37"/>
      <c r="AB179" s="37"/>
      <c r="AC179" s="37"/>
      <c r="AD179" s="37"/>
    </row>
    <row r="180" spans="1:30" x14ac:dyDescent="0.15">
      <c r="A180" s="130">
        <v>368</v>
      </c>
      <c r="B180" s="37" t="s">
        <v>507</v>
      </c>
      <c r="C180" s="1" t="s">
        <v>119</v>
      </c>
      <c r="D180" s="5">
        <v>44743</v>
      </c>
      <c r="E180" s="5">
        <v>44562</v>
      </c>
      <c r="F180" s="5">
        <v>44926</v>
      </c>
      <c r="G180" s="1">
        <v>175</v>
      </c>
      <c r="H180" s="1">
        <v>365</v>
      </c>
      <c r="I180" s="154">
        <v>63875</v>
      </c>
      <c r="J180" s="154">
        <v>60612</v>
      </c>
      <c r="K180" s="4">
        <f t="shared" si="39"/>
        <v>63875</v>
      </c>
      <c r="L180" s="4">
        <f t="shared" si="40"/>
        <v>60612</v>
      </c>
      <c r="M180" s="154">
        <v>17098373</v>
      </c>
      <c r="N180" s="154">
        <v>40000</v>
      </c>
      <c r="O180" s="154">
        <v>219447</v>
      </c>
      <c r="P180" s="4">
        <f t="shared" si="35"/>
        <v>24317820</v>
      </c>
      <c r="Q180" s="4">
        <f t="shared" si="36"/>
        <v>24317820</v>
      </c>
      <c r="R180" s="4">
        <f t="shared" si="37"/>
        <v>138959</v>
      </c>
      <c r="S180" s="4">
        <f t="shared" si="32"/>
        <v>1945426</v>
      </c>
      <c r="T180" s="155">
        <f>IF(ISNA(VLOOKUP(A180&amp;F180,'Days Exceptions'!$C$2:$I$3,7,FALSE)),ROUND(MAX(K180*Min_Occ,L180),0),VLOOKUP(A180&amp;F180,'Days Exceptions'!$C$2:$I$3,7,FALSE))</f>
        <v>60612</v>
      </c>
      <c r="U180" s="6">
        <f t="shared" si="38"/>
        <v>32.1</v>
      </c>
      <c r="W180" s="131"/>
      <c r="X180" s="37"/>
      <c r="Y180" s="37"/>
      <c r="Z180" s="37"/>
      <c r="AA180" s="37"/>
      <c r="AB180" s="37"/>
      <c r="AC180" s="37"/>
      <c r="AD180" s="37"/>
    </row>
    <row r="181" spans="1:30" x14ac:dyDescent="0.15">
      <c r="A181" s="130">
        <v>370</v>
      </c>
      <c r="B181" s="37" t="s">
        <v>498</v>
      </c>
      <c r="C181" s="1" t="s">
        <v>107</v>
      </c>
      <c r="D181" s="5">
        <v>44743</v>
      </c>
      <c r="E181" s="5">
        <v>44562</v>
      </c>
      <c r="F181" s="5">
        <v>44926</v>
      </c>
      <c r="G181" s="1">
        <v>160</v>
      </c>
      <c r="H181" s="1">
        <v>365</v>
      </c>
      <c r="I181" s="154">
        <v>58400</v>
      </c>
      <c r="J181" s="154">
        <v>52362</v>
      </c>
      <c r="K181" s="4">
        <f t="shared" si="39"/>
        <v>58400</v>
      </c>
      <c r="L181" s="4">
        <f t="shared" si="40"/>
        <v>52362</v>
      </c>
      <c r="M181" s="154">
        <v>15539448</v>
      </c>
      <c r="N181" s="154">
        <v>23000</v>
      </c>
      <c r="O181" s="154">
        <v>415846</v>
      </c>
      <c r="P181" s="4">
        <f t="shared" si="35"/>
        <v>19635294</v>
      </c>
      <c r="Q181" s="4">
        <f t="shared" si="36"/>
        <v>19635294</v>
      </c>
      <c r="R181" s="4">
        <f t="shared" si="37"/>
        <v>122721</v>
      </c>
      <c r="S181" s="4">
        <f t="shared" si="32"/>
        <v>1570829</v>
      </c>
      <c r="T181" s="155">
        <f>IF(ISNA(VLOOKUP(A181&amp;F181,'Days Exceptions'!$C$2:$I$3,7,FALSE)),ROUND(MAX(K181*Min_Occ,L181),0),VLOOKUP(A181&amp;F181,'Days Exceptions'!$C$2:$I$3,7,FALSE))</f>
        <v>52362</v>
      </c>
      <c r="U181" s="6">
        <f t="shared" si="38"/>
        <v>30</v>
      </c>
      <c r="W181" s="131"/>
      <c r="X181" s="37"/>
      <c r="Y181" s="37"/>
      <c r="Z181" s="37"/>
      <c r="AA181" s="37"/>
      <c r="AB181" s="37"/>
      <c r="AC181" s="37"/>
      <c r="AD181" s="37"/>
    </row>
    <row r="182" spans="1:30" x14ac:dyDescent="0.15">
      <c r="A182" s="130">
        <v>372</v>
      </c>
      <c r="B182" s="37" t="s">
        <v>416</v>
      </c>
      <c r="C182" s="1" t="s">
        <v>119</v>
      </c>
      <c r="D182" s="5">
        <v>44743</v>
      </c>
      <c r="E182" s="5">
        <v>44562</v>
      </c>
      <c r="F182" s="5">
        <v>44957</v>
      </c>
      <c r="G182" s="1">
        <v>116</v>
      </c>
      <c r="H182" s="1">
        <v>396</v>
      </c>
      <c r="I182" s="154">
        <v>45936</v>
      </c>
      <c r="J182" s="154">
        <v>35830</v>
      </c>
      <c r="K182" s="4">
        <f t="shared" si="39"/>
        <v>42340</v>
      </c>
      <c r="L182" s="4">
        <f t="shared" si="40"/>
        <v>33025</v>
      </c>
      <c r="M182" s="154">
        <v>11667851</v>
      </c>
      <c r="N182" s="154">
        <v>35000</v>
      </c>
      <c r="O182" s="154">
        <v>253984</v>
      </c>
      <c r="P182" s="4">
        <f t="shared" si="35"/>
        <v>15981835</v>
      </c>
      <c r="Q182" s="4">
        <f t="shared" si="36"/>
        <v>15981835</v>
      </c>
      <c r="R182" s="4">
        <f t="shared" si="37"/>
        <v>137774</v>
      </c>
      <c r="S182" s="4">
        <f t="shared" si="32"/>
        <v>1278543</v>
      </c>
      <c r="T182" s="155">
        <f>IF(ISNA(VLOOKUP(A182&amp;F182,'Days Exceptions'!$C$2:$I$3,7,FALSE)),ROUND(MAX(K182*Min_Occ,L182),0),VLOOKUP(A182&amp;F182,'Days Exceptions'!$C$2:$I$3,7,FALSE))</f>
        <v>34520</v>
      </c>
      <c r="U182" s="6">
        <f t="shared" si="38"/>
        <v>37.04</v>
      </c>
      <c r="W182" s="131"/>
      <c r="X182" s="37"/>
      <c r="Y182" s="37"/>
      <c r="Z182" s="37"/>
      <c r="AA182" s="37"/>
      <c r="AB182" s="37"/>
      <c r="AC182" s="37"/>
      <c r="AD182" s="37"/>
    </row>
    <row r="183" spans="1:30" x14ac:dyDescent="0.15">
      <c r="A183" s="130">
        <v>374</v>
      </c>
      <c r="B183" s="37" t="s">
        <v>666</v>
      </c>
      <c r="C183" s="1" t="s">
        <v>125</v>
      </c>
      <c r="D183" s="5">
        <v>44743</v>
      </c>
      <c r="E183" s="5">
        <v>44835</v>
      </c>
      <c r="F183" s="5">
        <v>44926</v>
      </c>
      <c r="G183" s="1">
        <v>80</v>
      </c>
      <c r="H183" s="1">
        <v>92</v>
      </c>
      <c r="I183" s="154">
        <v>7360</v>
      </c>
      <c r="J183" s="154">
        <v>6280</v>
      </c>
      <c r="K183" s="4">
        <f t="shared" si="39"/>
        <v>29200</v>
      </c>
      <c r="L183" s="4">
        <f t="shared" si="40"/>
        <v>24915</v>
      </c>
      <c r="M183" s="154">
        <v>8622929</v>
      </c>
      <c r="N183" s="154">
        <v>17000</v>
      </c>
      <c r="O183" s="154">
        <v>419426</v>
      </c>
      <c r="P183" s="4">
        <f t="shared" si="35"/>
        <v>10402355</v>
      </c>
      <c r="Q183" s="4">
        <f t="shared" si="36"/>
        <v>10402355</v>
      </c>
      <c r="R183" s="4">
        <f t="shared" si="37"/>
        <v>130029</v>
      </c>
      <c r="S183" s="4">
        <f t="shared" si="32"/>
        <v>832186</v>
      </c>
      <c r="T183" s="155">
        <f>IF(ISNA(VLOOKUP(A183&amp;F183,'Days Exceptions'!$C$2:$I$3,7,FALSE)),ROUND(MAX(K183*Min_Occ,L183),0),VLOOKUP(A183&amp;F183,'Days Exceptions'!$C$2:$I$3,7,FALSE))</f>
        <v>24915</v>
      </c>
      <c r="U183" s="6">
        <f t="shared" si="38"/>
        <v>33.4</v>
      </c>
      <c r="W183" s="131"/>
      <c r="X183" s="37"/>
      <c r="Y183" s="37"/>
      <c r="Z183" s="37"/>
      <c r="AA183" s="37"/>
      <c r="AB183" s="37"/>
      <c r="AC183" s="37"/>
      <c r="AD183" s="37"/>
    </row>
    <row r="184" spans="1:30" x14ac:dyDescent="0.15">
      <c r="A184" s="130">
        <v>380</v>
      </c>
      <c r="B184" s="37" t="s">
        <v>226</v>
      </c>
      <c r="C184" s="1" t="s">
        <v>120</v>
      </c>
      <c r="D184" s="5">
        <v>44743</v>
      </c>
      <c r="E184" s="5">
        <v>44562</v>
      </c>
      <c r="F184" s="5">
        <v>44926</v>
      </c>
      <c r="G184" s="1">
        <v>117</v>
      </c>
      <c r="H184" s="1">
        <v>365</v>
      </c>
      <c r="I184" s="154">
        <v>42705</v>
      </c>
      <c r="J184" s="154">
        <v>25621</v>
      </c>
      <c r="K184" s="4">
        <f t="shared" si="39"/>
        <v>42705</v>
      </c>
      <c r="L184" s="4">
        <f t="shared" si="40"/>
        <v>25621</v>
      </c>
      <c r="M184" s="154">
        <v>25996793</v>
      </c>
      <c r="N184" s="154">
        <v>41500</v>
      </c>
      <c r="O184" s="154">
        <v>535628</v>
      </c>
      <c r="P184" s="4">
        <f t="shared" si="35"/>
        <v>31387921</v>
      </c>
      <c r="Q184" s="4">
        <f t="shared" si="36"/>
        <v>31387921</v>
      </c>
      <c r="R184" s="4">
        <f t="shared" si="37"/>
        <v>268273</v>
      </c>
      <c r="S184" s="4">
        <f t="shared" si="32"/>
        <v>1541938</v>
      </c>
      <c r="T184" s="155">
        <f>IF(ISNA(VLOOKUP(A184&amp;F184,'Days Exceptions'!$C$2:$I$3,7,FALSE)),ROUND(MAX(K184*Min_Occ,L184),0),VLOOKUP(A184&amp;F184,'Days Exceptions'!$C$2:$I$3,7,FALSE))</f>
        <v>34817</v>
      </c>
      <c r="U184" s="6">
        <f t="shared" si="38"/>
        <v>44.29</v>
      </c>
      <c r="W184" s="131"/>
      <c r="X184" s="37"/>
      <c r="Y184" s="37"/>
      <c r="Z184" s="37"/>
      <c r="AA184" s="37"/>
      <c r="AB184" s="37"/>
      <c r="AC184" s="37"/>
      <c r="AD184" s="37"/>
    </row>
    <row r="185" spans="1:30" x14ac:dyDescent="0.15">
      <c r="A185" s="130">
        <v>386</v>
      </c>
      <c r="B185" s="37" t="s">
        <v>338</v>
      </c>
      <c r="C185" s="1" t="s">
        <v>102</v>
      </c>
      <c r="D185" s="5">
        <v>44743</v>
      </c>
      <c r="E185" s="5">
        <v>44562</v>
      </c>
      <c r="F185" s="5">
        <v>44926</v>
      </c>
      <c r="G185" s="1">
        <v>120</v>
      </c>
      <c r="H185" s="1">
        <v>365</v>
      </c>
      <c r="I185" s="154">
        <v>43800</v>
      </c>
      <c r="J185" s="154">
        <v>40496</v>
      </c>
      <c r="K185" s="4">
        <f t="shared" si="39"/>
        <v>43800</v>
      </c>
      <c r="L185" s="4">
        <f t="shared" si="40"/>
        <v>40496</v>
      </c>
      <c r="M185" s="154">
        <v>15288927</v>
      </c>
      <c r="N185" s="154">
        <v>25000</v>
      </c>
      <c r="O185" s="154">
        <v>380555</v>
      </c>
      <c r="P185" s="4">
        <f t="shared" si="35"/>
        <v>18669482</v>
      </c>
      <c r="Q185" s="4">
        <f t="shared" si="36"/>
        <v>18669482</v>
      </c>
      <c r="R185" s="4">
        <f t="shared" si="37"/>
        <v>155579</v>
      </c>
      <c r="S185" s="4">
        <f t="shared" si="32"/>
        <v>1866948</v>
      </c>
      <c r="T185" s="155">
        <f>IF(ISNA(VLOOKUP(A185&amp;F185,'Days Exceptions'!$C$2:$I$3,7,FALSE)),ROUND(MAX(K185*Min_Occ,L185),0),VLOOKUP(A185&amp;F185,'Days Exceptions'!$C$2:$I$3,7,FALSE))</f>
        <v>40496</v>
      </c>
      <c r="U185" s="6">
        <f t="shared" si="38"/>
        <v>46.1</v>
      </c>
      <c r="W185" s="131"/>
      <c r="X185" s="37"/>
      <c r="Y185" s="37"/>
      <c r="Z185" s="37"/>
      <c r="AA185" s="37"/>
      <c r="AB185" s="37"/>
      <c r="AC185" s="37"/>
      <c r="AD185" s="37"/>
    </row>
    <row r="186" spans="1:30" x14ac:dyDescent="0.15">
      <c r="A186" s="130">
        <v>390</v>
      </c>
      <c r="B186" s="37" t="s">
        <v>450</v>
      </c>
      <c r="C186" s="1" t="s">
        <v>107</v>
      </c>
      <c r="D186" s="5">
        <v>44743</v>
      </c>
      <c r="E186" s="5">
        <v>44562</v>
      </c>
      <c r="F186" s="5">
        <v>44926</v>
      </c>
      <c r="G186" s="1">
        <v>140</v>
      </c>
      <c r="H186" s="1">
        <v>365</v>
      </c>
      <c r="I186" s="154">
        <v>51100</v>
      </c>
      <c r="J186" s="154">
        <v>38957</v>
      </c>
      <c r="K186" s="4">
        <f t="shared" si="39"/>
        <v>51100</v>
      </c>
      <c r="L186" s="4">
        <f t="shared" si="40"/>
        <v>38957</v>
      </c>
      <c r="M186" s="154">
        <v>12390552</v>
      </c>
      <c r="N186" s="154">
        <v>17000</v>
      </c>
      <c r="O186" s="154">
        <v>247660</v>
      </c>
      <c r="P186" s="4">
        <f t="shared" si="35"/>
        <v>15018212</v>
      </c>
      <c r="Q186" s="4">
        <f t="shared" si="36"/>
        <v>15018212</v>
      </c>
      <c r="R186" s="4">
        <f t="shared" si="37"/>
        <v>107273</v>
      </c>
      <c r="S186" s="4">
        <f t="shared" si="32"/>
        <v>1201458</v>
      </c>
      <c r="T186" s="155">
        <f>IF(ISNA(VLOOKUP(A186&amp;F186,'Days Exceptions'!$C$2:$I$3,7,FALSE)),ROUND(MAX(K186*Min_Occ,L186),0),VLOOKUP(A186&amp;F186,'Days Exceptions'!$C$2:$I$3,7,FALSE))</f>
        <v>41662</v>
      </c>
      <c r="U186" s="6">
        <f t="shared" si="38"/>
        <v>28.84</v>
      </c>
      <c r="W186" s="131"/>
      <c r="X186" s="37"/>
      <c r="Y186" s="37"/>
      <c r="Z186" s="37"/>
      <c r="AA186" s="37"/>
      <c r="AB186" s="37"/>
      <c r="AC186" s="37"/>
      <c r="AD186" s="37"/>
    </row>
    <row r="187" spans="1:30" x14ac:dyDescent="0.15">
      <c r="A187" s="130">
        <v>394</v>
      </c>
      <c r="B187" s="37" t="s">
        <v>184</v>
      </c>
      <c r="C187" s="1" t="s">
        <v>120</v>
      </c>
      <c r="D187" s="5">
        <v>44743</v>
      </c>
      <c r="E187" s="5">
        <v>44562</v>
      </c>
      <c r="F187" s="5">
        <v>44926</v>
      </c>
      <c r="G187" s="1">
        <v>44</v>
      </c>
      <c r="H187" s="1">
        <v>365</v>
      </c>
      <c r="I187" s="154">
        <v>21918</v>
      </c>
      <c r="J187" s="154">
        <v>16019</v>
      </c>
      <c r="K187" s="4">
        <f t="shared" si="39"/>
        <v>21918</v>
      </c>
      <c r="L187" s="4">
        <f t="shared" si="40"/>
        <v>16019</v>
      </c>
      <c r="M187" s="154">
        <v>11186912</v>
      </c>
      <c r="N187" s="154">
        <v>25000</v>
      </c>
      <c r="O187" s="154">
        <v>248859</v>
      </c>
      <c r="P187" s="4">
        <f t="shared" si="35"/>
        <v>12535771</v>
      </c>
      <c r="Q187" s="4">
        <f t="shared" si="36"/>
        <v>12535771</v>
      </c>
      <c r="R187" s="4">
        <f t="shared" si="37"/>
        <v>284904</v>
      </c>
      <c r="S187" s="4">
        <f t="shared" si="32"/>
        <v>579874</v>
      </c>
      <c r="T187" s="155">
        <f>IF(ISNA(VLOOKUP(A187&amp;F187,'Days Exceptions'!$C$2:$I$3,7,FALSE)),ROUND(MAX(K187*Min_Occ,L187),0),VLOOKUP(A187&amp;F187,'Days Exceptions'!$C$2:$I$3,7,FALSE))</f>
        <v>17870</v>
      </c>
      <c r="U187" s="6">
        <f t="shared" si="38"/>
        <v>32.450000000000003</v>
      </c>
      <c r="W187" s="131"/>
      <c r="X187" s="37"/>
      <c r="Y187" s="37"/>
      <c r="Z187" s="37"/>
      <c r="AA187" s="37"/>
      <c r="AB187" s="37"/>
      <c r="AC187" s="37"/>
      <c r="AD187" s="37"/>
    </row>
    <row r="188" spans="1:30" x14ac:dyDescent="0.15">
      <c r="A188" s="130">
        <v>398</v>
      </c>
      <c r="B188" s="37" t="s">
        <v>174</v>
      </c>
      <c r="C188" s="1" t="s">
        <v>126</v>
      </c>
      <c r="D188" s="5">
        <v>44743</v>
      </c>
      <c r="E188" s="5">
        <v>44470</v>
      </c>
      <c r="F188" s="5">
        <v>44834</v>
      </c>
      <c r="G188" s="1">
        <v>305</v>
      </c>
      <c r="H188" s="1">
        <v>365</v>
      </c>
      <c r="I188" s="154">
        <v>111325</v>
      </c>
      <c r="J188" s="154">
        <v>70890</v>
      </c>
      <c r="K188" s="4">
        <f t="shared" si="39"/>
        <v>111325</v>
      </c>
      <c r="L188" s="4">
        <f t="shared" si="40"/>
        <v>70890</v>
      </c>
      <c r="M188" s="154">
        <v>33023712</v>
      </c>
      <c r="N188" s="154">
        <v>15000</v>
      </c>
      <c r="O188" s="154">
        <v>643442</v>
      </c>
      <c r="P188" s="4">
        <f t="shared" si="35"/>
        <v>38242154</v>
      </c>
      <c r="Q188" s="4">
        <f t="shared" si="36"/>
        <v>38242154</v>
      </c>
      <c r="R188" s="4">
        <f t="shared" si="37"/>
        <v>125384</v>
      </c>
      <c r="S188" s="4">
        <f t="shared" si="32"/>
        <v>3059370</v>
      </c>
      <c r="T188" s="155">
        <f>IF(ISNA(VLOOKUP(A188&amp;F188,'Days Exceptions'!$C$2:$I$3,7,FALSE)),ROUND(MAX(K188*Min_Occ,L188),0),VLOOKUP(A188&amp;F188,'Days Exceptions'!$C$2:$I$3,7,FALSE))</f>
        <v>90763</v>
      </c>
      <c r="U188" s="6">
        <f t="shared" si="38"/>
        <v>33.71</v>
      </c>
      <c r="W188" s="131"/>
      <c r="X188" s="37"/>
      <c r="Y188" s="37"/>
      <c r="Z188" s="37"/>
      <c r="AA188" s="37"/>
      <c r="AB188" s="37"/>
      <c r="AC188" s="37"/>
      <c r="AD188" s="37"/>
    </row>
    <row r="189" spans="1:30" x14ac:dyDescent="0.15">
      <c r="A189" s="130">
        <v>410</v>
      </c>
      <c r="B189" s="37" t="s">
        <v>560</v>
      </c>
      <c r="C189" s="1" t="s">
        <v>106</v>
      </c>
      <c r="D189" s="5">
        <v>44743</v>
      </c>
      <c r="E189" s="5">
        <v>44562</v>
      </c>
      <c r="F189" s="5">
        <v>44926</v>
      </c>
      <c r="G189" s="1">
        <v>130</v>
      </c>
      <c r="H189" s="1">
        <v>365</v>
      </c>
      <c r="I189" s="154">
        <v>47450</v>
      </c>
      <c r="J189" s="154">
        <v>43150</v>
      </c>
      <c r="K189" s="4">
        <f t="shared" si="39"/>
        <v>47450</v>
      </c>
      <c r="L189" s="4">
        <f t="shared" si="40"/>
        <v>43150</v>
      </c>
      <c r="M189" s="154">
        <v>17658465</v>
      </c>
      <c r="N189" s="154">
        <v>30000</v>
      </c>
      <c r="O189" s="154">
        <v>268880</v>
      </c>
      <c r="P189" s="4">
        <f t="shared" si="35"/>
        <v>21827345</v>
      </c>
      <c r="Q189" s="4">
        <f t="shared" si="36"/>
        <v>21827345</v>
      </c>
      <c r="R189" s="4">
        <f t="shared" si="37"/>
        <v>167903</v>
      </c>
      <c r="S189" s="4">
        <f t="shared" si="32"/>
        <v>1713265</v>
      </c>
      <c r="T189" s="155">
        <f>IF(ISNA(VLOOKUP(A189&amp;F189,'Days Exceptions'!$C$2:$I$3,7,FALSE)),ROUND(MAX(K189*Min_Occ,L189),0),VLOOKUP(A189&amp;F189,'Days Exceptions'!$C$2:$I$3,7,FALSE))</f>
        <v>43150</v>
      </c>
      <c r="U189" s="6">
        <f t="shared" si="38"/>
        <v>39.700000000000003</v>
      </c>
      <c r="W189" s="131"/>
      <c r="X189" s="37"/>
      <c r="Y189" s="37"/>
      <c r="Z189" s="37"/>
      <c r="AA189" s="37"/>
      <c r="AB189" s="37"/>
      <c r="AC189" s="37"/>
      <c r="AD189" s="37"/>
    </row>
    <row r="190" spans="1:30" x14ac:dyDescent="0.15">
      <c r="A190" s="130">
        <v>436</v>
      </c>
      <c r="B190" s="37" t="s">
        <v>503</v>
      </c>
      <c r="C190" s="1" t="s">
        <v>124</v>
      </c>
      <c r="D190" s="5">
        <v>44743</v>
      </c>
      <c r="E190" s="5">
        <v>44562</v>
      </c>
      <c r="F190" s="5">
        <v>44926</v>
      </c>
      <c r="G190" s="1">
        <v>170</v>
      </c>
      <c r="H190" s="1">
        <v>365</v>
      </c>
      <c r="I190" s="154">
        <v>62050</v>
      </c>
      <c r="J190" s="154">
        <v>33274</v>
      </c>
      <c r="K190" s="4">
        <f t="shared" si="39"/>
        <v>62050</v>
      </c>
      <c r="L190" s="4">
        <f t="shared" si="40"/>
        <v>33274</v>
      </c>
      <c r="M190" s="154">
        <v>16482298</v>
      </c>
      <c r="N190" s="154">
        <v>16000</v>
      </c>
      <c r="O190" s="154">
        <v>273855</v>
      </c>
      <c r="P190" s="4">
        <f t="shared" si="35"/>
        <v>19476153</v>
      </c>
      <c r="Q190" s="4">
        <f t="shared" si="36"/>
        <v>19476153</v>
      </c>
      <c r="R190" s="4">
        <f t="shared" si="37"/>
        <v>114566</v>
      </c>
      <c r="S190" s="4">
        <f t="shared" si="32"/>
        <v>1558098</v>
      </c>
      <c r="T190" s="155">
        <f>IF(ISNA(VLOOKUP(A190&amp;F190,'Days Exceptions'!$C$2:$I$3,7,FALSE)),ROUND(MAX(K190*Min_Occ,L190),0),VLOOKUP(A190&amp;F190,'Days Exceptions'!$C$2:$I$3,7,FALSE))</f>
        <v>50589</v>
      </c>
      <c r="U190" s="6">
        <f t="shared" si="38"/>
        <v>30.8</v>
      </c>
      <c r="W190" s="131"/>
      <c r="X190" s="37"/>
      <c r="Y190" s="37"/>
      <c r="Z190" s="37"/>
      <c r="AA190" s="37"/>
      <c r="AB190" s="37"/>
      <c r="AC190" s="37"/>
      <c r="AD190" s="37"/>
    </row>
    <row r="191" spans="1:30" x14ac:dyDescent="0.15">
      <c r="A191" s="130">
        <v>448</v>
      </c>
      <c r="B191" s="37" t="s">
        <v>194</v>
      </c>
      <c r="C191" s="1" t="s">
        <v>112</v>
      </c>
      <c r="D191" s="5">
        <v>44743</v>
      </c>
      <c r="E191" s="5">
        <v>44562</v>
      </c>
      <c r="F191" s="5">
        <v>44926</v>
      </c>
      <c r="G191" s="1">
        <v>115</v>
      </c>
      <c r="H191" s="1">
        <v>365</v>
      </c>
      <c r="I191" s="154">
        <v>41975</v>
      </c>
      <c r="J191" s="154">
        <v>39138</v>
      </c>
      <c r="K191" s="4">
        <f t="shared" si="39"/>
        <v>41975</v>
      </c>
      <c r="L191" s="4">
        <f t="shared" si="40"/>
        <v>39138</v>
      </c>
      <c r="M191" s="154">
        <v>10543114</v>
      </c>
      <c r="N191" s="154">
        <v>22000</v>
      </c>
      <c r="O191" s="154">
        <v>314041</v>
      </c>
      <c r="P191" s="4">
        <f t="shared" si="35"/>
        <v>13387155</v>
      </c>
      <c r="Q191" s="4">
        <f t="shared" si="36"/>
        <v>13387155</v>
      </c>
      <c r="R191" s="4">
        <f t="shared" si="37"/>
        <v>116410</v>
      </c>
      <c r="S191" s="4">
        <f t="shared" si="32"/>
        <v>1070972</v>
      </c>
      <c r="T191" s="155">
        <f>IF(ISNA(VLOOKUP(A191&amp;F191,'Days Exceptions'!$C$2:$I$3,7,FALSE)),ROUND(MAX(K191*Min_Occ,L191),0),VLOOKUP(A191&amp;F191,'Days Exceptions'!$C$2:$I$3,7,FALSE))</f>
        <v>39138</v>
      </c>
      <c r="U191" s="6">
        <f t="shared" si="38"/>
        <v>27.36</v>
      </c>
      <c r="W191" s="131"/>
      <c r="X191" s="37"/>
      <c r="Y191" s="37"/>
      <c r="Z191" s="37"/>
      <c r="AA191" s="37"/>
      <c r="AB191" s="37"/>
      <c r="AC191" s="37"/>
      <c r="AD191" s="37"/>
    </row>
    <row r="192" spans="1:30" x14ac:dyDescent="0.15">
      <c r="A192" s="130">
        <v>454</v>
      </c>
      <c r="B192" s="37" t="s">
        <v>207</v>
      </c>
      <c r="C192" s="1" t="s">
        <v>126</v>
      </c>
      <c r="D192" s="5">
        <v>44743</v>
      </c>
      <c r="E192" s="5">
        <v>44378</v>
      </c>
      <c r="F192" s="5">
        <v>44742</v>
      </c>
      <c r="G192" s="1">
        <v>102</v>
      </c>
      <c r="H192" s="1">
        <v>365</v>
      </c>
      <c r="I192" s="154">
        <v>37230</v>
      </c>
      <c r="J192" s="154">
        <v>26625</v>
      </c>
      <c r="K192" s="4">
        <f t="shared" si="39"/>
        <v>37230</v>
      </c>
      <c r="L192" s="4">
        <f t="shared" si="40"/>
        <v>26625</v>
      </c>
      <c r="M192" s="154">
        <v>9523435</v>
      </c>
      <c r="N192" s="154">
        <v>17500</v>
      </c>
      <c r="O192" s="154">
        <v>280228</v>
      </c>
      <c r="P192" s="4">
        <f t="shared" si="35"/>
        <v>11588663</v>
      </c>
      <c r="Q192" s="4">
        <f t="shared" si="36"/>
        <v>11588663</v>
      </c>
      <c r="R192" s="4">
        <f t="shared" si="37"/>
        <v>113614</v>
      </c>
      <c r="S192" s="4">
        <f t="shared" si="32"/>
        <v>927090</v>
      </c>
      <c r="T192" s="155">
        <f>IF(ISNA(VLOOKUP(A192&amp;F192,'Days Exceptions'!$C$2:$I$3,7,FALSE)),ROUND(MAX(K192*Min_Occ,L192),0),VLOOKUP(A192&amp;F192,'Days Exceptions'!$C$2:$I$3,7,FALSE))</f>
        <v>30354</v>
      </c>
      <c r="U192" s="6">
        <f t="shared" si="38"/>
        <v>30.54</v>
      </c>
      <c r="W192" s="131"/>
      <c r="X192" s="37"/>
      <c r="Y192" s="37"/>
      <c r="Z192" s="37"/>
      <c r="AA192" s="37"/>
      <c r="AB192" s="37"/>
      <c r="AC192" s="37"/>
      <c r="AD192" s="37"/>
    </row>
    <row r="193" spans="1:30" x14ac:dyDescent="0.15">
      <c r="A193" s="130">
        <v>458</v>
      </c>
      <c r="B193" s="37" t="s">
        <v>206</v>
      </c>
      <c r="C193" s="1" t="s">
        <v>125</v>
      </c>
      <c r="D193" s="5">
        <v>44743</v>
      </c>
      <c r="E193" s="5">
        <v>44378</v>
      </c>
      <c r="F193" s="5">
        <v>44742</v>
      </c>
      <c r="G193" s="1">
        <v>128</v>
      </c>
      <c r="H193" s="1">
        <v>365</v>
      </c>
      <c r="I193" s="154">
        <v>46720</v>
      </c>
      <c r="J193" s="154">
        <v>39972</v>
      </c>
      <c r="K193" s="4">
        <f t="shared" si="39"/>
        <v>46720</v>
      </c>
      <c r="L193" s="4">
        <f t="shared" si="40"/>
        <v>39972</v>
      </c>
      <c r="M193" s="154">
        <v>21183655</v>
      </c>
      <c r="N193" s="154">
        <v>15000</v>
      </c>
      <c r="O193" s="154">
        <v>532036</v>
      </c>
      <c r="P193" s="4">
        <f t="shared" si="35"/>
        <v>23635691</v>
      </c>
      <c r="Q193" s="4">
        <f t="shared" si="36"/>
        <v>23635691</v>
      </c>
      <c r="R193" s="4">
        <f t="shared" si="37"/>
        <v>184654</v>
      </c>
      <c r="S193" s="4">
        <f t="shared" si="32"/>
        <v>1686907</v>
      </c>
      <c r="T193" s="155">
        <f>IF(ISNA(VLOOKUP(A193&amp;F193,'Days Exceptions'!$C$2:$I$3,7,FALSE)),ROUND(MAX(K193*Min_Occ,L193),0),VLOOKUP(A193&amp;F193,'Days Exceptions'!$C$2:$I$3,7,FALSE))</f>
        <v>39972</v>
      </c>
      <c r="U193" s="6">
        <f t="shared" si="38"/>
        <v>42.2</v>
      </c>
      <c r="W193" s="131"/>
      <c r="X193" s="37"/>
      <c r="Y193" s="37"/>
      <c r="Z193" s="37"/>
      <c r="AA193" s="37"/>
      <c r="AB193" s="37"/>
      <c r="AC193" s="37"/>
      <c r="AD193" s="37"/>
    </row>
    <row r="194" spans="1:30" x14ac:dyDescent="0.15">
      <c r="A194" s="130">
        <v>460</v>
      </c>
      <c r="B194" s="37" t="s">
        <v>182</v>
      </c>
      <c r="C194" s="1" t="s">
        <v>119</v>
      </c>
      <c r="D194" s="5">
        <v>44743</v>
      </c>
      <c r="E194" s="5">
        <v>44562</v>
      </c>
      <c r="F194" s="5">
        <v>44926</v>
      </c>
      <c r="G194" s="1">
        <v>285</v>
      </c>
      <c r="H194" s="1">
        <v>365</v>
      </c>
      <c r="I194" s="154">
        <v>104025</v>
      </c>
      <c r="J194" s="154">
        <v>64088</v>
      </c>
      <c r="K194" s="4">
        <f t="shared" si="39"/>
        <v>104025</v>
      </c>
      <c r="L194" s="4">
        <f t="shared" si="40"/>
        <v>64088</v>
      </c>
      <c r="M194" s="154">
        <v>58249770</v>
      </c>
      <c r="N194" s="154">
        <v>38000</v>
      </c>
      <c r="O194" s="154">
        <v>986929</v>
      </c>
      <c r="P194" s="4">
        <f t="shared" si="35"/>
        <v>70066699</v>
      </c>
      <c r="Q194" s="4">
        <f t="shared" si="36"/>
        <v>70066699</v>
      </c>
      <c r="R194" s="4">
        <f t="shared" si="37"/>
        <v>245848</v>
      </c>
      <c r="S194" s="4">
        <f t="shared" si="32"/>
        <v>3756004</v>
      </c>
      <c r="T194" s="155">
        <f>IF(ISNA(VLOOKUP(A194&amp;F194,'Days Exceptions'!$C$2:$I$3,7,FALSE)),ROUND(MAX(K194*Min_Occ,L194),0),VLOOKUP(A194&amp;F194,'Days Exceptions'!$C$2:$I$3,7,FALSE))</f>
        <v>84812</v>
      </c>
      <c r="U194" s="6">
        <f t="shared" si="38"/>
        <v>44.29</v>
      </c>
      <c r="W194" s="131"/>
      <c r="X194" s="37"/>
      <c r="Y194" s="37"/>
      <c r="Z194" s="37"/>
      <c r="AA194" s="37"/>
      <c r="AB194" s="37"/>
      <c r="AC194" s="37"/>
      <c r="AD194" s="37"/>
    </row>
    <row r="195" spans="1:30" x14ac:dyDescent="0.15">
      <c r="A195" s="130">
        <v>462</v>
      </c>
      <c r="B195" s="37" t="s">
        <v>394</v>
      </c>
      <c r="C195" s="1" t="s">
        <v>119</v>
      </c>
      <c r="D195" s="5">
        <v>44743</v>
      </c>
      <c r="E195" s="5">
        <v>44562</v>
      </c>
      <c r="F195" s="5">
        <v>44926</v>
      </c>
      <c r="G195" s="1">
        <v>92</v>
      </c>
      <c r="H195" s="1">
        <v>365</v>
      </c>
      <c r="I195" s="154">
        <v>33580</v>
      </c>
      <c r="J195" s="154">
        <v>25151</v>
      </c>
      <c r="K195" s="4">
        <f t="shared" si="39"/>
        <v>33580</v>
      </c>
      <c r="L195" s="4">
        <f t="shared" si="40"/>
        <v>25151</v>
      </c>
      <c r="M195" s="154">
        <v>9944579</v>
      </c>
      <c r="N195" s="154">
        <v>35000</v>
      </c>
      <c r="O195" s="154">
        <v>272666</v>
      </c>
      <c r="P195" s="4">
        <f t="shared" ref="P195:P208" si="41">ROUND(M195+(N195*G195)+O195,0)</f>
        <v>13437245</v>
      </c>
      <c r="Q195" s="4">
        <f t="shared" ref="Q195:Q208" si="42">+P195</f>
        <v>13437245</v>
      </c>
      <c r="R195" s="4">
        <f t="shared" ref="R195:R208" si="43">IF(Q195="","",ROUND(Q195/G195,0))</f>
        <v>146057</v>
      </c>
      <c r="S195" s="4">
        <f t="shared" si="32"/>
        <v>1074980</v>
      </c>
      <c r="T195" s="155">
        <f>IF(ISNA(VLOOKUP(A195&amp;F195,'Days Exceptions'!$C$2:$I$3,7,FALSE)),ROUND(MAX(K195*Min_Occ,L195),0),VLOOKUP(A195&amp;F195,'Days Exceptions'!$C$2:$I$3,7,FALSE))</f>
        <v>27378</v>
      </c>
      <c r="U195" s="6">
        <f t="shared" ref="U195:U208" si="44">ROUND(S195/T195,2)</f>
        <v>39.26</v>
      </c>
      <c r="W195" s="131"/>
      <c r="X195" s="37"/>
      <c r="Y195" s="37"/>
      <c r="Z195" s="37"/>
      <c r="AA195" s="37"/>
      <c r="AB195" s="37"/>
      <c r="AC195" s="37"/>
      <c r="AD195" s="37"/>
    </row>
    <row r="196" spans="1:30" x14ac:dyDescent="0.15">
      <c r="A196" s="130">
        <v>663</v>
      </c>
      <c r="B196" s="37" t="s">
        <v>605</v>
      </c>
      <c r="C196" s="1" t="s">
        <v>116</v>
      </c>
      <c r="D196" s="5">
        <v>44743</v>
      </c>
      <c r="E196" s="5">
        <v>44713</v>
      </c>
      <c r="F196" s="5">
        <v>44926</v>
      </c>
      <c r="G196" s="1">
        <v>156</v>
      </c>
      <c r="H196" s="1">
        <v>214</v>
      </c>
      <c r="I196" s="154">
        <v>33384</v>
      </c>
      <c r="J196" s="154">
        <v>26313</v>
      </c>
      <c r="K196" s="4">
        <f t="shared" ref="K196:K208" si="45">IF(OR(H196=365,H196=366),I196,ROUND(I196*(365/$H196),0))</f>
        <v>56940</v>
      </c>
      <c r="L196" s="4">
        <f t="shared" ref="L196:L208" si="46">IF(OR(H196=365,H196=366),J196,ROUND(J196*(365/$H196),0))</f>
        <v>44880</v>
      </c>
      <c r="M196" s="154">
        <v>14941632</v>
      </c>
      <c r="N196" s="154">
        <v>18000</v>
      </c>
      <c r="O196" s="154">
        <v>360621</v>
      </c>
      <c r="P196" s="4">
        <f t="shared" si="41"/>
        <v>18110253</v>
      </c>
      <c r="Q196" s="4">
        <f t="shared" si="42"/>
        <v>18110253</v>
      </c>
      <c r="R196" s="4">
        <f t="shared" si="43"/>
        <v>116091</v>
      </c>
      <c r="S196" s="4">
        <f t="shared" ref="S196:S208" si="47">IF(C196="baltimore city",IF(R196&gt;FRV_amt,ROUND(FRV_amt*G196*0.1,0),ROUND(R196*G196*0.1,0)),IF(R196&gt;FRV_amt,ROUND(FRV_amt*G196*0.08,0),ROUND(R196*G196*0.08,0)))</f>
        <v>1448816</v>
      </c>
      <c r="T196" s="155">
        <f>IF(ISNA(VLOOKUP(A196&amp;F196,'Days Exceptions'!$C$2:$I$3,7,FALSE)),ROUND(MAX(K196*Min_Occ,L196),0),VLOOKUP(A196&amp;F196,'Days Exceptions'!$C$2:$I$3,7,FALSE))</f>
        <v>46423</v>
      </c>
      <c r="U196" s="6">
        <f t="shared" si="44"/>
        <v>31.21</v>
      </c>
      <c r="W196" s="131"/>
      <c r="X196" s="37"/>
      <c r="Y196" s="37"/>
      <c r="Z196" s="37"/>
      <c r="AA196" s="37"/>
      <c r="AB196" s="37"/>
      <c r="AC196" s="37"/>
      <c r="AD196" s="37"/>
    </row>
    <row r="197" spans="1:30" x14ac:dyDescent="0.15">
      <c r="A197" s="130">
        <v>669</v>
      </c>
      <c r="B197" s="37" t="s">
        <v>505</v>
      </c>
      <c r="C197" s="1" t="s">
        <v>109</v>
      </c>
      <c r="D197" s="5">
        <v>44743</v>
      </c>
      <c r="E197" s="5">
        <v>44562</v>
      </c>
      <c r="F197" s="5">
        <v>44926</v>
      </c>
      <c r="G197" s="1">
        <v>100</v>
      </c>
      <c r="H197" s="1">
        <v>365</v>
      </c>
      <c r="I197" s="154">
        <v>36500</v>
      </c>
      <c r="J197" s="154">
        <v>30705</v>
      </c>
      <c r="K197" s="4">
        <f t="shared" si="45"/>
        <v>36500</v>
      </c>
      <c r="L197" s="4">
        <f t="shared" si="46"/>
        <v>30705</v>
      </c>
      <c r="M197" s="154">
        <v>10306430</v>
      </c>
      <c r="N197" s="154">
        <v>15000</v>
      </c>
      <c r="O197" s="154">
        <v>198458</v>
      </c>
      <c r="P197" s="4">
        <f t="shared" si="41"/>
        <v>12004888</v>
      </c>
      <c r="Q197" s="4">
        <f t="shared" si="42"/>
        <v>12004888</v>
      </c>
      <c r="R197" s="4">
        <f t="shared" si="43"/>
        <v>120049</v>
      </c>
      <c r="S197" s="4">
        <f t="shared" si="47"/>
        <v>960392</v>
      </c>
      <c r="T197" s="155">
        <f>IF(ISNA(VLOOKUP(A197&amp;F197,'Days Exceptions'!$C$2:$I$3,7,FALSE)),ROUND(MAX(K197*Min_Occ,L197),0),VLOOKUP(A197&amp;F197,'Days Exceptions'!$C$2:$I$3,7,FALSE))</f>
        <v>30705</v>
      </c>
      <c r="U197" s="6">
        <f t="shared" si="44"/>
        <v>31.28</v>
      </c>
      <c r="W197" s="131"/>
      <c r="X197" s="37"/>
      <c r="Y197" s="37"/>
      <c r="Z197" s="37"/>
      <c r="AA197" s="37"/>
      <c r="AB197" s="37"/>
      <c r="AC197" s="37"/>
      <c r="AD197" s="37"/>
    </row>
    <row r="198" spans="1:30" x14ac:dyDescent="0.15">
      <c r="A198" s="130">
        <v>671</v>
      </c>
      <c r="B198" s="37" t="s">
        <v>606</v>
      </c>
      <c r="C198" s="1" t="s">
        <v>110</v>
      </c>
      <c r="D198" s="5">
        <v>44743</v>
      </c>
      <c r="E198" s="5">
        <v>44562</v>
      </c>
      <c r="F198" s="5">
        <v>44926</v>
      </c>
      <c r="G198" s="1">
        <v>60</v>
      </c>
      <c r="H198" s="1">
        <v>365</v>
      </c>
      <c r="I198" s="154">
        <v>21900</v>
      </c>
      <c r="J198" s="154">
        <v>18850</v>
      </c>
      <c r="K198" s="4">
        <f t="shared" si="45"/>
        <v>21900</v>
      </c>
      <c r="L198" s="4">
        <f t="shared" si="46"/>
        <v>18850</v>
      </c>
      <c r="M198" s="154">
        <v>17274698</v>
      </c>
      <c r="N198" s="154">
        <v>16000</v>
      </c>
      <c r="O198" s="154">
        <v>394642</v>
      </c>
      <c r="P198" s="4">
        <f t="shared" si="41"/>
        <v>18629340</v>
      </c>
      <c r="Q198" s="4">
        <f t="shared" si="42"/>
        <v>18629340</v>
      </c>
      <c r="R198" s="4">
        <f t="shared" si="43"/>
        <v>310489</v>
      </c>
      <c r="S198" s="4">
        <f t="shared" si="47"/>
        <v>790738</v>
      </c>
      <c r="T198" s="155">
        <f>IF(ISNA(VLOOKUP(A198&amp;F198,'Days Exceptions'!$C$2:$I$3,7,FALSE)),ROUND(MAX(K198*Min_Occ,L198),0),VLOOKUP(A198&amp;F198,'Days Exceptions'!$C$2:$I$3,7,FALSE))</f>
        <v>18850</v>
      </c>
      <c r="U198" s="6">
        <f t="shared" si="44"/>
        <v>41.95</v>
      </c>
      <c r="W198" s="131"/>
      <c r="X198" s="37"/>
      <c r="Y198" s="37"/>
      <c r="Z198" s="37"/>
      <c r="AA198" s="37"/>
      <c r="AB198" s="37"/>
      <c r="AC198" s="37"/>
      <c r="AD198" s="37"/>
    </row>
    <row r="199" spans="1:30" x14ac:dyDescent="0.15">
      <c r="A199" s="130">
        <v>675</v>
      </c>
      <c r="B199" s="37" t="s">
        <v>192</v>
      </c>
      <c r="C199" s="1" t="s">
        <v>115</v>
      </c>
      <c r="D199" s="5">
        <v>44743</v>
      </c>
      <c r="E199" s="5">
        <v>44562</v>
      </c>
      <c r="F199" s="5">
        <v>44926</v>
      </c>
      <c r="G199" s="1">
        <v>100</v>
      </c>
      <c r="H199" s="1">
        <v>365</v>
      </c>
      <c r="I199" s="154">
        <v>36500</v>
      </c>
      <c r="J199" s="154">
        <v>16836</v>
      </c>
      <c r="K199" s="4">
        <f t="shared" si="45"/>
        <v>36500</v>
      </c>
      <c r="L199" s="4">
        <f t="shared" si="46"/>
        <v>16836</v>
      </c>
      <c r="M199" s="154">
        <v>14884825</v>
      </c>
      <c r="N199" s="154">
        <v>10000</v>
      </c>
      <c r="O199" s="154">
        <v>292194</v>
      </c>
      <c r="P199" s="4">
        <f t="shared" si="41"/>
        <v>16177019</v>
      </c>
      <c r="Q199" s="4">
        <f t="shared" si="42"/>
        <v>16177019</v>
      </c>
      <c r="R199" s="4">
        <f t="shared" si="43"/>
        <v>161770</v>
      </c>
      <c r="S199" s="4">
        <f t="shared" si="47"/>
        <v>1294160</v>
      </c>
      <c r="T199" s="155">
        <f>IF(ISNA(VLOOKUP(A199&amp;F199,'Days Exceptions'!$C$2:$I$3,7,FALSE)),ROUND(MAX(K199*Min_Occ,L199),0),VLOOKUP(A199&amp;F199,'Days Exceptions'!$C$2:$I$3,7,FALSE))</f>
        <v>29758</v>
      </c>
      <c r="U199" s="6">
        <f t="shared" si="44"/>
        <v>43.49</v>
      </c>
      <c r="W199" s="131"/>
      <c r="X199" s="37"/>
      <c r="Y199" s="37"/>
      <c r="Z199" s="37"/>
      <c r="AA199" s="37"/>
      <c r="AB199" s="37"/>
      <c r="AC199" s="37"/>
      <c r="AD199" s="37"/>
    </row>
    <row r="200" spans="1:30" x14ac:dyDescent="0.15">
      <c r="A200" s="130">
        <v>689</v>
      </c>
      <c r="B200" s="37" t="s">
        <v>622</v>
      </c>
      <c r="C200" s="1" t="s">
        <v>119</v>
      </c>
      <c r="D200" s="5">
        <v>44743</v>
      </c>
      <c r="E200" s="5">
        <v>44713</v>
      </c>
      <c r="F200" s="5">
        <v>44926</v>
      </c>
      <c r="G200" s="1">
        <v>151</v>
      </c>
      <c r="H200" s="1">
        <v>214</v>
      </c>
      <c r="I200" s="154">
        <v>32314</v>
      </c>
      <c r="J200" s="154">
        <v>25816</v>
      </c>
      <c r="K200" s="4">
        <f t="shared" si="45"/>
        <v>55115</v>
      </c>
      <c r="L200" s="4">
        <f t="shared" si="46"/>
        <v>44032</v>
      </c>
      <c r="M200" s="154">
        <v>15469123</v>
      </c>
      <c r="N200" s="154">
        <v>38000</v>
      </c>
      <c r="O200" s="154">
        <v>341207</v>
      </c>
      <c r="P200" s="4">
        <f t="shared" si="41"/>
        <v>21548330</v>
      </c>
      <c r="Q200" s="4">
        <f t="shared" si="42"/>
        <v>21548330</v>
      </c>
      <c r="R200" s="4">
        <f t="shared" si="43"/>
        <v>142704</v>
      </c>
      <c r="S200" s="4">
        <f t="shared" si="47"/>
        <v>1723864</v>
      </c>
      <c r="T200" s="155">
        <f>IF(ISNA(VLOOKUP(A200&amp;F200,'Days Exceptions'!$C$2:$I$3,7,FALSE)),ROUND(MAX(K200*Min_Occ,L200),0),VLOOKUP(A200&amp;F200,'Days Exceptions'!$C$2:$I$3,7,FALSE))</f>
        <v>44935</v>
      </c>
      <c r="U200" s="6">
        <f t="shared" si="44"/>
        <v>38.36</v>
      </c>
      <c r="W200" s="131"/>
      <c r="X200" s="37"/>
      <c r="Y200" s="37"/>
      <c r="Z200" s="37"/>
      <c r="AA200" s="37"/>
      <c r="AB200" s="37"/>
      <c r="AC200" s="37"/>
      <c r="AD200" s="37"/>
    </row>
    <row r="201" spans="1:30" x14ac:dyDescent="0.15">
      <c r="A201" s="130">
        <v>695</v>
      </c>
      <c r="B201" s="37" t="s">
        <v>623</v>
      </c>
      <c r="C201" s="1" t="s">
        <v>120</v>
      </c>
      <c r="D201" s="5">
        <v>44743</v>
      </c>
      <c r="E201" s="5">
        <v>44713</v>
      </c>
      <c r="F201" s="5">
        <v>44926</v>
      </c>
      <c r="G201" s="1">
        <v>153</v>
      </c>
      <c r="H201" s="1">
        <v>214</v>
      </c>
      <c r="I201" s="154">
        <v>32742</v>
      </c>
      <c r="J201" s="154">
        <v>26905</v>
      </c>
      <c r="K201" s="4">
        <f t="shared" si="45"/>
        <v>55845</v>
      </c>
      <c r="L201" s="4">
        <f t="shared" si="46"/>
        <v>45889</v>
      </c>
      <c r="M201" s="154">
        <v>15210687</v>
      </c>
      <c r="N201" s="154">
        <v>27000</v>
      </c>
      <c r="O201" s="154">
        <v>373661</v>
      </c>
      <c r="P201" s="4">
        <f t="shared" si="41"/>
        <v>19715348</v>
      </c>
      <c r="Q201" s="4">
        <f t="shared" si="42"/>
        <v>19715348</v>
      </c>
      <c r="R201" s="4">
        <f t="shared" si="43"/>
        <v>128858</v>
      </c>
      <c r="S201" s="4">
        <f t="shared" si="47"/>
        <v>1577222</v>
      </c>
      <c r="T201" s="155">
        <f>IF(ISNA(VLOOKUP(A201&amp;F201,'Days Exceptions'!$C$2:$I$3,7,FALSE)),ROUND(MAX(K201*Min_Occ,L201),0),VLOOKUP(A201&amp;F201,'Days Exceptions'!$C$2:$I$3,7,FALSE))</f>
        <v>45889</v>
      </c>
      <c r="U201" s="6">
        <f t="shared" si="44"/>
        <v>34.369999999999997</v>
      </c>
      <c r="W201" s="131"/>
      <c r="X201" s="37"/>
      <c r="Y201" s="37"/>
      <c r="Z201" s="37"/>
      <c r="AA201" s="37"/>
      <c r="AB201" s="37"/>
      <c r="AC201" s="37"/>
      <c r="AD201" s="37"/>
    </row>
    <row r="202" spans="1:30" x14ac:dyDescent="0.15">
      <c r="A202" s="130">
        <v>701</v>
      </c>
      <c r="B202" s="37" t="s">
        <v>506</v>
      </c>
      <c r="C202" s="1" t="s">
        <v>124</v>
      </c>
      <c r="D202" s="5">
        <v>44743</v>
      </c>
      <c r="E202" s="5">
        <v>44562</v>
      </c>
      <c r="F202" s="5">
        <v>44926</v>
      </c>
      <c r="G202" s="1">
        <v>99</v>
      </c>
      <c r="H202" s="1">
        <v>365</v>
      </c>
      <c r="I202" s="154">
        <v>36135</v>
      </c>
      <c r="J202" s="154">
        <v>20093</v>
      </c>
      <c r="K202" s="4">
        <f t="shared" si="45"/>
        <v>36135</v>
      </c>
      <c r="L202" s="4">
        <f t="shared" si="46"/>
        <v>20093</v>
      </c>
      <c r="M202" s="154">
        <v>11945291</v>
      </c>
      <c r="N202" s="154">
        <v>16000</v>
      </c>
      <c r="O202" s="154">
        <v>248194</v>
      </c>
      <c r="P202" s="4">
        <f t="shared" si="41"/>
        <v>13777485</v>
      </c>
      <c r="Q202" s="4">
        <f t="shared" si="42"/>
        <v>13777485</v>
      </c>
      <c r="R202" s="4">
        <f t="shared" si="43"/>
        <v>139167</v>
      </c>
      <c r="S202" s="4">
        <f t="shared" si="47"/>
        <v>1102203</v>
      </c>
      <c r="T202" s="155">
        <f>IF(ISNA(VLOOKUP(A202&amp;F202,'Days Exceptions'!$C$2:$I$3,7,FALSE)),ROUND(MAX(K202*Min_Occ,L202),0),VLOOKUP(A202&amp;F202,'Days Exceptions'!$C$2:$I$3,7,FALSE))</f>
        <v>29461</v>
      </c>
      <c r="U202" s="6">
        <f t="shared" si="44"/>
        <v>37.409999999999997</v>
      </c>
      <c r="W202" s="131"/>
      <c r="X202" s="37"/>
      <c r="Y202" s="37"/>
      <c r="Z202" s="37"/>
      <c r="AA202" s="37"/>
      <c r="AB202" s="37"/>
      <c r="AC202" s="37"/>
      <c r="AD202" s="37"/>
    </row>
    <row r="203" spans="1:30" x14ac:dyDescent="0.15">
      <c r="A203" s="130">
        <v>717</v>
      </c>
      <c r="B203" s="37" t="s">
        <v>190</v>
      </c>
      <c r="C203" s="1" t="s">
        <v>102</v>
      </c>
      <c r="D203" s="5">
        <v>44743</v>
      </c>
      <c r="E203" s="5">
        <v>44562</v>
      </c>
      <c r="F203" s="5">
        <v>44926</v>
      </c>
      <c r="G203" s="1">
        <v>200</v>
      </c>
      <c r="H203" s="1">
        <v>365</v>
      </c>
      <c r="I203" s="154">
        <v>73000</v>
      </c>
      <c r="J203" s="154">
        <v>68235</v>
      </c>
      <c r="K203" s="4">
        <f t="shared" si="45"/>
        <v>73000</v>
      </c>
      <c r="L203" s="4">
        <f t="shared" si="46"/>
        <v>68235</v>
      </c>
      <c r="M203" s="154">
        <v>25426020</v>
      </c>
      <c r="N203" s="154">
        <v>23000</v>
      </c>
      <c r="O203" s="154">
        <v>559502</v>
      </c>
      <c r="P203" s="4">
        <f t="shared" si="41"/>
        <v>30585522</v>
      </c>
      <c r="Q203" s="4">
        <f t="shared" si="42"/>
        <v>30585522</v>
      </c>
      <c r="R203" s="4">
        <f t="shared" si="43"/>
        <v>152928</v>
      </c>
      <c r="S203" s="4">
        <f t="shared" si="47"/>
        <v>3058560</v>
      </c>
      <c r="T203" s="155">
        <f>IF(ISNA(VLOOKUP(A203&amp;F203,'Days Exceptions'!$C$2:$I$3,7,FALSE)),ROUND(MAX(K203*Min_Occ,L203),0),VLOOKUP(A203&amp;F203,'Days Exceptions'!$C$2:$I$3,7,FALSE))</f>
        <v>68235</v>
      </c>
      <c r="U203" s="6">
        <f t="shared" si="44"/>
        <v>44.82</v>
      </c>
      <c r="W203" s="131"/>
      <c r="X203" s="37"/>
      <c r="Y203" s="37"/>
      <c r="Z203" s="37"/>
      <c r="AA203" s="37"/>
      <c r="AB203" s="37"/>
      <c r="AC203" s="37"/>
      <c r="AD203" s="37"/>
    </row>
    <row r="204" spans="1:30" x14ac:dyDescent="0.15">
      <c r="A204" s="130">
        <v>729</v>
      </c>
      <c r="B204" s="37" t="s">
        <v>209</v>
      </c>
      <c r="C204" s="1" t="s">
        <v>102</v>
      </c>
      <c r="D204" s="5">
        <v>44743</v>
      </c>
      <c r="E204" s="5">
        <v>44378</v>
      </c>
      <c r="F204" s="5">
        <v>44742</v>
      </c>
      <c r="G204" s="1">
        <v>156</v>
      </c>
      <c r="H204" s="1">
        <v>365</v>
      </c>
      <c r="I204" s="154">
        <v>56940</v>
      </c>
      <c r="J204" s="154">
        <v>43910</v>
      </c>
      <c r="K204" s="4">
        <f t="shared" si="45"/>
        <v>56940</v>
      </c>
      <c r="L204" s="4">
        <f t="shared" si="46"/>
        <v>43910</v>
      </c>
      <c r="M204" s="154">
        <v>14871339</v>
      </c>
      <c r="N204" s="154">
        <v>12000</v>
      </c>
      <c r="O204" s="154">
        <v>332083</v>
      </c>
      <c r="P204" s="4">
        <f t="shared" si="41"/>
        <v>17075422</v>
      </c>
      <c r="Q204" s="4">
        <f t="shared" si="42"/>
        <v>17075422</v>
      </c>
      <c r="R204" s="4">
        <f t="shared" si="43"/>
        <v>109458</v>
      </c>
      <c r="S204" s="4">
        <f t="shared" si="47"/>
        <v>1707545</v>
      </c>
      <c r="T204" s="155">
        <f>IF(ISNA(VLOOKUP(A204&amp;F204,'Days Exceptions'!$C$2:$I$3,7,FALSE)),ROUND(MAX(K204*Min_Occ,L204),0),VLOOKUP(A204&amp;F204,'Days Exceptions'!$C$2:$I$3,7,FALSE))</f>
        <v>46423</v>
      </c>
      <c r="U204" s="6">
        <f t="shared" si="44"/>
        <v>36.78</v>
      </c>
      <c r="W204" s="131"/>
      <c r="X204" s="37"/>
      <c r="Y204" s="37"/>
      <c r="Z204" s="37"/>
      <c r="AA204" s="37"/>
      <c r="AB204" s="37"/>
      <c r="AC204" s="37"/>
      <c r="AD204" s="37"/>
    </row>
    <row r="205" spans="1:30" x14ac:dyDescent="0.15">
      <c r="A205" s="130">
        <v>735</v>
      </c>
      <c r="B205" s="37" t="s">
        <v>419</v>
      </c>
      <c r="C205" s="1" t="s">
        <v>120</v>
      </c>
      <c r="D205" s="5">
        <v>44743</v>
      </c>
      <c r="E205" s="5">
        <v>44562</v>
      </c>
      <c r="F205" s="5">
        <v>44957</v>
      </c>
      <c r="G205" s="1">
        <v>280</v>
      </c>
      <c r="H205" s="1">
        <v>396</v>
      </c>
      <c r="I205" s="154">
        <v>110880</v>
      </c>
      <c r="J205" s="154">
        <v>100057</v>
      </c>
      <c r="K205" s="4">
        <f t="shared" si="45"/>
        <v>102200</v>
      </c>
      <c r="L205" s="4">
        <f t="shared" si="46"/>
        <v>92224</v>
      </c>
      <c r="M205" s="154">
        <v>31856512</v>
      </c>
      <c r="N205" s="154">
        <v>25000</v>
      </c>
      <c r="O205" s="154">
        <v>395988</v>
      </c>
      <c r="P205" s="4">
        <f t="shared" si="41"/>
        <v>39252500</v>
      </c>
      <c r="Q205" s="4">
        <f t="shared" si="42"/>
        <v>39252500</v>
      </c>
      <c r="R205" s="4">
        <f t="shared" si="43"/>
        <v>140188</v>
      </c>
      <c r="S205" s="4">
        <f t="shared" si="47"/>
        <v>3140211</v>
      </c>
      <c r="T205" s="155">
        <f>IF(ISNA(VLOOKUP(A205&amp;F205,'Days Exceptions'!$C$2:$I$3,7,FALSE)),ROUND(MAX(K205*Min_Occ,L205),0),VLOOKUP(A205&amp;F205,'Days Exceptions'!$C$2:$I$3,7,FALSE))</f>
        <v>92224</v>
      </c>
      <c r="U205" s="6">
        <f t="shared" si="44"/>
        <v>34.049999999999997</v>
      </c>
      <c r="W205" s="131"/>
      <c r="X205" s="37"/>
      <c r="Y205" s="37"/>
      <c r="Z205" s="37"/>
      <c r="AA205" s="37"/>
      <c r="AB205" s="37"/>
      <c r="AC205" s="37"/>
      <c r="AD205" s="37"/>
    </row>
    <row r="206" spans="1:30" x14ac:dyDescent="0.15">
      <c r="A206" s="130">
        <v>743</v>
      </c>
      <c r="B206" s="250" t="s">
        <v>213</v>
      </c>
      <c r="C206" s="251" t="s">
        <v>119</v>
      </c>
      <c r="D206" s="252">
        <v>44743</v>
      </c>
      <c r="E206" s="252">
        <v>44378</v>
      </c>
      <c r="F206" s="252">
        <v>44742</v>
      </c>
      <c r="G206" s="251">
        <v>92</v>
      </c>
      <c r="H206" s="251">
        <v>365</v>
      </c>
      <c r="I206" s="253">
        <v>33580</v>
      </c>
      <c r="J206" s="253">
        <v>29371</v>
      </c>
      <c r="K206" s="254">
        <f t="shared" si="45"/>
        <v>33580</v>
      </c>
      <c r="L206" s="254">
        <f t="shared" si="46"/>
        <v>29371</v>
      </c>
      <c r="M206" s="255">
        <v>28251667</v>
      </c>
      <c r="N206" s="255">
        <v>0</v>
      </c>
      <c r="O206" s="255">
        <v>0</v>
      </c>
      <c r="P206" s="254">
        <f t="shared" si="41"/>
        <v>28251667</v>
      </c>
      <c r="Q206" s="254">
        <f t="shared" si="42"/>
        <v>28251667</v>
      </c>
      <c r="R206" s="254">
        <f t="shared" si="43"/>
        <v>307083</v>
      </c>
      <c r="S206" s="254">
        <f t="shared" si="47"/>
        <v>1212464</v>
      </c>
      <c r="T206" s="256">
        <f>IF(ISNA(VLOOKUP(A206&amp;F206,'Days Exceptions'!$C$2:$I$3,7,FALSE)),ROUND(MAX(K206*Min_Occ,L206),0),VLOOKUP(A206&amp;F206,'Days Exceptions'!$C$2:$I$3,7,FALSE))</f>
        <v>25520</v>
      </c>
      <c r="U206" s="257">
        <f>ROUND(S206/T206,2)</f>
        <v>47.51</v>
      </c>
      <c r="W206" s="131"/>
      <c r="X206" s="37"/>
      <c r="Y206" s="37"/>
      <c r="Z206" s="37"/>
      <c r="AA206" s="37"/>
      <c r="AB206" s="37"/>
      <c r="AC206" s="37"/>
      <c r="AD206" s="37"/>
    </row>
    <row r="207" spans="1:30" x14ac:dyDescent="0.15">
      <c r="A207" s="130">
        <v>767</v>
      </c>
      <c r="B207" s="37" t="s">
        <v>216</v>
      </c>
      <c r="C207" s="1" t="s">
        <v>122</v>
      </c>
      <c r="D207" s="5">
        <v>44743</v>
      </c>
      <c r="E207" s="5">
        <v>44378</v>
      </c>
      <c r="F207" s="5">
        <v>44742</v>
      </c>
      <c r="G207" s="1">
        <v>160</v>
      </c>
      <c r="H207" s="1">
        <v>365</v>
      </c>
      <c r="I207" s="154">
        <v>58400</v>
      </c>
      <c r="J207" s="154">
        <v>40180</v>
      </c>
      <c r="K207" s="4">
        <f t="shared" si="45"/>
        <v>58400</v>
      </c>
      <c r="L207" s="4">
        <f t="shared" si="46"/>
        <v>40180</v>
      </c>
      <c r="M207" s="154">
        <v>26352505</v>
      </c>
      <c r="N207" s="154">
        <v>17000</v>
      </c>
      <c r="O207" s="154">
        <v>573631</v>
      </c>
      <c r="P207" s="4">
        <f t="shared" si="41"/>
        <v>29646136</v>
      </c>
      <c r="Q207" s="4">
        <f t="shared" si="42"/>
        <v>29646136</v>
      </c>
      <c r="R207" s="4">
        <f t="shared" si="43"/>
        <v>185288</v>
      </c>
      <c r="S207" s="4">
        <f t="shared" si="47"/>
        <v>2108634</v>
      </c>
      <c r="T207" s="155">
        <f>IF(ISNA(VLOOKUP(A207&amp;F207,'Days Exceptions'!$C$2:$I$3,7,FALSE)),ROUND(MAX(K207*Min_Occ,L207),0),VLOOKUP(A207&amp;F207,'Days Exceptions'!$C$2:$I$3,7,FALSE))</f>
        <v>47614</v>
      </c>
      <c r="U207" s="6">
        <f t="shared" si="44"/>
        <v>44.29</v>
      </c>
      <c r="W207" s="131"/>
      <c r="X207" s="37"/>
      <c r="Y207" s="37"/>
      <c r="Z207" s="37"/>
      <c r="AA207" s="37"/>
      <c r="AB207" s="37"/>
      <c r="AC207" s="37"/>
      <c r="AD207" s="37"/>
    </row>
    <row r="208" spans="1:30" x14ac:dyDescent="0.15">
      <c r="A208" s="130">
        <v>1232</v>
      </c>
      <c r="B208" s="37" t="s">
        <v>255</v>
      </c>
      <c r="C208" s="1" t="s">
        <v>116</v>
      </c>
      <c r="D208" s="5">
        <v>44743</v>
      </c>
      <c r="E208" s="5">
        <v>44562</v>
      </c>
      <c r="F208" s="5">
        <v>44926</v>
      </c>
      <c r="G208" s="1">
        <v>78</v>
      </c>
      <c r="H208" s="1">
        <v>365</v>
      </c>
      <c r="I208" s="154">
        <v>28470</v>
      </c>
      <c r="J208" s="154">
        <v>18281</v>
      </c>
      <c r="K208" s="4">
        <f t="shared" si="45"/>
        <v>28470</v>
      </c>
      <c r="L208" s="4">
        <f t="shared" si="46"/>
        <v>18281</v>
      </c>
      <c r="M208" s="154">
        <v>14746789</v>
      </c>
      <c r="N208" s="154">
        <v>20000</v>
      </c>
      <c r="O208" s="154">
        <v>453132</v>
      </c>
      <c r="P208" s="4">
        <f t="shared" si="41"/>
        <v>16759921</v>
      </c>
      <c r="Q208" s="4">
        <f t="shared" si="42"/>
        <v>16759921</v>
      </c>
      <c r="R208" s="4">
        <f t="shared" si="43"/>
        <v>214871</v>
      </c>
      <c r="S208" s="4">
        <f t="shared" si="47"/>
        <v>1027959</v>
      </c>
      <c r="T208" s="155">
        <f>IF(ISNA(VLOOKUP(A208&amp;F208,'Days Exceptions'!$C$2:$I$3,7,FALSE)),ROUND(MAX(K208*Min_Occ,L208),0),VLOOKUP(A208&amp;F208,'Days Exceptions'!$C$2:$I$3,7,FALSE))</f>
        <v>23212</v>
      </c>
      <c r="U208" s="6">
        <f t="shared" si="44"/>
        <v>44.29</v>
      </c>
      <c r="W208" s="131"/>
      <c r="X208" s="37"/>
      <c r="Y208" s="37"/>
      <c r="Z208" s="37"/>
      <c r="AA208" s="37"/>
      <c r="AB208" s="37"/>
      <c r="AC208" s="37"/>
      <c r="AD208" s="37"/>
    </row>
    <row r="209" spans="23:30" x14ac:dyDescent="0.15">
      <c r="W209" s="136"/>
      <c r="X209" s="37"/>
      <c r="Y209" s="37"/>
      <c r="Z209" s="37"/>
      <c r="AA209" s="37"/>
      <c r="AB209" s="137"/>
      <c r="AC209" s="37"/>
      <c r="AD209" s="37"/>
    </row>
    <row r="210" spans="23:30" x14ac:dyDescent="0.15">
      <c r="W210" s="136"/>
      <c r="X210" s="37"/>
      <c r="Y210" s="37"/>
      <c r="Z210" s="37"/>
      <c r="AA210" s="37"/>
      <c r="AB210" s="137"/>
      <c r="AC210" s="37"/>
      <c r="AD210" s="37"/>
    </row>
    <row r="211" spans="23:30" x14ac:dyDescent="0.15">
      <c r="W211" s="136"/>
      <c r="X211" s="37"/>
      <c r="Y211" s="37"/>
      <c r="Z211" s="37"/>
      <c r="AA211" s="37"/>
      <c r="AB211" s="137"/>
      <c r="AC211" s="37"/>
      <c r="AD211" s="37"/>
    </row>
    <row r="212" spans="23:30" x14ac:dyDescent="0.15">
      <c r="W212" s="136"/>
      <c r="X212" s="37"/>
      <c r="Y212" s="37"/>
      <c r="Z212" s="37"/>
      <c r="AA212" s="37"/>
      <c r="AB212" s="137"/>
      <c r="AC212" s="37"/>
      <c r="AD212" s="37"/>
    </row>
    <row r="213" spans="23:30" x14ac:dyDescent="0.15">
      <c r="W213" s="136"/>
      <c r="X213" s="37"/>
      <c r="Y213" s="37"/>
      <c r="Z213" s="37"/>
      <c r="AA213" s="37"/>
      <c r="AB213" s="137"/>
      <c r="AC213" s="37"/>
      <c r="AD213" s="37"/>
    </row>
    <row r="214" spans="23:30" x14ac:dyDescent="0.15">
      <c r="W214" s="136"/>
      <c r="X214" s="37"/>
      <c r="Y214" s="37"/>
      <c r="Z214" s="37"/>
      <c r="AA214" s="37"/>
      <c r="AB214" s="137"/>
      <c r="AC214" s="37"/>
      <c r="AD214" s="37"/>
    </row>
    <row r="215" spans="23:30" x14ac:dyDescent="0.15">
      <c r="W215" s="136"/>
      <c r="X215" s="37"/>
      <c r="Y215" s="37"/>
      <c r="Z215" s="37"/>
      <c r="AA215" s="37"/>
      <c r="AB215" s="137"/>
      <c r="AC215" s="37"/>
      <c r="AD215" s="37"/>
    </row>
    <row r="216" spans="23:30" x14ac:dyDescent="0.15">
      <c r="W216" s="136"/>
      <c r="X216" s="37"/>
      <c r="Y216" s="37"/>
      <c r="Z216" s="37"/>
      <c r="AA216" s="37"/>
      <c r="AB216" s="137"/>
      <c r="AC216" s="37"/>
      <c r="AD216" s="37"/>
    </row>
    <row r="217" spans="23:30" x14ac:dyDescent="0.15">
      <c r="W217" s="136"/>
      <c r="X217" s="37"/>
      <c r="Y217" s="37"/>
      <c r="Z217" s="37"/>
      <c r="AA217" s="37"/>
      <c r="AB217" s="137"/>
      <c r="AC217" s="37"/>
      <c r="AD217" s="37"/>
    </row>
    <row r="218" spans="23:30" x14ac:dyDescent="0.15">
      <c r="W218" s="136"/>
      <c r="X218" s="37"/>
      <c r="Y218" s="37"/>
      <c r="Z218" s="37"/>
      <c r="AA218" s="37"/>
      <c r="AB218" s="137"/>
      <c r="AC218" s="37"/>
      <c r="AD218" s="37"/>
    </row>
    <row r="219" spans="23:30" x14ac:dyDescent="0.15">
      <c r="W219" s="136"/>
      <c r="X219" s="37"/>
      <c r="Y219" s="37"/>
      <c r="Z219" s="37"/>
      <c r="AA219" s="37"/>
      <c r="AB219" s="137"/>
      <c r="AC219" s="37"/>
      <c r="AD219" s="37"/>
    </row>
    <row r="220" spans="23:30" x14ac:dyDescent="0.15">
      <c r="W220" s="136"/>
      <c r="X220" s="37"/>
      <c r="Y220" s="37"/>
      <c r="Z220" s="37"/>
      <c r="AA220" s="37"/>
      <c r="AB220" s="137"/>
      <c r="AC220" s="37"/>
      <c r="AD220" s="37"/>
    </row>
    <row r="221" spans="23:30" x14ac:dyDescent="0.15">
      <c r="W221" s="136"/>
      <c r="X221" s="37"/>
      <c r="Y221" s="37"/>
      <c r="Z221" s="37"/>
      <c r="AA221" s="37"/>
      <c r="AB221" s="137"/>
      <c r="AC221" s="37"/>
      <c r="AD221" s="37"/>
    </row>
    <row r="222" spans="23:30" x14ac:dyDescent="0.15">
      <c r="W222" s="136"/>
      <c r="X222" s="37"/>
      <c r="Y222" s="37"/>
      <c r="Z222" s="37"/>
      <c r="AA222" s="37"/>
      <c r="AB222" s="137"/>
      <c r="AC222" s="37"/>
      <c r="AD222" s="37"/>
    </row>
    <row r="223" spans="23:30" x14ac:dyDescent="0.15">
      <c r="W223" s="136"/>
      <c r="X223" s="37"/>
      <c r="Y223" s="37"/>
      <c r="Z223" s="37"/>
      <c r="AA223" s="37"/>
      <c r="AB223" s="137"/>
      <c r="AC223" s="37"/>
      <c r="AD223" s="37"/>
    </row>
    <row r="224" spans="23:30" x14ac:dyDescent="0.15">
      <c r="W224" s="136"/>
      <c r="X224" s="37"/>
      <c r="Y224" s="37"/>
      <c r="Z224" s="37"/>
      <c r="AA224" s="37"/>
      <c r="AB224" s="137"/>
      <c r="AC224" s="37"/>
      <c r="AD224" s="37"/>
    </row>
    <row r="225" spans="23:30" x14ac:dyDescent="0.15">
      <c r="W225" s="136"/>
      <c r="X225" s="37"/>
      <c r="Y225" s="37"/>
      <c r="Z225" s="37"/>
      <c r="AA225" s="37"/>
      <c r="AB225" s="137"/>
      <c r="AC225" s="37"/>
      <c r="AD225" s="37"/>
    </row>
    <row r="226" spans="23:30" x14ac:dyDescent="0.15">
      <c r="W226" s="136"/>
      <c r="X226" s="37"/>
      <c r="Y226" s="37"/>
      <c r="Z226" s="37"/>
      <c r="AA226" s="37"/>
      <c r="AB226" s="137"/>
      <c r="AC226" s="37"/>
      <c r="AD226" s="37"/>
    </row>
    <row r="227" spans="23:30" x14ac:dyDescent="0.15">
      <c r="W227" s="136"/>
      <c r="X227" s="37"/>
      <c r="Y227" s="37"/>
      <c r="Z227" s="37"/>
      <c r="AA227" s="37"/>
      <c r="AB227" s="137"/>
      <c r="AC227" s="37"/>
      <c r="AD227" s="37"/>
    </row>
    <row r="228" spans="23:30" x14ac:dyDescent="0.15">
      <c r="W228" s="136"/>
      <c r="X228" s="37"/>
      <c r="Y228" s="37"/>
      <c r="Z228" s="37"/>
      <c r="AA228" s="37"/>
      <c r="AB228" s="137"/>
      <c r="AC228" s="37"/>
      <c r="AD228" s="37"/>
    </row>
    <row r="229" spans="23:30" x14ac:dyDescent="0.15">
      <c r="W229" s="136"/>
      <c r="X229" s="37"/>
      <c r="Y229" s="37"/>
      <c r="Z229" s="37"/>
      <c r="AA229" s="37"/>
      <c r="AB229" s="137"/>
      <c r="AC229" s="37"/>
      <c r="AD229" s="37"/>
    </row>
    <row r="230" spans="23:30" x14ac:dyDescent="0.15">
      <c r="W230" s="136"/>
      <c r="X230" s="37"/>
      <c r="Y230" s="37"/>
      <c r="Z230" s="37"/>
      <c r="AA230" s="37"/>
      <c r="AB230" s="137"/>
      <c r="AC230" s="37"/>
      <c r="AD230" s="37"/>
    </row>
    <row r="231" spans="23:30" x14ac:dyDescent="0.15">
      <c r="W231" s="136"/>
      <c r="X231" s="37"/>
      <c r="Y231" s="37"/>
      <c r="Z231" s="37"/>
      <c r="AA231" s="37"/>
      <c r="AB231" s="137"/>
      <c r="AC231" s="37"/>
      <c r="AD231" s="37"/>
    </row>
    <row r="232" spans="23:30" x14ac:dyDescent="0.15">
      <c r="W232" s="136"/>
      <c r="X232" s="37"/>
      <c r="Y232" s="37"/>
      <c r="Z232" s="37"/>
      <c r="AA232" s="37"/>
      <c r="AB232" s="137"/>
      <c r="AC232" s="37"/>
      <c r="AD232" s="37"/>
    </row>
    <row r="233" spans="23:30" x14ac:dyDescent="0.15">
      <c r="W233" s="136"/>
      <c r="X233" s="37"/>
      <c r="Y233" s="37"/>
      <c r="Z233" s="37"/>
      <c r="AA233" s="37"/>
      <c r="AB233" s="137"/>
      <c r="AC233" s="37"/>
      <c r="AD233" s="37"/>
    </row>
    <row r="234" spans="23:30" x14ac:dyDescent="0.15">
      <c r="W234" s="136"/>
      <c r="X234" s="37"/>
      <c r="Y234" s="37"/>
      <c r="Z234" s="37"/>
      <c r="AA234" s="37"/>
      <c r="AB234" s="137"/>
      <c r="AC234" s="37"/>
      <c r="AD234" s="37"/>
    </row>
    <row r="235" spans="23:30" x14ac:dyDescent="0.15">
      <c r="W235" s="136"/>
      <c r="X235" s="37"/>
      <c r="Y235" s="37"/>
      <c r="Z235" s="37"/>
      <c r="AA235" s="37"/>
      <c r="AB235" s="137"/>
      <c r="AC235" s="37"/>
      <c r="AD235" s="37"/>
    </row>
    <row r="236" spans="23:30" x14ac:dyDescent="0.15">
      <c r="W236" s="136"/>
      <c r="X236" s="37"/>
      <c r="Y236" s="37"/>
      <c r="Z236" s="37"/>
      <c r="AA236" s="37"/>
      <c r="AB236" s="137"/>
      <c r="AC236" s="37"/>
      <c r="AD236" s="37"/>
    </row>
    <row r="237" spans="23:30" x14ac:dyDescent="0.15">
      <c r="W237" s="136"/>
      <c r="X237" s="37"/>
      <c r="Y237" s="37"/>
      <c r="Z237" s="37"/>
      <c r="AA237" s="37"/>
      <c r="AB237" s="137"/>
      <c r="AC237" s="37"/>
      <c r="AD237" s="37"/>
    </row>
    <row r="238" spans="23:30" x14ac:dyDescent="0.15">
      <c r="W238" s="136"/>
      <c r="X238" s="37"/>
      <c r="Y238" s="37"/>
      <c r="Z238" s="37"/>
      <c r="AA238" s="37"/>
      <c r="AB238" s="137"/>
      <c r="AC238" s="37"/>
      <c r="AD238" s="37"/>
    </row>
    <row r="239" spans="23:30" x14ac:dyDescent="0.15">
      <c r="W239" s="136"/>
      <c r="X239" s="37"/>
      <c r="Y239" s="37"/>
      <c r="Z239" s="37"/>
      <c r="AA239" s="37"/>
      <c r="AB239" s="137"/>
      <c r="AC239" s="37"/>
      <c r="AD239" s="37"/>
    </row>
    <row r="240" spans="23:30" x14ac:dyDescent="0.15">
      <c r="W240" s="136"/>
      <c r="X240" s="37"/>
      <c r="Y240" s="37"/>
      <c r="Z240" s="37"/>
      <c r="AA240" s="37"/>
      <c r="AB240" s="137"/>
      <c r="AC240" s="37"/>
      <c r="AD240" s="37"/>
    </row>
    <row r="241" spans="23:30" x14ac:dyDescent="0.15">
      <c r="W241" s="136"/>
      <c r="X241" s="37"/>
      <c r="Y241" s="37"/>
      <c r="Z241" s="37"/>
      <c r="AA241" s="37"/>
      <c r="AB241" s="137"/>
      <c r="AC241" s="37"/>
      <c r="AD241" s="37"/>
    </row>
    <row r="242" spans="23:30" x14ac:dyDescent="0.15">
      <c r="W242" s="136"/>
      <c r="X242" s="37"/>
      <c r="Y242" s="37"/>
      <c r="Z242" s="37"/>
      <c r="AA242" s="37"/>
      <c r="AB242" s="137"/>
      <c r="AC242" s="37"/>
      <c r="AD242" s="37"/>
    </row>
    <row r="243" spans="23:30" x14ac:dyDescent="0.15">
      <c r="W243" s="136"/>
      <c r="X243" s="37"/>
      <c r="Y243" s="37"/>
      <c r="Z243" s="37"/>
      <c r="AA243" s="37"/>
      <c r="AB243" s="137"/>
      <c r="AC243" s="37"/>
      <c r="AD243" s="37"/>
    </row>
    <row r="244" spans="23:30" x14ac:dyDescent="0.15">
      <c r="W244" s="136"/>
      <c r="X244" s="37"/>
      <c r="Y244" s="37"/>
      <c r="Z244" s="37"/>
      <c r="AA244" s="37"/>
      <c r="AB244" s="137"/>
      <c r="AC244" s="37"/>
      <c r="AD244" s="37"/>
    </row>
    <row r="245" spans="23:30" x14ac:dyDescent="0.15">
      <c r="W245" s="136"/>
      <c r="X245" s="37"/>
      <c r="Y245" s="37"/>
      <c r="Z245" s="37"/>
      <c r="AA245" s="37"/>
      <c r="AB245" s="137"/>
      <c r="AC245" s="37"/>
      <c r="AD245" s="37"/>
    </row>
    <row r="246" spans="23:30" x14ac:dyDescent="0.15">
      <c r="W246" s="136"/>
      <c r="X246" s="37"/>
      <c r="Y246" s="37"/>
      <c r="Z246" s="37"/>
      <c r="AA246" s="37"/>
      <c r="AB246" s="137"/>
      <c r="AC246" s="37"/>
      <c r="AD246" s="37"/>
    </row>
    <row r="247" spans="23:30" x14ac:dyDescent="0.15">
      <c r="W247" s="136"/>
      <c r="X247" s="37"/>
      <c r="Y247" s="37"/>
      <c r="Z247" s="37"/>
      <c r="AA247" s="37"/>
      <c r="AB247" s="137"/>
      <c r="AC247" s="37"/>
      <c r="AD247" s="37"/>
    </row>
    <row r="248" spans="23:30" x14ac:dyDescent="0.15">
      <c r="W248" s="136"/>
      <c r="X248" s="37"/>
      <c r="Y248" s="37"/>
      <c r="Z248" s="37"/>
      <c r="AA248" s="37"/>
      <c r="AB248" s="137"/>
      <c r="AC248" s="37"/>
      <c r="AD248" s="37"/>
    </row>
    <row r="249" spans="23:30" x14ac:dyDescent="0.15">
      <c r="W249" s="136"/>
      <c r="X249" s="37"/>
      <c r="Y249" s="37"/>
      <c r="Z249" s="37"/>
      <c r="AA249" s="37"/>
      <c r="AB249" s="137"/>
      <c r="AC249" s="37"/>
      <c r="AD249" s="37"/>
    </row>
    <row r="250" spans="23:30" x14ac:dyDescent="0.15">
      <c r="W250" s="136"/>
      <c r="X250" s="37"/>
      <c r="Y250" s="37"/>
      <c r="Z250" s="37"/>
      <c r="AA250" s="37"/>
      <c r="AB250" s="137"/>
      <c r="AC250" s="37"/>
      <c r="AD250" s="37"/>
    </row>
    <row r="251" spans="23:30" x14ac:dyDescent="0.15">
      <c r="W251" s="136"/>
      <c r="X251" s="37"/>
      <c r="Y251" s="37"/>
      <c r="Z251" s="37"/>
      <c r="AA251" s="37"/>
      <c r="AB251" s="137"/>
      <c r="AC251" s="37"/>
      <c r="AD251" s="37"/>
    </row>
    <row r="252" spans="23:30" x14ac:dyDescent="0.15">
      <c r="W252" s="136"/>
      <c r="X252" s="37"/>
      <c r="Y252" s="37"/>
      <c r="Z252" s="37"/>
      <c r="AA252" s="37"/>
      <c r="AB252" s="137"/>
      <c r="AC252" s="37"/>
      <c r="AD252" s="37"/>
    </row>
    <row r="253" spans="23:30" x14ac:dyDescent="0.15">
      <c r="W253" s="136"/>
      <c r="X253" s="37"/>
      <c r="Y253" s="37"/>
      <c r="Z253" s="37"/>
      <c r="AA253" s="37"/>
      <c r="AB253" s="137"/>
      <c r="AC253" s="37"/>
      <c r="AD253" s="37"/>
    </row>
    <row r="254" spans="23:30" x14ac:dyDescent="0.15">
      <c r="W254" s="136"/>
      <c r="X254" s="37"/>
      <c r="Y254" s="137"/>
      <c r="Z254" s="37"/>
      <c r="AA254" s="37"/>
      <c r="AB254" s="137"/>
      <c r="AC254" s="137"/>
      <c r="AD254" s="37"/>
    </row>
    <row r="255" spans="23:30" x14ac:dyDescent="0.15">
      <c r="W255" s="136"/>
      <c r="X255" s="37"/>
      <c r="Y255" s="137"/>
      <c r="Z255" s="37"/>
      <c r="AA255" s="37"/>
      <c r="AB255" s="137"/>
      <c r="AC255" s="137"/>
      <c r="AD255" s="37"/>
    </row>
    <row r="256" spans="23:30" x14ac:dyDescent="0.15">
      <c r="W256" s="136"/>
      <c r="X256" s="37"/>
      <c r="Y256" s="137"/>
      <c r="Z256" s="37"/>
      <c r="AA256" s="137"/>
      <c r="AB256" s="137"/>
      <c r="AC256" s="137"/>
      <c r="AD256" s="37"/>
    </row>
    <row r="257" spans="23:30" x14ac:dyDescent="0.15">
      <c r="W257" s="136"/>
      <c r="X257" s="37"/>
      <c r="Y257" s="137"/>
      <c r="Z257" s="37"/>
      <c r="AA257" s="137"/>
      <c r="AB257" s="137"/>
      <c r="AC257" s="137"/>
      <c r="AD257" s="37"/>
    </row>
    <row r="258" spans="23:30" x14ac:dyDescent="0.15">
      <c r="W258" s="136"/>
      <c r="X258" s="37"/>
      <c r="Y258" s="137"/>
      <c r="Z258" s="37"/>
      <c r="AA258" s="137"/>
      <c r="AB258" s="137"/>
      <c r="AC258" s="137"/>
      <c r="AD258" s="37"/>
    </row>
    <row r="259" spans="23:30" x14ac:dyDescent="0.15">
      <c r="W259" s="136"/>
      <c r="X259" s="37"/>
      <c r="Y259" s="137"/>
      <c r="Z259" s="37"/>
      <c r="AA259" s="37"/>
      <c r="AB259" s="137"/>
      <c r="AC259" s="137"/>
      <c r="AD259" s="37"/>
    </row>
    <row r="260" spans="23:30" x14ac:dyDescent="0.15">
      <c r="W260" s="136"/>
      <c r="X260" s="37"/>
      <c r="Y260" s="137"/>
      <c r="Z260" s="37"/>
      <c r="AA260" s="37"/>
      <c r="AB260" s="137"/>
      <c r="AC260" s="137"/>
      <c r="AD260" s="37"/>
    </row>
    <row r="261" spans="23:30" x14ac:dyDescent="0.15">
      <c r="W261" s="136"/>
      <c r="X261" s="37"/>
      <c r="Y261" s="137"/>
      <c r="Z261" s="37"/>
      <c r="AA261" s="137"/>
      <c r="AB261" s="137"/>
      <c r="AC261" s="137"/>
      <c r="AD261" s="37"/>
    </row>
    <row r="262" spans="23:30" x14ac:dyDescent="0.15">
      <c r="W262" s="136"/>
      <c r="X262" s="37"/>
      <c r="Y262" s="137"/>
      <c r="Z262" s="37"/>
      <c r="AA262" s="137"/>
      <c r="AB262" s="137"/>
      <c r="AC262" s="137"/>
      <c r="AD262" s="37"/>
    </row>
    <row r="263" spans="23:30" x14ac:dyDescent="0.15">
      <c r="W263" s="136"/>
      <c r="X263" s="37"/>
      <c r="Y263" s="137"/>
      <c r="Z263" s="37"/>
      <c r="AA263" s="137"/>
      <c r="AB263" s="137"/>
      <c r="AC263" s="137"/>
      <c r="AD263" s="37"/>
    </row>
    <row r="264" spans="23:30" x14ac:dyDescent="0.15">
      <c r="W264" s="136"/>
      <c r="X264" s="37"/>
      <c r="Y264" s="137"/>
      <c r="Z264" s="37"/>
      <c r="AA264" s="37"/>
      <c r="AB264" s="137"/>
      <c r="AC264" s="137"/>
      <c r="AD264" s="37"/>
    </row>
    <row r="265" spans="23:30" x14ac:dyDescent="0.15">
      <c r="W265" s="136"/>
      <c r="X265" s="37"/>
      <c r="Y265" s="137"/>
      <c r="Z265" s="37"/>
      <c r="AA265" s="137"/>
      <c r="AB265" s="137"/>
      <c r="AC265" s="137"/>
      <c r="AD265" s="37"/>
    </row>
    <row r="266" spans="23:30" x14ac:dyDescent="0.15">
      <c r="W266" s="136"/>
      <c r="X266" s="37"/>
      <c r="Y266" s="137"/>
      <c r="Z266" s="37"/>
      <c r="AA266" s="37"/>
      <c r="AB266" s="137"/>
      <c r="AC266" s="137"/>
      <c r="AD266" s="37"/>
    </row>
    <row r="267" spans="23:30" x14ac:dyDescent="0.15">
      <c r="W267" s="136"/>
      <c r="X267" s="37"/>
      <c r="Y267" s="137"/>
      <c r="Z267" s="37"/>
      <c r="AA267" s="137"/>
      <c r="AB267" s="137"/>
      <c r="AC267" s="137"/>
      <c r="AD267" s="37"/>
    </row>
    <row r="268" spans="23:30" x14ac:dyDescent="0.15">
      <c r="W268" s="136"/>
      <c r="X268" s="37"/>
      <c r="Y268" s="137"/>
      <c r="Z268" s="37"/>
      <c r="AA268" s="137"/>
      <c r="AB268" s="137"/>
      <c r="AC268" s="137"/>
      <c r="AD268" s="37"/>
    </row>
    <row r="269" spans="23:30" x14ac:dyDescent="0.15">
      <c r="W269" s="136"/>
      <c r="X269" s="37"/>
      <c r="Y269" s="137"/>
      <c r="Z269" s="37"/>
      <c r="AA269" s="37"/>
      <c r="AB269" s="137"/>
      <c r="AC269" s="137"/>
      <c r="AD269" s="37"/>
    </row>
    <row r="270" spans="23:30" x14ac:dyDescent="0.15">
      <c r="W270" s="136"/>
      <c r="X270" s="37"/>
      <c r="Y270" s="137"/>
      <c r="Z270" s="37"/>
      <c r="AA270" s="137"/>
      <c r="AB270" s="137"/>
      <c r="AC270" s="137"/>
      <c r="AD270" s="37"/>
    </row>
    <row r="271" spans="23:30" x14ac:dyDescent="0.15">
      <c r="W271" s="136"/>
      <c r="X271" s="37"/>
      <c r="Y271" s="137"/>
      <c r="Z271" s="37"/>
      <c r="AA271" s="37"/>
      <c r="AB271" s="137"/>
      <c r="AC271" s="137"/>
      <c r="AD271" s="37"/>
    </row>
    <row r="272" spans="23:30" x14ac:dyDescent="0.15">
      <c r="W272" s="136"/>
      <c r="X272" s="37"/>
      <c r="Y272" s="137"/>
      <c r="Z272" s="37"/>
      <c r="AA272" s="37"/>
      <c r="AB272" s="137"/>
      <c r="AC272" s="137"/>
      <c r="AD272" s="37"/>
    </row>
    <row r="273" spans="1:30" x14ac:dyDescent="0.15">
      <c r="W273" s="136"/>
      <c r="X273" s="37"/>
      <c r="Y273" s="137"/>
      <c r="Z273" s="37"/>
      <c r="AA273" s="37"/>
      <c r="AB273" s="137"/>
      <c r="AC273" s="137"/>
      <c r="AD273" s="37"/>
    </row>
    <row r="274" spans="1:30" x14ac:dyDescent="0.15">
      <c r="W274" s="136"/>
      <c r="X274" s="37"/>
      <c r="Y274" s="137"/>
      <c r="Z274" s="37"/>
      <c r="AA274" s="37"/>
      <c r="AB274" s="137"/>
      <c r="AC274" s="137"/>
      <c r="AD274" s="37"/>
    </row>
    <row r="275" spans="1:30" x14ac:dyDescent="0.15">
      <c r="W275" s="136"/>
      <c r="X275" s="37"/>
      <c r="Y275" s="137"/>
      <c r="Z275" s="37"/>
      <c r="AA275" s="37"/>
      <c r="AB275" s="137"/>
      <c r="AC275" s="137"/>
      <c r="AD275" s="37"/>
    </row>
    <row r="276" spans="1:30" x14ac:dyDescent="0.15">
      <c r="W276" s="136"/>
      <c r="X276" s="37"/>
      <c r="Y276" s="137"/>
      <c r="Z276" s="37"/>
      <c r="AA276" s="37"/>
      <c r="AB276" s="137"/>
      <c r="AC276" s="137"/>
      <c r="AD276" s="37"/>
    </row>
    <row r="277" spans="1:30" x14ac:dyDescent="0.15">
      <c r="W277" s="136"/>
      <c r="X277" s="37"/>
      <c r="Y277" s="137"/>
      <c r="Z277" s="37"/>
      <c r="AA277" s="37"/>
      <c r="AB277" s="137"/>
      <c r="AC277" s="137"/>
      <c r="AD277" s="37"/>
    </row>
    <row r="278" spans="1:30" x14ac:dyDescent="0.15">
      <c r="W278" s="136"/>
      <c r="X278" s="37"/>
      <c r="Y278" s="137"/>
      <c r="Z278" s="37"/>
      <c r="AA278" s="137"/>
      <c r="AB278" s="137"/>
      <c r="AC278" s="137"/>
      <c r="AD278" s="37"/>
    </row>
    <row r="279" spans="1:30" x14ac:dyDescent="0.15">
      <c r="W279" s="137"/>
      <c r="X279" s="37"/>
      <c r="Y279" s="137"/>
      <c r="Z279" s="37"/>
      <c r="AA279" s="37"/>
      <c r="AB279" s="137"/>
      <c r="AC279" s="137"/>
      <c r="AD279" s="37"/>
    </row>
    <row r="280" spans="1:30" x14ac:dyDescent="0.15">
      <c r="W280" s="137"/>
      <c r="X280" s="37"/>
      <c r="Y280" s="137"/>
      <c r="Z280" s="37"/>
      <c r="AA280" s="37"/>
      <c r="AB280" s="137"/>
      <c r="AC280" s="137"/>
      <c r="AD280" s="37"/>
    </row>
    <row r="281" spans="1:30" x14ac:dyDescent="0.15">
      <c r="W281" s="37"/>
      <c r="X281" s="37"/>
      <c r="Y281" s="37"/>
      <c r="Z281" s="37"/>
      <c r="AA281" s="37"/>
      <c r="AB281" s="37"/>
      <c r="AC281" s="37"/>
      <c r="AD281" s="37"/>
    </row>
    <row r="282" spans="1:30" x14ac:dyDescent="0.15">
      <c r="W282" s="136"/>
      <c r="X282" s="37"/>
      <c r="Y282" s="37"/>
      <c r="Z282" s="37"/>
      <c r="AA282" s="37"/>
      <c r="AB282" s="37"/>
      <c r="AC282" s="37"/>
      <c r="AD282" s="82"/>
    </row>
    <row r="283" spans="1:30" x14ac:dyDescent="0.15">
      <c r="W283" s="136"/>
      <c r="X283" s="37"/>
      <c r="Y283" s="37"/>
      <c r="Z283" s="37"/>
      <c r="AA283" s="37"/>
      <c r="AB283" s="37"/>
      <c r="AC283" s="37"/>
      <c r="AD283" s="82"/>
    </row>
    <row r="284" spans="1:30" x14ac:dyDescent="0.15">
      <c r="W284" s="136"/>
      <c r="X284" s="37"/>
      <c r="Y284" s="137"/>
      <c r="Z284" s="37"/>
      <c r="AA284" s="37"/>
      <c r="AB284" s="137"/>
      <c r="AC284" s="137"/>
      <c r="AD284" s="37"/>
    </row>
    <row r="285" spans="1:30" x14ac:dyDescent="0.15">
      <c r="W285" s="136"/>
      <c r="X285" s="37"/>
      <c r="Y285" s="137"/>
      <c r="Z285" s="37"/>
      <c r="AA285" s="37"/>
      <c r="AB285" s="137"/>
      <c r="AC285" s="137"/>
      <c r="AD285" s="37"/>
    </row>
    <row r="286" spans="1:30" x14ac:dyDescent="0.15">
      <c r="A286" s="69"/>
      <c r="D286" s="37"/>
      <c r="U286" s="37"/>
      <c r="V286" s="154"/>
      <c r="W286" s="37"/>
      <c r="X286" s="37"/>
      <c r="Y286" s="37"/>
      <c r="Z286" s="37"/>
      <c r="AA286" s="37"/>
      <c r="AB286" s="37"/>
      <c r="AC286" s="37"/>
      <c r="AD286" s="37"/>
    </row>
    <row r="287" spans="1:30" x14ac:dyDescent="0.15">
      <c r="A287" s="69"/>
      <c r="D287" s="37"/>
      <c r="U287" s="37"/>
      <c r="V287" s="154"/>
      <c r="W287" s="37"/>
      <c r="X287" s="37"/>
      <c r="Y287" s="37"/>
      <c r="Z287" s="37"/>
      <c r="AA287" s="37"/>
      <c r="AB287" s="37"/>
      <c r="AC287" s="37"/>
      <c r="AD287" s="37"/>
    </row>
    <row r="288" spans="1:30" x14ac:dyDescent="0.15">
      <c r="A288" s="69"/>
      <c r="D288" s="37"/>
      <c r="U288" s="37"/>
      <c r="V288" s="154"/>
      <c r="W288" s="37"/>
      <c r="X288" s="37"/>
      <c r="Y288" s="37"/>
      <c r="Z288" s="37"/>
      <c r="AA288" s="37"/>
      <c r="AB288" s="37"/>
      <c r="AC288" s="37"/>
      <c r="AD288" s="37"/>
    </row>
    <row r="289" spans="1:30" x14ac:dyDescent="0.15">
      <c r="A289" s="69"/>
      <c r="D289" s="37"/>
      <c r="U289" s="37"/>
      <c r="V289" s="154"/>
      <c r="W289" s="37"/>
      <c r="X289" s="37"/>
      <c r="Y289" s="37"/>
      <c r="Z289" s="37"/>
      <c r="AA289" s="37"/>
      <c r="AB289" s="37"/>
      <c r="AC289" s="37"/>
      <c r="AD289" s="37"/>
    </row>
    <row r="290" spans="1:30" x14ac:dyDescent="0.15">
      <c r="A290" s="69"/>
      <c r="D290" s="37"/>
      <c r="U290" s="37"/>
      <c r="V290" s="154"/>
      <c r="W290" s="37"/>
      <c r="X290" s="37"/>
      <c r="Y290" s="37"/>
      <c r="Z290" s="37"/>
      <c r="AA290" s="37"/>
      <c r="AB290" s="37"/>
      <c r="AC290" s="37"/>
      <c r="AD290" s="37"/>
    </row>
    <row r="291" spans="1:30" x14ac:dyDescent="0.15">
      <c r="A291" s="69"/>
      <c r="D291" s="37"/>
      <c r="U291" s="37"/>
      <c r="V291" s="154"/>
      <c r="W291" s="37"/>
      <c r="X291" s="37"/>
      <c r="Y291" s="37"/>
      <c r="Z291" s="37"/>
      <c r="AA291" s="37"/>
      <c r="AB291" s="37"/>
      <c r="AC291" s="37"/>
      <c r="AD291" s="37"/>
    </row>
    <row r="292" spans="1:30" x14ac:dyDescent="0.15">
      <c r="A292" s="69"/>
      <c r="U292" s="37"/>
      <c r="V292" s="154"/>
      <c r="W292" s="37"/>
      <c r="X292" s="37"/>
      <c r="Y292" s="37"/>
      <c r="Z292" s="37"/>
      <c r="AA292" s="37"/>
      <c r="AB292" s="37"/>
      <c r="AC292" s="37"/>
      <c r="AD292" s="37"/>
    </row>
    <row r="293" spans="1:30" x14ac:dyDescent="0.15">
      <c r="A293" s="69"/>
      <c r="U293" s="37"/>
      <c r="V293" s="154"/>
      <c r="W293" s="37"/>
      <c r="X293" s="37"/>
      <c r="Y293" s="37"/>
      <c r="Z293" s="37"/>
      <c r="AA293" s="37"/>
      <c r="AB293" s="37"/>
      <c r="AC293" s="37"/>
      <c r="AD293" s="37"/>
    </row>
    <row r="294" spans="1:30" x14ac:dyDescent="0.15">
      <c r="A294" s="69"/>
      <c r="U294" s="37"/>
      <c r="V294" s="154"/>
      <c r="W294" s="37"/>
      <c r="X294" s="37"/>
      <c r="Y294" s="37"/>
      <c r="Z294" s="37"/>
      <c r="AA294" s="37"/>
      <c r="AB294" s="37"/>
      <c r="AC294" s="37"/>
      <c r="AD294" s="37"/>
    </row>
    <row r="295" spans="1:30" x14ac:dyDescent="0.15">
      <c r="A295" s="69"/>
      <c r="U295" s="37"/>
      <c r="V295" s="154"/>
      <c r="W295" s="37"/>
      <c r="X295" s="37"/>
      <c r="Y295" s="37"/>
      <c r="Z295" s="37"/>
      <c r="AA295" s="37"/>
      <c r="AB295" s="37"/>
      <c r="AC295" s="37"/>
      <c r="AD295" s="37"/>
    </row>
    <row r="296" spans="1:30" x14ac:dyDescent="0.15">
      <c r="A296" s="69"/>
      <c r="U296" s="37"/>
      <c r="V296" s="154"/>
      <c r="W296" s="37"/>
      <c r="X296" s="37"/>
      <c r="Y296" s="37"/>
      <c r="Z296" s="37"/>
      <c r="AA296" s="37"/>
      <c r="AB296" s="37"/>
      <c r="AC296" s="37"/>
      <c r="AD296" s="37"/>
    </row>
    <row r="297" spans="1:30" x14ac:dyDescent="0.15">
      <c r="U297" s="37"/>
      <c r="V297" s="154"/>
      <c r="W297" s="37"/>
      <c r="X297" s="37"/>
      <c r="Y297" s="37"/>
      <c r="Z297" s="37"/>
      <c r="AA297" s="37"/>
      <c r="AB297" s="37"/>
      <c r="AC297" s="37"/>
      <c r="AD297" s="37"/>
    </row>
    <row r="298" spans="1:30" x14ac:dyDescent="0.15">
      <c r="U298" s="37"/>
      <c r="V298" s="154"/>
      <c r="W298" s="37"/>
      <c r="X298" s="37"/>
      <c r="Y298" s="37"/>
      <c r="Z298" s="37"/>
      <c r="AA298" s="37"/>
      <c r="AB298" s="37"/>
      <c r="AC298" s="37"/>
      <c r="AD298" s="37"/>
    </row>
    <row r="299" spans="1:30" x14ac:dyDescent="0.15">
      <c r="U299" s="37"/>
      <c r="V299" s="154"/>
      <c r="W299" s="37"/>
      <c r="X299" s="37"/>
      <c r="Y299" s="37"/>
      <c r="Z299" s="37"/>
      <c r="AA299" s="37"/>
      <c r="AB299" s="37"/>
      <c r="AC299" s="37"/>
      <c r="AD299" s="37"/>
    </row>
    <row r="300" spans="1:30" x14ac:dyDescent="0.15">
      <c r="U300" s="37"/>
      <c r="V300" s="154"/>
      <c r="W300" s="37"/>
      <c r="X300" s="37"/>
      <c r="Y300" s="37"/>
      <c r="Z300" s="37"/>
      <c r="AA300" s="37"/>
      <c r="AB300" s="37"/>
      <c r="AC300" s="37"/>
      <c r="AD300" s="37"/>
    </row>
    <row r="301" spans="1:30" x14ac:dyDescent="0.15">
      <c r="U301" s="37"/>
      <c r="V301" s="154"/>
      <c r="W301" s="37"/>
      <c r="X301" s="37"/>
      <c r="Y301" s="37"/>
      <c r="Z301" s="37"/>
      <c r="AA301" s="37"/>
      <c r="AB301" s="37"/>
      <c r="AC301" s="37"/>
      <c r="AD301" s="37"/>
    </row>
    <row r="302" spans="1:30" x14ac:dyDescent="0.15">
      <c r="U302" s="37"/>
      <c r="V302" s="154"/>
      <c r="W302" s="37"/>
      <c r="X302" s="37"/>
      <c r="Y302" s="37"/>
      <c r="Z302" s="37"/>
      <c r="AA302" s="37"/>
      <c r="AB302" s="37"/>
      <c r="AC302" s="37"/>
      <c r="AD302" s="37"/>
    </row>
    <row r="303" spans="1:30" x14ac:dyDescent="0.15">
      <c r="V303" s="154"/>
    </row>
    <row r="304" spans="1:30" x14ac:dyDescent="0.15">
      <c r="V304" s="154"/>
    </row>
    <row r="305" spans="22:22" x14ac:dyDescent="0.15">
      <c r="V305" s="154"/>
    </row>
    <row r="306" spans="22:22" x14ac:dyDescent="0.15">
      <c r="V306" s="154"/>
    </row>
    <row r="307" spans="22:22" x14ac:dyDescent="0.15">
      <c r="V307" s="154"/>
    </row>
    <row r="308" spans="22:22" x14ac:dyDescent="0.15">
      <c r="V308" s="154"/>
    </row>
    <row r="309" spans="22:22" x14ac:dyDescent="0.15">
      <c r="V309" s="154"/>
    </row>
    <row r="310" spans="22:22" x14ac:dyDescent="0.15">
      <c r="V310" s="154"/>
    </row>
    <row r="311" spans="22:22" x14ac:dyDescent="0.15">
      <c r="V311" s="154"/>
    </row>
    <row r="312" spans="22:22" x14ac:dyDescent="0.15">
      <c r="V312" s="154"/>
    </row>
    <row r="313" spans="22:22" x14ac:dyDescent="0.15">
      <c r="V313" s="154"/>
    </row>
  </sheetData>
  <sortState xmlns:xlrd2="http://schemas.microsoft.com/office/spreadsheetml/2017/richdata2" ref="A55:V209">
    <sortCondition descending="1" ref="D55:D209"/>
    <sortCondition ref="A55:A209"/>
  </sortState>
  <mergeCells count="1">
    <mergeCell ref="D1:U1"/>
  </mergeCells>
  <phoneticPr fontId="0" type="noConversion"/>
  <printOptions gridLines="1"/>
  <pageMargins left="0.25" right="0.25" top="0.5" bottom="0.25" header="0.5" footer="0"/>
  <pageSetup orientation="landscape" r:id="rId1"/>
  <headerFooter alignWithMargins="0">
    <oddFooter>&amp;L&amp;F, &amp;A&amp;RPrepared by Myers and Stauffer LC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15</vt:i4>
      </vt:variant>
    </vt:vector>
  </HeadingPairs>
  <TitlesOfParts>
    <vt:vector size="34" baseType="lpstr">
      <vt:lpstr>FRV Modeling</vt:lpstr>
      <vt:lpstr>Phase In Option</vt:lpstr>
      <vt:lpstr>Facility Profile</vt:lpstr>
      <vt:lpstr>Vent Profile</vt:lpstr>
      <vt:lpstr>Averages Profiles</vt:lpstr>
      <vt:lpstr>Rate Calculation</vt:lpstr>
      <vt:lpstr>Vent Rate Calculation</vt:lpstr>
      <vt:lpstr>Limits</vt:lpstr>
      <vt:lpstr>FRV</vt:lpstr>
      <vt:lpstr>Inflation</vt:lpstr>
      <vt:lpstr>CMI Data</vt:lpstr>
      <vt:lpstr>2022 CR and CMI</vt:lpstr>
      <vt:lpstr>RE Tax</vt:lpstr>
      <vt:lpstr>July 2025 Website</vt:lpstr>
      <vt:lpstr>October 2025 Website</vt:lpstr>
      <vt:lpstr>January 2026 Website</vt:lpstr>
      <vt:lpstr>April 2026 Website</vt:lpstr>
      <vt:lpstr>Days Exceptions</vt:lpstr>
      <vt:lpstr>Documentation</vt:lpstr>
      <vt:lpstr>_baf</vt:lpstr>
      <vt:lpstr>BEDS1516</vt:lpstr>
      <vt:lpstr>FRV_amt</vt:lpstr>
      <vt:lpstr>Min_Occ</vt:lpstr>
      <vt:lpstr>pdfnamevent</vt:lpstr>
      <vt:lpstr>'Averages Profiles'!Print_Area</vt:lpstr>
      <vt:lpstr>'Facility Profile'!Print_Area</vt:lpstr>
      <vt:lpstr>'Vent Profile'!Print_Area</vt:lpstr>
      <vt:lpstr>'CMI Data'!Print_Titles</vt:lpstr>
      <vt:lpstr>FRV!Print_Titles</vt:lpstr>
      <vt:lpstr>QA_Rate</vt:lpstr>
      <vt:lpstr>QA_Tax_5high</vt:lpstr>
      <vt:lpstr>QA_Tax_reg</vt:lpstr>
      <vt:lpstr>SW_CMI</vt:lpstr>
      <vt:lpstr>SW_CR_CMI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annette</dc:creator>
  <cp:lastModifiedBy>Cierra Derato</cp:lastModifiedBy>
  <cp:lastPrinted>2025-07-16T14:34:54Z</cp:lastPrinted>
  <dcterms:created xsi:type="dcterms:W3CDTF">2012-02-09T14:52:24Z</dcterms:created>
  <dcterms:modified xsi:type="dcterms:W3CDTF">2026-03-23T20:49:27Z</dcterms:modified>
</cp:coreProperties>
</file>